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fael\Desktop\emergy_payment\for submission\sustainability\V1\"/>
    </mc:Choice>
  </mc:AlternateContent>
  <bookViews>
    <workbookView xWindow="0" yWindow="0" windowWidth="15345" windowHeight="5835"/>
  </bookViews>
  <sheets>
    <sheet name="CULTURAL INFORMATION" sheetId="2" r:id="rId1"/>
    <sheet name="MANPOWER" sheetId="1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2" l="1"/>
  <c r="C40" i="2"/>
  <c r="C36" i="2"/>
  <c r="C33" i="2"/>
  <c r="C29" i="2"/>
  <c r="C25" i="2"/>
  <c r="E16" i="2"/>
  <c r="F16" i="2"/>
  <c r="D16" i="2"/>
  <c r="C112" i="1" l="1"/>
  <c r="E107" i="1" l="1"/>
  <c r="F10" i="1"/>
  <c r="D24" i="1" l="1"/>
  <c r="D23" i="1"/>
  <c r="C160" i="1" l="1"/>
  <c r="B11" i="1" l="1"/>
  <c r="E11" i="1"/>
  <c r="B12" i="1"/>
  <c r="B13" i="1"/>
  <c r="B14" i="1"/>
  <c r="G109" i="1"/>
  <c r="G110" i="1"/>
  <c r="G111" i="1"/>
  <c r="C120" i="1"/>
  <c r="C127" i="1"/>
  <c r="C136" i="1"/>
  <c r="C154" i="1"/>
  <c r="C163" i="1"/>
  <c r="C83" i="1"/>
  <c r="F11" i="2" l="1"/>
  <c r="C225" i="1"/>
  <c r="C101" i="1"/>
  <c r="D15" i="1" s="1"/>
  <c r="C96" i="1"/>
  <c r="C88" i="1"/>
  <c r="C102" i="1"/>
  <c r="E15" i="1" s="1"/>
  <c r="C91" i="1"/>
  <c r="E110" i="1" l="1"/>
  <c r="E14" i="1"/>
  <c r="F15" i="1"/>
  <c r="C111" i="1"/>
  <c r="E111" i="1"/>
  <c r="F10" i="2"/>
  <c r="F9" i="2"/>
  <c r="F15" i="2"/>
  <c r="C202" i="1" l="1"/>
  <c r="C229" i="1" s="1"/>
  <c r="C196" i="1"/>
  <c r="C41" i="1"/>
  <c r="D15" i="2" l="1"/>
  <c r="E15" i="2" s="1"/>
  <c r="C211" i="1" l="1"/>
  <c r="C209" i="1"/>
  <c r="C204" i="1"/>
  <c r="C207" i="1" s="1"/>
  <c r="C44" i="1"/>
  <c r="C80" i="1" s="1"/>
  <c r="C87" i="1" s="1"/>
  <c r="D14" i="1" s="1"/>
  <c r="F14" i="1" s="1"/>
  <c r="C182" i="1"/>
  <c r="C183" i="1"/>
  <c r="C184" i="1"/>
  <c r="C188" i="1" l="1"/>
  <c r="C110" i="1"/>
  <c r="C113" i="1" s="1"/>
  <c r="C142" i="1"/>
  <c r="C145" i="1" s="1"/>
  <c r="D11" i="2" l="1"/>
  <c r="E11" i="2" s="1"/>
  <c r="D10" i="2"/>
  <c r="E10" i="2" s="1"/>
  <c r="C185" i="1"/>
  <c r="C189" i="1" s="1"/>
  <c r="D26" i="1" s="1"/>
  <c r="C179" i="1" l="1"/>
  <c r="E24" i="1" s="1"/>
  <c r="C172" i="1"/>
  <c r="C171" i="1"/>
  <c r="C170" i="1"/>
  <c r="C168" i="1"/>
  <c r="C169" i="1" s="1"/>
  <c r="C175" i="1" l="1"/>
  <c r="C178" i="1" s="1"/>
  <c r="F24" i="1" l="1"/>
  <c r="D31" i="1" l="1"/>
  <c r="C77" i="1"/>
  <c r="E13" i="1" s="1"/>
  <c r="E109" i="1" l="1"/>
  <c r="C54" i="1"/>
  <c r="C67" i="1" l="1"/>
  <c r="B30" i="1"/>
  <c r="C216" i="1"/>
  <c r="C219" i="1" l="1"/>
  <c r="D21" i="1"/>
  <c r="C155" i="1"/>
  <c r="E21" i="1" s="1"/>
  <c r="D19" i="1"/>
  <c r="C137" i="1"/>
  <c r="E19" i="1" s="1"/>
  <c r="D32" i="1" l="1"/>
  <c r="D30" i="1"/>
  <c r="F21" i="1"/>
  <c r="I121" i="1"/>
  <c r="C55" i="1" l="1"/>
  <c r="C68" i="1" l="1"/>
  <c r="C69" i="1" s="1"/>
  <c r="C76" i="1" s="1"/>
  <c r="C190" i="1"/>
  <c r="D28" i="1"/>
  <c r="C197" i="1"/>
  <c r="E28" i="1" s="1"/>
  <c r="C93" i="1" l="1"/>
  <c r="C95" i="1" s="1"/>
  <c r="E26" i="1"/>
  <c r="F26" i="1" s="1"/>
  <c r="F25" i="1" s="1"/>
  <c r="F3" i="1"/>
  <c r="F28" i="1"/>
  <c r="D20" i="1"/>
  <c r="C128" i="1"/>
  <c r="E18" i="1" s="1"/>
  <c r="D18" i="1"/>
  <c r="G15" i="1" l="1"/>
  <c r="G14" i="1"/>
  <c r="D13" i="1"/>
  <c r="F13" i="1" s="1"/>
  <c r="C56" i="1"/>
  <c r="F3" i="2"/>
  <c r="G24" i="1"/>
  <c r="G21" i="1"/>
  <c r="F19" i="1"/>
  <c r="G19" i="1" s="1"/>
  <c r="G26" i="1"/>
  <c r="G25" i="1" s="1"/>
  <c r="F27" i="1"/>
  <c r="G28" i="1"/>
  <c r="G27" i="1" s="1"/>
  <c r="F18" i="1"/>
  <c r="C63" i="1" l="1"/>
  <c r="D12" i="1" s="1"/>
  <c r="G13" i="1"/>
  <c r="C108" i="1"/>
  <c r="C109" i="1"/>
  <c r="G11" i="2"/>
  <c r="G16" i="2"/>
  <c r="G9" i="2"/>
  <c r="G15" i="2"/>
  <c r="G10" i="2"/>
  <c r="G18" i="1"/>
  <c r="C146" i="1" l="1"/>
  <c r="C121" i="1"/>
  <c r="E17" i="1" s="1"/>
  <c r="D17" i="1"/>
  <c r="C64" i="1"/>
  <c r="E12" i="1" s="1"/>
  <c r="F12" i="1" s="1"/>
  <c r="C47" i="1"/>
  <c r="C50" i="1" s="1"/>
  <c r="D11" i="1" s="1"/>
  <c r="F11" i="1" s="1"/>
  <c r="G12" i="1" l="1"/>
  <c r="G11" i="1"/>
  <c r="C107" i="1"/>
  <c r="E108" i="1"/>
  <c r="E20" i="1"/>
  <c r="F20" i="1" s="1"/>
  <c r="F17" i="1"/>
  <c r="G17" i="1" l="1"/>
  <c r="G20" i="1"/>
  <c r="G10" i="1" l="1"/>
  <c r="I164" i="1" l="1"/>
  <c r="C164" i="1" s="1"/>
  <c r="E23" i="1" s="1"/>
  <c r="F23" i="1" s="1"/>
  <c r="F16" i="1" s="1"/>
  <c r="F30" i="1" s="1"/>
  <c r="E30" i="1" l="1"/>
  <c r="H15" i="1"/>
  <c r="H14" i="1"/>
  <c r="H13" i="1"/>
  <c r="H12" i="1"/>
  <c r="H11" i="1"/>
  <c r="G23" i="1"/>
  <c r="G16" i="1" s="1"/>
  <c r="G30" i="1" s="1"/>
  <c r="F31" i="1"/>
  <c r="E31" i="1" s="1"/>
  <c r="F32" i="1"/>
  <c r="E32" i="1" s="1"/>
  <c r="H10" i="1" l="1"/>
  <c r="H16" i="1"/>
  <c r="H24" i="1"/>
  <c r="H20" i="1"/>
  <c r="H25" i="1"/>
  <c r="H26" i="1"/>
  <c r="H27" i="1"/>
  <c r="H28" i="1"/>
  <c r="H21" i="1"/>
  <c r="H19" i="1"/>
  <c r="H18" i="1"/>
  <c r="H17" i="1"/>
  <c r="H23" i="1"/>
  <c r="H30" i="1" l="1"/>
</calcChain>
</file>

<file path=xl/sharedStrings.xml><?xml version="1.0" encoding="utf-8"?>
<sst xmlns="http://schemas.openxmlformats.org/spreadsheetml/2006/main" count="535" uniqueCount="290">
  <si>
    <t>GEB =</t>
  </si>
  <si>
    <t>Dollar Exchange rate =</t>
  </si>
  <si>
    <t>Solar</t>
  </si>
  <si>
    <t>Em$</t>
  </si>
  <si>
    <t>Data</t>
  </si>
  <si>
    <t>Transformity</t>
  </si>
  <si>
    <t>EMERGY</t>
  </si>
  <si>
    <t>Value (sej/$.yr)</t>
  </si>
  <si>
    <t>Note</t>
  </si>
  <si>
    <t>Item</t>
  </si>
  <si>
    <t>Unit</t>
  </si>
  <si>
    <t>(units/yr)</t>
  </si>
  <si>
    <t>(sej/unit)</t>
  </si>
  <si>
    <t>(E13 sej/yr)</t>
  </si>
  <si>
    <t>%</t>
  </si>
  <si>
    <t>J</t>
  </si>
  <si>
    <t>UEV</t>
  </si>
  <si>
    <t>Fuel</t>
  </si>
  <si>
    <t>sej/yr</t>
  </si>
  <si>
    <t>seJ</t>
  </si>
  <si>
    <t>J/kg</t>
  </si>
  <si>
    <t>sej/J</t>
  </si>
  <si>
    <t>Used area =</t>
  </si>
  <si>
    <t>ha</t>
  </si>
  <si>
    <t>Sun</t>
  </si>
  <si>
    <t>REFERENCE:</t>
  </si>
  <si>
    <t>GEB</t>
  </si>
  <si>
    <t>Conv. Factor</t>
  </si>
  <si>
    <t>Comments</t>
  </si>
  <si>
    <t>m^2</t>
  </si>
  <si>
    <t xml:space="preserve"> </t>
  </si>
  <si>
    <t xml:space="preserve">  Insolation  =</t>
  </si>
  <si>
    <t>MJ/m^2.d</t>
  </si>
  <si>
    <t xml:space="preserve">  Albedo  =</t>
  </si>
  <si>
    <t>(% given as decimal)</t>
  </si>
  <si>
    <t xml:space="preserve">       Energy(J)  =</t>
  </si>
  <si>
    <t>(insolation)*(area)*(albedo)</t>
  </si>
  <si>
    <t xml:space="preserve">                =</t>
  </si>
  <si>
    <t>(___MJ/m^2.d)*365*(____m^2)*(____albedo)</t>
  </si>
  <si>
    <t>J/yr</t>
  </si>
  <si>
    <t>TRANSFORMITY =</t>
  </si>
  <si>
    <t>Definition</t>
  </si>
  <si>
    <t xml:space="preserve">  Area  =</t>
  </si>
  <si>
    <t xml:space="preserve">  Rainfall  =</t>
  </si>
  <si>
    <t>m</t>
  </si>
  <si>
    <t>Water density =</t>
  </si>
  <si>
    <t>kg/kg</t>
  </si>
  <si>
    <t>Gibbs free energy =</t>
  </si>
  <si>
    <t xml:space="preserve">       Energy (J) =</t>
  </si>
  <si>
    <t>Giannetti et al. 2019</t>
  </si>
  <si>
    <t>Energy (J) =</t>
  </si>
  <si>
    <t>=</t>
  </si>
  <si>
    <t>Wind, kinetic energy</t>
  </si>
  <si>
    <t>Land Area =</t>
  </si>
  <si>
    <t>Density of Air =</t>
  </si>
  <si>
    <t xml:space="preserve">kg/m^3  </t>
  </si>
  <si>
    <t>Avg. annual wind velocity =</t>
  </si>
  <si>
    <t>mps</t>
  </si>
  <si>
    <t>Geostrophic wind =</t>
  </si>
  <si>
    <t xml:space="preserve">Drag Coeff. = </t>
  </si>
  <si>
    <t>(area)(air density)(drag coefficient)(velocity^3)</t>
  </si>
  <si>
    <t>Consumption  =</t>
  </si>
  <si>
    <t>Consumption =</t>
  </si>
  <si>
    <t>kcal/kg</t>
  </si>
  <si>
    <t>Natural gas</t>
  </si>
  <si>
    <t>(n bottles natural gas) (volume) (flocks/yr)</t>
  </si>
  <si>
    <t>(__n) (__kg) (__flocks/yr)</t>
  </si>
  <si>
    <t>(volume of gas/yr) (energy unit volume)</t>
  </si>
  <si>
    <t>(thousand cubic ft/yr) (1.1*10^9J /thousand cubic ft</t>
  </si>
  <si>
    <t>(includes diesel, gasoline, lubricants)</t>
  </si>
  <si>
    <t>L/yr</t>
  </si>
  <si>
    <t xml:space="preserve">                 =</t>
  </si>
  <si>
    <t>[Odum, 1996, Accounting]</t>
  </si>
  <si>
    <t>(Energy consumption)(energy content)</t>
  </si>
  <si>
    <t>Electric power</t>
  </si>
  <si>
    <t>Ethanol</t>
  </si>
  <si>
    <t>RESOURCES CONSUMED</t>
  </si>
  <si>
    <t>Solid waste</t>
  </si>
  <si>
    <t>USD</t>
  </si>
  <si>
    <t>hab</t>
  </si>
  <si>
    <t>http://clima1.cptec.inpe.br/evolucao/pt</t>
  </si>
  <si>
    <t>t/yr</t>
  </si>
  <si>
    <t>kWh/yr</t>
  </si>
  <si>
    <t>kilowatt/hr.yr =</t>
  </si>
  <si>
    <t>(____KwH/yr)*(3.6E6 J/kWh)</t>
  </si>
  <si>
    <t>Solid waste =</t>
  </si>
  <si>
    <t>Huang et al. 1995</t>
  </si>
  <si>
    <t>(__t/yr)(4E6 btu/t)(1055 J/btu)</t>
  </si>
  <si>
    <t>(___t/yr)(4E6 btu/t)(1055 J/btu)</t>
  </si>
  <si>
    <t>EMR =</t>
  </si>
  <si>
    <t>(___USD/yr) + (___USD/yr)</t>
  </si>
  <si>
    <t>BRL:USD ratio</t>
  </si>
  <si>
    <t>PRODUCED WASTE</t>
  </si>
  <si>
    <t>MONETARY FLOW</t>
  </si>
  <si>
    <t>ANP, 2018</t>
  </si>
  <si>
    <t>CELESC, 2018</t>
  </si>
  <si>
    <t>SINIR, 2018</t>
  </si>
  <si>
    <t>sej/USD</t>
  </si>
  <si>
    <t>Footnotes to Table 1.</t>
  </si>
  <si>
    <t>OUTPUT</t>
  </si>
  <si>
    <t>Area base =</t>
  </si>
  <si>
    <t>Demétrio, 2011</t>
  </si>
  <si>
    <t>Available in: http://mtc-m21b.sid.inpe.br/col/sid.inpe.br/mtc-m21b/2017/08.15.18.20/doc/thisInformationItemHomePage.html; Accessed in April 18, 2023.</t>
  </si>
  <si>
    <t>Available in: https://sistemas-ext-cnpsa.nuvem.ti.embrapa.br/meteor/; accessed in April 18, 2023.</t>
  </si>
  <si>
    <t>Energy intake =</t>
  </si>
  <si>
    <t>kcal/day</t>
  </si>
  <si>
    <t>Food</t>
  </si>
  <si>
    <t>(Ener. int.)(365 days)(4186J/kcal)</t>
  </si>
  <si>
    <t>(___kcal/day)(365)(4186J/kcal)</t>
  </si>
  <si>
    <t>Calories =</t>
  </si>
  <si>
    <t>Density =</t>
  </si>
  <si>
    <t>kg/L</t>
  </si>
  <si>
    <t>(____ L/yr)(calories)(density)(J/kcal)</t>
  </si>
  <si>
    <t>(____ L/yr)*(9.4E3)*(7.54E-1)(4186 J/kcal)</t>
  </si>
  <si>
    <t>Broilers rising days =</t>
  </si>
  <si>
    <t>days</t>
  </si>
  <si>
    <t>Intensive management =</t>
  </si>
  <si>
    <t>hr/day</t>
  </si>
  <si>
    <t>Normal management =</t>
  </si>
  <si>
    <t>Interval among flocks  =</t>
  </si>
  <si>
    <t>Flocks =</t>
  </si>
  <si>
    <t>n/yr</t>
  </si>
  <si>
    <t>Worked days =</t>
  </si>
  <si>
    <t xml:space="preserve">(((20days)*(16hr/day)) + ((rising days - 20 days) * </t>
  </si>
  <si>
    <t>8hr/day) + ((interval days) * (4hr/day))) * flocks/yr * (n of owners)</t>
  </si>
  <si>
    <t xml:space="preserve">(((20days)*(16hr/day)) + ((__days) - (20days) * </t>
  </si>
  <si>
    <t>(8hr/day) + (__days) * (4hr/days))) * (__flocks/yr) * (__owners)</t>
  </si>
  <si>
    <t>days/yr</t>
  </si>
  <si>
    <t>Owner manpower =</t>
  </si>
  <si>
    <t>Work</t>
  </si>
  <si>
    <t>(___d/yr)(___J/day)</t>
  </si>
  <si>
    <t>13.1.</t>
  </si>
  <si>
    <t>13.2.</t>
  </si>
  <si>
    <t>m/yr</t>
  </si>
  <si>
    <t>Annual energy =</t>
  </si>
  <si>
    <t>(m/yr)(Area)(1E3kg/m3)(4.94E3J/kg)</t>
  </si>
  <si>
    <t>Annual energy:</t>
  </si>
  <si>
    <t>[Odum, 2000, Folio #1]</t>
  </si>
  <si>
    <t>Tropical forest =</t>
  </si>
  <si>
    <t>Agricultural land =</t>
  </si>
  <si>
    <t>Freshwater area =</t>
  </si>
  <si>
    <t xml:space="preserve">ha </t>
  </si>
  <si>
    <t>Total area =</t>
  </si>
  <si>
    <t>(__ha) + (__ha) + (__ha)</t>
  </si>
  <si>
    <t>Area =</t>
  </si>
  <si>
    <t>Runoff rate =</t>
  </si>
  <si>
    <t xml:space="preserve">  (percent, given as a decimal )</t>
  </si>
  <si>
    <t xml:space="preserve">(area) * (rainfall) * (% runoff) * </t>
  </si>
  <si>
    <t xml:space="preserve">(__m^2) * (__m) * (__%) * </t>
  </si>
  <si>
    <t>Rain, geopotencial energy</t>
  </si>
  <si>
    <t>Rain, chemical potential energy</t>
  </si>
  <si>
    <t>Evaporation rate =</t>
  </si>
  <si>
    <t>https://portalcultura.campinas.sp.gov.br/estrutura/gs/cspc/cedoc/permeabilidade_alternativa</t>
  </si>
  <si>
    <t xml:space="preserve">(area) * (rainfall) * (evaporation) * </t>
  </si>
  <si>
    <t>(density) * (Gibbs free energy)</t>
  </si>
  <si>
    <t xml:space="preserve">(___m^2) * (___m/yr) * (___%) * </t>
  </si>
  <si>
    <t>(1E3kg/m^3) * (4.96E3J/kg)</t>
  </si>
  <si>
    <t>Evapotranspiration</t>
  </si>
  <si>
    <t>Et =</t>
  </si>
  <si>
    <t>(Rainfall)*(Evapotrans rate)</t>
  </si>
  <si>
    <t>Evapotranspiration rate estimated as 39% of total rain according to Williams et al. 1998 (Seasonal variation in net carbon exchange and
evapotranspiration in a Brazilian rain forest: a modelling analysis)</t>
  </si>
  <si>
    <t>Tropical forest &amp; Agricultural land =</t>
  </si>
  <si>
    <t xml:space="preserve">City of Concórdia/BR. Available in: https://mapbiomas.org/; accessed in April 18, 2023. </t>
  </si>
  <si>
    <t>Sleep</t>
  </si>
  <si>
    <t>Information</t>
  </si>
  <si>
    <t>Cultural information</t>
  </si>
  <si>
    <t>Educational information</t>
  </si>
  <si>
    <t>9.1.</t>
  </si>
  <si>
    <t>9.2.</t>
  </si>
  <si>
    <t>Wage</t>
  </si>
  <si>
    <t>(2500kcal/d)(4186 J/kcal)(365)</t>
  </si>
  <si>
    <t>Work Energy (J) =</t>
  </si>
  <si>
    <t>(working days/yr)(energ)/(365)</t>
  </si>
  <si>
    <t>Sleeping time =</t>
  </si>
  <si>
    <t>kcal/hr</t>
  </si>
  <si>
    <t>Energy requeriment for sleep =</t>
  </si>
  <si>
    <t>(Slp. time)*(Energy req.)(365)(4186J/kcal)</t>
  </si>
  <si>
    <t>Broiler rising days =</t>
  </si>
  <si>
    <t>wk</t>
  </si>
  <si>
    <t>working days =</t>
  </si>
  <si>
    <t>days/wk</t>
  </si>
  <si>
    <t>working hours =</t>
  </si>
  <si>
    <t>flocks =</t>
  </si>
  <si>
    <t>((__days) / 7) (3) * (3hr/day) (__n/yr)</t>
  </si>
  <si>
    <t>(working days/yr)(total metab. energy/day)(energy content)</t>
  </si>
  <si>
    <t>(____ d/yr)(2500 kcal/pers/d)(4186 J/kcal)</t>
  </si>
  <si>
    <t>((rising days / 7)*(work. days)*(worked hr/day))*(Flock/yr)</t>
  </si>
  <si>
    <t>Area</t>
  </si>
  <si>
    <t>Wage =</t>
  </si>
  <si>
    <t>Sold broilers =</t>
  </si>
  <si>
    <t>un/yr</t>
  </si>
  <si>
    <t>BRL/bird</t>
  </si>
  <si>
    <t>birds</t>
  </si>
  <si>
    <t>Income =</t>
  </si>
  <si>
    <t>(Sold broiler)*(flocks)*(Income)/(ratio)</t>
  </si>
  <si>
    <t>Used Energy (J) =</t>
  </si>
  <si>
    <t>Technical assistance</t>
  </si>
  <si>
    <t>Solid waste treatment</t>
  </si>
  <si>
    <t>OUTPUTS</t>
  </si>
  <si>
    <t>(trop. forest) + (agr. land) + (freshw. area)</t>
  </si>
  <si>
    <t>J/person.yr</t>
  </si>
  <si>
    <t>BRL/person.yr</t>
  </si>
  <si>
    <t>USD/person.yr</t>
  </si>
  <si>
    <t>BRL:USD</t>
  </si>
  <si>
    <t>Ratio =</t>
  </si>
  <si>
    <t>Hydroelectric power</t>
  </si>
  <si>
    <t>Human metabolism</t>
  </si>
  <si>
    <t>Information flow</t>
  </si>
  <si>
    <t>Renewable resource</t>
  </si>
  <si>
    <t>Culture information</t>
  </si>
  <si>
    <t>Own data</t>
  </si>
  <si>
    <t>sej</t>
  </si>
  <si>
    <t>Renewable resources</t>
  </si>
  <si>
    <t>Citizen =</t>
  </si>
  <si>
    <t>(Used Energy)(10%)</t>
  </si>
  <si>
    <t>EMR SC =</t>
  </si>
  <si>
    <t>Metabolism of population</t>
  </si>
  <si>
    <t>Energy</t>
  </si>
  <si>
    <t>Population</t>
  </si>
  <si>
    <t>Energy storage in population</t>
  </si>
  <si>
    <t>Storage of learned population information (culture)</t>
  </si>
  <si>
    <t>(Energy used)(10%)</t>
  </si>
  <si>
    <t>EMERGY =</t>
  </si>
  <si>
    <t xml:space="preserve">(Aver. age)(Renewable resources) </t>
  </si>
  <si>
    <t>(Odum, 1996; p. 236)</t>
  </si>
  <si>
    <t>Lou and Ulgiati, 2013</t>
  </si>
  <si>
    <t>10% of human metabolism for social interation and learned information;</t>
  </si>
  <si>
    <t>~100 of interation among indigenous and immigrant population;</t>
  </si>
  <si>
    <t>https://doi.org/10.1161/01.ATV.0000205848.83210.73</t>
  </si>
  <si>
    <t>Levine et al. 2006</t>
  </si>
  <si>
    <t>Available in: https://www.celesc.com.br/home/mercado-de-energia/dados-de-consumo; accessed in April 14, 2023</t>
  </si>
  <si>
    <t>Available in: https://www.gov.br/anp/pt-br/centrais-de-conteudo/dados-estatisticos; accessed in April 14, 2023</t>
  </si>
  <si>
    <t>Available in: https://www.sinir.gov.br/relatorios/municipal/; accessed in April 14, 2023</t>
  </si>
  <si>
    <t>(Renewable resources)(100yr)</t>
  </si>
  <si>
    <t>(0.2 dry)(454 g/lb)(7.4E4 people)(150 lb ea)(5 kcal/g)(4186 J/kcal)</t>
  </si>
  <si>
    <t>Earth cycle</t>
  </si>
  <si>
    <t>Heat flow =</t>
  </si>
  <si>
    <t>(area)*(Heat flow)</t>
  </si>
  <si>
    <t>J/m^2</t>
  </si>
  <si>
    <t>(___m^2)(1E6 Jm^2)</t>
  </si>
  <si>
    <t>[Odum, 2000, Folio #2]</t>
  </si>
  <si>
    <t>https://geoftp.ibge.gov.br/atlas/nacional/atlas_nacional_do_brasil_2010/2_territorio_e_meio_ambiente/atlas_nacional_do_brasil_2010_pagina_66_fluxo_geotermico.pdf</t>
  </si>
  <si>
    <t>(est. as 60% of tot. rain)</t>
  </si>
  <si>
    <t>Avg. Elev =</t>
  </si>
  <si>
    <t>(density) * (Avg. Elev.) * 9.8m/s^2</t>
  </si>
  <si>
    <t>(___m^2)(1.2E-03 kg/m^3)(1.00 E-3)(___mps)(3.14 E7 s/yr)</t>
  </si>
  <si>
    <t>(Used Energy)*(1%)</t>
  </si>
  <si>
    <t>in millions</t>
  </si>
  <si>
    <t>Playing time =</t>
  </si>
  <si>
    <t>(___hr/day)*(365days)/(24hr)*(2500kcal/d)(4186 J/kcal)</t>
  </si>
  <si>
    <t>(Playing time)*(1%)</t>
  </si>
  <si>
    <t>(___J/yr)(1%)</t>
  </si>
  <si>
    <t>(33yr)(Renewable resources)</t>
  </si>
  <si>
    <t>Sun =</t>
  </si>
  <si>
    <t>Rain, Geopotencial energy =</t>
  </si>
  <si>
    <t>Rain, Chemical potencial energy =</t>
  </si>
  <si>
    <t>Wind, kinetic energy =</t>
  </si>
  <si>
    <t>Earth cycle =</t>
  </si>
  <si>
    <t>sej/person.yr</t>
  </si>
  <si>
    <t>Renewable emergy available per person (population = 7.1E4)</t>
  </si>
  <si>
    <t>(1000kg/m^3) * (__m) * 9.8</t>
  </si>
  <si>
    <t xml:space="preserve">According to Kim et al. (2017), people can spending 217.48 minutes/day in face-to-face social interaction in hanging out with friends or 
</t>
  </si>
  <si>
    <r>
      <t>families face-to-face; meeting people face-to-face for work or school work (</t>
    </r>
    <r>
      <rPr>
        <sz val="9"/>
        <color rgb="FF0000FF"/>
        <rFont val="Geneva"/>
      </rPr>
      <t>http://dx.doi.org/10.1016/j.chb.2016.11.004</t>
    </r>
    <r>
      <rPr>
        <sz val="9"/>
        <color rgb="FF000000"/>
        <rFont val="Geneva"/>
      </rPr>
      <t>)</t>
    </r>
  </si>
  <si>
    <t>(7.1E06 people)(2500kcal/day)(4186 J/kcal)(365day/yr)</t>
  </si>
  <si>
    <t>Odum, 1996</t>
  </si>
  <si>
    <t>The method proposed to estimate the Culture information follow the equations suggested by Odum (1996; pg. 236)</t>
  </si>
  <si>
    <r>
      <t xml:space="preserve">ENVIRONMENT RESOURCES </t>
    </r>
    <r>
      <rPr>
        <i/>
        <sz val="9"/>
        <rFont val="Geneva"/>
      </rPr>
      <t>(considering kinetic wind and Earth cycle emergy contrib.; emergy per person)</t>
    </r>
  </si>
  <si>
    <t>Personal information</t>
  </si>
  <si>
    <t>Tecnical assistance provided by the Agroindustry;</t>
  </si>
  <si>
    <t>It was considered as educational information the interaction time between broiler farmer and Technical assistant</t>
  </si>
  <si>
    <t>According to Abel (2023), 1% of human world population metabolism is used with the global emergy flow in a simple transformity</t>
  </si>
  <si>
    <t xml:space="preserve">calculation for the global flow of human learned information. Thus, in this study, we adopted 1% of human metabolism used for </t>
  </si>
  <si>
    <t>social interaction specifically to learn good quality information</t>
  </si>
  <si>
    <t>In the rest of the broiler rising time, the working time is eight hours per day;</t>
  </si>
  <si>
    <t>Thus, the commonly used working time of 16hr/day;</t>
  </si>
  <si>
    <t>The first 20 days are needed for intensive work to secure the flock's health;</t>
  </si>
  <si>
    <t>of buildings and equipment.</t>
  </si>
  <si>
    <t xml:space="preserve">Half the interval days are used for litter management, cleaning, and sanitization </t>
  </si>
  <si>
    <t>Leisure</t>
  </si>
  <si>
    <t>Giannetti et al. 2020</t>
  </si>
  <si>
    <t>Brandt-Williams, 2001</t>
  </si>
  <si>
    <t>(Rossetto, 1983; Rodrigues and Neumann, 2015)</t>
  </si>
  <si>
    <t>Steady-state Storage</t>
  </si>
  <si>
    <t>(sej)</t>
  </si>
  <si>
    <t>(sej/J)</t>
  </si>
  <si>
    <t>(E13 sej)</t>
  </si>
  <si>
    <t>(Emdollar)</t>
  </si>
  <si>
    <t>Annual flow</t>
  </si>
  <si>
    <t>Table S2. Emergy for storaged culture information of Santa Catarina citizen</t>
  </si>
  <si>
    <t>Table S3. Emergy for broiler farmer in Concórdia, Brazil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</si>
</sst>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0.0"/>
    <numFmt numFmtId="166" formatCode="0.0%"/>
    <numFmt numFmtId="167" formatCode="_-* #,##0_-;\-* #,##0_-;_-* &quot;-&quot;??_-;_-@_-"/>
    <numFmt numFmtId="168" formatCode="_-* #,##0.0_-;\-* #,##0.0_-;_-* &quot;-&quot;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9"/>
      <color rgb="FF000000"/>
      <name val="Geneva"/>
    </font>
    <font>
      <sz val="11"/>
      <color rgb="FF000000"/>
      <name val="Geneva"/>
    </font>
    <font>
      <b/>
      <sz val="9"/>
      <name val="Geneva"/>
    </font>
    <font>
      <b/>
      <sz val="9"/>
      <color rgb="FF000000"/>
      <name val="Geneva"/>
    </font>
    <font>
      <sz val="11"/>
      <name val="Geneva"/>
    </font>
    <font>
      <sz val="9"/>
      <color rgb="FFCCFFFF"/>
      <name val="Geneva"/>
    </font>
    <font>
      <sz val="9"/>
      <name val="Geneva"/>
    </font>
    <font>
      <sz val="10"/>
      <color rgb="FF000000"/>
      <name val="Times New Roman"/>
      <family val="1"/>
    </font>
    <font>
      <u/>
      <sz val="11"/>
      <color theme="10"/>
      <name val="Calibri"/>
      <family val="2"/>
      <scheme val="minor"/>
    </font>
    <font>
      <sz val="9"/>
      <color indexed="8"/>
      <name val="Geneva"/>
    </font>
    <font>
      <sz val="9"/>
      <color rgb="FFFF0000"/>
      <name val="Geneva"/>
    </font>
    <font>
      <sz val="9"/>
      <color theme="1"/>
      <name val="Geneva"/>
    </font>
    <font>
      <b/>
      <i/>
      <sz val="9"/>
      <name val="Geneva"/>
    </font>
    <font>
      <u/>
      <sz val="9"/>
      <color theme="10"/>
      <name val="Calibri"/>
      <family val="2"/>
      <scheme val="minor"/>
    </font>
    <font>
      <sz val="10"/>
      <color rgb="FF000000"/>
      <name val="Geneva"/>
    </font>
    <font>
      <i/>
      <sz val="9"/>
      <name val="Geneva"/>
    </font>
    <font>
      <u/>
      <sz val="9"/>
      <color theme="10"/>
      <name val="Geneva"/>
    </font>
    <font>
      <u/>
      <sz val="9"/>
      <color rgb="FF0000FF"/>
      <name val="Geneva"/>
    </font>
    <font>
      <sz val="9"/>
      <color rgb="FF0000FF"/>
      <name val="Genev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269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right" vertical="top"/>
    </xf>
    <xf numFmtId="2" fontId="4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left" vertical="top"/>
    </xf>
    <xf numFmtId="2" fontId="4" fillId="2" borderId="0" xfId="0" applyNumberFormat="1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164" fontId="3" fillId="2" borderId="0" xfId="0" applyNumberFormat="1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/>
    <xf numFmtId="0" fontId="0" fillId="2" borderId="0" xfId="0" applyFill="1" applyBorder="1" applyAlignment="1">
      <alignment horizontal="left" vertical="top"/>
    </xf>
    <xf numFmtId="43" fontId="3" fillId="2" borderId="0" xfId="0" applyNumberFormat="1" applyFont="1" applyFill="1" applyBorder="1" applyAlignment="1">
      <alignment horizontal="left" vertical="top"/>
    </xf>
    <xf numFmtId="2" fontId="0" fillId="2" borderId="0" xfId="0" applyNumberForma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horizontal="left" vertical="top"/>
    </xf>
    <xf numFmtId="11" fontId="3" fillId="2" borderId="0" xfId="0" applyNumberFormat="1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left" vertical="top"/>
    </xf>
    <xf numFmtId="0" fontId="3" fillId="2" borderId="17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2" borderId="16" xfId="0" applyFont="1" applyFill="1" applyBorder="1" applyAlignment="1">
      <alignment horizontal="left" vertical="top"/>
    </xf>
    <xf numFmtId="0" fontId="6" fillId="2" borderId="3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9" fontId="9" fillId="2" borderId="0" xfId="0" applyNumberFormat="1" applyFont="1" applyFill="1" applyBorder="1" applyAlignment="1">
      <alignment horizontal="left" vertical="top"/>
    </xf>
    <xf numFmtId="0" fontId="0" fillId="2" borderId="8" xfId="0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6" fillId="2" borderId="0" xfId="0" applyFont="1" applyFill="1" applyBorder="1"/>
    <xf numFmtId="0" fontId="5" fillId="2" borderId="1" xfId="0" applyFont="1" applyFill="1" applyBorder="1"/>
    <xf numFmtId="0" fontId="9" fillId="2" borderId="1" xfId="0" applyFont="1" applyFill="1" applyBorder="1"/>
    <xf numFmtId="0" fontId="3" fillId="2" borderId="1" xfId="0" applyFont="1" applyFill="1" applyBorder="1" applyAlignment="1">
      <alignment horizontal="center" vertical="top"/>
    </xf>
    <xf numFmtId="0" fontId="3" fillId="2" borderId="0" xfId="0" applyFont="1" applyFill="1" applyBorder="1"/>
    <xf numFmtId="0" fontId="0" fillId="2" borderId="15" xfId="0" applyFill="1" applyBorder="1" applyAlignment="1">
      <alignment horizontal="left" vertical="top" indent="2"/>
    </xf>
    <xf numFmtId="0" fontId="6" fillId="2" borderId="2" xfId="0" applyFont="1" applyFill="1" applyBorder="1" applyAlignment="1">
      <alignment horizontal="left" indent="1"/>
    </xf>
    <xf numFmtId="0" fontId="3" fillId="2" borderId="8" xfId="0" applyFont="1" applyFill="1" applyBorder="1" applyAlignment="1">
      <alignment horizontal="left" indent="2"/>
    </xf>
    <xf numFmtId="0" fontId="6" fillId="2" borderId="8" xfId="0" applyFont="1" applyFill="1" applyBorder="1" applyAlignment="1">
      <alignment horizontal="left" indent="2"/>
    </xf>
    <xf numFmtId="9" fontId="9" fillId="2" borderId="8" xfId="0" applyNumberFormat="1" applyFont="1" applyFill="1" applyBorder="1" applyAlignment="1">
      <alignment horizontal="left" vertical="top" indent="2"/>
    </xf>
    <xf numFmtId="0" fontId="3" fillId="2" borderId="8" xfId="0" applyFont="1" applyFill="1" applyBorder="1" applyAlignment="1">
      <alignment horizontal="left" vertical="top" indent="2"/>
    </xf>
    <xf numFmtId="0" fontId="2" fillId="2" borderId="1" xfId="0" applyFont="1" applyFill="1" applyBorder="1" applyAlignment="1"/>
    <xf numFmtId="0" fontId="9" fillId="2" borderId="1" xfId="0" applyFont="1" applyFill="1" applyBorder="1" applyAlignment="1"/>
    <xf numFmtId="0" fontId="3" fillId="2" borderId="0" xfId="0" applyFont="1" applyFill="1" applyAlignment="1"/>
    <xf numFmtId="0" fontId="13" fillId="0" borderId="0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0" fontId="9" fillId="0" borderId="8" xfId="0" applyFont="1" applyFill="1" applyBorder="1" applyAlignment="1">
      <alignment horizontal="left" vertical="top" indent="2"/>
    </xf>
    <xf numFmtId="0" fontId="21" fillId="2" borderId="8" xfId="0" applyFont="1" applyFill="1" applyBorder="1" applyAlignment="1">
      <alignment horizontal="left" vertical="top" indent="2"/>
    </xf>
    <xf numFmtId="0" fontId="21" fillId="2" borderId="8" xfId="2" applyFont="1" applyFill="1" applyBorder="1" applyAlignment="1">
      <alignment horizontal="left" vertical="top" indent="2"/>
    </xf>
    <xf numFmtId="0" fontId="2" fillId="2" borderId="0" xfId="0" applyFont="1" applyFill="1" applyBorder="1" applyAlignment="1"/>
    <xf numFmtId="0" fontId="0" fillId="2" borderId="0" xfId="0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164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left"/>
    </xf>
    <xf numFmtId="166" fontId="3" fillId="2" borderId="0" xfId="1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9" fontId="3" fillId="2" borderId="0" xfId="1" applyFont="1" applyFill="1" applyBorder="1" applyAlignment="1">
      <alignment horizontal="right"/>
    </xf>
    <xf numFmtId="2" fontId="0" fillId="2" borderId="0" xfId="0" applyNumberFormat="1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1" fontId="3" fillId="2" borderId="0" xfId="0" applyNumberFormat="1" applyFont="1" applyFill="1" applyBorder="1" applyAlignment="1">
      <alignment horizontal="left"/>
    </xf>
    <xf numFmtId="0" fontId="5" fillId="2" borderId="1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6" fillId="2" borderId="3" xfId="0" applyFont="1" applyFill="1" applyBorder="1" applyAlignment="1"/>
    <xf numFmtId="0" fontId="3" fillId="2" borderId="3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16" fillId="2" borderId="0" xfId="2" applyFont="1" applyFill="1" applyBorder="1" applyAlignment="1">
      <alignment horizontal="left"/>
    </xf>
    <xf numFmtId="0" fontId="17" fillId="2" borderId="8" xfId="0" applyFont="1" applyFill="1" applyBorder="1" applyAlignment="1">
      <alignment horizontal="left"/>
    </xf>
    <xf numFmtId="0" fontId="11" fillId="2" borderId="0" xfId="2" applyFill="1" applyBorder="1" applyAlignment="1">
      <alignment horizontal="left"/>
    </xf>
    <xf numFmtId="0" fontId="19" fillId="2" borderId="0" xfId="2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left"/>
    </xf>
    <xf numFmtId="9" fontId="9" fillId="2" borderId="0" xfId="0" applyNumberFormat="1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center" vertical="top"/>
    </xf>
    <xf numFmtId="1" fontId="17" fillId="2" borderId="8" xfId="0" applyNumberFormat="1" applyFont="1" applyFill="1" applyBorder="1" applyAlignment="1">
      <alignment horizontal="center" vertical="top"/>
    </xf>
    <xf numFmtId="0" fontId="21" fillId="2" borderId="0" xfId="0" applyFont="1" applyFill="1" applyBorder="1" applyAlignment="1">
      <alignment horizontal="left"/>
    </xf>
    <xf numFmtId="0" fontId="5" fillId="2" borderId="2" xfId="0" applyFont="1" applyFill="1" applyBorder="1"/>
    <xf numFmtId="0" fontId="6" fillId="2" borderId="3" xfId="0" applyFont="1" applyFill="1" applyBorder="1" applyAlignment="1">
      <alignment horizontal="right"/>
    </xf>
    <xf numFmtId="0" fontId="3" fillId="2" borderId="3" xfId="0" applyFont="1" applyFill="1" applyBorder="1"/>
    <xf numFmtId="3" fontId="3" fillId="2" borderId="3" xfId="0" applyNumberFormat="1" applyFont="1" applyFill="1" applyBorder="1" applyAlignment="1">
      <alignment horizontal="right"/>
    </xf>
    <xf numFmtId="0" fontId="3" fillId="2" borderId="17" xfId="0" applyFont="1" applyFill="1" applyBorder="1"/>
    <xf numFmtId="0" fontId="5" fillId="2" borderId="5" xfId="0" applyFont="1" applyFill="1" applyBorder="1"/>
    <xf numFmtId="0" fontId="3" fillId="2" borderId="6" xfId="0" applyFont="1" applyFill="1" applyBorder="1"/>
    <xf numFmtId="11" fontId="3" fillId="2" borderId="6" xfId="0" applyNumberFormat="1" applyFont="1" applyFill="1" applyBorder="1" applyAlignment="1">
      <alignment horizontal="right"/>
    </xf>
    <xf numFmtId="0" fontId="3" fillId="2" borderId="20" xfId="0" applyFont="1" applyFill="1" applyBorder="1"/>
    <xf numFmtId="0" fontId="5" fillId="2" borderId="8" xfId="0" applyFont="1" applyFill="1" applyBorder="1"/>
    <xf numFmtId="11" fontId="3" fillId="2" borderId="0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right"/>
    </xf>
    <xf numFmtId="0" fontId="3" fillId="2" borderId="8" xfId="0" applyFont="1" applyFill="1" applyBorder="1"/>
    <xf numFmtId="0" fontId="3" fillId="2" borderId="7" xfId="0" applyFont="1" applyFill="1" applyBorder="1" applyAlignment="1">
      <alignment horizontal="right"/>
    </xf>
    <xf numFmtId="0" fontId="3" fillId="2" borderId="1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right"/>
    </xf>
    <xf numFmtId="1" fontId="3" fillId="2" borderId="10" xfId="0" applyNumberFormat="1" applyFont="1" applyFill="1" applyBorder="1" applyAlignment="1">
      <alignment horizontal="right"/>
    </xf>
    <xf numFmtId="0" fontId="9" fillId="2" borderId="0" xfId="2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11" fontId="9" fillId="2" borderId="0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Border="1" applyAlignment="1">
      <alignment horizontal="center" vertical="center"/>
    </xf>
    <xf numFmtId="11" fontId="9" fillId="2" borderId="0" xfId="0" applyNumberFormat="1" applyFont="1" applyFill="1" applyBorder="1" applyAlignment="1">
      <alignment horizontal="right" vertical="center"/>
    </xf>
    <xf numFmtId="4" fontId="9" fillId="2" borderId="7" xfId="0" applyNumberFormat="1" applyFont="1" applyFill="1" applyBorder="1" applyAlignment="1">
      <alignment horizontal="right" vertical="center"/>
    </xf>
    <xf numFmtId="0" fontId="9" fillId="2" borderId="9" xfId="2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11" fontId="9" fillId="2" borderId="9" xfId="0" applyNumberFormat="1" applyFont="1" applyFill="1" applyBorder="1" applyAlignment="1">
      <alignment horizontal="center" vertical="center"/>
    </xf>
    <xf numFmtId="11" fontId="9" fillId="2" borderId="9" xfId="0" applyNumberFormat="1" applyFont="1" applyFill="1" applyBorder="1" applyAlignment="1">
      <alignment horizontal="right" vertical="center"/>
    </xf>
    <xf numFmtId="4" fontId="9" fillId="2" borderId="10" xfId="0" applyNumberFormat="1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left"/>
    </xf>
    <xf numFmtId="0" fontId="9" fillId="2" borderId="1" xfId="2" applyFont="1" applyFill="1" applyBorder="1" applyAlignment="1">
      <alignment horizontal="left"/>
    </xf>
    <xf numFmtId="11" fontId="3" fillId="2" borderId="1" xfId="0" applyNumberFormat="1" applyFont="1" applyFill="1" applyBorder="1" applyAlignment="1">
      <alignment horizontal="center"/>
    </xf>
    <xf numFmtId="11" fontId="12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right"/>
    </xf>
    <xf numFmtId="2" fontId="3" fillId="2" borderId="16" xfId="0" applyNumberFormat="1" applyFont="1" applyFill="1" applyBorder="1" applyAlignment="1">
      <alignment horizontal="right"/>
    </xf>
    <xf numFmtId="0" fontId="5" fillId="2" borderId="15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0" fontId="19" fillId="2" borderId="0" xfId="2" applyFont="1" applyFill="1" applyBorder="1"/>
    <xf numFmtId="0" fontId="9" fillId="2" borderId="0" xfId="0" applyFont="1" applyFill="1" applyBorder="1"/>
    <xf numFmtId="0" fontId="5" fillId="2" borderId="0" xfId="0" applyFont="1" applyFill="1" applyBorder="1"/>
    <xf numFmtId="0" fontId="20" fillId="2" borderId="0" xfId="2" applyFont="1" applyFill="1" applyBorder="1"/>
    <xf numFmtId="11" fontId="9" fillId="2" borderId="0" xfId="0" applyNumberFormat="1" applyFont="1" applyFill="1"/>
    <xf numFmtId="0" fontId="9" fillId="2" borderId="0" xfId="0" applyFont="1" applyFill="1" applyBorder="1" applyAlignment="1" applyProtection="1">
      <alignment vertical="center" shrinkToFit="1"/>
    </xf>
    <xf numFmtId="0" fontId="9" fillId="2" borderId="0" xfId="0" applyFont="1" applyFill="1" applyBorder="1" applyAlignment="1">
      <alignment horizontal="right"/>
    </xf>
    <xf numFmtId="11" fontId="9" fillId="2" borderId="0" xfId="0" applyNumberFormat="1" applyFont="1" applyFill="1" applyBorder="1"/>
    <xf numFmtId="11" fontId="3" fillId="2" borderId="0" xfId="0" applyNumberFormat="1" applyFont="1" applyFill="1" applyBorder="1" applyProtection="1"/>
    <xf numFmtId="0" fontId="9" fillId="2" borderId="0" xfId="0" applyFont="1" applyFill="1" applyBorder="1" applyAlignment="1" applyProtection="1">
      <alignment vertical="top" shrinkToFit="1"/>
    </xf>
    <xf numFmtId="9" fontId="9" fillId="2" borderId="0" xfId="0" applyNumberFormat="1" applyFont="1" applyFill="1" applyBorder="1" applyAlignment="1">
      <alignment horizontal="right"/>
    </xf>
    <xf numFmtId="11" fontId="9" fillId="2" borderId="0" xfId="0" applyNumberFormat="1" applyFont="1" applyFill="1" applyBorder="1" applyProtection="1">
      <protection locked="0"/>
    </xf>
    <xf numFmtId="11" fontId="9" fillId="2" borderId="0" xfId="0" applyNumberFormat="1" applyFont="1" applyFill="1" applyBorder="1" applyAlignment="1" applyProtection="1">
      <alignment horizontal="left"/>
      <protection locked="0"/>
    </xf>
    <xf numFmtId="0" fontId="9" fillId="2" borderId="15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right"/>
    </xf>
    <xf numFmtId="0" fontId="9" fillId="2" borderId="1" xfId="0" applyFont="1" applyFill="1" applyBorder="1" applyAlignment="1" applyProtection="1">
      <alignment shrinkToFit="1"/>
      <protection locked="0"/>
    </xf>
    <xf numFmtId="0" fontId="5" fillId="2" borderId="2" xfId="0" applyFont="1" applyFill="1" applyBorder="1" applyAlignment="1"/>
    <xf numFmtId="0" fontId="3" fillId="2" borderId="3" xfId="0" applyFont="1" applyFill="1" applyBorder="1" applyAlignment="1"/>
    <xf numFmtId="0" fontId="3" fillId="2" borderId="4" xfId="0" applyFont="1" applyFill="1" applyBorder="1" applyAlignment="1"/>
    <xf numFmtId="0" fontId="5" fillId="2" borderId="5" xfId="0" applyFont="1" applyFill="1" applyBorder="1" applyAlignment="1"/>
    <xf numFmtId="0" fontId="3" fillId="2" borderId="6" xfId="0" applyFont="1" applyFill="1" applyBorder="1" applyAlignment="1"/>
    <xf numFmtId="0" fontId="3" fillId="2" borderId="7" xfId="0" applyFont="1" applyFill="1" applyBorder="1" applyAlignment="1"/>
    <xf numFmtId="0" fontId="5" fillId="2" borderId="8" xfId="0" applyFont="1" applyFill="1" applyBorder="1" applyAlignment="1"/>
    <xf numFmtId="0" fontId="3" fillId="2" borderId="0" xfId="0" applyFont="1" applyFill="1" applyBorder="1" applyAlignment="1"/>
    <xf numFmtId="0" fontId="3" fillId="2" borderId="8" xfId="0" applyFont="1" applyFill="1" applyBorder="1" applyAlignment="1"/>
    <xf numFmtId="2" fontId="3" fillId="2" borderId="0" xfId="0" applyNumberFormat="1" applyFont="1" applyFill="1" applyBorder="1" applyAlignment="1">
      <alignment horizontal="right"/>
    </xf>
    <xf numFmtId="0" fontId="16" fillId="2" borderId="10" xfId="2" applyFont="1" applyFill="1" applyBorder="1" applyAlignment="1">
      <alignment horizontal="left"/>
    </xf>
    <xf numFmtId="0" fontId="3" fillId="2" borderId="5" xfId="0" applyFont="1" applyFill="1" applyBorder="1" applyAlignment="1"/>
    <xf numFmtId="1" fontId="3" fillId="2" borderId="9" xfId="0" applyNumberFormat="1" applyFont="1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2" fontId="8" fillId="2" borderId="13" xfId="0" applyNumberFormat="1" applyFont="1" applyFill="1" applyBorder="1" applyAlignment="1">
      <alignment horizontal="right"/>
    </xf>
    <xf numFmtId="0" fontId="5" fillId="2" borderId="14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center"/>
    </xf>
    <xf numFmtId="2" fontId="5" fillId="2" borderId="12" xfId="0" applyNumberFormat="1" applyFont="1" applyFill="1" applyBorder="1" applyAlignment="1">
      <alignment horizontal="right"/>
    </xf>
    <xf numFmtId="2" fontId="5" fillId="2" borderId="10" xfId="1" applyNumberFormat="1" applyFont="1" applyFill="1" applyBorder="1" applyAlignment="1">
      <alignment horizontal="right"/>
    </xf>
    <xf numFmtId="0" fontId="9" fillId="2" borderId="0" xfId="2" applyFont="1" applyFill="1" applyBorder="1" applyAlignment="1">
      <alignment horizontal="left"/>
    </xf>
    <xf numFmtId="11" fontId="9" fillId="2" borderId="0" xfId="0" applyNumberFormat="1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right"/>
    </xf>
    <xf numFmtId="2" fontId="9" fillId="2" borderId="7" xfId="1" applyNumberFormat="1" applyFont="1" applyFill="1" applyBorder="1" applyAlignment="1">
      <alignment horizontal="right"/>
    </xf>
    <xf numFmtId="11" fontId="9" fillId="2" borderId="12" xfId="0" applyNumberFormat="1" applyFont="1" applyFill="1" applyBorder="1" applyAlignment="1">
      <alignment horizontal="center"/>
    </xf>
    <xf numFmtId="2" fontId="5" fillId="2" borderId="13" xfId="1" applyNumberFormat="1" applyFont="1" applyFill="1" applyBorder="1" applyAlignment="1">
      <alignment horizontal="right"/>
    </xf>
    <xf numFmtId="0" fontId="9" fillId="2" borderId="0" xfId="0" applyFont="1" applyFill="1" applyBorder="1" applyAlignment="1"/>
    <xf numFmtId="2" fontId="5" fillId="2" borderId="0" xfId="0" applyNumberFormat="1" applyFont="1" applyFill="1" applyBorder="1" applyAlignment="1">
      <alignment horizontal="right"/>
    </xf>
    <xf numFmtId="0" fontId="9" fillId="2" borderId="0" xfId="2" applyFont="1" applyFill="1" applyBorder="1" applyAlignment="1">
      <alignment horizontal="left" indent="1"/>
    </xf>
    <xf numFmtId="11" fontId="3" fillId="2" borderId="0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11" fontId="3" fillId="2" borderId="12" xfId="0" applyNumberFormat="1" applyFont="1" applyFill="1" applyBorder="1" applyAlignment="1">
      <alignment horizontal="center"/>
    </xf>
    <xf numFmtId="1" fontId="3" fillId="2" borderId="12" xfId="0" applyNumberFormat="1" applyFont="1" applyFill="1" applyBorder="1" applyAlignment="1">
      <alignment horizontal="right"/>
    </xf>
    <xf numFmtId="0" fontId="3" fillId="2" borderId="13" xfId="0" applyFont="1" applyFill="1" applyBorder="1" applyAlignment="1">
      <alignment horizontal="right"/>
    </xf>
    <xf numFmtId="11" fontId="12" fillId="2" borderId="0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/>
    </xf>
    <xf numFmtId="0" fontId="19" fillId="2" borderId="0" xfId="2" applyFont="1" applyFill="1" applyBorder="1" applyAlignment="1"/>
    <xf numFmtId="0" fontId="5" fillId="2" borderId="0" xfId="0" applyFont="1" applyFill="1" applyBorder="1" applyAlignment="1"/>
    <xf numFmtId="0" fontId="6" fillId="2" borderId="18" xfId="0" applyFont="1" applyFill="1" applyBorder="1" applyAlignment="1">
      <alignment horizontal="center"/>
    </xf>
    <xf numFmtId="2" fontId="6" fillId="2" borderId="18" xfId="0" applyNumberFormat="1" applyFont="1" applyFill="1" applyBorder="1" applyAlignment="1">
      <alignment horizontal="center"/>
    </xf>
    <xf numFmtId="0" fontId="20" fillId="2" borderId="0" xfId="2" applyFont="1" applyFill="1" applyBorder="1" applyAlignment="1"/>
    <xf numFmtId="11" fontId="3" fillId="2" borderId="0" xfId="0" applyNumberFormat="1" applyFont="1" applyFill="1" applyBorder="1" applyAlignment="1" applyProtection="1"/>
    <xf numFmtId="11" fontId="9" fillId="2" borderId="0" xfId="0" applyNumberFormat="1" applyFont="1" applyFill="1" applyBorder="1" applyAlignment="1" applyProtection="1">
      <protection locked="0"/>
    </xf>
    <xf numFmtId="0" fontId="9" fillId="2" borderId="0" xfId="0" applyFont="1" applyFill="1" applyBorder="1" applyAlignment="1" applyProtection="1">
      <alignment shrinkToFit="1"/>
      <protection locked="0"/>
    </xf>
    <xf numFmtId="11" fontId="3" fillId="2" borderId="18" xfId="0" applyNumberFormat="1" applyFont="1" applyFill="1" applyBorder="1" applyAlignment="1">
      <alignment horizontal="left"/>
    </xf>
    <xf numFmtId="2" fontId="3" fillId="2" borderId="18" xfId="0" applyNumberFormat="1" applyFont="1" applyFill="1" applyBorder="1" applyAlignment="1">
      <alignment horizontal="center"/>
    </xf>
    <xf numFmtId="11" fontId="9" fillId="2" borderId="0" xfId="0" applyNumberFormat="1" applyFont="1" applyFill="1" applyBorder="1" applyAlignment="1" applyProtection="1"/>
    <xf numFmtId="11" fontId="9" fillId="2" borderId="0" xfId="0" applyNumberFormat="1" applyFont="1" applyFill="1" applyBorder="1" applyAlignment="1" applyProtection="1">
      <alignment shrinkToFit="1"/>
      <protection locked="0"/>
    </xf>
    <xf numFmtId="2" fontId="9" fillId="2" borderId="0" xfId="0" applyNumberFormat="1" applyFont="1" applyFill="1" applyBorder="1" applyAlignment="1" applyProtection="1">
      <alignment shrinkToFit="1"/>
      <protection locked="0"/>
    </xf>
    <xf numFmtId="2" fontId="9" fillId="2" borderId="0" xfId="0" applyNumberFormat="1" applyFont="1" applyFill="1" applyBorder="1" applyAlignment="1" applyProtection="1"/>
    <xf numFmtId="11" fontId="9" fillId="2" borderId="0" xfId="0" applyNumberFormat="1" applyFont="1" applyFill="1" applyBorder="1" applyAlignment="1">
      <alignment horizontal="left"/>
    </xf>
    <xf numFmtId="11" fontId="9" fillId="2" borderId="0" xfId="0" applyNumberFormat="1" applyFont="1" applyFill="1" applyBorder="1" applyAlignment="1"/>
    <xf numFmtId="1" fontId="9" fillId="2" borderId="0" xfId="0" applyNumberFormat="1" applyFont="1" applyFill="1" applyBorder="1" applyAlignment="1"/>
    <xf numFmtId="2" fontId="9" fillId="2" borderId="0" xfId="0" applyNumberFormat="1" applyFont="1" applyFill="1" applyBorder="1" applyAlignment="1" applyProtection="1">
      <alignment shrinkToFit="1"/>
    </xf>
    <xf numFmtId="0" fontId="13" fillId="2" borderId="0" xfId="0" applyFont="1" applyFill="1" applyBorder="1" applyAlignment="1" applyProtection="1">
      <alignment shrinkToFit="1"/>
      <protection locked="0"/>
    </xf>
    <xf numFmtId="0" fontId="20" fillId="2" borderId="0" xfId="2" applyFont="1" applyFill="1" applyBorder="1" applyAlignment="1">
      <alignment horizontal="left"/>
    </xf>
    <xf numFmtId="0" fontId="13" fillId="2" borderId="0" xfId="0" applyFont="1" applyFill="1" applyBorder="1" applyAlignment="1"/>
    <xf numFmtId="0" fontId="9" fillId="2" borderId="0" xfId="0" applyFont="1" applyFill="1" applyAlignment="1">
      <alignment horizontal="right"/>
    </xf>
    <xf numFmtId="11" fontId="9" fillId="2" borderId="0" xfId="0" applyNumberFormat="1" applyFont="1" applyFill="1" applyAlignment="1"/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 applyProtection="1">
      <alignment shrinkToFit="1"/>
    </xf>
    <xf numFmtId="11" fontId="9" fillId="2" borderId="0" xfId="0" applyNumberFormat="1" applyFont="1" applyFill="1" applyAlignment="1">
      <alignment horizontal="left"/>
    </xf>
    <xf numFmtId="0" fontId="9" fillId="2" borderId="0" xfId="0" applyFont="1" applyFill="1" applyAlignment="1"/>
    <xf numFmtId="11" fontId="9" fillId="2" borderId="0" xfId="0" applyNumberFormat="1" applyFont="1" applyFill="1" applyAlignment="1" applyProtection="1">
      <alignment horizontal="right"/>
      <protection locked="0"/>
    </xf>
    <xf numFmtId="0" fontId="13" fillId="2" borderId="8" xfId="0" applyFont="1" applyFill="1" applyBorder="1" applyAlignment="1">
      <alignment horizontal="left"/>
    </xf>
    <xf numFmtId="11" fontId="13" fillId="2" borderId="0" xfId="0" applyNumberFormat="1" applyFont="1" applyFill="1" applyBorder="1" applyAlignment="1"/>
    <xf numFmtId="0" fontId="13" fillId="2" borderId="0" xfId="0" applyFont="1" applyFill="1" applyAlignment="1"/>
    <xf numFmtId="11" fontId="9" fillId="2" borderId="0" xfId="0" applyNumberFormat="1" applyFont="1" applyFill="1" applyAlignment="1" applyProtection="1">
      <protection locked="0"/>
    </xf>
    <xf numFmtId="0" fontId="20" fillId="2" borderId="0" xfId="0" applyFont="1" applyFill="1" applyBorder="1" applyAlignment="1"/>
    <xf numFmtId="0" fontId="9" fillId="2" borderId="7" xfId="0" applyFont="1" applyFill="1" applyBorder="1" applyAlignment="1">
      <alignment shrinkToFit="1"/>
    </xf>
    <xf numFmtId="0" fontId="0" fillId="2" borderId="0" xfId="0" applyFill="1" applyBorder="1" applyAlignment="1"/>
    <xf numFmtId="0" fontId="9" fillId="2" borderId="7" xfId="0" applyFont="1" applyFill="1" applyBorder="1" applyAlignment="1" applyProtection="1">
      <alignment shrinkToFit="1"/>
    </xf>
    <xf numFmtId="0" fontId="20" fillId="2" borderId="0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right"/>
    </xf>
    <xf numFmtId="0" fontId="9" fillId="2" borderId="9" xfId="0" applyFont="1" applyFill="1" applyBorder="1" applyAlignment="1"/>
    <xf numFmtId="0" fontId="9" fillId="2" borderId="10" xfId="0" applyFont="1" applyFill="1" applyBorder="1" applyAlignment="1" applyProtection="1">
      <alignment shrinkToFit="1"/>
      <protection locked="0"/>
    </xf>
    <xf numFmtId="0" fontId="18" fillId="2" borderId="0" xfId="0" applyFont="1" applyFill="1" applyAlignment="1">
      <alignment horizontal="left"/>
    </xf>
    <xf numFmtId="0" fontId="9" fillId="2" borderId="21" xfId="0" applyFont="1" applyFill="1" applyBorder="1" applyAlignment="1">
      <alignment horizontal="right"/>
    </xf>
    <xf numFmtId="11" fontId="9" fillId="2" borderId="6" xfId="0" applyNumberFormat="1" applyFont="1" applyFill="1" applyBorder="1"/>
    <xf numFmtId="0" fontId="9" fillId="2" borderId="6" xfId="0" applyFont="1" applyFill="1" applyBorder="1"/>
    <xf numFmtId="0" fontId="9" fillId="2" borderId="22" xfId="0" applyFont="1" applyFill="1" applyBorder="1"/>
    <xf numFmtId="11" fontId="3" fillId="2" borderId="18" xfId="0" applyNumberFormat="1" applyFont="1" applyFill="1" applyBorder="1" applyAlignment="1">
      <alignment horizontal="left" vertical="top"/>
    </xf>
    <xf numFmtId="2" fontId="3" fillId="2" borderId="18" xfId="0" applyNumberFormat="1" applyFont="1" applyFill="1" applyBorder="1" applyAlignment="1">
      <alignment horizontal="center" vertical="top"/>
    </xf>
    <xf numFmtId="0" fontId="9" fillId="2" borderId="25" xfId="0" applyFont="1" applyFill="1" applyBorder="1" applyAlignment="1">
      <alignment horizontal="right"/>
    </xf>
    <xf numFmtId="0" fontId="9" fillId="2" borderId="26" xfId="0" applyFont="1" applyFill="1" applyBorder="1"/>
    <xf numFmtId="0" fontId="9" fillId="2" borderId="23" xfId="0" applyFont="1" applyFill="1" applyBorder="1" applyAlignment="1">
      <alignment horizontal="right"/>
    </xf>
    <xf numFmtId="11" fontId="9" fillId="2" borderId="9" xfId="0" applyNumberFormat="1" applyFont="1" applyFill="1" applyBorder="1"/>
    <xf numFmtId="0" fontId="9" fillId="2" borderId="9" xfId="0" applyFont="1" applyFill="1" applyBorder="1"/>
    <xf numFmtId="0" fontId="9" fillId="2" borderId="24" xfId="0" applyFont="1" applyFill="1" applyBorder="1"/>
    <xf numFmtId="0" fontId="9" fillId="2" borderId="8" xfId="0" applyFont="1" applyFill="1" applyBorder="1" applyAlignment="1">
      <alignment horizontal="right"/>
    </xf>
    <xf numFmtId="0" fontId="18" fillId="2" borderId="0" xfId="0" applyFont="1" applyFill="1" applyBorder="1" applyAlignment="1">
      <alignment horizontal="right"/>
    </xf>
    <xf numFmtId="41" fontId="9" fillId="2" borderId="0" xfId="0" applyNumberFormat="1" applyFont="1" applyFill="1" applyBorder="1" applyAlignment="1"/>
    <xf numFmtId="167" fontId="9" fillId="2" borderId="0" xfId="0" applyNumberFormat="1" applyFont="1" applyFill="1" applyBorder="1" applyAlignment="1"/>
    <xf numFmtId="168" fontId="9" fillId="2" borderId="0" xfId="0" applyNumberFormat="1" applyFont="1" applyFill="1" applyBorder="1" applyAlignment="1"/>
    <xf numFmtId="0" fontId="9" fillId="2" borderId="0" xfId="2" applyFont="1" applyFill="1" applyBorder="1" applyAlignment="1">
      <alignment horizontal="right"/>
    </xf>
    <xf numFmtId="3" fontId="9" fillId="2" borderId="0" xfId="0" applyNumberFormat="1" applyFont="1" applyFill="1" applyBorder="1" applyAlignment="1">
      <alignment horizontal="right"/>
    </xf>
    <xf numFmtId="4" fontId="9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/>
    </xf>
    <xf numFmtId="43" fontId="9" fillId="2" borderId="0" xfId="0" applyNumberFormat="1" applyFont="1" applyFill="1" applyBorder="1" applyAlignment="1" applyProtection="1">
      <alignment shrinkToFit="1"/>
      <protection locked="0"/>
    </xf>
    <xf numFmtId="11" fontId="3" fillId="2" borderId="19" xfId="0" applyNumberFormat="1" applyFont="1" applyFill="1" applyBorder="1" applyAlignment="1">
      <alignment horizontal="left"/>
    </xf>
    <xf numFmtId="2" fontId="3" fillId="2" borderId="19" xfId="0" applyNumberFormat="1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1" fontId="3" fillId="2" borderId="0" xfId="0" applyNumberFormat="1" applyFont="1" applyFill="1" applyBorder="1" applyAlignment="1"/>
    <xf numFmtId="11" fontId="9" fillId="2" borderId="0" xfId="0" applyNumberFormat="1" applyFont="1" applyFill="1" applyBorder="1" applyAlignment="1">
      <alignment horizontal="right"/>
    </xf>
    <xf numFmtId="1" fontId="3" fillId="2" borderId="0" xfId="0" applyNumberFormat="1" applyFont="1" applyFill="1" applyBorder="1" applyAlignment="1">
      <alignment horizontal="right"/>
    </xf>
    <xf numFmtId="11" fontId="3" fillId="2" borderId="0" xfId="0" applyNumberFormat="1" applyFont="1" applyFill="1" applyBorder="1" applyAlignment="1"/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/>
    <xf numFmtId="11" fontId="9" fillId="2" borderId="12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right" vertical="center"/>
    </xf>
    <xf numFmtId="11" fontId="9" fillId="2" borderId="0" xfId="0" applyNumberFormat="1" applyFont="1" applyFill="1" applyBorder="1" applyAlignment="1">
      <alignment horizontal="left" vertical="center"/>
    </xf>
    <xf numFmtId="4" fontId="9" fillId="2" borderId="7" xfId="0" applyNumberFormat="1" applyFont="1" applyFill="1" applyBorder="1" applyAlignment="1">
      <alignment horizontal="right" vertical="center" wrapText="1"/>
    </xf>
    <xf numFmtId="0" fontId="5" fillId="2" borderId="6" xfId="0" applyFont="1" applyFill="1" applyBorder="1"/>
    <xf numFmtId="11" fontId="3" fillId="2" borderId="6" xfId="0" applyNumberFormat="1" applyFont="1" applyFill="1" applyBorder="1" applyAlignment="1">
      <alignment horizontal="left"/>
    </xf>
    <xf numFmtId="0" fontId="5" fillId="2" borderId="12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/>
    <xf numFmtId="0" fontId="5" fillId="2" borderId="3" xfId="0" applyFont="1" applyFill="1" applyBorder="1" applyAlignment="1" applyProtection="1">
      <alignment horizontal="right"/>
      <protection locked="0"/>
    </xf>
    <xf numFmtId="0" fontId="5" fillId="2" borderId="6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alignment horizontal="right"/>
      <protection locked="0"/>
    </xf>
    <xf numFmtId="11" fontId="9" fillId="2" borderId="12" xfId="0" applyNumberFormat="1" applyFont="1" applyFill="1" applyBorder="1" applyAlignment="1">
      <alignment horizontal="center" vertical="center"/>
    </xf>
    <xf numFmtId="0" fontId="9" fillId="2" borderId="12" xfId="0" applyFont="1" applyFill="1" applyBorder="1" applyAlignment="1" applyProtection="1">
      <alignment horizontal="center"/>
      <protection locked="0"/>
    </xf>
    <xf numFmtId="0" fontId="6" fillId="2" borderId="9" xfId="0" applyFont="1" applyFill="1" applyBorder="1" applyAlignment="1">
      <alignment horizontal="right"/>
    </xf>
  </cellXfs>
  <cellStyles count="3">
    <cellStyle name="Hiperlink" xfId="2" builtinId="8"/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CCFFFF"/>
      <color rgb="FF0000FF"/>
      <color rgb="FF42B6EA"/>
      <color rgb="FFFFFF99"/>
      <color rgb="FF2DC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fael/Desktop/emergy_payment/emergy_models/broiler_payment_emerg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fael/Desktop/emergy_payment/broiler_payment_emerg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ct. produção"/>
      <sheetName val="Inventário"/>
      <sheetName val="Trabalho"/>
      <sheetName val="Insumos"/>
      <sheetName val="Transporte"/>
      <sheetName val="Emergy_references"/>
      <sheetName val="IGP-DI | FGV"/>
      <sheetName val="CPM_integrado"/>
      <sheetName val="CPM_integradora"/>
      <sheetName val="ATALHOS"/>
      <sheetName val="CPM_frango"/>
      <sheetName val="Facility"/>
      <sheetName val="SJR_V1"/>
      <sheetName val="EMERGY"/>
      <sheetName val="Emergy_V2"/>
      <sheetName val="| ref | LEIS E IN's"/>
      <sheetName val="Itens"/>
      <sheetName val="Results"/>
      <sheetName val="AlocaçãoCustos"/>
      <sheetName val="Emergia"/>
    </sheetNames>
    <sheetDataSet>
      <sheetData sheetId="0" refreshError="1">
        <row r="71">
          <cell r="D71">
            <v>15360</v>
          </cell>
        </row>
        <row r="74">
          <cell r="D74">
            <v>6.27</v>
          </cell>
        </row>
        <row r="77">
          <cell r="D77">
            <v>42</v>
          </cell>
        </row>
      </sheetData>
      <sheetData sheetId="1" refreshError="1"/>
      <sheetData sheetId="2" refreshError="1">
        <row r="27">
          <cell r="D27">
            <v>2</v>
          </cell>
          <cell r="E27">
            <v>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ct. produção"/>
      <sheetName val="Inventário"/>
      <sheetName val="Trabalho"/>
      <sheetName val="Insumos"/>
      <sheetName val="Transporte"/>
      <sheetName val="Emergy_references"/>
      <sheetName val="IGP-DI | FGV"/>
      <sheetName val="CPM_integrado"/>
      <sheetName val="CPM_integradora"/>
      <sheetName val="ATALHOS"/>
      <sheetName val="CPM_frango"/>
      <sheetName val="Facility"/>
      <sheetName val="SJR_V1"/>
      <sheetName val="EMERGY"/>
      <sheetName val="Emergy_V2"/>
      <sheetName val="| ref | LEIS E IN's"/>
      <sheetName val="Itens"/>
    </sheetNames>
    <sheetDataSet>
      <sheetData sheetId="0">
        <row r="71">
          <cell r="D71">
            <v>15360</v>
          </cell>
          <cell r="G71">
            <v>0.88</v>
          </cell>
        </row>
        <row r="77">
          <cell r="D77">
            <v>42</v>
          </cell>
        </row>
        <row r="79">
          <cell r="D79">
            <v>16.213716108452957</v>
          </cell>
        </row>
        <row r="80">
          <cell r="D80">
            <v>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">
          <cell r="F5">
            <v>3.6541999999999999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clima1.cptec.inpe.br/evolucao/pt" TargetMode="External"/><Relationship Id="rId7" Type="http://schemas.openxmlformats.org/officeDocument/2006/relationships/hyperlink" Target="https://geoftp.ibge.gov.br/atlas/nacional/atlas_nacional_do_brasil_2010/2_territorio_e_meio_ambiente/atlas_nacional_do_brasil_2010_pagina_66_fluxo_geotermico.pdf" TargetMode="External"/><Relationship Id="rId2" Type="http://schemas.openxmlformats.org/officeDocument/2006/relationships/hyperlink" Target="http://mtc-m21b.sid.inpe.br/col/sid.inpe.br/mtc-m21b/2017/08.15.18.20/doc/thisInformationItemHomePage.html" TargetMode="External"/><Relationship Id="rId1" Type="http://schemas.openxmlformats.org/officeDocument/2006/relationships/hyperlink" Target="https://sistemas-ext-cnpsa.nuvem.ti.embrapa.br/meteor/" TargetMode="External"/><Relationship Id="rId6" Type="http://schemas.openxmlformats.org/officeDocument/2006/relationships/hyperlink" Target="https://doi.org/10.1161/01.ATV.0000205848.83210.73" TargetMode="External"/><Relationship Id="rId5" Type="http://schemas.openxmlformats.org/officeDocument/2006/relationships/hyperlink" Target="https://portalcultura.campinas.sp.gov.br/estrutura/gs/cspc/cedoc/permeabilidade_alternativa" TargetMode="External"/><Relationship Id="rId4" Type="http://schemas.openxmlformats.org/officeDocument/2006/relationships/hyperlink" Target="https://mapbioma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tabSelected="1" zoomScale="120" zoomScaleNormal="120" workbookViewId="0"/>
  </sheetViews>
  <sheetFormatPr defaultRowHeight="15"/>
  <cols>
    <col min="1" max="1" width="6.5703125" style="11" customWidth="1"/>
    <col min="2" max="2" width="38" style="11" customWidth="1"/>
    <col min="3" max="3" width="17.28515625" style="11" customWidth="1"/>
    <col min="4" max="4" width="11.42578125" style="11" customWidth="1"/>
    <col min="5" max="5" width="14.140625" style="11" customWidth="1"/>
    <col min="6" max="6" width="13.5703125" style="11" customWidth="1"/>
    <col min="7" max="7" width="18.28515625" style="11" customWidth="1"/>
    <col min="8" max="8" width="15.5703125" style="2" bestFit="1" customWidth="1"/>
    <col min="9" max="9" width="11.28515625" style="2" customWidth="1"/>
    <col min="10" max="10" width="11" style="10" customWidth="1"/>
    <col min="11" max="11" width="3.42578125" style="12" customWidth="1"/>
    <col min="12" max="12" width="8" style="2" customWidth="1"/>
    <col min="13" max="13" width="9.140625" style="2"/>
    <col min="14" max="14" width="8.5703125" style="2" bestFit="1" customWidth="1"/>
    <col min="15" max="15" width="9.85546875" style="2" customWidth="1"/>
    <col min="16" max="16" width="9.7109375" style="2" customWidth="1"/>
    <col min="17" max="17" width="8.7109375" style="2" bestFit="1" customWidth="1"/>
    <col min="18" max="20" width="8.5703125" style="2" bestFit="1" customWidth="1"/>
    <col min="21" max="23" width="9.140625" style="2"/>
    <col min="24" max="24" width="11.7109375" style="2" bestFit="1" customWidth="1"/>
    <col min="25" max="25" width="9.28515625" style="2" customWidth="1"/>
    <col min="26" max="28" width="9.140625" style="2"/>
    <col min="29" max="29" width="18.140625" style="2" bestFit="1" customWidth="1"/>
    <col min="30" max="16384" width="9.140625" style="2"/>
  </cols>
  <sheetData>
    <row r="1" spans="1:26" ht="15.75" thickBot="1">
      <c r="A1" s="25"/>
      <c r="B1" s="25"/>
      <c r="C1" s="25"/>
      <c r="D1" s="25"/>
      <c r="E1" s="25"/>
      <c r="F1" s="25"/>
      <c r="G1" s="25"/>
      <c r="H1" s="24"/>
      <c r="I1" s="24"/>
      <c r="J1" s="24"/>
      <c r="N1" s="3"/>
      <c r="O1" s="3"/>
      <c r="P1" s="4"/>
      <c r="Q1" s="5"/>
      <c r="V1" s="5"/>
      <c r="W1" s="5"/>
      <c r="Y1" s="6"/>
      <c r="Z1" s="5"/>
    </row>
    <row r="2" spans="1:26" ht="13.5" customHeight="1">
      <c r="A2" s="88" t="s">
        <v>288</v>
      </c>
      <c r="B2" s="89"/>
      <c r="C2" s="90"/>
      <c r="D2" s="263" t="s">
        <v>213</v>
      </c>
      <c r="E2" s="263"/>
      <c r="F2" s="91">
        <v>7100000</v>
      </c>
      <c r="G2" s="92" t="s">
        <v>79</v>
      </c>
      <c r="H2" s="24"/>
      <c r="I2" s="24"/>
      <c r="J2" s="24"/>
      <c r="L2" s="8"/>
      <c r="N2" s="3"/>
      <c r="O2" s="7"/>
      <c r="P2" s="4"/>
      <c r="Q2" s="5"/>
      <c r="V2" s="5"/>
      <c r="W2" s="5"/>
      <c r="Y2" s="6"/>
      <c r="Z2" s="5"/>
    </row>
    <row r="3" spans="1:26" ht="13.5" customHeight="1">
      <c r="A3" s="93"/>
      <c r="B3" s="94"/>
      <c r="C3" s="94"/>
      <c r="D3" s="264" t="s">
        <v>215</v>
      </c>
      <c r="E3" s="264"/>
      <c r="F3" s="95">
        <f>MANPOWER!F3</f>
        <v>2356000000000</v>
      </c>
      <c r="G3" s="96" t="s">
        <v>97</v>
      </c>
      <c r="H3" s="24"/>
      <c r="I3" s="24"/>
      <c r="J3" s="24"/>
      <c r="L3" s="8"/>
      <c r="N3" s="3"/>
      <c r="O3" s="7"/>
      <c r="P3" s="4"/>
      <c r="Q3" s="5"/>
      <c r="V3" s="5"/>
      <c r="W3" s="5"/>
      <c r="Y3" s="6"/>
      <c r="Z3" s="5"/>
    </row>
    <row r="4" spans="1:26" ht="13.5" customHeight="1">
      <c r="A4" s="97"/>
      <c r="B4" s="65"/>
      <c r="C4" s="34"/>
      <c r="D4" s="265" t="s">
        <v>0</v>
      </c>
      <c r="E4" s="265"/>
      <c r="F4" s="98">
        <v>1.2E+25</v>
      </c>
      <c r="G4" s="262" t="s">
        <v>19</v>
      </c>
      <c r="H4" s="24"/>
      <c r="I4" s="24"/>
      <c r="J4" s="24"/>
      <c r="L4" s="8"/>
      <c r="N4" s="3"/>
      <c r="O4" s="7"/>
      <c r="P4" s="4"/>
      <c r="Q4" s="5"/>
      <c r="V4" s="5"/>
      <c r="W4" s="5"/>
      <c r="Y4" s="6"/>
      <c r="Z4" s="5"/>
    </row>
    <row r="5" spans="1:26" ht="13.5" customHeight="1">
      <c r="A5" s="259"/>
      <c r="B5" s="260"/>
      <c r="C5" s="94"/>
      <c r="D5" s="261"/>
      <c r="E5" s="267" t="s">
        <v>287</v>
      </c>
      <c r="F5" s="267"/>
      <c r="G5" s="118"/>
      <c r="H5" s="24"/>
      <c r="I5" s="24"/>
      <c r="J5" s="24"/>
      <c r="L5" s="8"/>
      <c r="N5" s="3"/>
      <c r="O5" s="7"/>
      <c r="P5" s="4"/>
      <c r="Q5" s="5"/>
      <c r="V5" s="5"/>
      <c r="W5" s="5"/>
      <c r="Y5" s="6"/>
      <c r="Z5" s="5"/>
    </row>
    <row r="6" spans="1:26">
      <c r="A6" s="101"/>
      <c r="B6" s="34"/>
      <c r="C6" s="34"/>
      <c r="D6" s="34"/>
      <c r="E6" s="58"/>
      <c r="F6" s="55" t="s">
        <v>2</v>
      </c>
      <c r="G6" s="102" t="s">
        <v>3</v>
      </c>
      <c r="H6" s="24"/>
      <c r="I6" s="24"/>
      <c r="J6" s="24"/>
      <c r="L6" s="10"/>
      <c r="X6" s="8"/>
      <c r="Y6" s="9"/>
    </row>
    <row r="7" spans="1:26">
      <c r="A7" s="101"/>
      <c r="B7" s="34"/>
      <c r="C7" s="34"/>
      <c r="D7" s="58" t="s">
        <v>217</v>
      </c>
      <c r="E7" s="58" t="s">
        <v>5</v>
      </c>
      <c r="F7" s="55" t="s">
        <v>6</v>
      </c>
      <c r="G7" s="102" t="s">
        <v>7</v>
      </c>
      <c r="H7" s="24"/>
      <c r="I7" s="24"/>
      <c r="J7" s="24"/>
      <c r="X7" s="8"/>
      <c r="Y7" s="9"/>
    </row>
    <row r="8" spans="1:26">
      <c r="A8" s="103" t="s">
        <v>8</v>
      </c>
      <c r="B8" s="104" t="s">
        <v>9</v>
      </c>
      <c r="C8" s="105" t="s">
        <v>10</v>
      </c>
      <c r="D8" s="104" t="s">
        <v>11</v>
      </c>
      <c r="E8" s="104" t="s">
        <v>12</v>
      </c>
      <c r="F8" s="106" t="s">
        <v>13</v>
      </c>
      <c r="G8" s="107" t="s">
        <v>247</v>
      </c>
      <c r="H8" s="24"/>
      <c r="I8" s="24"/>
      <c r="J8" s="24"/>
      <c r="X8" s="8"/>
      <c r="Y8" s="9"/>
    </row>
    <row r="9" spans="1:26">
      <c r="A9" s="78">
        <v>1</v>
      </c>
      <c r="B9" s="108" t="s">
        <v>208</v>
      </c>
      <c r="C9" s="109" t="s">
        <v>15</v>
      </c>
      <c r="D9" s="110"/>
      <c r="E9" s="111"/>
      <c r="F9" s="112">
        <f>C21/10000000000000</f>
        <v>5600000000</v>
      </c>
      <c r="G9" s="113">
        <f>((F9*10000000000000/$F$3))/1000000</f>
        <v>23769.100169779285</v>
      </c>
      <c r="H9" s="24"/>
      <c r="I9" s="24"/>
      <c r="J9" s="24"/>
      <c r="K9" s="14"/>
      <c r="L9" s="15"/>
    </row>
    <row r="10" spans="1:26">
      <c r="A10" s="78">
        <v>2</v>
      </c>
      <c r="B10" s="108" t="s">
        <v>206</v>
      </c>
      <c r="C10" s="109" t="s">
        <v>15</v>
      </c>
      <c r="D10" s="110">
        <f>C25</f>
        <v>2.71200475E+16</v>
      </c>
      <c r="E10" s="110">
        <f>F10*10000000000000/D10</f>
        <v>2064893.1385536843</v>
      </c>
      <c r="F10" s="112">
        <f>C21/10000000000000</f>
        <v>5600000000</v>
      </c>
      <c r="G10" s="113">
        <f>((F10/$F$3)*10000000000000)/1000000</f>
        <v>23769.100169779285</v>
      </c>
      <c r="H10" s="24"/>
      <c r="I10" s="24"/>
      <c r="J10" s="24"/>
      <c r="K10" s="14"/>
      <c r="L10" s="15"/>
    </row>
    <row r="11" spans="1:26">
      <c r="A11" s="103">
        <v>3</v>
      </c>
      <c r="B11" s="114" t="s">
        <v>207</v>
      </c>
      <c r="C11" s="115" t="s">
        <v>15</v>
      </c>
      <c r="D11" s="116">
        <f>C29</f>
        <v>2712004750000000</v>
      </c>
      <c r="E11" s="116">
        <f>F11*10000000000000/D11</f>
        <v>20648931.385536842</v>
      </c>
      <c r="F11" s="117">
        <f>C21/10000000000000</f>
        <v>5600000000</v>
      </c>
      <c r="G11" s="118">
        <f>((F11/$F$3)*10000000000000)/1000000</f>
        <v>23769.100169779285</v>
      </c>
      <c r="H11" s="24"/>
      <c r="I11" s="24"/>
      <c r="J11" s="24"/>
      <c r="K11" s="14"/>
      <c r="L11" s="15"/>
    </row>
    <row r="12" spans="1:26">
      <c r="A12" s="78"/>
      <c r="B12" s="108"/>
      <c r="C12" s="109"/>
      <c r="D12" s="255"/>
      <c r="E12" s="266" t="s">
        <v>282</v>
      </c>
      <c r="F12" s="266"/>
      <c r="G12" s="256"/>
      <c r="H12" s="24"/>
      <c r="I12" s="24"/>
      <c r="J12" s="24"/>
      <c r="K12" s="14"/>
      <c r="L12" s="15"/>
    </row>
    <row r="13" spans="1:26">
      <c r="A13" s="78"/>
      <c r="B13" s="108"/>
      <c r="C13" s="109"/>
      <c r="D13" s="110" t="s">
        <v>283</v>
      </c>
      <c r="E13" s="110" t="s">
        <v>284</v>
      </c>
      <c r="F13" s="112" t="s">
        <v>285</v>
      </c>
      <c r="G13" s="258" t="s">
        <v>286</v>
      </c>
      <c r="H13" s="24"/>
      <c r="I13" s="24"/>
      <c r="J13" s="24"/>
      <c r="K13" s="14"/>
      <c r="L13" s="15"/>
    </row>
    <row r="14" spans="1:26">
      <c r="A14" s="78"/>
      <c r="B14" s="108"/>
      <c r="C14" s="109"/>
      <c r="D14" s="110"/>
      <c r="E14" s="257"/>
      <c r="F14" s="112"/>
      <c r="G14" s="258" t="s">
        <v>247</v>
      </c>
      <c r="H14" s="24"/>
      <c r="I14" s="24"/>
      <c r="J14" s="24"/>
      <c r="K14" s="14"/>
      <c r="L14" s="15"/>
    </row>
    <row r="15" spans="1:26">
      <c r="A15" s="78">
        <v>4</v>
      </c>
      <c r="B15" s="108" t="s">
        <v>218</v>
      </c>
      <c r="C15" s="109" t="s">
        <v>15</v>
      </c>
      <c r="D15" s="110">
        <f>C33</f>
        <v>2023972860000000.3</v>
      </c>
      <c r="E15" s="110">
        <f>F15*10000000000000/D15</f>
        <v>913055721.50804424</v>
      </c>
      <c r="F15" s="112">
        <f>C36/10000000000000</f>
        <v>184800000000</v>
      </c>
      <c r="G15" s="113">
        <f>((F15/$F$3)*10000000000000)/1000000</f>
        <v>784380.3056027164</v>
      </c>
      <c r="H15" s="24"/>
      <c r="I15" s="24"/>
      <c r="J15" s="24"/>
      <c r="K15" s="14"/>
      <c r="L15" s="15"/>
    </row>
    <row r="16" spans="1:26">
      <c r="A16" s="78">
        <v>5</v>
      </c>
      <c r="B16" s="108" t="s">
        <v>209</v>
      </c>
      <c r="C16" s="109" t="s">
        <v>15</v>
      </c>
      <c r="D16" s="110">
        <f>C40</f>
        <v>202397286000000.03</v>
      </c>
      <c r="E16" s="110">
        <f>F16*10000000000000/D16</f>
        <v>27668355197.213463</v>
      </c>
      <c r="F16" s="112">
        <f>C42/10000000000000</f>
        <v>560000000000</v>
      </c>
      <c r="G16" s="113">
        <f>((F16/$F$3)*10000000000000)/1000000</f>
        <v>2376910.0169779286</v>
      </c>
      <c r="H16" s="24"/>
      <c r="I16" s="24"/>
      <c r="J16" s="24"/>
      <c r="K16" s="14"/>
      <c r="L16" s="15"/>
    </row>
    <row r="17" spans="1:20" ht="13.5" thickBot="1">
      <c r="A17" s="119"/>
      <c r="B17" s="120"/>
      <c r="C17" s="67"/>
      <c r="D17" s="121"/>
      <c r="E17" s="122"/>
      <c r="F17" s="123"/>
      <c r="G17" s="124"/>
      <c r="H17" s="24"/>
      <c r="I17" s="24"/>
      <c r="J17" s="24"/>
      <c r="K17" s="16"/>
      <c r="L17" s="17"/>
    </row>
    <row r="18" spans="1:20" ht="15.75" thickBot="1">
      <c r="A18" s="125" t="s">
        <v>98</v>
      </c>
      <c r="B18" s="31"/>
      <c r="C18" s="32"/>
      <c r="D18" s="32"/>
      <c r="E18" s="32"/>
      <c r="F18" s="32"/>
      <c r="G18" s="32"/>
      <c r="H18" s="21"/>
      <c r="I18" s="21"/>
      <c r="J18" s="33"/>
    </row>
    <row r="19" spans="1:20" ht="12">
      <c r="A19" s="126"/>
      <c r="B19" s="127"/>
      <c r="C19" s="128"/>
      <c r="D19" s="128"/>
      <c r="E19" s="128"/>
      <c r="F19" s="128"/>
      <c r="G19" s="129" t="s">
        <v>25</v>
      </c>
      <c r="H19" s="36" t="s">
        <v>28</v>
      </c>
      <c r="I19" s="23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9"/>
    </row>
    <row r="20" spans="1:20" ht="12">
      <c r="A20" s="126"/>
      <c r="B20" s="127"/>
      <c r="C20" s="128"/>
      <c r="D20" s="128"/>
      <c r="E20" s="128"/>
      <c r="F20" s="128"/>
      <c r="G20" s="129"/>
      <c r="H20" s="39" t="s">
        <v>265</v>
      </c>
      <c r="I20" s="30"/>
      <c r="J20" s="2"/>
      <c r="K20" s="2"/>
      <c r="T20" s="20"/>
    </row>
    <row r="21" spans="1:20" ht="12">
      <c r="A21" s="126">
        <v>1</v>
      </c>
      <c r="B21" s="130" t="s">
        <v>212</v>
      </c>
      <c r="C21" s="131">
        <v>5.6E+22</v>
      </c>
      <c r="D21" s="128" t="s">
        <v>211</v>
      </c>
      <c r="E21" s="128"/>
      <c r="F21" s="128"/>
      <c r="G21" s="132" t="s">
        <v>101</v>
      </c>
      <c r="H21" s="37"/>
      <c r="I21" s="34"/>
      <c r="J21" s="2"/>
      <c r="K21" s="2"/>
      <c r="T21" s="20"/>
    </row>
    <row r="22" spans="1:20" ht="12">
      <c r="A22" s="126"/>
      <c r="B22" s="127"/>
      <c r="C22" s="128"/>
      <c r="D22" s="128"/>
      <c r="E22" s="128"/>
      <c r="F22" s="128"/>
      <c r="G22" s="128"/>
      <c r="H22" s="38"/>
      <c r="I22" s="30"/>
      <c r="J22" s="2"/>
      <c r="K22" s="2"/>
      <c r="T22" s="20"/>
    </row>
    <row r="23" spans="1:20" ht="12">
      <c r="A23" s="126">
        <v>2</v>
      </c>
      <c r="B23" s="130" t="s">
        <v>216</v>
      </c>
      <c r="C23" s="128"/>
      <c r="D23" s="128"/>
      <c r="E23" s="128"/>
      <c r="F23" s="128"/>
      <c r="G23" s="128"/>
      <c r="H23" s="38"/>
      <c r="I23" s="30"/>
      <c r="J23" s="2"/>
      <c r="K23" s="2"/>
      <c r="T23" s="20"/>
    </row>
    <row r="24" spans="1:20" ht="12">
      <c r="A24" s="126"/>
      <c r="B24" s="133" t="s">
        <v>195</v>
      </c>
      <c r="C24" s="128" t="s">
        <v>263</v>
      </c>
      <c r="D24" s="128"/>
      <c r="E24" s="58"/>
      <c r="F24" s="128"/>
      <c r="G24" s="134"/>
      <c r="H24" s="38"/>
      <c r="I24" s="30"/>
      <c r="J24" s="2"/>
      <c r="K24" s="2"/>
      <c r="T24" s="20"/>
    </row>
    <row r="25" spans="1:20" ht="12">
      <c r="A25" s="126"/>
      <c r="B25" s="133" t="s">
        <v>195</v>
      </c>
      <c r="C25" s="135">
        <f>F2*2500*4186*365</f>
        <v>2.71200475E+16</v>
      </c>
      <c r="D25" s="34" t="s">
        <v>39</v>
      </c>
      <c r="E25" s="58"/>
      <c r="F25" s="128"/>
      <c r="G25" s="136" t="s">
        <v>264</v>
      </c>
      <c r="H25" s="38"/>
      <c r="I25" s="30"/>
      <c r="J25" s="2"/>
      <c r="K25" s="2"/>
      <c r="T25" s="20"/>
    </row>
    <row r="26" spans="1:20" ht="12">
      <c r="A26" s="126"/>
      <c r="B26" s="133"/>
      <c r="C26" s="133"/>
      <c r="D26" s="34"/>
      <c r="E26" s="58"/>
      <c r="F26" s="128"/>
      <c r="G26" s="128"/>
      <c r="H26" s="38"/>
      <c r="I26" s="30"/>
      <c r="J26" s="2"/>
      <c r="K26" s="2"/>
      <c r="T26" s="20"/>
    </row>
    <row r="27" spans="1:20" ht="12">
      <c r="A27" s="126">
        <v>3</v>
      </c>
      <c r="B27" s="130" t="s">
        <v>207</v>
      </c>
      <c r="C27" s="128"/>
      <c r="D27" s="128"/>
      <c r="E27" s="128"/>
      <c r="F27" s="128"/>
      <c r="G27" s="128"/>
      <c r="H27" s="38"/>
      <c r="I27" s="30"/>
      <c r="J27" s="2"/>
      <c r="K27" s="2"/>
      <c r="T27" s="20"/>
    </row>
    <row r="28" spans="1:20" ht="12">
      <c r="A28" s="2"/>
      <c r="B28" s="133" t="s">
        <v>195</v>
      </c>
      <c r="C28" s="137" t="s">
        <v>214</v>
      </c>
      <c r="D28" s="128"/>
      <c r="E28" s="82" t="s">
        <v>146</v>
      </c>
      <c r="F28" s="128"/>
      <c r="G28" s="128"/>
      <c r="H28" s="39" t="s">
        <v>226</v>
      </c>
      <c r="I28" s="26"/>
      <c r="J28" s="2"/>
      <c r="K28" s="2"/>
      <c r="T28" s="20"/>
    </row>
    <row r="29" spans="1:20" ht="12">
      <c r="A29" s="126"/>
      <c r="B29" s="133" t="s">
        <v>195</v>
      </c>
      <c r="C29" s="138">
        <f>C25*0.1</f>
        <v>2712004750000000</v>
      </c>
      <c r="D29" s="128" t="s">
        <v>39</v>
      </c>
      <c r="E29" s="128"/>
      <c r="F29" s="128"/>
      <c r="G29" s="136" t="s">
        <v>264</v>
      </c>
      <c r="H29" s="47" t="s">
        <v>224</v>
      </c>
      <c r="J29" s="2"/>
      <c r="K29" s="2"/>
      <c r="T29" s="20"/>
    </row>
    <row r="30" spans="1:20" ht="12">
      <c r="A30" s="126"/>
      <c r="B30" s="133"/>
      <c r="C30" s="133"/>
      <c r="D30" s="133"/>
      <c r="E30" s="128"/>
      <c r="F30" s="128"/>
      <c r="G30" s="128"/>
      <c r="H30" s="40"/>
      <c r="J30" s="2"/>
      <c r="K30" s="2"/>
      <c r="T30" s="20"/>
    </row>
    <row r="31" spans="1:20" ht="12">
      <c r="A31" s="126">
        <v>4</v>
      </c>
      <c r="B31" s="130" t="s">
        <v>219</v>
      </c>
      <c r="C31" s="134"/>
      <c r="D31" s="128"/>
      <c r="E31" s="128"/>
      <c r="F31" s="128"/>
      <c r="G31" s="128"/>
      <c r="H31" s="40"/>
      <c r="J31" s="2"/>
      <c r="K31" s="2"/>
      <c r="T31" s="20"/>
    </row>
    <row r="32" spans="1:20" ht="12">
      <c r="A32" s="2"/>
      <c r="B32" s="133" t="s">
        <v>195</v>
      </c>
      <c r="C32" s="80" t="s">
        <v>234</v>
      </c>
      <c r="D32" s="128"/>
      <c r="E32" s="128"/>
      <c r="F32" s="128"/>
      <c r="G32" s="128"/>
      <c r="H32" s="40"/>
      <c r="J32" s="2"/>
      <c r="K32" s="2"/>
      <c r="T32" s="20"/>
    </row>
    <row r="33" spans="1:20" ht="12">
      <c r="A33" s="126"/>
      <c r="B33" s="133" t="s">
        <v>195</v>
      </c>
      <c r="C33" s="138">
        <f>0.2*454*F2*150*5*4186</f>
        <v>2023972860000000.3</v>
      </c>
      <c r="D33" s="128" t="s">
        <v>15</v>
      </c>
      <c r="E33" s="128"/>
      <c r="F33" s="128"/>
      <c r="G33" s="136" t="s">
        <v>264</v>
      </c>
      <c r="H33" s="39"/>
      <c r="I33" s="26"/>
      <c r="J33" s="2"/>
      <c r="K33" s="2"/>
      <c r="T33" s="20"/>
    </row>
    <row r="34" spans="1:20" ht="12">
      <c r="A34" s="126"/>
      <c r="B34" s="133" t="s">
        <v>222</v>
      </c>
      <c r="C34" s="139" t="s">
        <v>223</v>
      </c>
      <c r="D34" s="128"/>
      <c r="E34" s="128"/>
      <c r="F34" s="128"/>
      <c r="G34" s="128"/>
      <c r="H34" s="47"/>
      <c r="J34" s="2"/>
      <c r="K34" s="2"/>
      <c r="T34" s="20"/>
    </row>
    <row r="35" spans="1:20" ht="12">
      <c r="A35" s="126"/>
      <c r="B35" s="133" t="s">
        <v>222</v>
      </c>
      <c r="C35" s="139" t="s">
        <v>252</v>
      </c>
      <c r="D35" s="128"/>
      <c r="E35" s="128"/>
      <c r="F35" s="128"/>
      <c r="G35" s="128"/>
      <c r="H35" s="40"/>
      <c r="J35" s="2"/>
      <c r="K35" s="2"/>
      <c r="T35" s="20"/>
    </row>
    <row r="36" spans="1:20" ht="12">
      <c r="A36" s="126"/>
      <c r="B36" s="133" t="s">
        <v>222</v>
      </c>
      <c r="C36" s="138">
        <f>33*C21</f>
        <v>1.8479999999999999E+24</v>
      </c>
      <c r="D36" s="82" t="s">
        <v>211</v>
      </c>
      <c r="E36" s="128"/>
      <c r="F36" s="128"/>
      <c r="G36" s="136" t="s">
        <v>264</v>
      </c>
      <c r="H36" s="40"/>
      <c r="J36" s="2"/>
      <c r="K36" s="2"/>
      <c r="T36" s="20"/>
    </row>
    <row r="37" spans="1:20" ht="12">
      <c r="A37" s="126"/>
      <c r="B37" s="133"/>
      <c r="C37" s="133"/>
      <c r="D37" s="133"/>
      <c r="E37" s="128"/>
      <c r="F37" s="128"/>
      <c r="G37" s="128"/>
      <c r="H37" s="40"/>
      <c r="J37" s="2"/>
      <c r="K37" s="2"/>
      <c r="T37" s="20"/>
    </row>
    <row r="38" spans="1:20" ht="12">
      <c r="A38" s="126">
        <v>5</v>
      </c>
      <c r="B38" s="130" t="s">
        <v>209</v>
      </c>
      <c r="C38" s="133"/>
      <c r="D38" s="133"/>
      <c r="E38" s="128"/>
      <c r="F38" s="128"/>
      <c r="G38" s="128"/>
      <c r="H38" s="40"/>
      <c r="J38" s="2"/>
      <c r="K38" s="2"/>
      <c r="T38" s="20"/>
    </row>
    <row r="39" spans="1:20" ht="12">
      <c r="A39" s="126"/>
      <c r="B39" s="133" t="s">
        <v>195</v>
      </c>
      <c r="C39" s="82" t="s">
        <v>221</v>
      </c>
      <c r="D39" s="133"/>
      <c r="E39" s="82" t="s">
        <v>146</v>
      </c>
      <c r="F39" s="128"/>
      <c r="G39" s="128"/>
      <c r="H39" s="40" t="s">
        <v>220</v>
      </c>
      <c r="J39" s="2"/>
      <c r="K39" s="2"/>
      <c r="T39" s="20"/>
    </row>
    <row r="40" spans="1:20" ht="12">
      <c r="A40" s="126"/>
      <c r="B40" s="133" t="s">
        <v>195</v>
      </c>
      <c r="C40" s="138">
        <f>C33*0.1</f>
        <v>202397286000000.03</v>
      </c>
      <c r="D40" s="82" t="s">
        <v>15</v>
      </c>
      <c r="E40" s="128"/>
      <c r="F40" s="128"/>
      <c r="G40" s="136" t="s">
        <v>264</v>
      </c>
      <c r="H40" s="40"/>
      <c r="J40" s="2"/>
      <c r="K40" s="2"/>
      <c r="T40" s="20"/>
    </row>
    <row r="41" spans="1:20" s="1" customFormat="1" ht="12">
      <c r="A41" s="126"/>
      <c r="B41" s="133" t="s">
        <v>222</v>
      </c>
      <c r="C41" s="82" t="s">
        <v>233</v>
      </c>
      <c r="D41" s="82"/>
      <c r="E41" s="128"/>
      <c r="F41" s="128"/>
      <c r="G41" s="128"/>
      <c r="H41" s="46" t="s">
        <v>227</v>
      </c>
      <c r="I41" s="44"/>
      <c r="J41" s="44"/>
      <c r="K41" s="44"/>
      <c r="L41" s="44"/>
      <c r="M41" s="44"/>
      <c r="T41" s="45"/>
    </row>
    <row r="42" spans="1:20" ht="12">
      <c r="A42" s="126"/>
      <c r="B42" s="133" t="s">
        <v>222</v>
      </c>
      <c r="C42" s="138">
        <f>C21*100</f>
        <v>5.6000000000000003E+24</v>
      </c>
      <c r="D42" s="82" t="s">
        <v>211</v>
      </c>
      <c r="E42" s="128"/>
      <c r="F42" s="128"/>
      <c r="G42" s="136" t="s">
        <v>264</v>
      </c>
      <c r="H42" s="48" t="s">
        <v>281</v>
      </c>
      <c r="J42" s="2"/>
      <c r="K42" s="2"/>
      <c r="T42" s="20"/>
    </row>
    <row r="43" spans="1:20" ht="15.75" thickBot="1">
      <c r="A43" s="140"/>
      <c r="B43" s="141"/>
      <c r="C43" s="32"/>
      <c r="D43" s="32"/>
      <c r="E43" s="32"/>
      <c r="F43" s="32"/>
      <c r="G43" s="142"/>
      <c r="H43" s="35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2"/>
    </row>
    <row r="44" spans="1:20">
      <c r="L44" s="13"/>
    </row>
  </sheetData>
  <mergeCells count="5">
    <mergeCell ref="D2:E2"/>
    <mergeCell ref="D3:E3"/>
    <mergeCell ref="D4:E4"/>
    <mergeCell ref="E12:F12"/>
    <mergeCell ref="E5:F5"/>
  </mergeCells>
  <hyperlinks>
    <hyperlink ref="B9" location="SAMeFrame!B72" display="SAMeFrame!B72"/>
    <hyperlink ref="B10" location="SAMeFrame!B82" display="SAMeFrame!B82"/>
    <hyperlink ref="B27" location="SAMeFrame!B12" display="Sun"/>
    <hyperlink ref="B31" location="SAMeFrame!B12" display="Sun"/>
    <hyperlink ref="B38" location="SAMeFrame!B12" display="Sun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1"/>
  <sheetViews>
    <sheetView zoomScale="110" zoomScaleNormal="110" workbookViewId="0"/>
  </sheetViews>
  <sheetFormatPr defaultRowHeight="15" outlineLevelRow="1"/>
  <cols>
    <col min="1" max="1" width="6.5703125" style="43" customWidth="1"/>
    <col min="2" max="2" width="38" style="43" customWidth="1"/>
    <col min="3" max="4" width="11.42578125" style="43" customWidth="1"/>
    <col min="5" max="5" width="17" style="43" customWidth="1"/>
    <col min="6" max="6" width="13.28515625" style="43" customWidth="1"/>
    <col min="7" max="7" width="22.42578125" style="43" customWidth="1"/>
    <col min="8" max="8" width="15.5703125" style="28" bestFit="1" customWidth="1"/>
    <col min="9" max="9" width="11.28515625" style="28" customWidth="1"/>
    <col min="10" max="10" width="11" style="58" customWidth="1"/>
    <col min="11" max="11" width="3.42578125" style="50" customWidth="1"/>
    <col min="12" max="12" width="8" style="28" customWidth="1"/>
    <col min="13" max="13" width="9.140625" style="28"/>
    <col min="14" max="14" width="8.5703125" style="28" bestFit="1" customWidth="1"/>
    <col min="15" max="15" width="9.85546875" style="28" customWidth="1"/>
    <col min="16" max="16" width="9.7109375" style="28" customWidth="1"/>
    <col min="17" max="17" width="8.7109375" style="28" bestFit="1" customWidth="1"/>
    <col min="18" max="20" width="8.5703125" style="28" bestFit="1" customWidth="1"/>
    <col min="21" max="23" width="9.140625" style="28"/>
    <col min="24" max="24" width="11.7109375" style="28" bestFit="1" customWidth="1"/>
    <col min="25" max="25" width="9.28515625" style="28" customWidth="1"/>
    <col min="26" max="28" width="9.140625" style="28"/>
    <col min="29" max="29" width="18.140625" style="28" bestFit="1" customWidth="1"/>
    <col min="30" max="16384" width="9.140625" style="28"/>
  </cols>
  <sheetData>
    <row r="1" spans="1:26" ht="15.75" thickBot="1">
      <c r="A1" s="41"/>
      <c r="B1" s="41"/>
      <c r="C1" s="41"/>
      <c r="D1" s="41"/>
      <c r="E1" s="41"/>
      <c r="F1" s="41"/>
      <c r="G1" s="41"/>
      <c r="H1" s="41"/>
      <c r="I1" s="49"/>
      <c r="J1" s="49"/>
      <c r="N1" s="51"/>
      <c r="O1" s="51"/>
      <c r="P1" s="52"/>
      <c r="Q1" s="53"/>
      <c r="V1" s="53"/>
      <c r="W1" s="53"/>
      <c r="Y1" s="54"/>
      <c r="Z1" s="53"/>
    </row>
    <row r="2" spans="1:26" ht="13.5" customHeight="1">
      <c r="A2" s="143" t="s">
        <v>289</v>
      </c>
      <c r="B2" s="89"/>
      <c r="C2" s="144"/>
      <c r="D2" s="263" t="s">
        <v>213</v>
      </c>
      <c r="E2" s="263"/>
      <c r="F2" s="91">
        <v>74106</v>
      </c>
      <c r="G2" s="144" t="s">
        <v>79</v>
      </c>
      <c r="H2" s="145"/>
      <c r="I2" s="49"/>
      <c r="J2" s="49"/>
      <c r="L2" s="55"/>
      <c r="N2" s="51"/>
      <c r="O2" s="56"/>
      <c r="P2" s="52"/>
      <c r="Q2" s="53"/>
      <c r="V2" s="53"/>
      <c r="W2" s="53"/>
      <c r="Y2" s="54"/>
      <c r="Z2" s="53"/>
    </row>
    <row r="3" spans="1:26">
      <c r="A3" s="146"/>
      <c r="B3" s="147"/>
      <c r="C3" s="147"/>
      <c r="D3" s="264" t="s">
        <v>215</v>
      </c>
      <c r="E3" s="264"/>
      <c r="F3" s="95">
        <f>C190</f>
        <v>2356000000000</v>
      </c>
      <c r="G3" s="147" t="s">
        <v>97</v>
      </c>
      <c r="H3" s="148"/>
      <c r="I3" s="49"/>
      <c r="J3" s="49"/>
      <c r="L3" s="55"/>
      <c r="X3" s="55"/>
      <c r="Y3" s="57"/>
    </row>
    <row r="4" spans="1:26">
      <c r="A4" s="149"/>
      <c r="B4" s="65"/>
      <c r="C4" s="150"/>
      <c r="D4" s="265" t="s">
        <v>0</v>
      </c>
      <c r="E4" s="265"/>
      <c r="F4" s="98">
        <v>1.2E+25</v>
      </c>
      <c r="G4" s="150" t="s">
        <v>19</v>
      </c>
      <c r="H4" s="29"/>
      <c r="I4" s="49"/>
      <c r="J4" s="49"/>
      <c r="L4" s="55"/>
      <c r="X4" s="55"/>
      <c r="Y4" s="57"/>
    </row>
    <row r="5" spans="1:26" ht="12.75" customHeight="1">
      <c r="A5" s="151"/>
      <c r="B5" s="150"/>
      <c r="C5" s="150"/>
      <c r="D5" s="268" t="s">
        <v>1</v>
      </c>
      <c r="E5" s="268"/>
      <c r="F5" s="152">
        <v>3.6541999999999999</v>
      </c>
      <c r="G5" s="28" t="s">
        <v>91</v>
      </c>
      <c r="H5" s="153"/>
      <c r="I5" s="49"/>
      <c r="J5" s="49"/>
      <c r="L5" s="55"/>
      <c r="X5" s="55"/>
      <c r="Y5" s="57"/>
    </row>
    <row r="6" spans="1:26">
      <c r="A6" s="154"/>
      <c r="B6" s="147"/>
      <c r="C6" s="147"/>
      <c r="D6" s="147"/>
      <c r="E6" s="99"/>
      <c r="F6" s="100" t="s">
        <v>2</v>
      </c>
      <c r="G6" s="100" t="s">
        <v>3</v>
      </c>
      <c r="H6" s="29"/>
      <c r="I6" s="49"/>
      <c r="J6" s="49"/>
      <c r="L6" s="58"/>
      <c r="X6" s="55"/>
      <c r="Y6" s="57"/>
    </row>
    <row r="7" spans="1:26">
      <c r="A7" s="151"/>
      <c r="B7" s="150"/>
      <c r="C7" s="150"/>
      <c r="D7" s="58" t="s">
        <v>4</v>
      </c>
      <c r="E7" s="58" t="s">
        <v>5</v>
      </c>
      <c r="F7" s="55" t="s">
        <v>6</v>
      </c>
      <c r="G7" s="55" t="s">
        <v>7</v>
      </c>
      <c r="H7" s="29"/>
      <c r="I7" s="49"/>
      <c r="J7" s="49"/>
      <c r="X7" s="55"/>
      <c r="Y7" s="57"/>
    </row>
    <row r="8" spans="1:26">
      <c r="A8" s="103" t="s">
        <v>8</v>
      </c>
      <c r="B8" s="104" t="s">
        <v>9</v>
      </c>
      <c r="C8" s="105" t="s">
        <v>10</v>
      </c>
      <c r="D8" s="104" t="s">
        <v>11</v>
      </c>
      <c r="E8" s="104" t="s">
        <v>12</v>
      </c>
      <c r="F8" s="106" t="s">
        <v>13</v>
      </c>
      <c r="G8" s="155">
        <v>2018</v>
      </c>
      <c r="H8" s="156" t="s">
        <v>14</v>
      </c>
      <c r="I8" s="49"/>
      <c r="J8" s="49"/>
      <c r="X8" s="55"/>
      <c r="Y8" s="57"/>
    </row>
    <row r="9" spans="1:26">
      <c r="A9" s="78"/>
      <c r="B9" s="58"/>
      <c r="C9" s="28"/>
      <c r="D9" s="58"/>
      <c r="E9" s="58"/>
      <c r="F9" s="55"/>
      <c r="G9" s="55"/>
      <c r="H9" s="157"/>
      <c r="I9" s="49"/>
      <c r="J9" s="49"/>
      <c r="K9" s="59"/>
      <c r="L9" s="55"/>
    </row>
    <row r="10" spans="1:26">
      <c r="A10" s="158" t="s">
        <v>266</v>
      </c>
      <c r="B10" s="159"/>
      <c r="C10" s="160"/>
      <c r="D10" s="161"/>
      <c r="E10" s="161"/>
      <c r="F10" s="162">
        <f>C113/10000000000000</f>
        <v>0.36609735716107111</v>
      </c>
      <c r="G10" s="162">
        <f>F10/$F$3*10000000000000</f>
        <v>1.5538937061166005</v>
      </c>
      <c r="H10" s="163">
        <f>F10*100/$F$30</f>
        <v>1.4438310080773322E-3</v>
      </c>
      <c r="I10" s="49"/>
      <c r="J10" s="49"/>
      <c r="K10" s="59"/>
      <c r="L10" s="60"/>
    </row>
    <row r="11" spans="1:26" hidden="1" outlineLevel="1">
      <c r="A11" s="78">
        <v>1</v>
      </c>
      <c r="B11" s="164" t="str">
        <f>B43</f>
        <v>Sun</v>
      </c>
      <c r="C11" s="82" t="s">
        <v>15</v>
      </c>
      <c r="D11" s="165">
        <f>C50</f>
        <v>822973186432.79993</v>
      </c>
      <c r="E11" s="166">
        <f>C51</f>
        <v>1</v>
      </c>
      <c r="F11" s="167">
        <f>D11*E11/10000000000000</f>
        <v>8.2297318643279993E-2</v>
      </c>
      <c r="G11" s="167">
        <f>F11/$F$3*10000000000000</f>
        <v>0.34930950188149407</v>
      </c>
      <c r="H11" s="168">
        <f t="shared" ref="H11:H15" si="0">F11*100/$F$30</f>
        <v>3.2456781840823257E-4</v>
      </c>
      <c r="I11" s="49"/>
      <c r="J11" s="49"/>
      <c r="K11" s="59"/>
      <c r="L11" s="61"/>
    </row>
    <row r="12" spans="1:26" hidden="1" outlineLevel="1">
      <c r="A12" s="78">
        <v>2</v>
      </c>
      <c r="B12" s="164" t="str">
        <f>B53</f>
        <v>Rain, geopotencial energy</v>
      </c>
      <c r="C12" s="82" t="s">
        <v>15</v>
      </c>
      <c r="D12" s="165">
        <f>C63</f>
        <v>3038236626625.1992</v>
      </c>
      <c r="E12" s="165">
        <f>C64</f>
        <v>13000</v>
      </c>
      <c r="F12" s="167">
        <f>D12*E12/10000000000000</f>
        <v>3949.7076146127592</v>
      </c>
      <c r="G12" s="167">
        <f t="shared" ref="G12:G13" si="1">F12/$F$3*10000000000000</f>
        <v>16764.463559476906</v>
      </c>
      <c r="H12" s="168">
        <f t="shared" si="0"/>
        <v>15.57703221634579</v>
      </c>
      <c r="I12" s="49"/>
      <c r="J12" s="49"/>
      <c r="K12" s="59"/>
      <c r="L12" s="61"/>
    </row>
    <row r="13" spans="1:26" hidden="1" outlineLevel="1">
      <c r="A13" s="78">
        <v>3</v>
      </c>
      <c r="B13" s="164" t="str">
        <f>B66</f>
        <v>Rain, chemical potential energy</v>
      </c>
      <c r="C13" s="82" t="s">
        <v>15</v>
      </c>
      <c r="D13" s="165">
        <f>C76</f>
        <v>4193781169219.1997</v>
      </c>
      <c r="E13" s="165">
        <f>C77</f>
        <v>9710</v>
      </c>
      <c r="F13" s="167">
        <f>D13*E13/10000000000000</f>
        <v>4072.1615153118432</v>
      </c>
      <c r="G13" s="167">
        <f t="shared" si="1"/>
        <v>17284.216958029894</v>
      </c>
      <c r="H13" s="168">
        <f t="shared" si="0"/>
        <v>16.059971345599248</v>
      </c>
      <c r="I13" s="49"/>
      <c r="J13" s="49"/>
      <c r="K13" s="59"/>
      <c r="L13" s="61"/>
    </row>
    <row r="14" spans="1:26" hidden="1" outlineLevel="1">
      <c r="A14" s="78">
        <v>4</v>
      </c>
      <c r="B14" s="164" t="str">
        <f>B79</f>
        <v>Wind, kinetic energy</v>
      </c>
      <c r="C14" s="82" t="s">
        <v>15</v>
      </c>
      <c r="D14" s="165">
        <f>C87</f>
        <v>278884228262034.69</v>
      </c>
      <c r="E14" s="165">
        <f>C88</f>
        <v>972.8</v>
      </c>
      <c r="F14" s="167">
        <f>E14*D14/10000000000000</f>
        <v>27129.857725330734</v>
      </c>
      <c r="G14" s="167">
        <f>F14/$F$3*10000000000000</f>
        <v>115152.1974759369</v>
      </c>
      <c r="H14" s="168">
        <f t="shared" si="0"/>
        <v>106.99593717996966</v>
      </c>
      <c r="I14" s="49"/>
      <c r="J14" s="49"/>
      <c r="K14" s="59"/>
      <c r="L14" s="61"/>
    </row>
    <row r="15" spans="1:26" hidden="1" outlineLevel="1">
      <c r="A15" s="78">
        <v>6</v>
      </c>
      <c r="B15" s="164" t="s">
        <v>235</v>
      </c>
      <c r="C15" s="82" t="s">
        <v>15</v>
      </c>
      <c r="D15" s="165">
        <f>C101</f>
        <v>20774429.487000003</v>
      </c>
      <c r="E15" s="165">
        <f>C102</f>
        <v>73660</v>
      </c>
      <c r="F15" s="167">
        <f>E15*D15/10000000000000</f>
        <v>0.15302444760124201</v>
      </c>
      <c r="G15" s="167">
        <f>F15/$F$3*10000000000000</f>
        <v>0.6495095399034041</v>
      </c>
      <c r="H15" s="168">
        <f t="shared" si="0"/>
        <v>6.0350460913972405E-4</v>
      </c>
      <c r="I15" s="49"/>
      <c r="J15" s="49"/>
      <c r="K15" s="59"/>
      <c r="L15" s="61"/>
    </row>
    <row r="16" spans="1:26" collapsed="1">
      <c r="A16" s="158" t="s">
        <v>76</v>
      </c>
      <c r="B16" s="160"/>
      <c r="C16" s="160"/>
      <c r="D16" s="169"/>
      <c r="E16" s="169"/>
      <c r="F16" s="162">
        <f>SUM(F17:F24)</f>
        <v>19828.416355169797</v>
      </c>
      <c r="G16" s="162">
        <f>SUM(G17:G24)</f>
        <v>84161.35974180729</v>
      </c>
      <c r="H16" s="170">
        <f t="shared" ref="H16:H21" si="2">F16*100/$F$30</f>
        <v>78.200188596461459</v>
      </c>
      <c r="I16" s="49"/>
      <c r="J16" s="49"/>
      <c r="K16" s="59"/>
      <c r="L16" s="62"/>
    </row>
    <row r="17" spans="1:19">
      <c r="A17" s="78">
        <v>4</v>
      </c>
      <c r="B17" s="164" t="s">
        <v>106</v>
      </c>
      <c r="C17" s="82" t="s">
        <v>15</v>
      </c>
      <c r="D17" s="165">
        <f>C120</f>
        <v>3055780000</v>
      </c>
      <c r="E17" s="165">
        <f>C121</f>
        <v>152000</v>
      </c>
      <c r="F17" s="167">
        <f>D17*E17/10000000000000</f>
        <v>46.447856000000002</v>
      </c>
      <c r="G17" s="167">
        <f>F17/$F$3*10000000000000</f>
        <v>197.14709677419356</v>
      </c>
      <c r="H17" s="168">
        <f t="shared" si="2"/>
        <v>0.1831831162933123</v>
      </c>
      <c r="I17" s="49"/>
      <c r="J17" s="49"/>
      <c r="K17" s="59"/>
      <c r="L17" s="61"/>
    </row>
    <row r="18" spans="1:19">
      <c r="A18" s="78">
        <v>5</v>
      </c>
      <c r="B18" s="164" t="s">
        <v>74</v>
      </c>
      <c r="C18" s="171" t="s">
        <v>15</v>
      </c>
      <c r="D18" s="165">
        <f>C127</f>
        <v>11222790.861986885</v>
      </c>
      <c r="E18" s="165">
        <f>C128</f>
        <v>64500</v>
      </c>
      <c r="F18" s="167">
        <f>D18*E18/10000000000000</f>
        <v>7.2387001059815409E-2</v>
      </c>
      <c r="G18" s="167">
        <f>F18/$F$3*10000000000000</f>
        <v>0.30724533556797712</v>
      </c>
      <c r="H18" s="168">
        <f t="shared" si="2"/>
        <v>2.8548306800779536E-4</v>
      </c>
      <c r="I18" s="49"/>
      <c r="J18" s="49"/>
      <c r="K18" s="59"/>
      <c r="L18" s="62"/>
    </row>
    <row r="19" spans="1:19">
      <c r="A19" s="78">
        <v>6</v>
      </c>
      <c r="B19" s="164" t="s">
        <v>17</v>
      </c>
      <c r="C19" s="171" t="s">
        <v>15</v>
      </c>
      <c r="D19" s="165">
        <f>C136</f>
        <v>29206840863.891964</v>
      </c>
      <c r="E19" s="165">
        <f>C137</f>
        <v>140970</v>
      </c>
      <c r="F19" s="167">
        <f>D19*E19/10000000000000</f>
        <v>411.72883565828499</v>
      </c>
      <c r="G19" s="167">
        <f>F19/$F$3*10000000000000</f>
        <v>1747.5757031336375</v>
      </c>
      <c r="H19" s="168">
        <f t="shared" si="2"/>
        <v>1.6237944585365078</v>
      </c>
      <c r="I19" s="49"/>
      <c r="J19" s="49"/>
      <c r="K19" s="59"/>
      <c r="L19" s="62"/>
    </row>
    <row r="20" spans="1:19">
      <c r="A20" s="78">
        <v>7</v>
      </c>
      <c r="B20" s="164" t="s">
        <v>64</v>
      </c>
      <c r="C20" s="171" t="s">
        <v>15</v>
      </c>
      <c r="D20" s="165">
        <f>C145</f>
        <v>96607389.415162072</v>
      </c>
      <c r="E20" s="165">
        <f>C146</f>
        <v>29000</v>
      </c>
      <c r="F20" s="167">
        <f>D20*E20/10000000000000</f>
        <v>0.28016142930397003</v>
      </c>
      <c r="G20" s="167">
        <f>F20/$F$3*10000000000000</f>
        <v>1.1891401922918932</v>
      </c>
      <c r="H20" s="168">
        <f t="shared" si="2"/>
        <v>1.1049130811353215E-3</v>
      </c>
      <c r="I20" s="49"/>
      <c r="J20" s="49"/>
      <c r="K20" s="59"/>
      <c r="L20" s="62"/>
    </row>
    <row r="21" spans="1:19">
      <c r="A21" s="78">
        <v>8</v>
      </c>
      <c r="B21" s="164" t="s">
        <v>75</v>
      </c>
      <c r="C21" s="171" t="s">
        <v>15</v>
      </c>
      <c r="D21" s="165">
        <f>C154</f>
        <v>212289502.51396647</v>
      </c>
      <c r="E21" s="165">
        <f>C155</f>
        <v>140970</v>
      </c>
      <c r="F21" s="167">
        <f>E21*D21/10000000000000</f>
        <v>2.9926451169393853</v>
      </c>
      <c r="G21" s="172">
        <f>F21/$F$3*10000000000000</f>
        <v>12.702228849488051</v>
      </c>
      <c r="H21" s="168">
        <f t="shared" si="2"/>
        <v>1.1802526654425568E-2</v>
      </c>
      <c r="I21" s="49"/>
      <c r="J21" s="49"/>
      <c r="K21" s="59"/>
      <c r="L21" s="62"/>
    </row>
    <row r="22" spans="1:19">
      <c r="A22" s="78">
        <v>9</v>
      </c>
      <c r="B22" s="164" t="s">
        <v>164</v>
      </c>
      <c r="C22" s="171"/>
      <c r="D22" s="165"/>
      <c r="E22" s="165"/>
      <c r="F22" s="167"/>
      <c r="G22" s="172"/>
      <c r="H22" s="168"/>
      <c r="I22" s="49"/>
      <c r="J22" s="49"/>
      <c r="K22" s="59"/>
      <c r="L22" s="62"/>
    </row>
    <row r="23" spans="1:19">
      <c r="A23" s="78" t="s">
        <v>167</v>
      </c>
      <c r="B23" s="173" t="s">
        <v>165</v>
      </c>
      <c r="C23" s="171" t="s">
        <v>15</v>
      </c>
      <c r="D23" s="165">
        <f>C163</f>
        <v>5768845.784722222</v>
      </c>
      <c r="E23" s="165">
        <f>C164</f>
        <v>27668355197.213463</v>
      </c>
      <c r="F23" s="167">
        <f t="shared" ref="F23" si="3">E23*D23/10000000000000</f>
        <v>15961.447424964208</v>
      </c>
      <c r="G23" s="172">
        <f t="shared" ref="G23" si="4">F23/$F$3*10000000000000</f>
        <v>67748.079053328562</v>
      </c>
      <c r="H23" s="168">
        <f t="shared" ref="H23:H28" si="5">F23*100/$F$30</f>
        <v>62.949464876415576</v>
      </c>
      <c r="I23" s="49"/>
      <c r="J23" s="49"/>
      <c r="K23" s="59"/>
      <c r="L23" s="62"/>
    </row>
    <row r="24" spans="1:19">
      <c r="A24" s="78" t="s">
        <v>168</v>
      </c>
      <c r="B24" s="173" t="s">
        <v>166</v>
      </c>
      <c r="C24" s="171" t="s">
        <v>15</v>
      </c>
      <c r="D24" s="165">
        <f>C178</f>
        <v>98423325</v>
      </c>
      <c r="E24" s="165">
        <f>C179</f>
        <v>346000000</v>
      </c>
      <c r="F24" s="167">
        <f t="shared" ref="F24" si="6">E24*D24/10000000000000</f>
        <v>3405.4470449999999</v>
      </c>
      <c r="G24" s="172">
        <f t="shared" ref="G24" si="7">F24/$F$3*10000000000000</f>
        <v>14454.359274193548</v>
      </c>
      <c r="H24" s="168">
        <f t="shared" si="5"/>
        <v>13.430553222412497</v>
      </c>
      <c r="I24" s="49"/>
      <c r="J24" s="49"/>
      <c r="K24" s="59"/>
      <c r="L24" s="62"/>
    </row>
    <row r="25" spans="1:19" collapsed="1">
      <c r="A25" s="158" t="s">
        <v>93</v>
      </c>
      <c r="B25" s="160"/>
      <c r="C25" s="160"/>
      <c r="D25" s="169"/>
      <c r="E25" s="169"/>
      <c r="F25" s="162">
        <f>F26</f>
        <v>5228.873208910295</v>
      </c>
      <c r="G25" s="162">
        <f>G26</f>
        <v>22193.859121011435</v>
      </c>
      <c r="H25" s="170">
        <f t="shared" si="5"/>
        <v>20.621862268751425</v>
      </c>
      <c r="I25" s="49"/>
      <c r="J25" s="49"/>
      <c r="K25" s="59"/>
      <c r="L25" s="62"/>
    </row>
    <row r="26" spans="1:19">
      <c r="A26" s="78">
        <v>11</v>
      </c>
      <c r="B26" s="164" t="s">
        <v>169</v>
      </c>
      <c r="C26" s="171" t="s">
        <v>78</v>
      </c>
      <c r="D26" s="165">
        <f>C189</f>
        <v>22193.859121011439</v>
      </c>
      <c r="E26" s="165">
        <f>C190</f>
        <v>2356000000000</v>
      </c>
      <c r="F26" s="167">
        <f>E26*D26/10000000000000</f>
        <v>5228.873208910295</v>
      </c>
      <c r="G26" s="167">
        <f>F26/$F$3*10000000000000</f>
        <v>22193.859121011435</v>
      </c>
      <c r="H26" s="168">
        <f t="shared" si="5"/>
        <v>20.621862268751425</v>
      </c>
      <c r="I26" s="49"/>
      <c r="J26" s="49"/>
      <c r="K26" s="59"/>
      <c r="L26" s="62"/>
    </row>
    <row r="27" spans="1:19">
      <c r="A27" s="158" t="s">
        <v>92</v>
      </c>
      <c r="B27" s="160"/>
      <c r="C27" s="160"/>
      <c r="D27" s="169"/>
      <c r="E27" s="169"/>
      <c r="F27" s="162">
        <f>F28</f>
        <v>298.31433179499641</v>
      </c>
      <c r="G27" s="162">
        <f>G28</f>
        <v>1266.1898633064363</v>
      </c>
      <c r="H27" s="170">
        <f t="shared" si="5"/>
        <v>1.1765053037790285</v>
      </c>
      <c r="I27" s="49"/>
      <c r="J27" s="49"/>
      <c r="K27" s="59"/>
      <c r="L27" s="62"/>
      <c r="P27" s="51"/>
      <c r="Q27" s="51"/>
      <c r="R27" s="52"/>
      <c r="S27" s="53"/>
    </row>
    <row r="28" spans="1:19" collapsed="1">
      <c r="A28" s="126">
        <v>12</v>
      </c>
      <c r="B28" s="164" t="s">
        <v>197</v>
      </c>
      <c r="C28" s="28" t="s">
        <v>15</v>
      </c>
      <c r="D28" s="174">
        <f>C196</f>
        <v>1304962081.3429413</v>
      </c>
      <c r="E28" s="174">
        <f>C197</f>
        <v>2286000</v>
      </c>
      <c r="F28" s="152">
        <f>E28*D28/10000000000000</f>
        <v>298.31433179499641</v>
      </c>
      <c r="G28" s="152">
        <f>F28/$F$3*10000000000000</f>
        <v>1266.1898633064363</v>
      </c>
      <c r="H28" s="168">
        <f t="shared" si="5"/>
        <v>1.1765053037790285</v>
      </c>
      <c r="I28" s="49"/>
      <c r="J28" s="49"/>
      <c r="K28" s="63"/>
      <c r="L28" s="60"/>
    </row>
    <row r="29" spans="1:19">
      <c r="A29" s="158" t="s">
        <v>198</v>
      </c>
      <c r="B29" s="160"/>
      <c r="C29" s="175"/>
      <c r="D29" s="159"/>
      <c r="E29" s="176"/>
      <c r="F29" s="159"/>
      <c r="G29" s="177"/>
      <c r="H29" s="178"/>
      <c r="I29" s="49"/>
      <c r="J29" s="49"/>
    </row>
    <row r="30" spans="1:19" ht="12.75">
      <c r="A30" s="78">
        <v>13</v>
      </c>
      <c r="B30" s="164" t="str">
        <f>B203</f>
        <v>Work</v>
      </c>
      <c r="C30" s="28" t="s">
        <v>15</v>
      </c>
      <c r="D30" s="174">
        <f>C219</f>
        <v>1467336539.0749602</v>
      </c>
      <c r="E30" s="179">
        <f>F30*10000000000000/D30</f>
        <v>172802689.21277723</v>
      </c>
      <c r="F30" s="152">
        <f>F10+F16+F25+F27</f>
        <v>25355.969993232251</v>
      </c>
      <c r="G30" s="152">
        <f>G10+G16+G25+G27</f>
        <v>107622.96261983129</v>
      </c>
      <c r="H30" s="180">
        <f>SUM(H10,H16,H25,H27)</f>
        <v>99.999999999999986</v>
      </c>
      <c r="I30" s="49"/>
      <c r="J30" s="49"/>
      <c r="K30" s="64"/>
      <c r="L30" s="65"/>
    </row>
    <row r="31" spans="1:19" ht="12.75">
      <c r="A31" s="78">
        <v>13</v>
      </c>
      <c r="B31" s="164" t="s">
        <v>163</v>
      </c>
      <c r="C31" s="28" t="s">
        <v>15</v>
      </c>
      <c r="D31" s="174">
        <f>C225</f>
        <v>550040400</v>
      </c>
      <c r="E31" s="179">
        <f>F31*10000000000000/D31</f>
        <v>460983774.88694012</v>
      </c>
      <c r="F31" s="152">
        <f>F10+F16+F25+F27</f>
        <v>25355.969993232251</v>
      </c>
      <c r="G31" s="152"/>
      <c r="H31" s="180"/>
      <c r="I31" s="49"/>
      <c r="J31" s="49"/>
      <c r="K31" s="64"/>
      <c r="L31" s="65"/>
    </row>
    <row r="32" spans="1:19" ht="13.5" thickBot="1">
      <c r="A32" s="119">
        <v>13</v>
      </c>
      <c r="B32" s="120" t="s">
        <v>278</v>
      </c>
      <c r="C32" s="67" t="s">
        <v>15</v>
      </c>
      <c r="D32" s="121">
        <f>C229</f>
        <v>381972500</v>
      </c>
      <c r="E32" s="122">
        <f>F32*10000000000000/D32</f>
        <v>663816635.83719373</v>
      </c>
      <c r="F32" s="181">
        <f>F10+F16+F25+F27</f>
        <v>25355.969993232251</v>
      </c>
      <c r="G32" s="181"/>
      <c r="H32" s="124"/>
      <c r="I32" s="49"/>
      <c r="J32" s="49"/>
      <c r="K32" s="64"/>
      <c r="L32" s="65"/>
    </row>
    <row r="33" spans="1:23" ht="15.75" thickBot="1">
      <c r="A33" s="125" t="s">
        <v>98</v>
      </c>
      <c r="B33" s="66"/>
      <c r="C33" s="42"/>
      <c r="D33" s="42"/>
      <c r="E33" s="42"/>
      <c r="F33" s="42"/>
      <c r="G33" s="42"/>
      <c r="H33" s="67"/>
      <c r="I33" s="67"/>
      <c r="J33" s="68"/>
    </row>
    <row r="34" spans="1:23">
      <c r="A34" s="126"/>
      <c r="B34" s="182"/>
      <c r="C34" s="171"/>
      <c r="D34" s="171"/>
      <c r="E34" s="171"/>
      <c r="F34" s="171"/>
      <c r="G34" s="183" t="s">
        <v>25</v>
      </c>
      <c r="H34" s="184" t="s">
        <v>26</v>
      </c>
      <c r="I34" s="184" t="s">
        <v>16</v>
      </c>
      <c r="J34" s="185" t="s">
        <v>27</v>
      </c>
      <c r="K34" s="69"/>
      <c r="L34" s="70" t="s">
        <v>28</v>
      </c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2"/>
    </row>
    <row r="35" spans="1:23">
      <c r="A35" s="126"/>
      <c r="B35" s="186" t="s">
        <v>187</v>
      </c>
      <c r="C35" s="171"/>
      <c r="D35" s="171"/>
      <c r="E35" s="171"/>
      <c r="F35" s="171"/>
      <c r="G35" s="183"/>
      <c r="H35" s="184"/>
      <c r="I35" s="184"/>
      <c r="J35" s="185"/>
      <c r="K35" s="27"/>
      <c r="L35" s="73"/>
      <c r="W35" s="29"/>
    </row>
    <row r="36" spans="1:23">
      <c r="A36" s="126"/>
      <c r="B36" s="133" t="s">
        <v>138</v>
      </c>
      <c r="C36" s="187">
        <v>29677.756410000002</v>
      </c>
      <c r="D36" s="150" t="s">
        <v>141</v>
      </c>
      <c r="E36" s="58"/>
      <c r="F36" s="171"/>
      <c r="G36" s="183"/>
      <c r="H36" s="184"/>
      <c r="I36" s="184"/>
      <c r="J36" s="185"/>
      <c r="K36" s="27"/>
      <c r="L36" s="73"/>
      <c r="W36" s="29"/>
    </row>
    <row r="37" spans="1:23">
      <c r="A37" s="126"/>
      <c r="B37" s="133" t="s">
        <v>139</v>
      </c>
      <c r="C37" s="187">
        <v>45145.089509999998</v>
      </c>
      <c r="D37" s="150" t="s">
        <v>141</v>
      </c>
      <c r="E37" s="58"/>
      <c r="F37" s="171"/>
      <c r="G37" s="183"/>
      <c r="H37" s="184"/>
      <c r="I37" s="184"/>
      <c r="J37" s="185"/>
      <c r="K37" s="27"/>
      <c r="L37" s="73"/>
      <c r="W37" s="29"/>
    </row>
    <row r="38" spans="1:23">
      <c r="A38" s="126"/>
      <c r="B38" s="133" t="s">
        <v>140</v>
      </c>
      <c r="C38" s="187">
        <v>3466.0797299999999</v>
      </c>
      <c r="D38" s="150" t="s">
        <v>141</v>
      </c>
      <c r="E38" s="58"/>
      <c r="F38" s="171"/>
      <c r="G38" s="183"/>
      <c r="H38" s="184"/>
      <c r="I38" s="184"/>
      <c r="J38" s="185"/>
      <c r="K38" s="27"/>
      <c r="L38" s="73"/>
      <c r="W38" s="29"/>
    </row>
    <row r="39" spans="1:23">
      <c r="A39" s="126"/>
      <c r="B39" s="133" t="s">
        <v>142</v>
      </c>
      <c r="C39" s="28" t="s">
        <v>199</v>
      </c>
      <c r="D39" s="58"/>
      <c r="E39" s="58"/>
      <c r="F39" s="171"/>
      <c r="G39" s="183"/>
      <c r="H39" s="184"/>
      <c r="I39" s="184"/>
      <c r="J39" s="185"/>
      <c r="K39" s="27"/>
      <c r="L39" s="73"/>
      <c r="W39" s="29"/>
    </row>
    <row r="40" spans="1:23">
      <c r="A40" s="126"/>
      <c r="B40" s="133" t="s">
        <v>51</v>
      </c>
      <c r="C40" s="187" t="s">
        <v>143</v>
      </c>
      <c r="D40" s="150"/>
      <c r="E40" s="58"/>
      <c r="F40" s="171"/>
      <c r="G40" s="183"/>
      <c r="H40" s="184"/>
      <c r="I40" s="184"/>
      <c r="J40" s="185"/>
      <c r="K40" s="27"/>
      <c r="L40" s="73"/>
      <c r="W40" s="29"/>
    </row>
    <row r="41" spans="1:23">
      <c r="A41" s="126"/>
      <c r="B41" s="133" t="s">
        <v>51</v>
      </c>
      <c r="C41" s="187">
        <f>SUM(C36:C38)</f>
        <v>78288.92564999999</v>
      </c>
      <c r="D41" s="150" t="s">
        <v>23</v>
      </c>
      <c r="E41" s="58"/>
      <c r="F41" s="171"/>
      <c r="G41" s="183"/>
      <c r="H41" s="184"/>
      <c r="I41" s="184"/>
      <c r="J41" s="185"/>
      <c r="K41" s="27"/>
      <c r="L41" s="73"/>
      <c r="W41" s="29"/>
    </row>
    <row r="42" spans="1:23">
      <c r="A42" s="126"/>
      <c r="B42" s="182"/>
      <c r="C42" s="171"/>
      <c r="D42" s="171"/>
      <c r="E42" s="171"/>
      <c r="F42" s="171"/>
      <c r="G42" s="183"/>
      <c r="H42" s="184"/>
      <c r="I42" s="184"/>
      <c r="J42" s="185"/>
      <c r="K42" s="27"/>
      <c r="L42" s="73"/>
      <c r="W42" s="29"/>
    </row>
    <row r="43" spans="1:23">
      <c r="A43" s="126">
        <v>1</v>
      </c>
      <c r="B43" s="186" t="s">
        <v>24</v>
      </c>
      <c r="C43" s="171"/>
      <c r="D43" s="171"/>
      <c r="E43" s="171"/>
      <c r="F43" s="171"/>
      <c r="G43" s="183"/>
      <c r="H43" s="184"/>
      <c r="I43" s="184"/>
      <c r="J43" s="185"/>
      <c r="K43" s="27"/>
      <c r="L43" s="73"/>
      <c r="W43" s="29"/>
    </row>
    <row r="44" spans="1:23">
      <c r="A44" s="126"/>
      <c r="B44" s="133" t="s">
        <v>22</v>
      </c>
      <c r="C44" s="188">
        <f>C41</f>
        <v>78288.92564999999</v>
      </c>
      <c r="D44" s="171" t="s">
        <v>141</v>
      </c>
      <c r="E44" s="171"/>
      <c r="F44" s="171"/>
      <c r="G44" s="189"/>
      <c r="H44" s="190"/>
      <c r="I44" s="190"/>
      <c r="J44" s="191"/>
      <c r="K44" s="27"/>
      <c r="L44" s="74" t="s">
        <v>162</v>
      </c>
      <c r="W44" s="29"/>
    </row>
    <row r="45" spans="1:23">
      <c r="A45" s="126"/>
      <c r="B45" s="133" t="s">
        <v>100</v>
      </c>
      <c r="C45" s="192">
        <v>10000</v>
      </c>
      <c r="D45" s="171" t="s">
        <v>29</v>
      </c>
      <c r="E45" s="82" t="s">
        <v>30</v>
      </c>
      <c r="F45" s="171"/>
      <c r="G45" s="193"/>
      <c r="H45" s="190"/>
      <c r="I45" s="190"/>
      <c r="J45" s="191"/>
      <c r="K45" s="27"/>
      <c r="W45" s="29"/>
    </row>
    <row r="46" spans="1:23">
      <c r="A46" s="126"/>
      <c r="B46" s="133" t="s">
        <v>31</v>
      </c>
      <c r="C46" s="192">
        <v>14.4</v>
      </c>
      <c r="D46" s="82" t="s">
        <v>32</v>
      </c>
      <c r="E46" s="171"/>
      <c r="F46" s="171"/>
      <c r="G46" s="194"/>
      <c r="H46" s="190"/>
      <c r="I46" s="190"/>
      <c r="J46" s="191"/>
      <c r="K46" s="27"/>
      <c r="L46" s="74" t="s">
        <v>102</v>
      </c>
      <c r="W46" s="29"/>
    </row>
    <row r="47" spans="1:23">
      <c r="A47" s="126"/>
      <c r="B47" s="133" t="s">
        <v>33</v>
      </c>
      <c r="C47" s="195">
        <f>0.2</f>
        <v>0.2</v>
      </c>
      <c r="D47" s="82" t="s">
        <v>34</v>
      </c>
      <c r="E47" s="171"/>
      <c r="F47" s="171"/>
      <c r="G47" s="194"/>
      <c r="H47" s="190"/>
      <c r="I47" s="190"/>
      <c r="J47" s="191"/>
      <c r="K47" s="27"/>
      <c r="W47" s="29"/>
    </row>
    <row r="48" spans="1:23">
      <c r="A48" s="126"/>
      <c r="B48" s="133" t="s">
        <v>35</v>
      </c>
      <c r="C48" s="196" t="s">
        <v>36</v>
      </c>
      <c r="D48" s="171"/>
      <c r="E48" s="171"/>
      <c r="F48" s="171"/>
      <c r="G48" s="194"/>
      <c r="H48" s="190"/>
      <c r="I48" s="190"/>
      <c r="J48" s="191"/>
      <c r="K48" s="27"/>
      <c r="W48" s="29"/>
    </row>
    <row r="49" spans="1:23">
      <c r="A49" s="126"/>
      <c r="B49" s="133" t="s">
        <v>37</v>
      </c>
      <c r="C49" s="196" t="s">
        <v>38</v>
      </c>
      <c r="D49" s="171"/>
      <c r="E49" s="171"/>
      <c r="F49" s="171"/>
      <c r="G49" s="194"/>
      <c r="H49" s="190"/>
      <c r="I49" s="190"/>
      <c r="J49" s="191"/>
      <c r="K49" s="27"/>
      <c r="W49" s="29"/>
    </row>
    <row r="50" spans="1:23">
      <c r="A50" s="126"/>
      <c r="B50" s="133" t="s">
        <v>37</v>
      </c>
      <c r="C50" s="197">
        <f>C46*365*C47*C45*C44</f>
        <v>822973186432.79993</v>
      </c>
      <c r="D50" s="171" t="s">
        <v>39</v>
      </c>
      <c r="E50" s="171"/>
      <c r="F50" s="171"/>
      <c r="G50" s="194"/>
      <c r="H50" s="190"/>
      <c r="I50" s="190"/>
      <c r="J50" s="191"/>
      <c r="K50" s="27"/>
      <c r="W50" s="29"/>
    </row>
    <row r="51" spans="1:23">
      <c r="A51" s="126"/>
      <c r="B51" s="133" t="s">
        <v>40</v>
      </c>
      <c r="C51" s="198">
        <v>1</v>
      </c>
      <c r="D51" s="171" t="s">
        <v>21</v>
      </c>
      <c r="E51" s="171"/>
      <c r="F51" s="171"/>
      <c r="G51" s="199" t="s">
        <v>41</v>
      </c>
      <c r="H51" s="190"/>
      <c r="I51" s="190"/>
      <c r="J51" s="191"/>
      <c r="K51" s="27"/>
      <c r="W51" s="29"/>
    </row>
    <row r="52" spans="1:23">
      <c r="A52" s="126"/>
      <c r="B52" s="133"/>
      <c r="C52" s="171"/>
      <c r="D52" s="171"/>
      <c r="E52" s="171"/>
      <c r="F52" s="171"/>
      <c r="G52" s="200"/>
      <c r="H52" s="190"/>
      <c r="I52" s="190"/>
      <c r="J52" s="191"/>
      <c r="K52" s="27"/>
      <c r="W52" s="29"/>
    </row>
    <row r="53" spans="1:23">
      <c r="A53" s="126">
        <v>2</v>
      </c>
      <c r="B53" s="201" t="s">
        <v>149</v>
      </c>
      <c r="C53" s="202"/>
      <c r="D53" s="202"/>
      <c r="E53" s="202"/>
      <c r="F53" s="202"/>
      <c r="G53" s="200"/>
      <c r="H53" s="190"/>
      <c r="I53" s="190"/>
      <c r="J53" s="191"/>
      <c r="K53" s="27"/>
      <c r="W53" s="29"/>
    </row>
    <row r="54" spans="1:23">
      <c r="A54" s="126"/>
      <c r="B54" s="203" t="s">
        <v>42</v>
      </c>
      <c r="C54" s="204">
        <f>C44</f>
        <v>78288.92564999999</v>
      </c>
      <c r="D54" s="205" t="s">
        <v>141</v>
      </c>
      <c r="E54" s="82"/>
      <c r="F54" s="171"/>
      <c r="G54" s="194"/>
      <c r="H54" s="190"/>
      <c r="I54" s="190"/>
      <c r="J54" s="191"/>
      <c r="K54" s="27"/>
      <c r="L54" s="74"/>
      <c r="W54" s="29"/>
    </row>
    <row r="55" spans="1:23">
      <c r="A55" s="126"/>
      <c r="B55" s="203" t="s">
        <v>43</v>
      </c>
      <c r="C55" s="204">
        <f>1800/1000</f>
        <v>1.8</v>
      </c>
      <c r="D55" s="205" t="s">
        <v>133</v>
      </c>
      <c r="E55" s="82"/>
      <c r="F55" s="171"/>
      <c r="G55" s="194"/>
      <c r="H55" s="190"/>
      <c r="I55" s="190"/>
      <c r="J55" s="191"/>
      <c r="K55" s="27"/>
      <c r="L55" s="74" t="s">
        <v>80</v>
      </c>
      <c r="W55" s="29"/>
    </row>
    <row r="56" spans="1:23">
      <c r="A56" s="126"/>
      <c r="B56" s="203" t="s">
        <v>145</v>
      </c>
      <c r="C56" s="204">
        <f>(C55-C69)/C55</f>
        <v>0.39999999999999997</v>
      </c>
      <c r="D56" s="205" t="s">
        <v>14</v>
      </c>
      <c r="E56" s="82" t="s">
        <v>146</v>
      </c>
      <c r="F56" s="82"/>
      <c r="G56" s="206" t="s">
        <v>225</v>
      </c>
      <c r="H56" s="190"/>
      <c r="I56" s="190"/>
      <c r="J56" s="191"/>
      <c r="K56" s="27"/>
      <c r="L56" s="74"/>
      <c r="W56" s="29"/>
    </row>
    <row r="57" spans="1:23">
      <c r="A57" s="126"/>
      <c r="B57" s="203" t="s">
        <v>45</v>
      </c>
      <c r="C57" s="204">
        <v>1</v>
      </c>
      <c r="D57" s="205" t="s">
        <v>46</v>
      </c>
      <c r="E57" s="82"/>
      <c r="F57" s="82"/>
      <c r="G57" s="189"/>
      <c r="H57" s="190"/>
      <c r="I57" s="190"/>
      <c r="J57" s="191"/>
      <c r="K57" s="27"/>
      <c r="W57" s="29"/>
    </row>
    <row r="58" spans="1:23">
      <c r="A58" s="126"/>
      <c r="B58" s="203" t="s">
        <v>243</v>
      </c>
      <c r="C58" s="204">
        <v>550</v>
      </c>
      <c r="D58" s="205" t="s">
        <v>44</v>
      </c>
      <c r="E58" s="82"/>
      <c r="F58" s="82"/>
      <c r="G58" s="189"/>
      <c r="H58" s="190"/>
      <c r="I58" s="190"/>
      <c r="J58" s="191"/>
      <c r="K58" s="27"/>
      <c r="W58" s="29"/>
    </row>
    <row r="59" spans="1:23">
      <c r="A59" s="126"/>
      <c r="B59" s="203" t="s">
        <v>48</v>
      </c>
      <c r="C59" s="207" t="s">
        <v>147</v>
      </c>
      <c r="D59" s="208"/>
      <c r="E59" s="171"/>
      <c r="F59" s="171"/>
      <c r="G59" s="189"/>
      <c r="H59" s="190"/>
      <c r="I59" s="190"/>
      <c r="J59" s="191"/>
      <c r="K59" s="27"/>
      <c r="W59" s="29"/>
    </row>
    <row r="60" spans="1:23">
      <c r="A60" s="126"/>
      <c r="B60" s="203"/>
      <c r="C60" s="207" t="s">
        <v>244</v>
      </c>
      <c r="D60" s="208"/>
      <c r="E60" s="171"/>
      <c r="F60" s="171"/>
      <c r="G60" s="189"/>
      <c r="H60" s="190"/>
      <c r="I60" s="190"/>
      <c r="J60" s="191"/>
      <c r="K60" s="27"/>
      <c r="W60" s="29"/>
    </row>
    <row r="61" spans="1:23">
      <c r="A61" s="126"/>
      <c r="B61" s="203" t="s">
        <v>37</v>
      </c>
      <c r="C61" s="207" t="s">
        <v>148</v>
      </c>
      <c r="D61" s="208"/>
      <c r="E61" s="171"/>
      <c r="F61" s="171"/>
      <c r="G61" s="189"/>
      <c r="H61" s="190"/>
      <c r="I61" s="190"/>
      <c r="J61" s="191"/>
      <c r="K61" s="27"/>
      <c r="W61" s="29"/>
    </row>
    <row r="62" spans="1:23">
      <c r="A62" s="126"/>
      <c r="B62" s="203"/>
      <c r="C62" s="207" t="s">
        <v>260</v>
      </c>
      <c r="D62" s="208"/>
      <c r="E62" s="171"/>
      <c r="F62" s="171"/>
      <c r="G62" s="189"/>
      <c r="H62" s="190"/>
      <c r="I62" s="190"/>
      <c r="J62" s="191"/>
      <c r="K62" s="27"/>
      <c r="W62" s="29"/>
    </row>
    <row r="63" spans="1:23">
      <c r="A63" s="126"/>
      <c r="B63" s="203" t="s">
        <v>37</v>
      </c>
      <c r="C63" s="204">
        <f>(C54*10000)*C55*C56*C57*C58*9.8</f>
        <v>3038236626625.1992</v>
      </c>
      <c r="D63" s="208" t="s">
        <v>39</v>
      </c>
      <c r="E63" s="171"/>
      <c r="F63" s="171"/>
      <c r="G63" s="189"/>
      <c r="H63" s="190"/>
      <c r="I63" s="190"/>
      <c r="J63" s="191"/>
      <c r="K63" s="27"/>
      <c r="W63" s="29"/>
    </row>
    <row r="64" spans="1:23">
      <c r="A64" s="126"/>
      <c r="B64" s="203" t="s">
        <v>40</v>
      </c>
      <c r="C64" s="209">
        <f>I64*J64</f>
        <v>13000</v>
      </c>
      <c r="D64" s="208" t="s">
        <v>21</v>
      </c>
      <c r="E64" s="171"/>
      <c r="F64" s="171"/>
      <c r="G64" s="206" t="s">
        <v>49</v>
      </c>
      <c r="H64" s="190">
        <v>1.2E+25</v>
      </c>
      <c r="I64" s="190">
        <v>13000</v>
      </c>
      <c r="J64" s="191">
        <v>1</v>
      </c>
      <c r="K64" s="27"/>
      <c r="W64" s="29"/>
    </row>
    <row r="65" spans="1:24">
      <c r="A65" s="126"/>
      <c r="B65" s="203"/>
      <c r="C65" s="197"/>
      <c r="D65" s="208"/>
      <c r="E65" s="171"/>
      <c r="F65" s="171"/>
      <c r="G65" s="189"/>
      <c r="H65" s="190"/>
      <c r="I65" s="190"/>
      <c r="J65" s="191"/>
      <c r="K65" s="27"/>
      <c r="X65" s="27"/>
    </row>
    <row r="66" spans="1:24" ht="12.75">
      <c r="A66" s="210"/>
      <c r="B66" s="201" t="s">
        <v>150</v>
      </c>
      <c r="C66" s="211"/>
      <c r="D66" s="212"/>
      <c r="E66" s="202"/>
      <c r="F66" s="202"/>
      <c r="G66" s="200"/>
      <c r="H66" s="190"/>
      <c r="I66" s="190"/>
      <c r="J66" s="191"/>
      <c r="K66" s="75"/>
      <c r="W66" s="29"/>
    </row>
    <row r="67" spans="1:24">
      <c r="A67" s="210"/>
      <c r="B67" s="203" t="s">
        <v>144</v>
      </c>
      <c r="C67" s="197">
        <f>C54*10000</f>
        <v>782889256.49999988</v>
      </c>
      <c r="D67" s="208" t="s">
        <v>29</v>
      </c>
      <c r="E67" s="171"/>
      <c r="F67" s="171"/>
      <c r="G67" s="189"/>
      <c r="H67" s="190"/>
      <c r="I67" s="190"/>
      <c r="J67" s="191"/>
      <c r="K67" s="75"/>
      <c r="L67" s="50"/>
      <c r="W67" s="29"/>
    </row>
    <row r="68" spans="1:24">
      <c r="A68" s="210"/>
      <c r="B68" s="203" t="s">
        <v>43</v>
      </c>
      <c r="C68" s="197">
        <f>C55</f>
        <v>1.8</v>
      </c>
      <c r="D68" s="208" t="s">
        <v>133</v>
      </c>
      <c r="E68" s="171"/>
      <c r="F68" s="171"/>
      <c r="G68" s="189"/>
      <c r="H68" s="190"/>
      <c r="I68" s="190"/>
      <c r="J68" s="191"/>
      <c r="K68" s="75"/>
      <c r="L68" s="50"/>
      <c r="W68" s="29"/>
    </row>
    <row r="69" spans="1:24">
      <c r="A69" s="210"/>
      <c r="B69" s="203" t="s">
        <v>151</v>
      </c>
      <c r="C69" s="197">
        <f>C68*0.6</f>
        <v>1.08</v>
      </c>
      <c r="D69" s="208" t="s">
        <v>133</v>
      </c>
      <c r="E69" s="82" t="s">
        <v>242</v>
      </c>
      <c r="F69" s="171"/>
      <c r="G69" s="206" t="s">
        <v>225</v>
      </c>
      <c r="H69" s="190"/>
      <c r="I69" s="190"/>
      <c r="J69" s="191"/>
      <c r="K69" s="75"/>
      <c r="L69" s="74" t="s">
        <v>152</v>
      </c>
      <c r="M69" s="76"/>
      <c r="W69" s="29"/>
    </row>
    <row r="70" spans="1:24">
      <c r="A70" s="210"/>
      <c r="B70" s="203" t="s">
        <v>45</v>
      </c>
      <c r="C70" s="197">
        <v>1</v>
      </c>
      <c r="D70" s="208" t="s">
        <v>46</v>
      </c>
      <c r="E70" s="171"/>
      <c r="F70" s="171"/>
      <c r="G70" s="189"/>
      <c r="H70" s="190"/>
      <c r="I70" s="190"/>
      <c r="J70" s="191"/>
      <c r="K70" s="75"/>
      <c r="L70" s="50"/>
      <c r="W70" s="29"/>
    </row>
    <row r="71" spans="1:24">
      <c r="A71" s="210"/>
      <c r="B71" s="203" t="s">
        <v>47</v>
      </c>
      <c r="C71" s="197">
        <v>4960</v>
      </c>
      <c r="D71" s="208" t="s">
        <v>20</v>
      </c>
      <c r="E71" s="171"/>
      <c r="F71" s="171"/>
      <c r="G71" s="189"/>
      <c r="H71" s="190"/>
      <c r="I71" s="190"/>
      <c r="J71" s="191"/>
      <c r="K71" s="75"/>
      <c r="L71" s="50"/>
      <c r="W71" s="29"/>
    </row>
    <row r="72" spans="1:24">
      <c r="A72" s="210"/>
      <c r="B72" s="203" t="s">
        <v>50</v>
      </c>
      <c r="C72" s="197" t="s">
        <v>153</v>
      </c>
      <c r="D72" s="208"/>
      <c r="E72" s="171"/>
      <c r="F72" s="171"/>
      <c r="G72" s="189"/>
      <c r="H72" s="190"/>
      <c r="I72" s="190"/>
      <c r="J72" s="191"/>
      <c r="K72" s="75"/>
      <c r="L72" s="50"/>
      <c r="W72" s="29"/>
    </row>
    <row r="73" spans="1:24">
      <c r="A73" s="210"/>
      <c r="B73" s="203"/>
      <c r="C73" s="197" t="s">
        <v>154</v>
      </c>
      <c r="D73" s="208"/>
      <c r="E73" s="171"/>
      <c r="F73" s="171"/>
      <c r="G73" s="189"/>
      <c r="H73" s="190"/>
      <c r="I73" s="190"/>
      <c r="J73" s="191"/>
      <c r="K73" s="75"/>
      <c r="L73" s="50"/>
      <c r="W73" s="29"/>
    </row>
    <row r="74" spans="1:24">
      <c r="A74" s="210"/>
      <c r="B74" s="203" t="s">
        <v>51</v>
      </c>
      <c r="C74" s="197" t="s">
        <v>155</v>
      </c>
      <c r="D74" s="208"/>
      <c r="E74" s="171"/>
      <c r="F74" s="171"/>
      <c r="G74" s="189"/>
      <c r="H74" s="190"/>
      <c r="I74" s="190"/>
      <c r="J74" s="191"/>
      <c r="K74" s="75"/>
      <c r="L74" s="50"/>
      <c r="W74" s="29"/>
    </row>
    <row r="75" spans="1:24">
      <c r="A75" s="210"/>
      <c r="B75" s="203"/>
      <c r="C75" s="197" t="s">
        <v>156</v>
      </c>
      <c r="D75" s="208"/>
      <c r="E75" s="171"/>
      <c r="F75" s="171"/>
      <c r="G75" s="189"/>
      <c r="H75" s="190"/>
      <c r="I75" s="190"/>
      <c r="J75" s="191"/>
      <c r="K75" s="75"/>
      <c r="L75" s="50"/>
      <c r="W75" s="29"/>
    </row>
    <row r="76" spans="1:24">
      <c r="A76" s="210"/>
      <c r="B76" s="203" t="s">
        <v>51</v>
      </c>
      <c r="C76" s="197">
        <f>C67*C69*C70*C71</f>
        <v>4193781169219.1997</v>
      </c>
      <c r="D76" s="208" t="s">
        <v>39</v>
      </c>
      <c r="E76" s="171"/>
      <c r="F76" s="171"/>
      <c r="G76" s="189"/>
      <c r="H76" s="190"/>
      <c r="I76" s="190"/>
      <c r="J76" s="191"/>
      <c r="K76" s="75"/>
      <c r="L76" s="50"/>
      <c r="W76" s="29"/>
    </row>
    <row r="77" spans="1:24">
      <c r="A77" s="210"/>
      <c r="B77" s="203" t="s">
        <v>40</v>
      </c>
      <c r="C77" s="209">
        <f>I77*J77</f>
        <v>9710</v>
      </c>
      <c r="D77" s="208" t="s">
        <v>21</v>
      </c>
      <c r="E77" s="171"/>
      <c r="F77" s="171"/>
      <c r="G77" s="206" t="s">
        <v>49</v>
      </c>
      <c r="H77" s="190">
        <v>1.2E+25</v>
      </c>
      <c r="I77" s="190">
        <v>9710</v>
      </c>
      <c r="J77" s="191">
        <v>1</v>
      </c>
      <c r="K77" s="75"/>
      <c r="L77" s="50"/>
      <c r="W77" s="29"/>
    </row>
    <row r="78" spans="1:24">
      <c r="A78" s="126"/>
      <c r="B78" s="203"/>
      <c r="C78" s="197"/>
      <c r="D78" s="208"/>
      <c r="E78" s="171"/>
      <c r="F78" s="171"/>
      <c r="G78" s="189"/>
      <c r="H78" s="190"/>
      <c r="I78" s="190"/>
      <c r="J78" s="191"/>
      <c r="K78" s="27"/>
      <c r="W78" s="29"/>
    </row>
    <row r="79" spans="1:24">
      <c r="A79" s="126">
        <v>3</v>
      </c>
      <c r="B79" s="201" t="s">
        <v>52</v>
      </c>
      <c r="C79" s="208"/>
      <c r="D79" s="208"/>
      <c r="E79" s="171"/>
      <c r="F79" s="171"/>
      <c r="G79" s="189"/>
      <c r="H79" s="190"/>
      <c r="I79" s="190"/>
      <c r="J79" s="191"/>
      <c r="K79" s="27"/>
      <c r="W79" s="29"/>
    </row>
    <row r="80" spans="1:24">
      <c r="A80" s="126"/>
      <c r="B80" s="203" t="s">
        <v>53</v>
      </c>
      <c r="C80" s="204">
        <f>C44*10000</f>
        <v>782889256.49999988</v>
      </c>
      <c r="D80" s="208" t="s">
        <v>29</v>
      </c>
      <c r="E80" s="171"/>
      <c r="F80" s="171"/>
      <c r="G80" s="189"/>
      <c r="H80" s="190"/>
      <c r="I80" s="190"/>
      <c r="J80" s="191"/>
      <c r="K80" s="27"/>
      <c r="W80" s="29"/>
    </row>
    <row r="81" spans="1:23">
      <c r="A81" s="126"/>
      <c r="B81" s="203" t="s">
        <v>54</v>
      </c>
      <c r="C81" s="204">
        <v>1.2250000000000001</v>
      </c>
      <c r="D81" s="208" t="s">
        <v>55</v>
      </c>
      <c r="E81" s="171"/>
      <c r="F81" s="171"/>
      <c r="G81" s="189"/>
      <c r="H81" s="190"/>
      <c r="I81" s="190"/>
      <c r="J81" s="191"/>
      <c r="K81" s="27"/>
      <c r="W81" s="29"/>
    </row>
    <row r="82" spans="1:23">
      <c r="A82" s="126"/>
      <c r="B82" s="203" t="s">
        <v>56</v>
      </c>
      <c r="C82" s="204">
        <v>1.26</v>
      </c>
      <c r="D82" s="208" t="s">
        <v>57</v>
      </c>
      <c r="E82" s="171"/>
      <c r="F82" s="171"/>
      <c r="G82" s="189"/>
      <c r="H82" s="190"/>
      <c r="I82" s="190"/>
      <c r="J82" s="191"/>
      <c r="K82" s="27"/>
      <c r="L82" s="74" t="s">
        <v>103</v>
      </c>
      <c r="W82" s="29"/>
    </row>
    <row r="83" spans="1:23">
      <c r="A83" s="126"/>
      <c r="B83" s="203" t="s">
        <v>58</v>
      </c>
      <c r="C83" s="204">
        <f>C82/0.6</f>
        <v>2.1</v>
      </c>
      <c r="D83" s="208" t="s">
        <v>57</v>
      </c>
      <c r="E83" s="171"/>
      <c r="F83" s="171"/>
      <c r="G83" s="189"/>
      <c r="H83" s="190"/>
      <c r="I83" s="190"/>
      <c r="J83" s="191"/>
      <c r="K83" s="27"/>
      <c r="W83" s="29"/>
    </row>
    <row r="84" spans="1:23">
      <c r="A84" s="126"/>
      <c r="B84" s="203" t="s">
        <v>59</v>
      </c>
      <c r="C84" s="204">
        <v>1E-3</v>
      </c>
      <c r="D84" s="208"/>
      <c r="E84" s="171"/>
      <c r="F84" s="171"/>
      <c r="G84" s="189"/>
      <c r="H84" s="190"/>
      <c r="I84" s="190"/>
      <c r="J84" s="191"/>
      <c r="K84" s="27"/>
      <c r="W84" s="29"/>
    </row>
    <row r="85" spans="1:23">
      <c r="A85" s="126"/>
      <c r="B85" s="203" t="s">
        <v>50</v>
      </c>
      <c r="C85" s="208" t="s">
        <v>60</v>
      </c>
      <c r="D85" s="208"/>
      <c r="E85" s="171"/>
      <c r="F85" s="171"/>
      <c r="G85" s="189"/>
      <c r="H85" s="190"/>
      <c r="I85" s="190"/>
      <c r="J85" s="191"/>
      <c r="K85" s="27"/>
      <c r="W85" s="29"/>
    </row>
    <row r="86" spans="1:23">
      <c r="A86" s="126"/>
      <c r="B86" s="203" t="s">
        <v>51</v>
      </c>
      <c r="C86" s="208" t="s">
        <v>245</v>
      </c>
      <c r="D86" s="208"/>
      <c r="E86" s="171"/>
      <c r="F86" s="171"/>
      <c r="G86" s="189"/>
      <c r="H86" s="190"/>
      <c r="I86" s="190"/>
      <c r="J86" s="191"/>
      <c r="K86" s="27"/>
      <c r="W86" s="29"/>
    </row>
    <row r="87" spans="1:23">
      <c r="A87" s="126"/>
      <c r="B87" s="203" t="s">
        <v>48</v>
      </c>
      <c r="C87" s="204">
        <f>C80*C81*C84*((C83)^3)*31400000</f>
        <v>278884228262034.69</v>
      </c>
      <c r="D87" s="208" t="s">
        <v>39</v>
      </c>
      <c r="E87" s="171"/>
      <c r="F87" s="171"/>
      <c r="G87" s="189"/>
      <c r="H87" s="190"/>
      <c r="I87" s="190"/>
      <c r="J87" s="191"/>
      <c r="K87" s="27"/>
      <c r="W87" s="29"/>
    </row>
    <row r="88" spans="1:23">
      <c r="A88" s="126"/>
      <c r="B88" s="203" t="s">
        <v>40</v>
      </c>
      <c r="C88" s="213">
        <f>I88*J88</f>
        <v>972.8</v>
      </c>
      <c r="D88" s="208" t="s">
        <v>21</v>
      </c>
      <c r="E88" s="171"/>
      <c r="F88" s="171"/>
      <c r="G88" s="206" t="s">
        <v>49</v>
      </c>
      <c r="H88" s="190">
        <v>1.2E+25</v>
      </c>
      <c r="I88" s="190">
        <v>1280</v>
      </c>
      <c r="J88" s="191">
        <v>0.76</v>
      </c>
      <c r="K88" s="27"/>
      <c r="W88" s="29"/>
    </row>
    <row r="89" spans="1:23">
      <c r="A89" s="126"/>
      <c r="B89" s="203"/>
      <c r="C89" s="171"/>
      <c r="D89" s="208"/>
      <c r="E89" s="171"/>
      <c r="F89" s="171"/>
      <c r="G89" s="189"/>
      <c r="H89" s="190"/>
      <c r="I89" s="190"/>
      <c r="J89" s="191"/>
      <c r="K89" s="27"/>
      <c r="W89" s="29"/>
    </row>
    <row r="90" spans="1:23" hidden="1" outlineLevel="1">
      <c r="A90" s="126"/>
      <c r="B90" s="214" t="s">
        <v>157</v>
      </c>
      <c r="C90" s="171"/>
      <c r="D90" s="171"/>
      <c r="E90" s="171"/>
      <c r="F90" s="171"/>
      <c r="G90" s="215"/>
      <c r="H90" s="190"/>
      <c r="I90" s="190"/>
      <c r="J90" s="191"/>
      <c r="K90" s="27"/>
      <c r="W90" s="29"/>
    </row>
    <row r="91" spans="1:23" hidden="1" outlineLevel="1">
      <c r="A91" s="126"/>
      <c r="B91" s="133" t="s">
        <v>161</v>
      </c>
      <c r="C91" s="197">
        <f>SUM(C36:C37)*10000</f>
        <v>748228459.19999993</v>
      </c>
      <c r="D91" s="171" t="s">
        <v>29</v>
      </c>
      <c r="E91" s="171"/>
      <c r="F91" s="171"/>
      <c r="G91" s="215"/>
      <c r="H91" s="190"/>
      <c r="I91" s="190"/>
      <c r="J91" s="191"/>
      <c r="K91" s="27"/>
      <c r="W91" s="29"/>
    </row>
    <row r="92" spans="1:23" hidden="1" outlineLevel="1">
      <c r="A92" s="126"/>
      <c r="B92" s="133" t="s">
        <v>158</v>
      </c>
      <c r="C92" s="197" t="s">
        <v>159</v>
      </c>
      <c r="D92" s="171"/>
      <c r="E92" s="171"/>
      <c r="F92" s="171"/>
      <c r="G92" s="215"/>
      <c r="H92" s="190"/>
      <c r="I92" s="190"/>
      <c r="J92" s="191"/>
      <c r="K92" s="27"/>
      <c r="W92" s="29"/>
    </row>
    <row r="93" spans="1:23" hidden="1" outlineLevel="1">
      <c r="A93" s="126"/>
      <c r="B93" s="133" t="s">
        <v>158</v>
      </c>
      <c r="C93" s="197">
        <f>0.39*C68</f>
        <v>0.70200000000000007</v>
      </c>
      <c r="D93" s="82" t="s">
        <v>133</v>
      </c>
      <c r="E93" s="171"/>
      <c r="F93" s="171"/>
      <c r="G93" s="215"/>
      <c r="H93" s="190"/>
      <c r="I93" s="190"/>
      <c r="J93" s="191"/>
      <c r="K93" s="27"/>
      <c r="L93" s="28" t="s">
        <v>160</v>
      </c>
      <c r="W93" s="29"/>
    </row>
    <row r="94" spans="1:23" hidden="1" outlineLevel="1">
      <c r="A94" s="126"/>
      <c r="B94" s="133" t="s">
        <v>134</v>
      </c>
      <c r="C94" s="171" t="s">
        <v>135</v>
      </c>
      <c r="D94" s="171"/>
      <c r="E94" s="171"/>
      <c r="F94" s="216"/>
      <c r="G94" s="215"/>
      <c r="H94" s="190"/>
      <c r="I94" s="190"/>
      <c r="J94" s="191"/>
      <c r="K94" s="27"/>
      <c r="W94" s="29"/>
    </row>
    <row r="95" spans="1:23" hidden="1" outlineLevel="1">
      <c r="A95" s="126"/>
      <c r="B95" s="133" t="s">
        <v>136</v>
      </c>
      <c r="C95" s="197">
        <f>(C91)*C93*1000*4940</f>
        <v>2594766509090496</v>
      </c>
      <c r="D95" s="171"/>
      <c r="E95" s="171"/>
      <c r="F95" s="171"/>
      <c r="G95" s="215"/>
      <c r="H95" s="190"/>
      <c r="I95" s="190"/>
      <c r="J95" s="191"/>
      <c r="K95" s="27"/>
      <c r="W95" s="29"/>
    </row>
    <row r="96" spans="1:23" hidden="1" outlineLevel="1">
      <c r="A96" s="126"/>
      <c r="B96" s="133" t="s">
        <v>40</v>
      </c>
      <c r="C96" s="197">
        <f>I96*J96</f>
        <v>38735</v>
      </c>
      <c r="D96" s="171" t="s">
        <v>21</v>
      </c>
      <c r="E96" s="171"/>
      <c r="F96" s="171"/>
      <c r="G96" s="217" t="s">
        <v>137</v>
      </c>
      <c r="H96" s="190">
        <v>9.4399999999999998E+24</v>
      </c>
      <c r="I96" s="134">
        <v>30500</v>
      </c>
      <c r="J96" s="191">
        <v>1.27</v>
      </c>
      <c r="K96" s="27"/>
      <c r="W96" s="29"/>
    </row>
    <row r="97" spans="1:23" collapsed="1">
      <c r="A97" s="126"/>
      <c r="B97" s="218" t="s">
        <v>235</v>
      </c>
      <c r="C97" s="171"/>
      <c r="D97" s="171"/>
      <c r="E97" s="171"/>
      <c r="F97" s="171"/>
      <c r="G97" s="189"/>
      <c r="H97" s="190"/>
      <c r="I97" s="190"/>
      <c r="J97" s="191"/>
      <c r="K97" s="27"/>
      <c r="W97" s="29"/>
    </row>
    <row r="98" spans="1:23">
      <c r="A98" s="126"/>
      <c r="B98" s="133" t="s">
        <v>236</v>
      </c>
      <c r="C98" s="171">
        <v>7.0000000000000007E-2</v>
      </c>
      <c r="D98" s="171" t="s">
        <v>238</v>
      </c>
      <c r="E98" s="171"/>
      <c r="F98" s="171"/>
      <c r="G98" s="189"/>
      <c r="H98" s="190"/>
      <c r="I98" s="190"/>
      <c r="J98" s="191"/>
      <c r="K98" s="27"/>
      <c r="L98" s="77" t="s">
        <v>241</v>
      </c>
      <c r="W98" s="29"/>
    </row>
    <row r="99" spans="1:23">
      <c r="A99" s="126"/>
      <c r="B99" s="133" t="s">
        <v>50</v>
      </c>
      <c r="C99" s="171" t="s">
        <v>237</v>
      </c>
      <c r="D99" s="171"/>
      <c r="E99" s="171"/>
      <c r="F99" s="171"/>
      <c r="G99" s="189"/>
      <c r="H99" s="190"/>
      <c r="I99" s="190"/>
      <c r="J99" s="191"/>
      <c r="K99" s="27"/>
      <c r="W99" s="29"/>
    </row>
    <row r="100" spans="1:23">
      <c r="A100" s="126"/>
      <c r="B100" s="133" t="s">
        <v>50</v>
      </c>
      <c r="C100" s="171" t="s">
        <v>239</v>
      </c>
      <c r="D100" s="171"/>
      <c r="E100" s="171"/>
      <c r="F100" s="171"/>
      <c r="G100" s="189"/>
      <c r="H100" s="190"/>
      <c r="I100" s="190"/>
      <c r="J100" s="191"/>
      <c r="K100" s="27"/>
      <c r="W100" s="29"/>
    </row>
    <row r="101" spans="1:23">
      <c r="A101" s="126"/>
      <c r="B101" s="133" t="s">
        <v>51</v>
      </c>
      <c r="C101" s="197">
        <f>C98*C36*10000</f>
        <v>20774429.487000003</v>
      </c>
      <c r="D101" s="171"/>
      <c r="E101" s="171"/>
      <c r="F101" s="171"/>
      <c r="G101" s="189"/>
      <c r="H101" s="190"/>
      <c r="I101" s="190"/>
      <c r="J101" s="191"/>
      <c r="K101" s="27"/>
      <c r="W101" s="29"/>
    </row>
    <row r="102" spans="1:23">
      <c r="A102" s="126"/>
      <c r="B102" s="203" t="s">
        <v>40</v>
      </c>
      <c r="C102" s="213">
        <f>I102*J102</f>
        <v>73660</v>
      </c>
      <c r="D102" s="208" t="s">
        <v>21</v>
      </c>
      <c r="E102" s="171"/>
      <c r="F102" s="171"/>
      <c r="G102" s="217" t="s">
        <v>240</v>
      </c>
      <c r="H102" s="190">
        <v>9.4399999999999998E+24</v>
      </c>
      <c r="I102" s="190">
        <v>58000</v>
      </c>
      <c r="J102" s="191">
        <v>1.27</v>
      </c>
      <c r="K102" s="27"/>
      <c r="W102" s="29"/>
    </row>
    <row r="103" spans="1:23">
      <c r="A103" s="219"/>
      <c r="B103" s="220"/>
      <c r="C103" s="220"/>
      <c r="D103" s="221"/>
      <c r="E103" s="221"/>
      <c r="F103" s="221"/>
      <c r="G103" s="222"/>
      <c r="H103" s="190"/>
      <c r="I103" s="190"/>
      <c r="J103" s="191"/>
      <c r="K103" s="27"/>
      <c r="W103" s="29"/>
    </row>
    <row r="104" spans="1:23">
      <c r="A104" s="126"/>
      <c r="B104" s="223" t="s">
        <v>259</v>
      </c>
      <c r="C104" s="203"/>
      <c r="D104" s="203"/>
      <c r="E104" s="171"/>
      <c r="F104" s="171"/>
      <c r="G104" s="189"/>
      <c r="H104" s="190"/>
      <c r="I104" s="190"/>
      <c r="J104" s="191"/>
      <c r="K104" s="27"/>
      <c r="W104" s="29"/>
    </row>
    <row r="105" spans="1:23">
      <c r="A105" s="126"/>
      <c r="B105" s="203"/>
      <c r="C105" s="171"/>
      <c r="D105" s="208"/>
      <c r="E105" s="171"/>
      <c r="F105" s="171"/>
      <c r="G105" s="189"/>
      <c r="H105" s="190"/>
      <c r="I105" s="190"/>
      <c r="J105" s="191"/>
      <c r="K105" s="27"/>
      <c r="W105" s="29"/>
    </row>
    <row r="106" spans="1:23">
      <c r="A106" s="126"/>
      <c r="B106" s="203"/>
      <c r="C106" s="171" t="s">
        <v>217</v>
      </c>
      <c r="D106" s="208"/>
      <c r="E106" s="171" t="s">
        <v>5</v>
      </c>
      <c r="F106" s="171"/>
      <c r="G106" s="189"/>
      <c r="H106" s="190"/>
      <c r="I106" s="190"/>
      <c r="J106" s="191"/>
      <c r="K106" s="27"/>
    </row>
    <row r="107" spans="1:23" s="2" customFormat="1" ht="12.75">
      <c r="A107" s="126"/>
      <c r="B107" s="224" t="s">
        <v>253</v>
      </c>
      <c r="C107" s="225">
        <f>C50</f>
        <v>822973186432.79993</v>
      </c>
      <c r="D107" s="226" t="s">
        <v>39</v>
      </c>
      <c r="E107" s="225">
        <f>C51</f>
        <v>1</v>
      </c>
      <c r="F107" s="227" t="s">
        <v>21</v>
      </c>
      <c r="G107" s="189" t="s">
        <v>49</v>
      </c>
      <c r="H107" s="228">
        <v>1.2E+25</v>
      </c>
      <c r="I107" s="228">
        <v>51000</v>
      </c>
      <c r="J107" s="229">
        <v>1</v>
      </c>
      <c r="K107" s="85"/>
      <c r="L107" s="16"/>
    </row>
    <row r="108" spans="1:23" s="2" customFormat="1" ht="12.75">
      <c r="A108" s="126"/>
      <c r="B108" s="230" t="s">
        <v>254</v>
      </c>
      <c r="C108" s="134">
        <f>C63</f>
        <v>3038236626625.1992</v>
      </c>
      <c r="D108" s="128" t="s">
        <v>39</v>
      </c>
      <c r="E108" s="134">
        <f>C64</f>
        <v>13000</v>
      </c>
      <c r="F108" s="231" t="s">
        <v>21</v>
      </c>
      <c r="G108" s="189" t="s">
        <v>279</v>
      </c>
      <c r="H108" s="228">
        <v>1.5829999999999999E+25</v>
      </c>
      <c r="I108" s="228">
        <v>121000</v>
      </c>
      <c r="J108" s="229">
        <v>0.76</v>
      </c>
      <c r="K108" s="86"/>
      <c r="L108" s="16"/>
    </row>
    <row r="109" spans="1:23" s="2" customFormat="1" ht="12.75">
      <c r="A109" s="126"/>
      <c r="B109" s="230" t="s">
        <v>255</v>
      </c>
      <c r="C109" s="134">
        <f>C76</f>
        <v>4193781169219.1997</v>
      </c>
      <c r="D109" s="128" t="s">
        <v>39</v>
      </c>
      <c r="E109" s="134">
        <f>C77</f>
        <v>9710</v>
      </c>
      <c r="F109" s="231"/>
      <c r="G109" s="189" t="str">
        <f>G64</f>
        <v>Giannetti et al. 2019</v>
      </c>
      <c r="H109" s="190">
        <v>1.2E+25</v>
      </c>
      <c r="I109" s="190">
        <v>9710</v>
      </c>
      <c r="J109" s="191">
        <v>1</v>
      </c>
      <c r="K109" s="86"/>
      <c r="L109" s="16"/>
    </row>
    <row r="110" spans="1:23" s="2" customFormat="1" ht="12.75">
      <c r="A110" s="126"/>
      <c r="B110" s="230" t="s">
        <v>256</v>
      </c>
      <c r="C110" s="134">
        <f>C87</f>
        <v>278884228262034.69</v>
      </c>
      <c r="D110" s="128" t="s">
        <v>39</v>
      </c>
      <c r="E110" s="134">
        <f>C88</f>
        <v>972.8</v>
      </c>
      <c r="F110" s="231"/>
      <c r="G110" s="189" t="str">
        <f>G88</f>
        <v>Giannetti et al. 2019</v>
      </c>
      <c r="H110" s="190">
        <v>1.2E+25</v>
      </c>
      <c r="I110" s="190">
        <v>1280</v>
      </c>
      <c r="J110" s="191">
        <v>0.76</v>
      </c>
      <c r="K110" s="86"/>
      <c r="L110" s="16"/>
    </row>
    <row r="111" spans="1:23" s="2" customFormat="1" ht="12.75">
      <c r="A111" s="126"/>
      <c r="B111" s="232" t="s">
        <v>257</v>
      </c>
      <c r="C111" s="233">
        <f>C101</f>
        <v>20774429.487000003</v>
      </c>
      <c r="D111" s="234" t="s">
        <v>39</v>
      </c>
      <c r="E111" s="233">
        <f>C102</f>
        <v>73660</v>
      </c>
      <c r="F111" s="235"/>
      <c r="G111" s="189" t="str">
        <f>G102</f>
        <v>[Odum, 2000, Folio #2]</v>
      </c>
      <c r="H111" s="190">
        <v>9.4399999999999998E+24</v>
      </c>
      <c r="I111" s="190">
        <v>58000</v>
      </c>
      <c r="J111" s="191">
        <v>1.27</v>
      </c>
      <c r="K111" s="86"/>
      <c r="L111" s="16"/>
    </row>
    <row r="112" spans="1:23">
      <c r="A112" s="126"/>
      <c r="B112" s="203" t="s">
        <v>222</v>
      </c>
      <c r="C112" s="197">
        <f>(C110*E110)+(C111*E111)</f>
        <v>2.7130010749778333E+17</v>
      </c>
      <c r="D112" s="208" t="s">
        <v>18</v>
      </c>
      <c r="E112" s="171"/>
      <c r="F112" s="171"/>
      <c r="G112" s="189"/>
      <c r="H112" s="190"/>
      <c r="I112" s="190"/>
      <c r="J112" s="191"/>
      <c r="K112" s="27"/>
    </row>
    <row r="113" spans="1:23">
      <c r="A113" s="126"/>
      <c r="B113" s="203" t="s">
        <v>222</v>
      </c>
      <c r="C113" s="197">
        <f>C112/F2</f>
        <v>3660973571610.7109</v>
      </c>
      <c r="D113" s="208" t="s">
        <v>258</v>
      </c>
      <c r="E113" s="171"/>
      <c r="F113" s="171"/>
      <c r="G113" s="189"/>
      <c r="H113" s="190"/>
      <c r="I113" s="190"/>
      <c r="J113" s="191"/>
      <c r="K113" s="27"/>
      <c r="W113" s="29"/>
    </row>
    <row r="114" spans="1:23">
      <c r="A114" s="219"/>
      <c r="B114" s="220"/>
      <c r="C114" s="221"/>
      <c r="D114" s="221"/>
      <c r="E114" s="221"/>
      <c r="F114" s="221"/>
      <c r="G114" s="222"/>
      <c r="H114" s="190"/>
      <c r="I114" s="190"/>
      <c r="J114" s="191"/>
      <c r="K114" s="27"/>
      <c r="W114" s="29"/>
    </row>
    <row r="115" spans="1:23">
      <c r="A115" s="126"/>
      <c r="B115" s="133"/>
      <c r="C115" s="171"/>
      <c r="D115" s="171"/>
      <c r="E115" s="171"/>
      <c r="F115" s="171"/>
      <c r="G115" s="189"/>
      <c r="H115" s="190"/>
      <c r="I115" s="190"/>
      <c r="J115" s="191"/>
      <c r="K115" s="27"/>
      <c r="W115" s="29"/>
    </row>
    <row r="116" spans="1:23">
      <c r="A116" s="126">
        <v>4</v>
      </c>
      <c r="B116" s="218" t="s">
        <v>106</v>
      </c>
      <c r="C116" s="197"/>
      <c r="D116" s="171"/>
      <c r="E116" s="171"/>
      <c r="F116" s="171"/>
      <c r="G116" s="189"/>
      <c r="H116" s="190"/>
      <c r="I116" s="190"/>
      <c r="J116" s="191"/>
      <c r="K116" s="27"/>
      <c r="W116" s="29"/>
    </row>
    <row r="117" spans="1:23">
      <c r="A117" s="126"/>
      <c r="B117" s="133" t="s">
        <v>104</v>
      </c>
      <c r="C117" s="197">
        <v>2000</v>
      </c>
      <c r="D117" s="171" t="s">
        <v>105</v>
      </c>
      <c r="E117" s="197"/>
      <c r="F117" s="171"/>
      <c r="G117" s="189" t="s">
        <v>229</v>
      </c>
      <c r="H117" s="190"/>
      <c r="I117" s="190"/>
      <c r="J117" s="191"/>
      <c r="K117" s="27"/>
      <c r="L117" s="76" t="s">
        <v>228</v>
      </c>
      <c r="W117" s="29"/>
    </row>
    <row r="118" spans="1:23">
      <c r="A118" s="126"/>
      <c r="B118" s="133" t="s">
        <v>50</v>
      </c>
      <c r="C118" s="197" t="s">
        <v>107</v>
      </c>
      <c r="D118" s="171"/>
      <c r="E118" s="197"/>
      <c r="F118" s="171"/>
      <c r="G118" s="189"/>
      <c r="H118" s="190"/>
      <c r="I118" s="190"/>
      <c r="J118" s="191"/>
      <c r="K118" s="27"/>
      <c r="L118" s="74"/>
      <c r="W118" s="29"/>
    </row>
    <row r="119" spans="1:23">
      <c r="A119" s="126"/>
      <c r="B119" s="133" t="s">
        <v>51</v>
      </c>
      <c r="C119" s="197" t="s">
        <v>108</v>
      </c>
      <c r="D119" s="171"/>
      <c r="E119" s="171"/>
      <c r="F119" s="171"/>
      <c r="G119" s="189"/>
      <c r="H119" s="190"/>
      <c r="I119" s="190"/>
      <c r="J119" s="191"/>
      <c r="K119" s="27"/>
      <c r="W119" s="29"/>
    </row>
    <row r="120" spans="1:23">
      <c r="A120" s="126"/>
      <c r="B120" s="133" t="s">
        <v>51</v>
      </c>
      <c r="C120" s="197">
        <f>C117*365*4186</f>
        <v>3055780000</v>
      </c>
      <c r="D120" s="171" t="s">
        <v>200</v>
      </c>
      <c r="E120" s="171"/>
      <c r="F120" s="171"/>
      <c r="G120" s="189"/>
      <c r="H120" s="190"/>
      <c r="I120" s="190"/>
      <c r="J120" s="191"/>
      <c r="K120" s="27"/>
      <c r="W120" s="29"/>
    </row>
    <row r="121" spans="1:23">
      <c r="A121" s="126"/>
      <c r="B121" s="203" t="s">
        <v>40</v>
      </c>
      <c r="C121" s="213">
        <f>I121*J121</f>
        <v>152000</v>
      </c>
      <c r="D121" s="171" t="s">
        <v>21</v>
      </c>
      <c r="E121" s="171"/>
      <c r="F121" s="171"/>
      <c r="G121" s="206" t="s">
        <v>280</v>
      </c>
      <c r="H121" s="190">
        <v>1.5829999999999999E+25</v>
      </c>
      <c r="I121" s="190">
        <f>764000000000000/3820000000</f>
        <v>200000</v>
      </c>
      <c r="J121" s="191">
        <v>0.76</v>
      </c>
      <c r="K121" s="27"/>
      <c r="W121" s="29"/>
    </row>
    <row r="122" spans="1:23">
      <c r="A122" s="126"/>
      <c r="B122" s="133"/>
      <c r="C122" s="171"/>
      <c r="D122" s="171"/>
      <c r="E122" s="171"/>
      <c r="F122" s="171"/>
      <c r="G122" s="189"/>
      <c r="H122" s="190"/>
      <c r="I122" s="190"/>
      <c r="J122" s="191"/>
      <c r="K122" s="27"/>
      <c r="W122" s="29"/>
    </row>
    <row r="123" spans="1:23">
      <c r="A123" s="126">
        <v>5</v>
      </c>
      <c r="B123" s="201" t="s">
        <v>205</v>
      </c>
      <c r="C123" s="171"/>
      <c r="D123" s="171"/>
      <c r="E123" s="171"/>
      <c r="F123" s="171"/>
      <c r="G123" s="189"/>
      <c r="H123" s="190"/>
      <c r="I123" s="190"/>
      <c r="J123" s="191"/>
      <c r="K123" s="27"/>
      <c r="W123" s="29"/>
    </row>
    <row r="124" spans="1:23" ht="12">
      <c r="A124" s="126"/>
      <c r="B124" s="133" t="s">
        <v>83</v>
      </c>
      <c r="C124" s="188">
        <v>231021.14989400003</v>
      </c>
      <c r="D124" s="82" t="s">
        <v>82</v>
      </c>
      <c r="E124" s="82"/>
      <c r="F124" s="82"/>
      <c r="G124" s="194" t="s">
        <v>95</v>
      </c>
      <c r="H124" s="190"/>
      <c r="I124" s="190"/>
      <c r="J124" s="191"/>
      <c r="K124" s="78"/>
      <c r="L124" s="79" t="s">
        <v>230</v>
      </c>
      <c r="W124" s="29"/>
    </row>
    <row r="125" spans="1:23" ht="12">
      <c r="A125" s="126"/>
      <c r="B125" s="133" t="s">
        <v>50</v>
      </c>
      <c r="C125" s="197" t="s">
        <v>73</v>
      </c>
      <c r="D125" s="82"/>
      <c r="E125" s="82"/>
      <c r="F125" s="82"/>
      <c r="G125" s="194"/>
      <c r="H125" s="190"/>
      <c r="I125" s="190"/>
      <c r="J125" s="191"/>
      <c r="K125" s="78"/>
      <c r="L125" s="79"/>
      <c r="W125" s="29"/>
    </row>
    <row r="126" spans="1:23" ht="12">
      <c r="A126" s="126"/>
      <c r="B126" s="133" t="s">
        <v>48</v>
      </c>
      <c r="C126" s="196" t="s">
        <v>84</v>
      </c>
      <c r="D126" s="171"/>
      <c r="E126" s="197"/>
      <c r="F126" s="82"/>
      <c r="G126" s="194"/>
      <c r="H126" s="190"/>
      <c r="I126" s="190"/>
      <c r="J126" s="191"/>
      <c r="K126" s="78"/>
      <c r="L126" s="79"/>
      <c r="W126" s="29"/>
    </row>
    <row r="127" spans="1:23" ht="12">
      <c r="A127" s="126"/>
      <c r="B127" s="133" t="s">
        <v>71</v>
      </c>
      <c r="C127" s="197">
        <f>C124*3600000/F2</f>
        <v>11222790.861986885</v>
      </c>
      <c r="D127" s="171" t="s">
        <v>200</v>
      </c>
      <c r="E127" s="171"/>
      <c r="F127" s="171"/>
      <c r="G127" s="194"/>
      <c r="H127" s="190"/>
      <c r="I127" s="190"/>
      <c r="J127" s="191"/>
      <c r="K127" s="78"/>
      <c r="L127" s="79"/>
      <c r="W127" s="29"/>
    </row>
    <row r="128" spans="1:23" ht="12">
      <c r="A128" s="126"/>
      <c r="B128" s="133" t="s">
        <v>40</v>
      </c>
      <c r="C128" s="213">
        <f>I128*J128</f>
        <v>64500</v>
      </c>
      <c r="D128" s="171" t="s">
        <v>21</v>
      </c>
      <c r="E128" s="171"/>
      <c r="F128" s="171"/>
      <c r="G128" s="206" t="s">
        <v>49</v>
      </c>
      <c r="H128" s="190">
        <v>1.2E+25</v>
      </c>
      <c r="I128" s="190">
        <v>64500</v>
      </c>
      <c r="J128" s="191">
        <v>1</v>
      </c>
      <c r="K128" s="78"/>
      <c r="L128" s="79"/>
      <c r="W128" s="29"/>
    </row>
    <row r="129" spans="1:23" ht="12">
      <c r="A129" s="126"/>
      <c r="B129" s="133"/>
      <c r="C129" s="171"/>
      <c r="D129" s="171"/>
      <c r="E129" s="171"/>
      <c r="F129" s="171"/>
      <c r="G129" s="189"/>
      <c r="H129" s="190"/>
      <c r="I129" s="190"/>
      <c r="J129" s="191"/>
      <c r="K129" s="78"/>
      <c r="L129" s="79"/>
      <c r="W129" s="29"/>
    </row>
    <row r="130" spans="1:23" ht="12">
      <c r="A130" s="126">
        <v>6</v>
      </c>
      <c r="B130" s="201" t="s">
        <v>17</v>
      </c>
      <c r="C130" s="171" t="s">
        <v>69</v>
      </c>
      <c r="D130" s="171"/>
      <c r="E130" s="171"/>
      <c r="F130" s="171"/>
      <c r="G130" s="189"/>
      <c r="H130" s="190"/>
      <c r="I130" s="190"/>
      <c r="J130" s="191"/>
      <c r="K130" s="78"/>
      <c r="L130" s="79"/>
      <c r="W130" s="29"/>
    </row>
    <row r="131" spans="1:23" ht="12">
      <c r="A131" s="126"/>
      <c r="B131" s="133" t="s">
        <v>61</v>
      </c>
      <c r="C131" s="188">
        <v>72928211</v>
      </c>
      <c r="D131" s="82" t="s">
        <v>70</v>
      </c>
      <c r="E131" s="171"/>
      <c r="F131" s="171"/>
      <c r="G131" s="194" t="s">
        <v>94</v>
      </c>
      <c r="H131" s="190"/>
      <c r="I131" s="190"/>
      <c r="J131" s="191"/>
      <c r="K131" s="78"/>
      <c r="L131" s="79" t="s">
        <v>231</v>
      </c>
      <c r="W131" s="29"/>
    </row>
    <row r="132" spans="1:23" ht="12">
      <c r="A132" s="126"/>
      <c r="B132" s="133" t="s">
        <v>109</v>
      </c>
      <c r="C132" s="188">
        <v>9400</v>
      </c>
      <c r="D132" s="82" t="s">
        <v>63</v>
      </c>
      <c r="E132" s="171"/>
      <c r="F132" s="171"/>
      <c r="G132" s="194"/>
      <c r="H132" s="190"/>
      <c r="I132" s="190"/>
      <c r="J132" s="191"/>
      <c r="K132" s="78"/>
      <c r="L132" s="79"/>
      <c r="W132" s="29"/>
    </row>
    <row r="133" spans="1:23">
      <c r="A133" s="126"/>
      <c r="B133" s="133" t="s">
        <v>110</v>
      </c>
      <c r="C133" s="188">
        <v>0.75424999999999998</v>
      </c>
      <c r="D133" s="82" t="s">
        <v>111</v>
      </c>
      <c r="E133" s="171"/>
      <c r="F133" s="171"/>
      <c r="G133" s="194"/>
      <c r="H133" s="190"/>
      <c r="I133" s="190"/>
      <c r="J133" s="191"/>
      <c r="K133" s="27"/>
      <c r="W133" s="29"/>
    </row>
    <row r="134" spans="1:23">
      <c r="A134" s="126"/>
      <c r="B134" s="133" t="s">
        <v>50</v>
      </c>
      <c r="C134" s="197" t="s">
        <v>112</v>
      </c>
      <c r="D134" s="82"/>
      <c r="E134" s="171"/>
      <c r="F134" s="171"/>
      <c r="G134" s="194"/>
      <c r="H134" s="190"/>
      <c r="I134" s="190"/>
      <c r="J134" s="191"/>
      <c r="K134" s="27"/>
      <c r="W134" s="29"/>
    </row>
    <row r="135" spans="1:23">
      <c r="A135" s="126"/>
      <c r="B135" s="133" t="s">
        <v>48</v>
      </c>
      <c r="C135" s="196" t="s">
        <v>113</v>
      </c>
      <c r="D135" s="171"/>
      <c r="E135" s="171"/>
      <c r="F135" s="171"/>
      <c r="G135" s="194"/>
      <c r="H135" s="190"/>
      <c r="I135" s="190"/>
      <c r="J135" s="191"/>
      <c r="K135" s="27"/>
      <c r="W135" s="29"/>
    </row>
    <row r="136" spans="1:23">
      <c r="A136" s="126"/>
      <c r="B136" s="133" t="s">
        <v>71</v>
      </c>
      <c r="C136" s="197">
        <f>C131*C132*C133*4186/F2</f>
        <v>29206840863.891964</v>
      </c>
      <c r="D136" s="171" t="s">
        <v>200</v>
      </c>
      <c r="E136" s="171"/>
      <c r="F136" s="171"/>
      <c r="G136" s="194"/>
      <c r="H136" s="190"/>
      <c r="I136" s="190"/>
      <c r="J136" s="191"/>
      <c r="K136" s="27"/>
      <c r="W136" s="29"/>
    </row>
    <row r="137" spans="1:23">
      <c r="A137" s="126"/>
      <c r="B137" s="133" t="s">
        <v>40</v>
      </c>
      <c r="C137" s="213">
        <f>I137*J137</f>
        <v>140970</v>
      </c>
      <c r="D137" s="171" t="s">
        <v>21</v>
      </c>
      <c r="E137" s="171"/>
      <c r="F137" s="171"/>
      <c r="G137" s="199" t="s">
        <v>72</v>
      </c>
      <c r="H137" s="190">
        <v>9.4399999999999998E+24</v>
      </c>
      <c r="I137" s="190">
        <v>111000</v>
      </c>
      <c r="J137" s="191">
        <v>1.27</v>
      </c>
      <c r="K137" s="27"/>
      <c r="W137" s="29"/>
    </row>
    <row r="138" spans="1:23">
      <c r="A138" s="126"/>
      <c r="B138" s="133"/>
      <c r="C138" s="171"/>
      <c r="D138" s="171"/>
      <c r="E138" s="171"/>
      <c r="F138" s="171"/>
      <c r="G138" s="189"/>
      <c r="H138" s="190"/>
      <c r="I138" s="190"/>
      <c r="J138" s="191"/>
      <c r="K138" s="27"/>
      <c r="W138" s="29"/>
    </row>
    <row r="139" spans="1:23">
      <c r="A139" s="126">
        <v>7</v>
      </c>
      <c r="B139" s="201" t="s">
        <v>64</v>
      </c>
      <c r="C139" s="171"/>
      <c r="D139" s="171"/>
      <c r="E139" s="171"/>
      <c r="F139" s="171"/>
      <c r="G139" s="189"/>
      <c r="H139" s="190"/>
      <c r="I139" s="190"/>
      <c r="J139" s="191"/>
      <c r="K139" s="27"/>
      <c r="W139" s="29"/>
    </row>
    <row r="140" spans="1:23">
      <c r="A140" s="126"/>
      <c r="B140" s="133" t="s">
        <v>62</v>
      </c>
      <c r="C140" s="171" t="s">
        <v>65</v>
      </c>
      <c r="D140" s="171"/>
      <c r="E140" s="171"/>
      <c r="F140" s="171"/>
      <c r="G140" s="189"/>
      <c r="H140" s="190"/>
      <c r="I140" s="190"/>
      <c r="J140" s="191"/>
      <c r="K140" s="27"/>
      <c r="W140" s="29"/>
    </row>
    <row r="141" spans="1:23">
      <c r="A141" s="126"/>
      <c r="B141" s="133" t="s">
        <v>51</v>
      </c>
      <c r="C141" s="171" t="s">
        <v>66</v>
      </c>
      <c r="D141" s="171"/>
      <c r="E141" s="171"/>
      <c r="F141" s="171"/>
      <c r="G141" s="189"/>
      <c r="H141" s="190"/>
      <c r="I141" s="190"/>
      <c r="J141" s="191"/>
      <c r="K141" s="27"/>
      <c r="W141" s="29"/>
    </row>
    <row r="142" spans="1:23" ht="12">
      <c r="A142" s="126"/>
      <c r="B142" s="133" t="s">
        <v>62</v>
      </c>
      <c r="C142" s="197">
        <f>6508352/1000</f>
        <v>6508.3519999999999</v>
      </c>
      <c r="D142" s="171" t="s">
        <v>81</v>
      </c>
      <c r="F142" s="171"/>
      <c r="G142" s="194" t="s">
        <v>94</v>
      </c>
      <c r="H142" s="190"/>
      <c r="I142" s="190"/>
      <c r="J142" s="191"/>
      <c r="K142" s="78"/>
      <c r="L142" s="79" t="s">
        <v>231</v>
      </c>
      <c r="W142" s="29"/>
    </row>
    <row r="143" spans="1:23" ht="12">
      <c r="A143" s="126"/>
      <c r="B143" s="133" t="s">
        <v>51</v>
      </c>
      <c r="C143" s="171" t="s">
        <v>67</v>
      </c>
      <c r="D143" s="171"/>
      <c r="E143" s="171"/>
      <c r="F143" s="171"/>
      <c r="G143" s="189"/>
      <c r="H143" s="190"/>
      <c r="I143" s="190"/>
      <c r="J143" s="191"/>
      <c r="K143" s="78"/>
      <c r="L143" s="79"/>
      <c r="W143" s="29"/>
    </row>
    <row r="144" spans="1:23" ht="12">
      <c r="A144" s="126"/>
      <c r="B144" s="133" t="s">
        <v>51</v>
      </c>
      <c r="C144" s="171" t="s">
        <v>68</v>
      </c>
      <c r="D144" s="171"/>
      <c r="E144" s="171"/>
      <c r="F144" s="171"/>
      <c r="G144" s="189"/>
      <c r="H144" s="190"/>
      <c r="I144" s="190"/>
      <c r="J144" s="191"/>
      <c r="K144" s="78"/>
      <c r="L144" s="79"/>
      <c r="W144" s="29"/>
    </row>
    <row r="145" spans="1:23" ht="12">
      <c r="A145" s="126"/>
      <c r="B145" s="133" t="s">
        <v>51</v>
      </c>
      <c r="C145" s="197">
        <f>C142*1100000000/F2</f>
        <v>96607389.415162072</v>
      </c>
      <c r="D145" s="171" t="s">
        <v>200</v>
      </c>
      <c r="E145" s="171"/>
      <c r="F145" s="171"/>
      <c r="G145" s="189"/>
      <c r="H145" s="190"/>
      <c r="I145" s="190"/>
      <c r="J145" s="191"/>
      <c r="K145" s="78"/>
      <c r="L145" s="79"/>
      <c r="W145" s="29"/>
    </row>
    <row r="146" spans="1:23" ht="12">
      <c r="A146" s="126"/>
      <c r="B146" s="133" t="s">
        <v>40</v>
      </c>
      <c r="C146" s="213">
        <f>I146*J146</f>
        <v>29000</v>
      </c>
      <c r="D146" s="171" t="s">
        <v>21</v>
      </c>
      <c r="E146" s="171"/>
      <c r="F146" s="171"/>
      <c r="G146" s="206" t="s">
        <v>49</v>
      </c>
      <c r="H146" s="190">
        <v>1.2E+25</v>
      </c>
      <c r="I146" s="190">
        <v>29000</v>
      </c>
      <c r="J146" s="191">
        <v>1</v>
      </c>
      <c r="K146" s="78"/>
      <c r="L146" s="79"/>
      <c r="W146" s="29"/>
    </row>
    <row r="147" spans="1:23" ht="12">
      <c r="A147" s="126"/>
      <c r="B147" s="133"/>
      <c r="C147" s="171"/>
      <c r="E147" s="171"/>
      <c r="F147" s="171"/>
      <c r="G147" s="189"/>
      <c r="H147" s="190"/>
      <c r="I147" s="190"/>
      <c r="J147" s="191"/>
      <c r="K147" s="78"/>
      <c r="L147" s="79"/>
      <c r="W147" s="29"/>
    </row>
    <row r="148" spans="1:23" ht="12">
      <c r="A148" s="126">
        <v>8</v>
      </c>
      <c r="B148" s="201" t="s">
        <v>75</v>
      </c>
      <c r="C148" s="171"/>
      <c r="D148" s="171"/>
      <c r="E148" s="171"/>
      <c r="F148" s="171"/>
      <c r="G148" s="189"/>
      <c r="H148" s="190"/>
      <c r="I148" s="190"/>
      <c r="J148" s="191"/>
      <c r="K148" s="78"/>
      <c r="L148" s="79"/>
      <c r="W148" s="29"/>
    </row>
    <row r="149" spans="1:23" ht="12">
      <c r="A149" s="126"/>
      <c r="B149" s="133" t="s">
        <v>61</v>
      </c>
      <c r="C149" s="188">
        <v>681764</v>
      </c>
      <c r="D149" s="82" t="s">
        <v>70</v>
      </c>
      <c r="E149" s="171"/>
      <c r="F149" s="171"/>
      <c r="G149" s="194" t="s">
        <v>94</v>
      </c>
      <c r="H149" s="190"/>
      <c r="I149" s="190"/>
      <c r="J149" s="191"/>
      <c r="K149" s="78"/>
      <c r="L149" s="79" t="s">
        <v>231</v>
      </c>
      <c r="W149" s="29"/>
    </row>
    <row r="150" spans="1:23" ht="12">
      <c r="A150" s="126"/>
      <c r="B150" s="133" t="s">
        <v>109</v>
      </c>
      <c r="C150" s="188">
        <v>6300</v>
      </c>
      <c r="D150" s="82" t="s">
        <v>63</v>
      </c>
      <c r="E150" s="171"/>
      <c r="F150" s="171"/>
      <c r="G150" s="194"/>
      <c r="H150" s="190"/>
      <c r="I150" s="190"/>
      <c r="J150" s="191"/>
      <c r="K150" s="78"/>
      <c r="L150" s="79"/>
      <c r="W150" s="29"/>
    </row>
    <row r="151" spans="1:23">
      <c r="A151" s="126"/>
      <c r="B151" s="133" t="s">
        <v>110</v>
      </c>
      <c r="C151" s="188">
        <v>0.875</v>
      </c>
      <c r="D151" s="82" t="s">
        <v>111</v>
      </c>
      <c r="E151" s="171"/>
      <c r="F151" s="171"/>
      <c r="G151" s="194"/>
      <c r="H151" s="190"/>
      <c r="I151" s="190"/>
      <c r="J151" s="191"/>
      <c r="K151" s="27"/>
      <c r="W151" s="29"/>
    </row>
    <row r="152" spans="1:23">
      <c r="A152" s="126"/>
      <c r="B152" s="133" t="s">
        <v>50</v>
      </c>
      <c r="C152" s="197" t="s">
        <v>112</v>
      </c>
      <c r="D152" s="82"/>
      <c r="E152" s="171"/>
      <c r="F152" s="171"/>
      <c r="G152" s="194"/>
      <c r="H152" s="190"/>
      <c r="I152" s="190"/>
      <c r="J152" s="191"/>
      <c r="K152" s="27"/>
      <c r="W152" s="29"/>
    </row>
    <row r="153" spans="1:23">
      <c r="A153" s="126"/>
      <c r="B153" s="133" t="s">
        <v>48</v>
      </c>
      <c r="C153" s="196" t="s">
        <v>113</v>
      </c>
      <c r="D153" s="171"/>
      <c r="E153" s="171"/>
      <c r="F153" s="171"/>
      <c r="G153" s="194"/>
      <c r="H153" s="190"/>
      <c r="I153" s="190"/>
      <c r="J153" s="191"/>
      <c r="K153" s="27"/>
      <c r="W153" s="29"/>
    </row>
    <row r="154" spans="1:23">
      <c r="A154" s="126"/>
      <c r="B154" s="133" t="s">
        <v>71</v>
      </c>
      <c r="C154" s="197">
        <f>C149*C150*C151*4186/F2</f>
        <v>212289502.51396647</v>
      </c>
      <c r="D154" s="171" t="s">
        <v>200</v>
      </c>
      <c r="E154" s="171"/>
      <c r="F154" s="171"/>
      <c r="G154" s="194"/>
      <c r="H154" s="190"/>
      <c r="I154" s="190"/>
      <c r="J154" s="191"/>
      <c r="K154" s="27"/>
      <c r="W154" s="29"/>
    </row>
    <row r="155" spans="1:23">
      <c r="A155" s="126"/>
      <c r="B155" s="133" t="s">
        <v>40</v>
      </c>
      <c r="C155" s="213">
        <f>I155*J155</f>
        <v>140970</v>
      </c>
      <c r="D155" s="171" t="s">
        <v>21</v>
      </c>
      <c r="E155" s="171"/>
      <c r="F155" s="171"/>
      <c r="G155" s="199" t="s">
        <v>72</v>
      </c>
      <c r="H155" s="190">
        <v>9.4399999999999998E+24</v>
      </c>
      <c r="I155" s="190">
        <v>111000</v>
      </c>
      <c r="J155" s="191">
        <v>1.27</v>
      </c>
      <c r="K155" s="27"/>
      <c r="W155" s="29"/>
    </row>
    <row r="156" spans="1:23">
      <c r="A156" s="126"/>
      <c r="B156" s="133"/>
      <c r="C156" s="171"/>
      <c r="D156" s="171"/>
      <c r="E156" s="171"/>
      <c r="F156" s="171"/>
      <c r="G156" s="189"/>
      <c r="H156" s="190"/>
      <c r="I156" s="190"/>
      <c r="J156" s="191"/>
      <c r="K156" s="27"/>
      <c r="W156" s="29"/>
    </row>
    <row r="157" spans="1:23">
      <c r="A157" s="126">
        <v>9</v>
      </c>
      <c r="B157" s="201" t="s">
        <v>164</v>
      </c>
      <c r="C157" s="171"/>
      <c r="D157" s="171"/>
      <c r="E157" s="171"/>
      <c r="F157" s="171"/>
      <c r="G157" s="189"/>
      <c r="H157" s="190"/>
      <c r="I157" s="190"/>
      <c r="J157" s="191"/>
      <c r="K157" s="27"/>
      <c r="W157" s="29"/>
    </row>
    <row r="158" spans="1:23">
      <c r="A158" s="236" t="s">
        <v>167</v>
      </c>
      <c r="B158" s="237" t="s">
        <v>209</v>
      </c>
      <c r="C158" s="197"/>
      <c r="D158" s="171"/>
      <c r="E158" s="171"/>
      <c r="F158" s="197"/>
      <c r="G158" s="189"/>
      <c r="H158" s="190"/>
      <c r="I158" s="190"/>
      <c r="J158" s="191"/>
      <c r="K158" s="27"/>
      <c r="W158" s="29"/>
    </row>
    <row r="159" spans="1:23">
      <c r="A159" s="236"/>
      <c r="B159" s="55" t="s">
        <v>248</v>
      </c>
      <c r="C159" s="197" t="s">
        <v>249</v>
      </c>
      <c r="D159" s="171"/>
      <c r="E159" s="171"/>
      <c r="F159" s="197"/>
      <c r="G159" s="189"/>
      <c r="H159" s="190"/>
      <c r="I159" s="190"/>
      <c r="J159" s="191"/>
      <c r="K159" s="27"/>
      <c r="L159" s="28" t="s">
        <v>261</v>
      </c>
      <c r="W159" s="29"/>
    </row>
    <row r="160" spans="1:23" s="87" customFormat="1">
      <c r="A160" s="236"/>
      <c r="B160" s="55" t="s">
        <v>248</v>
      </c>
      <c r="C160" s="197">
        <f>((217.48/60)*365/24)*2500*4186</f>
        <v>576884578.47222221</v>
      </c>
      <c r="D160" s="171" t="s">
        <v>39</v>
      </c>
      <c r="E160" s="171"/>
      <c r="F160" s="197"/>
      <c r="G160" s="189"/>
      <c r="H160" s="190"/>
      <c r="I160" s="190"/>
      <c r="J160" s="191"/>
      <c r="K160" s="27"/>
      <c r="L160" s="28" t="s">
        <v>262</v>
      </c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9"/>
    </row>
    <row r="161" spans="1:23" s="87" customFormat="1">
      <c r="A161" s="126"/>
      <c r="B161" s="55" t="s">
        <v>50</v>
      </c>
      <c r="C161" s="150" t="s">
        <v>250</v>
      </c>
      <c r="D161" s="150"/>
      <c r="E161" s="82" t="s">
        <v>146</v>
      </c>
      <c r="F161" s="28"/>
      <c r="G161" s="189"/>
      <c r="H161" s="190"/>
      <c r="I161" s="190"/>
      <c r="J161" s="191"/>
      <c r="K161" s="27"/>
      <c r="L161" s="80" t="s">
        <v>270</v>
      </c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9"/>
    </row>
    <row r="162" spans="1:23" s="87" customFormat="1">
      <c r="A162" s="126"/>
      <c r="B162" s="55" t="s">
        <v>50</v>
      </c>
      <c r="C162" s="150" t="s">
        <v>251</v>
      </c>
      <c r="D162" s="150"/>
      <c r="E162" s="82"/>
      <c r="F162" s="171"/>
      <c r="G162" s="189"/>
      <c r="H162" s="190"/>
      <c r="I162" s="190"/>
      <c r="J162" s="191"/>
      <c r="K162" s="27"/>
      <c r="L162" s="80" t="s">
        <v>271</v>
      </c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9"/>
    </row>
    <row r="163" spans="1:23" s="87" customFormat="1">
      <c r="A163" s="126"/>
      <c r="B163" s="55" t="s">
        <v>50</v>
      </c>
      <c r="C163" s="98">
        <f>C160*0.01</f>
        <v>5768845.784722222</v>
      </c>
      <c r="D163" s="171" t="s">
        <v>200</v>
      </c>
      <c r="E163" s="171"/>
      <c r="F163" s="171"/>
      <c r="G163" s="189"/>
      <c r="H163" s="190"/>
      <c r="I163" s="190"/>
      <c r="J163" s="191"/>
      <c r="K163" s="27"/>
      <c r="L163" s="80" t="s">
        <v>272</v>
      </c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9"/>
    </row>
    <row r="164" spans="1:23" s="87" customFormat="1">
      <c r="A164" s="126"/>
      <c r="B164" s="133" t="s">
        <v>40</v>
      </c>
      <c r="C164" s="213">
        <f>I164*J164</f>
        <v>27668355197.213463</v>
      </c>
      <c r="D164" s="171" t="s">
        <v>21</v>
      </c>
      <c r="E164" s="171"/>
      <c r="F164" s="171"/>
      <c r="G164" s="199" t="s">
        <v>210</v>
      </c>
      <c r="H164" s="190">
        <v>1.2E+25</v>
      </c>
      <c r="I164" s="190">
        <f>'CULTURAL INFORMATION'!E16</f>
        <v>27668355197.213463</v>
      </c>
      <c r="J164" s="191">
        <v>1</v>
      </c>
      <c r="K164" s="27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9"/>
    </row>
    <row r="165" spans="1:23">
      <c r="A165" s="126"/>
      <c r="B165" s="133"/>
      <c r="C165" s="171"/>
      <c r="D165" s="171"/>
      <c r="E165" s="171"/>
      <c r="F165" s="171"/>
      <c r="G165" s="189"/>
      <c r="H165" s="190"/>
      <c r="I165" s="190"/>
      <c r="J165" s="191"/>
      <c r="K165" s="27"/>
      <c r="W165" s="29"/>
    </row>
    <row r="166" spans="1:23">
      <c r="A166" s="236" t="s">
        <v>168</v>
      </c>
      <c r="B166" s="237" t="s">
        <v>166</v>
      </c>
      <c r="C166" s="171"/>
      <c r="D166" s="171"/>
      <c r="E166" s="171"/>
      <c r="F166" s="171"/>
      <c r="G166" s="189"/>
      <c r="H166" s="190"/>
      <c r="I166" s="190"/>
      <c r="J166" s="191"/>
      <c r="K166" s="27"/>
      <c r="W166" s="29"/>
    </row>
    <row r="167" spans="1:23">
      <c r="A167" s="126"/>
      <c r="B167" s="237" t="s">
        <v>196</v>
      </c>
      <c r="C167" s="171"/>
      <c r="D167" s="171"/>
      <c r="E167" s="171"/>
      <c r="F167" s="171"/>
      <c r="G167" s="189"/>
      <c r="H167" s="190"/>
      <c r="I167" s="190"/>
      <c r="J167" s="191"/>
      <c r="K167" s="27"/>
      <c r="L167" s="28" t="s">
        <v>268</v>
      </c>
      <c r="W167" s="29"/>
    </row>
    <row r="168" spans="1:23">
      <c r="A168" s="126"/>
      <c r="B168" s="133" t="s">
        <v>177</v>
      </c>
      <c r="C168" s="238">
        <f>'[1]Caract. produção'!$D$77</f>
        <v>42</v>
      </c>
      <c r="D168" s="171" t="s">
        <v>115</v>
      </c>
      <c r="E168" s="171"/>
      <c r="F168" s="171"/>
      <c r="G168" s="189"/>
      <c r="H168" s="190"/>
      <c r="I168" s="190"/>
      <c r="J168" s="191"/>
      <c r="K168" s="27"/>
      <c r="L168" s="28" t="s">
        <v>269</v>
      </c>
      <c r="W168" s="29"/>
    </row>
    <row r="169" spans="1:23">
      <c r="A169" s="126"/>
      <c r="B169" s="133" t="s">
        <v>177</v>
      </c>
      <c r="C169" s="239">
        <f>C168/7</f>
        <v>6</v>
      </c>
      <c r="D169" s="171" t="s">
        <v>178</v>
      </c>
      <c r="E169" s="171"/>
      <c r="F169" s="171"/>
      <c r="G169" s="189"/>
      <c r="H169" s="190"/>
      <c r="I169" s="190"/>
      <c r="J169" s="191"/>
      <c r="K169" s="27"/>
      <c r="W169" s="29"/>
    </row>
    <row r="170" spans="1:23">
      <c r="A170" s="126"/>
      <c r="B170" s="133" t="s">
        <v>179</v>
      </c>
      <c r="C170" s="238">
        <f>[1]Trabalho!$E$27</f>
        <v>3</v>
      </c>
      <c r="D170" s="171" t="s">
        <v>180</v>
      </c>
      <c r="E170" s="171"/>
      <c r="F170" s="171"/>
      <c r="G170" s="189"/>
      <c r="H170" s="190"/>
      <c r="I170" s="190"/>
      <c r="J170" s="191"/>
      <c r="K170" s="27"/>
      <c r="W170" s="29"/>
    </row>
    <row r="171" spans="1:23">
      <c r="A171" s="126"/>
      <c r="B171" s="133" t="s">
        <v>181</v>
      </c>
      <c r="C171" s="238">
        <f>[1]Trabalho!$D$27</f>
        <v>2</v>
      </c>
      <c r="D171" s="171" t="s">
        <v>117</v>
      </c>
      <c r="E171" s="171"/>
      <c r="F171" s="171"/>
      <c r="G171" s="189"/>
      <c r="H171" s="190"/>
      <c r="I171" s="190"/>
      <c r="J171" s="191"/>
      <c r="K171" s="27"/>
      <c r="W171" s="29"/>
    </row>
    <row r="172" spans="1:23">
      <c r="A172" s="126"/>
      <c r="B172" s="133" t="s">
        <v>182</v>
      </c>
      <c r="C172" s="240">
        <f>'[1]Caract. produção'!$D$74</f>
        <v>6.27</v>
      </c>
      <c r="D172" s="171" t="s">
        <v>121</v>
      </c>
      <c r="E172" s="171"/>
      <c r="F172" s="171"/>
      <c r="G172" s="189"/>
      <c r="H172" s="190"/>
      <c r="I172" s="190"/>
      <c r="J172" s="191"/>
      <c r="K172" s="27"/>
      <c r="W172" s="29"/>
    </row>
    <row r="173" spans="1:23">
      <c r="A173" s="126"/>
      <c r="B173" s="133" t="s">
        <v>122</v>
      </c>
      <c r="C173" s="171" t="s">
        <v>186</v>
      </c>
      <c r="D173" s="171"/>
      <c r="E173" s="171"/>
      <c r="F173" s="171"/>
      <c r="G173" s="189"/>
      <c r="H173" s="190"/>
      <c r="I173" s="190"/>
      <c r="J173" s="191"/>
      <c r="K173" s="27"/>
      <c r="W173" s="29"/>
    </row>
    <row r="174" spans="1:23">
      <c r="A174" s="126"/>
      <c r="B174" s="133" t="s">
        <v>51</v>
      </c>
      <c r="C174" s="197" t="s">
        <v>183</v>
      </c>
      <c r="D174" s="171"/>
      <c r="E174" s="171"/>
      <c r="F174" s="171"/>
      <c r="G174" s="189"/>
      <c r="H174" s="190"/>
      <c r="I174" s="190"/>
      <c r="J174" s="191"/>
      <c r="K174" s="27"/>
      <c r="W174" s="29"/>
    </row>
    <row r="175" spans="1:23">
      <c r="A175" s="126"/>
      <c r="B175" s="133"/>
      <c r="C175" s="197">
        <f>(C169*C170*C171*C172)/24</f>
        <v>9.4049999999999994</v>
      </c>
      <c r="D175" s="171" t="s">
        <v>127</v>
      </c>
      <c r="E175" s="171"/>
      <c r="F175" s="171"/>
      <c r="G175" s="189"/>
      <c r="H175" s="190"/>
      <c r="I175" s="190"/>
      <c r="J175" s="191"/>
      <c r="K175" s="27"/>
      <c r="W175" s="29"/>
    </row>
    <row r="176" spans="1:23">
      <c r="A176" s="126"/>
      <c r="B176" s="55" t="s">
        <v>50</v>
      </c>
      <c r="C176" s="150" t="s">
        <v>184</v>
      </c>
      <c r="D176" s="171"/>
      <c r="E176" s="171"/>
      <c r="F176" s="171"/>
      <c r="G176" s="189"/>
      <c r="H176" s="190"/>
      <c r="I176" s="190"/>
      <c r="J176" s="191"/>
      <c r="K176" s="27"/>
      <c r="W176" s="29"/>
    </row>
    <row r="177" spans="1:23">
      <c r="A177" s="126"/>
      <c r="B177" s="55" t="s">
        <v>50</v>
      </c>
      <c r="C177" s="150" t="s">
        <v>185</v>
      </c>
      <c r="D177" s="171"/>
      <c r="E177" s="171"/>
      <c r="F177" s="171"/>
      <c r="G177" s="189"/>
      <c r="H177" s="190"/>
      <c r="I177" s="190"/>
      <c r="J177" s="191"/>
      <c r="K177" s="27"/>
      <c r="W177" s="29"/>
    </row>
    <row r="178" spans="1:23">
      <c r="A178" s="126"/>
      <c r="B178" s="55" t="s">
        <v>50</v>
      </c>
      <c r="C178" s="98">
        <f>C175*2500*4186</f>
        <v>98423325</v>
      </c>
      <c r="D178" s="171" t="s">
        <v>200</v>
      </c>
      <c r="E178" s="171"/>
      <c r="F178" s="171"/>
      <c r="G178" s="189"/>
      <c r="H178" s="190"/>
      <c r="I178" s="190"/>
      <c r="J178" s="191"/>
      <c r="K178" s="27"/>
      <c r="W178" s="29"/>
    </row>
    <row r="179" spans="1:23">
      <c r="A179" s="126"/>
      <c r="B179" s="133" t="s">
        <v>40</v>
      </c>
      <c r="C179" s="213">
        <f>I179*J179</f>
        <v>346000000</v>
      </c>
      <c r="D179" s="171" t="s">
        <v>21</v>
      </c>
      <c r="E179" s="171"/>
      <c r="F179" s="171"/>
      <c r="G179" s="199" t="s">
        <v>49</v>
      </c>
      <c r="H179" s="190">
        <v>1.2E+25</v>
      </c>
      <c r="I179" s="190">
        <v>346000000</v>
      </c>
      <c r="J179" s="191">
        <v>1</v>
      </c>
      <c r="K179" s="27"/>
      <c r="W179" s="29"/>
    </row>
    <row r="180" spans="1:23">
      <c r="A180" s="126"/>
      <c r="B180" s="133"/>
      <c r="C180" s="171"/>
      <c r="D180" s="171"/>
      <c r="E180" s="171"/>
      <c r="F180" s="171"/>
      <c r="G180" s="189"/>
      <c r="H180" s="190"/>
      <c r="I180" s="190"/>
      <c r="J180" s="191"/>
      <c r="K180" s="27"/>
      <c r="W180" s="29"/>
    </row>
    <row r="181" spans="1:23" ht="12">
      <c r="A181" s="126">
        <v>11</v>
      </c>
      <c r="B181" s="186" t="s">
        <v>169</v>
      </c>
      <c r="C181" s="171"/>
      <c r="D181" s="171"/>
      <c r="E181" s="197"/>
      <c r="F181" s="171"/>
      <c r="G181" s="189"/>
      <c r="H181" s="190"/>
      <c r="I181" s="190"/>
      <c r="J181" s="191"/>
      <c r="K181" s="81"/>
      <c r="L181" s="79"/>
      <c r="W181" s="29"/>
    </row>
    <row r="182" spans="1:23" ht="12">
      <c r="A182" s="126"/>
      <c r="B182" s="241" t="s">
        <v>189</v>
      </c>
      <c r="C182" s="242">
        <f>'[2]Caract. produção'!$D$71</f>
        <v>15360</v>
      </c>
      <c r="D182" s="171" t="s">
        <v>192</v>
      </c>
      <c r="E182" s="197"/>
      <c r="F182" s="171"/>
      <c r="G182" s="189"/>
      <c r="H182" s="190"/>
      <c r="I182" s="190"/>
      <c r="J182" s="191"/>
      <c r="K182" s="78"/>
      <c r="L182" s="79"/>
      <c r="W182" s="29"/>
    </row>
    <row r="183" spans="1:23" ht="12">
      <c r="A183" s="126"/>
      <c r="B183" s="241" t="s">
        <v>120</v>
      </c>
      <c r="C183" s="243">
        <f>'[2]Caract. produção'!$D$80</f>
        <v>6</v>
      </c>
      <c r="D183" s="171" t="s">
        <v>190</v>
      </c>
      <c r="E183" s="197"/>
      <c r="F183" s="171"/>
      <c r="G183" s="189"/>
      <c r="H183" s="190"/>
      <c r="I183" s="190"/>
      <c r="J183" s="191"/>
      <c r="K183" s="78"/>
      <c r="L183" s="79"/>
      <c r="W183" s="29"/>
    </row>
    <row r="184" spans="1:23" ht="12">
      <c r="A184" s="126"/>
      <c r="B184" s="241" t="s">
        <v>193</v>
      </c>
      <c r="C184" s="243">
        <f>'[2]Caract. produção'!$G$71</f>
        <v>0.88</v>
      </c>
      <c r="D184" s="171" t="s">
        <v>191</v>
      </c>
      <c r="E184" s="197"/>
      <c r="F184" s="171"/>
      <c r="G184" s="189" t="s">
        <v>267</v>
      </c>
      <c r="H184" s="190"/>
      <c r="I184" s="190"/>
      <c r="J184" s="191"/>
      <c r="K184" s="78"/>
      <c r="L184" s="79"/>
      <c r="W184" s="29"/>
    </row>
    <row r="185" spans="1:23" ht="12">
      <c r="A185" s="126"/>
      <c r="B185" s="133" t="s">
        <v>204</v>
      </c>
      <c r="C185" s="244">
        <f>[2]EMERGY!$F$5</f>
        <v>3.6541999999999999</v>
      </c>
      <c r="D185" s="171" t="s">
        <v>203</v>
      </c>
      <c r="E185" s="171"/>
      <c r="F185" s="197"/>
      <c r="G185" s="189"/>
      <c r="H185" s="190"/>
      <c r="I185" s="190"/>
      <c r="J185" s="191"/>
      <c r="K185" s="78"/>
      <c r="L185" s="79"/>
      <c r="W185" s="29"/>
    </row>
    <row r="186" spans="1:23" ht="12">
      <c r="A186" s="126"/>
      <c r="B186" s="133" t="s">
        <v>188</v>
      </c>
      <c r="C186" s="28" t="s">
        <v>194</v>
      </c>
      <c r="D186" s="171"/>
      <c r="E186" s="171"/>
      <c r="F186" s="197"/>
      <c r="G186" s="189"/>
      <c r="H186" s="190"/>
      <c r="I186" s="190"/>
      <c r="J186" s="191"/>
      <c r="K186" s="78"/>
      <c r="L186" s="79"/>
      <c r="W186" s="29"/>
    </row>
    <row r="187" spans="1:23" ht="12">
      <c r="A187" s="126"/>
      <c r="B187" s="133" t="s">
        <v>51</v>
      </c>
      <c r="C187" s="197" t="s">
        <v>90</v>
      </c>
      <c r="D187" s="171"/>
      <c r="E187" s="171"/>
      <c r="F187" s="197"/>
      <c r="G187" s="189"/>
      <c r="H187" s="190"/>
      <c r="I187" s="190"/>
      <c r="J187" s="191"/>
      <c r="K187" s="78"/>
      <c r="L187" s="79"/>
      <c r="W187" s="29"/>
    </row>
    <row r="188" spans="1:23" ht="12">
      <c r="A188" s="126"/>
      <c r="B188" s="133" t="s">
        <v>188</v>
      </c>
      <c r="C188" s="197">
        <f>C182*C183*C184</f>
        <v>81100.800000000003</v>
      </c>
      <c r="D188" s="171" t="s">
        <v>201</v>
      </c>
      <c r="E188" s="171"/>
      <c r="F188" s="197"/>
      <c r="G188" s="245"/>
      <c r="H188" s="190"/>
      <c r="I188" s="190"/>
      <c r="J188" s="191"/>
      <c r="K188" s="78"/>
      <c r="L188" s="79"/>
      <c r="W188" s="29"/>
    </row>
    <row r="189" spans="1:23" ht="12">
      <c r="A189" s="126"/>
      <c r="B189" s="133" t="s">
        <v>188</v>
      </c>
      <c r="C189" s="197">
        <f>C188/C185</f>
        <v>22193.859121011439</v>
      </c>
      <c r="D189" s="171" t="s">
        <v>202</v>
      </c>
      <c r="E189" s="171"/>
      <c r="F189" s="197"/>
      <c r="G189" s="245"/>
      <c r="H189" s="190"/>
      <c r="I189" s="190"/>
      <c r="J189" s="191"/>
      <c r="K189" s="78"/>
      <c r="L189" s="79"/>
      <c r="W189" s="29"/>
    </row>
    <row r="190" spans="1:23" ht="12">
      <c r="A190" s="126"/>
      <c r="B190" s="133" t="s">
        <v>89</v>
      </c>
      <c r="C190" s="213">
        <f>I190*J190</f>
        <v>2356000000000</v>
      </c>
      <c r="D190" s="171" t="s">
        <v>97</v>
      </c>
      <c r="E190" s="171"/>
      <c r="F190" s="171"/>
      <c r="G190" s="199" t="s">
        <v>101</v>
      </c>
      <c r="H190" s="190">
        <v>1.5829999999999999E+25</v>
      </c>
      <c r="I190" s="190">
        <v>3100000000000</v>
      </c>
      <c r="J190" s="191">
        <v>0.76</v>
      </c>
      <c r="K190" s="78"/>
      <c r="L190" s="79"/>
      <c r="W190" s="29"/>
    </row>
    <row r="191" spans="1:23" ht="12">
      <c r="A191" s="126"/>
      <c r="B191" s="133"/>
      <c r="C191" s="171"/>
      <c r="D191" s="171"/>
      <c r="E191" s="171"/>
      <c r="F191" s="171"/>
      <c r="G191" s="189"/>
      <c r="H191" s="190"/>
      <c r="I191" s="190"/>
      <c r="J191" s="191"/>
      <c r="K191" s="78"/>
      <c r="L191" s="79"/>
      <c r="W191" s="29"/>
    </row>
    <row r="192" spans="1:23" ht="12">
      <c r="A192" s="126">
        <v>12</v>
      </c>
      <c r="B192" s="201" t="s">
        <v>77</v>
      </c>
      <c r="C192" s="171"/>
      <c r="D192" s="171"/>
      <c r="E192" s="171"/>
      <c r="F192" s="171"/>
      <c r="G192" s="189"/>
      <c r="H192" s="190"/>
      <c r="I192" s="190"/>
      <c r="J192" s="191"/>
      <c r="K192" s="78"/>
      <c r="L192" s="79"/>
      <c r="W192" s="29"/>
    </row>
    <row r="193" spans="1:23" ht="12">
      <c r="A193" s="126"/>
      <c r="B193" s="133" t="s">
        <v>85</v>
      </c>
      <c r="C193" s="28" t="s">
        <v>87</v>
      </c>
      <c r="D193" s="28"/>
      <c r="E193" s="171"/>
      <c r="F193" s="171"/>
      <c r="G193" s="194"/>
      <c r="H193" s="190"/>
      <c r="I193" s="190"/>
      <c r="J193" s="191"/>
      <c r="K193" s="78"/>
      <c r="L193" s="79"/>
      <c r="W193" s="29"/>
    </row>
    <row r="194" spans="1:23" ht="12">
      <c r="A194" s="126"/>
      <c r="B194" s="133" t="s">
        <v>85</v>
      </c>
      <c r="C194" s="188">
        <v>22916</v>
      </c>
      <c r="D194" s="82" t="s">
        <v>81</v>
      </c>
      <c r="E194" s="171"/>
      <c r="F194" s="171"/>
      <c r="G194" s="194" t="s">
        <v>96</v>
      </c>
      <c r="H194" s="190"/>
      <c r="I194" s="190"/>
      <c r="J194" s="191"/>
      <c r="K194" s="78"/>
      <c r="L194" s="79" t="s">
        <v>232</v>
      </c>
      <c r="W194" s="29"/>
    </row>
    <row r="195" spans="1:23">
      <c r="A195" s="126"/>
      <c r="B195" s="133" t="s">
        <v>50</v>
      </c>
      <c r="C195" s="197" t="s">
        <v>88</v>
      </c>
      <c r="D195" s="82"/>
      <c r="E195" s="171"/>
      <c r="F195" s="171"/>
      <c r="G195" s="194"/>
      <c r="H195" s="190"/>
      <c r="I195" s="190"/>
      <c r="J195" s="191"/>
      <c r="K195" s="27"/>
      <c r="W195" s="29"/>
    </row>
    <row r="196" spans="1:23">
      <c r="A196" s="126"/>
      <c r="B196" s="133" t="s">
        <v>71</v>
      </c>
      <c r="C196" s="197">
        <f>C194*4000000*1055/F2</f>
        <v>1304962081.3429413</v>
      </c>
      <c r="D196" s="171" t="s">
        <v>200</v>
      </c>
      <c r="E196" s="171"/>
      <c r="F196" s="171"/>
      <c r="G196" s="194"/>
      <c r="H196" s="190"/>
      <c r="I196" s="190"/>
      <c r="J196" s="191"/>
      <c r="K196" s="27"/>
      <c r="W196" s="29"/>
    </row>
    <row r="197" spans="1:23">
      <c r="A197" s="126"/>
      <c r="B197" s="133" t="s">
        <v>40</v>
      </c>
      <c r="C197" s="213">
        <f>I197*J197</f>
        <v>2286000</v>
      </c>
      <c r="D197" s="171" t="s">
        <v>21</v>
      </c>
      <c r="E197" s="171"/>
      <c r="F197" s="171"/>
      <c r="G197" s="199" t="s">
        <v>86</v>
      </c>
      <c r="H197" s="190">
        <v>9.4399999999999998E+24</v>
      </c>
      <c r="I197" s="190">
        <v>1800000</v>
      </c>
      <c r="J197" s="191">
        <v>1.27</v>
      </c>
      <c r="K197" s="27"/>
      <c r="W197" s="29"/>
    </row>
    <row r="198" spans="1:23" ht="15.75" thickBot="1">
      <c r="A198" s="140"/>
      <c r="B198" s="141"/>
      <c r="C198" s="42"/>
      <c r="D198" s="42"/>
      <c r="E198" s="42"/>
      <c r="F198" s="42"/>
      <c r="G198" s="142"/>
      <c r="H198" s="246"/>
      <c r="I198" s="246"/>
      <c r="J198" s="247"/>
      <c r="K198" s="27"/>
      <c r="W198" s="29"/>
    </row>
    <row r="199" spans="1:23">
      <c r="A199" s="126">
        <v>13</v>
      </c>
      <c r="B199" s="248" t="s">
        <v>99</v>
      </c>
      <c r="C199" s="171"/>
      <c r="D199" s="171"/>
      <c r="E199" s="171"/>
      <c r="F199" s="171"/>
      <c r="G199" s="189"/>
      <c r="H199" s="190"/>
      <c r="I199" s="190"/>
      <c r="J199" s="191"/>
      <c r="K199" s="27"/>
      <c r="W199" s="29"/>
    </row>
    <row r="200" spans="1:23">
      <c r="A200" s="126"/>
      <c r="B200" s="133" t="s">
        <v>128</v>
      </c>
      <c r="C200" s="197">
        <v>1</v>
      </c>
      <c r="D200" s="28"/>
      <c r="E200" s="171"/>
      <c r="F200" s="171"/>
      <c r="G200" s="189"/>
      <c r="H200" s="190"/>
      <c r="I200" s="190"/>
      <c r="J200" s="191"/>
      <c r="K200" s="27"/>
      <c r="L200" s="80"/>
      <c r="W200" s="29"/>
    </row>
    <row r="201" spans="1:23">
      <c r="A201" s="126"/>
      <c r="B201" s="133" t="s">
        <v>195</v>
      </c>
      <c r="C201" s="171" t="s">
        <v>170</v>
      </c>
      <c r="D201" s="171"/>
      <c r="E201" s="171"/>
      <c r="F201" s="171"/>
      <c r="G201" s="189"/>
      <c r="H201" s="190"/>
      <c r="I201" s="190"/>
      <c r="J201" s="191"/>
      <c r="K201" s="27"/>
      <c r="W201" s="29"/>
    </row>
    <row r="202" spans="1:23">
      <c r="A202" s="126"/>
      <c r="B202" s="133" t="s">
        <v>51</v>
      </c>
      <c r="C202" s="197">
        <f>2500*4186*365</f>
        <v>3819725000</v>
      </c>
      <c r="D202" s="171" t="s">
        <v>39</v>
      </c>
      <c r="E202" s="171"/>
      <c r="F202" s="171"/>
      <c r="G202" s="189"/>
      <c r="H202" s="190"/>
      <c r="I202" s="190"/>
      <c r="J202" s="191"/>
      <c r="K202" s="27"/>
      <c r="L202" s="82"/>
      <c r="W202" s="29"/>
    </row>
    <row r="203" spans="1:23">
      <c r="A203" s="126" t="s">
        <v>131</v>
      </c>
      <c r="B203" s="186" t="s">
        <v>129</v>
      </c>
      <c r="C203" s="197"/>
      <c r="D203" s="171"/>
      <c r="E203" s="171"/>
      <c r="F203" s="171"/>
      <c r="G203" s="189"/>
      <c r="H203" s="190"/>
      <c r="I203" s="190"/>
      <c r="J203" s="191"/>
      <c r="K203" s="27"/>
      <c r="L203" s="82"/>
      <c r="W203" s="29"/>
    </row>
    <row r="204" spans="1:23">
      <c r="A204" s="126"/>
      <c r="B204" s="133" t="s">
        <v>114</v>
      </c>
      <c r="C204" s="249">
        <f>'[2]Caract. produção'!$D$77</f>
        <v>42</v>
      </c>
      <c r="D204" s="28" t="s">
        <v>115</v>
      </c>
      <c r="E204" s="171"/>
      <c r="F204" s="171"/>
      <c r="G204" s="189"/>
      <c r="H204" s="190"/>
      <c r="I204" s="190"/>
      <c r="J204" s="191"/>
      <c r="K204" s="27"/>
      <c r="W204" s="29"/>
    </row>
    <row r="205" spans="1:23">
      <c r="A205" s="126"/>
      <c r="B205" s="133" t="s">
        <v>116</v>
      </c>
      <c r="C205" s="249">
        <v>20</v>
      </c>
      <c r="D205" s="28" t="s">
        <v>115</v>
      </c>
      <c r="E205" s="171"/>
      <c r="F205" s="171"/>
      <c r="G205" s="189"/>
      <c r="H205" s="190"/>
      <c r="I205" s="190"/>
      <c r="J205" s="191"/>
      <c r="K205" s="27"/>
      <c r="W205" s="29"/>
    </row>
    <row r="206" spans="1:23">
      <c r="A206" s="126"/>
      <c r="B206" s="133" t="s">
        <v>116</v>
      </c>
      <c r="C206" s="249">
        <v>16</v>
      </c>
      <c r="D206" s="28" t="s">
        <v>117</v>
      </c>
      <c r="E206" s="171"/>
      <c r="F206" s="171"/>
      <c r="G206" s="189"/>
      <c r="H206" s="190"/>
      <c r="I206" s="190"/>
      <c r="J206" s="191"/>
      <c r="K206" s="27"/>
      <c r="W206" s="29"/>
    </row>
    <row r="207" spans="1:23">
      <c r="A207" s="126"/>
      <c r="B207" s="55" t="s">
        <v>118</v>
      </c>
      <c r="C207" s="249">
        <f>C204-C205</f>
        <v>22</v>
      </c>
      <c r="D207" s="28" t="s">
        <v>115</v>
      </c>
      <c r="E207" s="171"/>
      <c r="F207" s="171"/>
      <c r="G207" s="189"/>
      <c r="H207" s="190"/>
      <c r="I207" s="190"/>
      <c r="J207" s="191"/>
      <c r="K207" s="27"/>
      <c r="W207" s="29"/>
    </row>
    <row r="208" spans="1:23">
      <c r="A208" s="126"/>
      <c r="B208" s="133" t="s">
        <v>118</v>
      </c>
      <c r="C208" s="249">
        <v>8</v>
      </c>
      <c r="D208" s="28" t="s">
        <v>117</v>
      </c>
      <c r="E208" s="171"/>
      <c r="F208" s="171"/>
      <c r="G208" s="189"/>
      <c r="H208" s="190"/>
      <c r="I208" s="190"/>
      <c r="J208" s="191"/>
      <c r="K208" s="27"/>
      <c r="W208" s="29"/>
    </row>
    <row r="209" spans="1:23">
      <c r="A209" s="126"/>
      <c r="B209" s="133" t="s">
        <v>119</v>
      </c>
      <c r="C209" s="249">
        <f>'[2]Caract. produção'!$D$79</f>
        <v>16.213716108452957</v>
      </c>
      <c r="D209" s="28" t="s">
        <v>115</v>
      </c>
      <c r="E209" s="171"/>
      <c r="F209" s="171"/>
      <c r="G209" s="189"/>
      <c r="H209" s="190"/>
      <c r="I209" s="190"/>
      <c r="J209" s="191"/>
      <c r="K209" s="27"/>
      <c r="W209" s="29"/>
    </row>
    <row r="210" spans="1:23">
      <c r="A210" s="126"/>
      <c r="B210" s="133" t="s">
        <v>119</v>
      </c>
      <c r="C210" s="249">
        <v>4</v>
      </c>
      <c r="D210" s="28" t="s">
        <v>117</v>
      </c>
      <c r="E210" s="171"/>
      <c r="F210" s="171"/>
      <c r="G210" s="189"/>
      <c r="H210" s="190"/>
      <c r="I210" s="190"/>
      <c r="J210" s="191"/>
      <c r="K210" s="27"/>
      <c r="W210" s="29"/>
    </row>
    <row r="211" spans="1:23">
      <c r="A211" s="126"/>
      <c r="B211" s="133" t="s">
        <v>120</v>
      </c>
      <c r="C211" s="249">
        <f>'[2]Caract. produção'!$D$80</f>
        <v>6</v>
      </c>
      <c r="D211" s="28" t="s">
        <v>121</v>
      </c>
      <c r="E211" s="171"/>
      <c r="F211" s="171"/>
      <c r="G211" s="189"/>
      <c r="H211" s="190"/>
      <c r="I211" s="190"/>
      <c r="J211" s="191"/>
      <c r="K211" s="27"/>
      <c r="W211" s="29"/>
    </row>
    <row r="212" spans="1:23">
      <c r="A212" s="126"/>
      <c r="B212" s="133" t="s">
        <v>122</v>
      </c>
      <c r="C212" s="171" t="s">
        <v>123</v>
      </c>
      <c r="D212" s="28"/>
      <c r="E212" s="171"/>
      <c r="F212" s="171"/>
      <c r="G212" s="189"/>
      <c r="H212" s="190"/>
      <c r="I212" s="190"/>
      <c r="J212" s="191"/>
      <c r="K212" s="27"/>
      <c r="L212" s="28" t="s">
        <v>275</v>
      </c>
      <c r="W212" s="29"/>
    </row>
    <row r="213" spans="1:23">
      <c r="A213" s="126"/>
      <c r="B213" s="133"/>
      <c r="C213" s="197" t="s">
        <v>124</v>
      </c>
      <c r="D213" s="171"/>
      <c r="E213" s="171"/>
      <c r="F213" s="171"/>
      <c r="G213" s="189"/>
      <c r="H213" s="190"/>
      <c r="I213" s="190"/>
      <c r="J213" s="191"/>
      <c r="K213" s="27"/>
      <c r="L213" s="28" t="s">
        <v>274</v>
      </c>
      <c r="W213" s="29"/>
    </row>
    <row r="214" spans="1:23">
      <c r="A214" s="126"/>
      <c r="B214" s="133" t="s">
        <v>51</v>
      </c>
      <c r="C214" s="197" t="s">
        <v>125</v>
      </c>
      <c r="D214" s="171"/>
      <c r="E214" s="171"/>
      <c r="F214" s="171"/>
      <c r="G214" s="189"/>
      <c r="H214" s="190"/>
      <c r="I214" s="190"/>
      <c r="J214" s="191"/>
      <c r="K214" s="27"/>
      <c r="L214" s="28" t="s">
        <v>273</v>
      </c>
      <c r="W214" s="29"/>
    </row>
    <row r="215" spans="1:23">
      <c r="A215" s="126"/>
      <c r="B215" s="250"/>
      <c r="C215" s="197" t="s">
        <v>126</v>
      </c>
      <c r="D215" s="171"/>
      <c r="E215" s="171"/>
      <c r="F215" s="171"/>
      <c r="G215" s="189"/>
      <c r="H215" s="190"/>
      <c r="I215" s="190"/>
      <c r="J215" s="191"/>
      <c r="K215" s="27"/>
      <c r="L215" s="28" t="s">
        <v>277</v>
      </c>
      <c r="W215" s="29"/>
    </row>
    <row r="216" spans="1:23">
      <c r="A216" s="126"/>
      <c r="B216" s="133" t="s">
        <v>51</v>
      </c>
      <c r="C216" s="197">
        <f>((C205*C206)+(C207*C208)+(C209*C210))*C211/24</f>
        <v>140.21371610845296</v>
      </c>
      <c r="D216" s="171" t="s">
        <v>127</v>
      </c>
      <c r="F216" s="171"/>
      <c r="G216" s="189"/>
      <c r="H216" s="190"/>
      <c r="I216" s="190"/>
      <c r="J216" s="191"/>
      <c r="K216" s="27"/>
      <c r="L216" s="28" t="s">
        <v>276</v>
      </c>
      <c r="W216" s="29"/>
    </row>
    <row r="217" spans="1:23">
      <c r="A217" s="126"/>
      <c r="B217" s="55" t="s">
        <v>171</v>
      </c>
      <c r="C217" s="150" t="s">
        <v>172</v>
      </c>
      <c r="D217" s="150"/>
      <c r="E217" s="171"/>
      <c r="F217" s="171"/>
      <c r="G217" s="189"/>
      <c r="H217" s="190"/>
      <c r="I217" s="190"/>
      <c r="J217" s="191"/>
      <c r="K217" s="27"/>
      <c r="W217" s="29"/>
    </row>
    <row r="218" spans="1:23">
      <c r="A218" s="126"/>
      <c r="B218" s="55" t="s">
        <v>171</v>
      </c>
      <c r="C218" s="150" t="s">
        <v>130</v>
      </c>
      <c r="D218" s="150"/>
      <c r="E218" s="150"/>
      <c r="F218" s="171"/>
      <c r="G218" s="189"/>
      <c r="H218" s="190"/>
      <c r="I218" s="190"/>
      <c r="J218" s="191"/>
      <c r="K218" s="27"/>
      <c r="W218" s="29"/>
    </row>
    <row r="219" spans="1:23">
      <c r="A219" s="126"/>
      <c r="B219" s="55" t="s">
        <v>171</v>
      </c>
      <c r="C219" s="98">
        <f>C216*C202/365</f>
        <v>1467336539.0749602</v>
      </c>
      <c r="D219" s="171" t="s">
        <v>200</v>
      </c>
      <c r="E219" s="171"/>
      <c r="F219" s="171"/>
      <c r="G219" s="189"/>
      <c r="H219" s="190"/>
      <c r="I219" s="190"/>
      <c r="J219" s="191"/>
      <c r="K219" s="27"/>
      <c r="W219" s="29"/>
    </row>
    <row r="220" spans="1:23">
      <c r="A220" s="126"/>
      <c r="B220" s="55"/>
      <c r="C220" s="249"/>
      <c r="D220" s="171"/>
      <c r="E220" s="171"/>
      <c r="F220" s="171"/>
      <c r="G220" s="189"/>
      <c r="H220" s="190"/>
      <c r="I220" s="190"/>
      <c r="J220" s="191"/>
      <c r="K220" s="27"/>
      <c r="W220" s="29"/>
    </row>
    <row r="221" spans="1:23">
      <c r="A221" s="126" t="s">
        <v>132</v>
      </c>
      <c r="B221" s="186" t="s">
        <v>163</v>
      </c>
      <c r="C221" s="249"/>
      <c r="D221" s="171"/>
      <c r="E221" s="171"/>
      <c r="F221" s="171"/>
      <c r="G221" s="189"/>
      <c r="H221" s="190"/>
      <c r="I221" s="190"/>
      <c r="J221" s="191"/>
      <c r="K221" s="27"/>
      <c r="W221" s="29"/>
    </row>
    <row r="222" spans="1:23">
      <c r="A222" s="126"/>
      <c r="B222" s="251" t="s">
        <v>173</v>
      </c>
      <c r="C222" s="249">
        <v>8</v>
      </c>
      <c r="D222" s="171" t="s">
        <v>117</v>
      </c>
      <c r="E222" s="171"/>
      <c r="F222" s="171"/>
      <c r="G222" s="189"/>
      <c r="H222" s="190"/>
      <c r="I222" s="190"/>
      <c r="J222" s="191"/>
      <c r="K222" s="27"/>
      <c r="W222" s="29"/>
    </row>
    <row r="223" spans="1:23">
      <c r="A223" s="126"/>
      <c r="B223" s="251" t="s">
        <v>175</v>
      </c>
      <c r="C223" s="249">
        <v>45</v>
      </c>
      <c r="D223" s="171" t="s">
        <v>174</v>
      </c>
      <c r="E223" s="171"/>
      <c r="F223" s="171"/>
      <c r="G223" s="206" t="s">
        <v>280</v>
      </c>
      <c r="H223" s="190"/>
      <c r="I223" s="190"/>
      <c r="J223" s="191"/>
      <c r="K223" s="27"/>
      <c r="W223" s="29"/>
    </row>
    <row r="224" spans="1:23">
      <c r="A224" s="126"/>
      <c r="B224" s="251" t="s">
        <v>50</v>
      </c>
      <c r="C224" s="28" t="s">
        <v>176</v>
      </c>
      <c r="D224" s="171"/>
      <c r="E224" s="171"/>
      <c r="F224" s="171"/>
      <c r="G224" s="206" t="s">
        <v>280</v>
      </c>
      <c r="H224" s="190"/>
      <c r="I224" s="190"/>
      <c r="J224" s="191"/>
      <c r="K224" s="27"/>
      <c r="W224" s="29"/>
    </row>
    <row r="225" spans="1:23">
      <c r="A225" s="126"/>
      <c r="B225" s="28"/>
      <c r="C225" s="252">
        <f>C223*C222*365*4186</f>
        <v>550040400</v>
      </c>
      <c r="D225" s="171" t="s">
        <v>200</v>
      </c>
      <c r="E225" s="171"/>
      <c r="F225" s="171"/>
      <c r="G225" s="189"/>
      <c r="H225" s="190"/>
      <c r="I225" s="190"/>
      <c r="J225" s="191"/>
      <c r="K225" s="27"/>
      <c r="W225" s="29"/>
    </row>
    <row r="226" spans="1:23">
      <c r="A226" s="126"/>
      <c r="B226" s="133"/>
      <c r="C226" s="249"/>
      <c r="D226" s="28"/>
      <c r="E226" s="171"/>
      <c r="F226" s="171"/>
      <c r="G226" s="189"/>
      <c r="H226" s="190"/>
      <c r="I226" s="190"/>
      <c r="J226" s="191"/>
      <c r="K226" s="27"/>
      <c r="W226" s="29"/>
    </row>
    <row r="227" spans="1:23">
      <c r="A227" s="126" t="s">
        <v>132</v>
      </c>
      <c r="B227" s="186" t="s">
        <v>278</v>
      </c>
      <c r="C227" s="249"/>
      <c r="D227" s="28"/>
      <c r="E227" s="171"/>
      <c r="F227" s="171"/>
      <c r="G227" s="189"/>
      <c r="H227" s="190"/>
      <c r="I227" s="190"/>
      <c r="J227" s="191"/>
      <c r="K227" s="27"/>
      <c r="W227" s="29"/>
    </row>
    <row r="228" spans="1:23">
      <c r="A228" s="126"/>
      <c r="B228" s="55" t="s">
        <v>50</v>
      </c>
      <c r="C228" s="150" t="s">
        <v>246</v>
      </c>
      <c r="D228" s="150"/>
      <c r="E228" s="171"/>
      <c r="F228" s="171"/>
      <c r="G228" s="189"/>
      <c r="H228" s="190"/>
      <c r="I228" s="190"/>
      <c r="J228" s="191"/>
      <c r="K228" s="27"/>
      <c r="L228" s="80" t="s">
        <v>270</v>
      </c>
      <c r="W228" s="29"/>
    </row>
    <row r="229" spans="1:23">
      <c r="A229" s="126"/>
      <c r="B229" s="55" t="s">
        <v>51</v>
      </c>
      <c r="C229" s="98">
        <f>C202*0.1</f>
        <v>381972500</v>
      </c>
      <c r="D229" s="150" t="s">
        <v>39</v>
      </c>
      <c r="E229" s="171"/>
      <c r="F229" s="171"/>
      <c r="G229" s="189"/>
      <c r="H229" s="190"/>
      <c r="I229" s="190"/>
      <c r="J229" s="191"/>
      <c r="K229" s="27"/>
      <c r="L229" s="80" t="s">
        <v>271</v>
      </c>
      <c r="W229" s="29"/>
    </row>
    <row r="230" spans="1:23" ht="15.75" thickBot="1">
      <c r="A230" s="140"/>
      <c r="B230" s="253"/>
      <c r="C230" s="254"/>
      <c r="D230" s="254"/>
      <c r="E230" s="254"/>
      <c r="F230" s="254"/>
      <c r="G230" s="142"/>
      <c r="H230" s="246"/>
      <c r="I230" s="246"/>
      <c r="J230" s="247"/>
      <c r="K230" s="83"/>
      <c r="L230" s="67" t="s">
        <v>272</v>
      </c>
      <c r="M230" s="67"/>
      <c r="N230" s="67"/>
      <c r="O230" s="67"/>
      <c r="P230" s="67"/>
      <c r="Q230" s="67"/>
      <c r="R230" s="67"/>
      <c r="S230" s="67"/>
      <c r="T230" s="67"/>
      <c r="U230" s="67"/>
      <c r="V230" s="67"/>
      <c r="W230" s="84"/>
    </row>
    <row r="231" spans="1:23" ht="12">
      <c r="K231" s="58"/>
      <c r="L231" s="58"/>
    </row>
  </sheetData>
  <mergeCells count="4">
    <mergeCell ref="D2:E2"/>
    <mergeCell ref="D3:E3"/>
    <mergeCell ref="D4:E4"/>
    <mergeCell ref="D5:E5"/>
  </mergeCells>
  <hyperlinks>
    <hyperlink ref="B53" location="SAMeFrame!B13" display="Rain, geopotential"/>
    <hyperlink ref="B139" location="SAMeFrame!B24" display="Natural gas"/>
    <hyperlink ref="L82" r:id="rId1" display="https://sistemas-ext-cnpsa.nuvem.ti.embrapa.br/meteor/"/>
    <hyperlink ref="L46" r:id="rId2" display="http://mtc-m21b.sid.inpe.br/col/sid.inpe.br/mtc-m21b/2017/08.15.18.20/doc/thisInformationItemHomePage.html"/>
    <hyperlink ref="B123" location="SAMeFrame!B27" display="Electricity"/>
    <hyperlink ref="B130" location="SAMeFrame!B26" display="Fuel"/>
    <hyperlink ref="B148" location="SAMeFrame!B26" display="Fuel"/>
    <hyperlink ref="B192" location="SAMeFrame!B26" display="Fuel"/>
    <hyperlink ref="L55" r:id="rId3"/>
    <hyperlink ref="L44" r:id="rId4" display="https://mapbiomas.org/"/>
    <hyperlink ref="B203" location="SAMeFrame!B47" display="Yield"/>
    <hyperlink ref="B227" location="SAMeFrame!B47" display="Yield"/>
    <hyperlink ref="B66" location="SAMeFrame!B13" display="Rain, geopotential"/>
    <hyperlink ref="B221" location="SAMeFrame!B47" display="Yield"/>
    <hyperlink ref="B157" location="SAMeFrame!B26" display="Fuel"/>
    <hyperlink ref="B181" location="SAMeFrame!B43" display="Services ($ per ha)"/>
    <hyperlink ref="B43" location="SAMeFrame!B12" display="Sun"/>
    <hyperlink ref="L69" r:id="rId5"/>
    <hyperlink ref="L117" r:id="rId6"/>
    <hyperlink ref="L98" r:id="rId7"/>
    <hyperlink ref="B14" location="SAMeFrame!B108" display="SAMeFrame!B108"/>
    <hyperlink ref="B12" location="SAMeFrame!B82" display="SAMeFrame!B82"/>
    <hyperlink ref="B11" location="SAMeFrame!B72" display="SAMeFrame!B72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CULTURAL INFORMATION</vt:lpstr>
      <vt:lpstr>MANPOWER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2023-04-04T11:05:54Z</dcterms:created>
  <dcterms:modified xsi:type="dcterms:W3CDTF">2023-11-06T17:58:36Z</dcterms:modified>
</cp:coreProperties>
</file>