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Rafael\Desktop\emergy_payment\for submission\sustainability\V1\"/>
    </mc:Choice>
  </mc:AlternateContent>
  <bookViews>
    <workbookView xWindow="0" yWindow="0" windowWidth="24000" windowHeight="10890" firstSheet="13" activeTab="13"/>
  </bookViews>
  <sheets>
    <sheet name="Caract. produção" sheetId="1" state="hidden" r:id="rId1"/>
    <sheet name="Inventário" sheetId="2" state="hidden" r:id="rId2"/>
    <sheet name="Trabalho" sheetId="3" state="hidden" r:id="rId3"/>
    <sheet name="Insumos" sheetId="4" state="hidden" r:id="rId4"/>
    <sheet name="Transporte" sheetId="5" state="hidden" r:id="rId5"/>
    <sheet name="Emergy_references" sheetId="6" state="hidden" r:id="rId6"/>
    <sheet name="IGP-DI | FGV" sheetId="7" state="hidden" r:id="rId7"/>
    <sheet name="CPM_integrado" sheetId="8" state="hidden" r:id="rId8"/>
    <sheet name="CPM_integradora" sheetId="9" state="hidden" r:id="rId9"/>
    <sheet name="ATALHOS" sheetId="10" state="hidden" r:id="rId10"/>
    <sheet name="CPM_frango" sheetId="11" state="hidden" r:id="rId11"/>
    <sheet name="Facility" sheetId="12" state="hidden" r:id="rId12"/>
    <sheet name="SJR_V1" sheetId="13" state="hidden" r:id="rId13"/>
    <sheet name="EMERGY" sheetId="14" r:id="rId14"/>
    <sheet name="Emergy_V2" sheetId="15" state="hidden" r:id="rId15"/>
    <sheet name="| ref | LEIS E IN's" sheetId="16" state="hidden" r:id="rId16"/>
    <sheet name="Itens" sheetId="17" state="hidden" r:id="rId17"/>
  </sheets>
  <externalReferences>
    <externalReference r:id="rId18"/>
    <externalReference r:id="rId19"/>
  </externalReferences>
  <definedNames>
    <definedName name="solver_adj" localSheetId="13" hidden="1">EMERGY!$I$106</definedName>
    <definedName name="solver_cvg" localSheetId="13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drv" localSheetId="13" hidden="1">1</definedName>
    <definedName name="solver_eng" localSheetId="13" hidden="1">1</definedName>
    <definedName name="solver_est" localSheetId="13" hidden="1">1</definedName>
    <definedName name="solver_itr" localSheetId="13" hidden="1">2147483647</definedName>
    <definedName name="solver_mip" localSheetId="13" hidden="1">2147483647</definedName>
    <definedName name="solver_mni" localSheetId="13" hidden="1">30</definedName>
    <definedName name="solver_mrt" localSheetId="13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sl" localSheetId="13" hidden="1">2</definedName>
    <definedName name="solver_neg" localSheetId="13" hidden="1">1</definedName>
    <definedName name="solver_nod" localSheetId="13" hidden="1">2147483647</definedName>
    <definedName name="solver_num" localSheetId="13" hidden="1">0</definedName>
    <definedName name="solver_nwt" localSheetId="13" hidden="1">1</definedName>
    <definedName name="solver_opt" localSheetId="13" hidden="1">EMERGY!$I$105</definedName>
    <definedName name="solver_pre" localSheetId="13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rbv" localSheetId="13" hidden="1">1</definedName>
    <definedName name="solver_rlx" localSheetId="13" hidden="1">2</definedName>
    <definedName name="solver_rsd" localSheetId="13" hidden="1">0</definedName>
    <definedName name="solver_scl" localSheetId="13" hidden="1">1</definedName>
    <definedName name="solver_sho" localSheetId="13" hidden="1">2</definedName>
    <definedName name="solver_ssz" localSheetId="13" hidden="1">100</definedName>
    <definedName name="solver_tim" localSheetId="13" hidden="1">2147483647</definedName>
    <definedName name="solver_tol" localSheetId="13" hidden="1">1</definedName>
    <definedName name="solver_typ" localSheetId="13" hidden="1">3</definedName>
    <definedName name="solver_val" localSheetId="13" hidden="1">1</definedName>
    <definedName name="solver_ver" localSheetId="13" hidden="1">3</definedName>
    <definedName name="Z_B21478FB_9ACB_45B8_8FD5_2F18F035D5FD_.wvu.Rows" localSheetId="13" hidden="1">EMERGY!$17:$20,EMERGY!$22:$23</definedName>
  </definedNames>
  <calcPr calcId="162913"/>
  <customWorkbookViews>
    <customWorkbookView name="reviewer - Modo de exibição pessoal" guid="{B21478FB-9ACB-45B8-8FD5-2F18F035D5FD}" mergeInterval="0" personalView="1" maximized="1" xWindow="-8" yWindow="-8" windowWidth="1382" windowHeight="744" activeSheetId="14"/>
  </customWorkbookViews>
</workbook>
</file>

<file path=xl/calcChain.xml><?xml version="1.0" encoding="utf-8"?>
<calcChain xmlns="http://schemas.openxmlformats.org/spreadsheetml/2006/main">
  <c r="C592" i="14" l="1"/>
  <c r="C603" i="14"/>
  <c r="C616" i="14"/>
  <c r="C629" i="14"/>
  <c r="C628" i="14"/>
  <c r="H20" i="11" l="1"/>
  <c r="E238" i="1"/>
  <c r="E20" i="11"/>
  <c r="H25" i="11"/>
  <c r="H23" i="11"/>
  <c r="K126" i="4"/>
  <c r="H127" i="4"/>
  <c r="H128" i="4"/>
  <c r="F237" i="1"/>
  <c r="D120" i="4" s="1"/>
  <c r="H107" i="4"/>
  <c r="G64" i="4"/>
  <c r="F64" i="4"/>
  <c r="H40" i="4"/>
  <c r="G29" i="3"/>
  <c r="H23" i="2"/>
  <c r="H30" i="2" s="1"/>
  <c r="B24" i="14" l="1"/>
  <c r="C430" i="14"/>
  <c r="C432" i="14" s="1"/>
  <c r="C662" i="14" l="1"/>
  <c r="C666" i="14" l="1"/>
  <c r="D82" i="14" s="1"/>
  <c r="D81" i="14"/>
  <c r="N106" i="14" l="1"/>
  <c r="J106" i="14"/>
  <c r="D79" i="1" l="1"/>
  <c r="E22" i="3" l="1"/>
  <c r="G4" i="5" l="1"/>
  <c r="E36" i="11"/>
  <c r="K53" i="14" l="1"/>
  <c r="K49" i="14"/>
  <c r="D119" i="1" l="1"/>
  <c r="F108" i="1"/>
  <c r="F119" i="1"/>
  <c r="D108" i="1"/>
  <c r="C211" i="1"/>
  <c r="D211" i="1" s="1"/>
  <c r="F211" i="1" s="1"/>
  <c r="G27" i="3"/>
  <c r="C212" i="1"/>
  <c r="D212" i="1"/>
  <c r="F212" i="1" s="1"/>
  <c r="E30" i="4"/>
  <c r="E46" i="4" s="1"/>
  <c r="E29" i="4"/>
  <c r="E45" i="4" s="1"/>
  <c r="D72" i="1" l="1"/>
  <c r="F109" i="1" l="1"/>
  <c r="F110" i="1"/>
  <c r="F111" i="1"/>
  <c r="F112" i="1"/>
  <c r="F113" i="1"/>
  <c r="C110" i="14" l="1"/>
  <c r="C644" i="14" l="1"/>
  <c r="E76" i="14" s="1"/>
  <c r="F3" i="14" l="1"/>
  <c r="H86" i="4"/>
  <c r="C598" i="14" l="1"/>
  <c r="F235" i="1" l="1"/>
  <c r="G235" i="1" s="1"/>
  <c r="C131" i="15"/>
  <c r="D23" i="15" s="1"/>
  <c r="C129" i="15"/>
  <c r="E22" i="15" s="1"/>
  <c r="C124" i="15"/>
  <c r="C128" i="15" s="1"/>
  <c r="D22" i="15" s="1"/>
  <c r="C115" i="15"/>
  <c r="K112" i="15"/>
  <c r="L108" i="15"/>
  <c r="C108" i="15"/>
  <c r="C114" i="15" s="1"/>
  <c r="D20" i="15" s="1"/>
  <c r="F20" i="15" s="1"/>
  <c r="L107" i="15"/>
  <c r="C105" i="15"/>
  <c r="C101" i="15"/>
  <c r="C97" i="15"/>
  <c r="C100" i="15" s="1"/>
  <c r="D18" i="15" s="1"/>
  <c r="F18" i="15" s="1"/>
  <c r="C95" i="15"/>
  <c r="C91" i="15"/>
  <c r="C94" i="15" s="1"/>
  <c r="C89" i="15"/>
  <c r="C85" i="15"/>
  <c r="C88" i="15" s="1"/>
  <c r="C83" i="15"/>
  <c r="C79" i="15"/>
  <c r="C82" i="15" s="1"/>
  <c r="D17" i="15" s="1"/>
  <c r="F17" i="15" s="1"/>
  <c r="C67" i="15"/>
  <c r="C56" i="15"/>
  <c r="C43" i="15"/>
  <c r="C117" i="15" s="1"/>
  <c r="C121" i="15" s="1"/>
  <c r="D21" i="15" s="1"/>
  <c r="F21" i="15" s="1"/>
  <c r="E23" i="15"/>
  <c r="G19" i="15" s="1"/>
  <c r="E21" i="15"/>
  <c r="E20" i="15"/>
  <c r="F19" i="15"/>
  <c r="E19" i="15"/>
  <c r="D19" i="15"/>
  <c r="E18" i="15"/>
  <c r="E17" i="15"/>
  <c r="E13" i="15"/>
  <c r="E11" i="15"/>
  <c r="E10" i="15"/>
  <c r="E9" i="15"/>
  <c r="E8" i="15"/>
  <c r="E621" i="14"/>
  <c r="E620" i="14"/>
  <c r="E619" i="14"/>
  <c r="E618" i="14"/>
  <c r="E617" i="14"/>
  <c r="E616" i="14"/>
  <c r="E615" i="14"/>
  <c r="E609" i="14"/>
  <c r="E37" i="14" s="1"/>
  <c r="E608" i="14"/>
  <c r="E36" i="14" s="1"/>
  <c r="E607" i="14"/>
  <c r="E35" i="14" s="1"/>
  <c r="E606" i="14"/>
  <c r="E34" i="14" s="1"/>
  <c r="E605" i="14"/>
  <c r="E33" i="14" s="1"/>
  <c r="E604" i="14"/>
  <c r="E32" i="14" s="1"/>
  <c r="E603" i="14"/>
  <c r="E31" i="14" s="1"/>
  <c r="C597" i="14"/>
  <c r="C593" i="14"/>
  <c r="E41" i="14" s="1"/>
  <c r="C579" i="14"/>
  <c r="E44" i="14" s="1"/>
  <c r="C568" i="14"/>
  <c r="C573" i="14" s="1"/>
  <c r="C578" i="14" s="1"/>
  <c r="D44" i="14" s="1"/>
  <c r="C564" i="14"/>
  <c r="E43" i="14" s="1"/>
  <c r="C559" i="14"/>
  <c r="C558" i="14"/>
  <c r="C557" i="14"/>
  <c r="C550" i="14"/>
  <c r="E40" i="14" s="1"/>
  <c r="C543" i="14"/>
  <c r="C539" i="14"/>
  <c r="C540" i="14" s="1"/>
  <c r="C538" i="14"/>
  <c r="C537" i="14"/>
  <c r="C536" i="14"/>
  <c r="C535" i="14"/>
  <c r="C534" i="14"/>
  <c r="C520" i="14"/>
  <c r="E59" i="14" s="1"/>
  <c r="C514" i="14"/>
  <c r="C515" i="14" s="1"/>
  <c r="C516" i="14" s="1"/>
  <c r="C519" i="14" s="1"/>
  <c r="D59" i="14" s="1"/>
  <c r="C530" i="14"/>
  <c r="E60" i="14" s="1"/>
  <c r="C525" i="14"/>
  <c r="C523" i="14"/>
  <c r="C508" i="14"/>
  <c r="E58" i="14" s="1"/>
  <c r="C507" i="14"/>
  <c r="D58" i="14" s="1"/>
  <c r="C501" i="14"/>
  <c r="C502" i="14" s="1"/>
  <c r="C490" i="14"/>
  <c r="E55" i="14" s="1"/>
  <c r="E483" i="14"/>
  <c r="C483" i="14"/>
  <c r="E482" i="14"/>
  <c r="C482" i="14"/>
  <c r="E481" i="14"/>
  <c r="C481" i="14"/>
  <c r="E480" i="14"/>
  <c r="C480" i="14"/>
  <c r="E479" i="14"/>
  <c r="C479" i="14"/>
  <c r="E478" i="14"/>
  <c r="C478" i="14"/>
  <c r="E477" i="14"/>
  <c r="C477" i="14"/>
  <c r="E476" i="14"/>
  <c r="C476" i="14"/>
  <c r="C475" i="14"/>
  <c r="E474" i="14"/>
  <c r="C474" i="14"/>
  <c r="E473" i="14"/>
  <c r="C473" i="14"/>
  <c r="E472" i="14"/>
  <c r="C472" i="14"/>
  <c r="E471" i="14"/>
  <c r="C471" i="14"/>
  <c r="E468" i="14"/>
  <c r="E54" i="14" s="1"/>
  <c r="E467" i="14"/>
  <c r="E53" i="14" s="1"/>
  <c r="C464" i="14"/>
  <c r="E51" i="14" s="1"/>
  <c r="C461" i="14"/>
  <c r="C453" i="14"/>
  <c r="E50" i="14" s="1"/>
  <c r="C452" i="14"/>
  <c r="D50" i="14" s="1"/>
  <c r="C447" i="14"/>
  <c r="E49" i="14" s="1"/>
  <c r="C440" i="14"/>
  <c r="E48" i="14" s="1"/>
  <c r="C433" i="14"/>
  <c r="E47" i="14" s="1"/>
  <c r="C424" i="14"/>
  <c r="E46" i="14" s="1"/>
  <c r="C415" i="14"/>
  <c r="E45" i="14" s="1"/>
  <c r="C407" i="14"/>
  <c r="E26" i="14" s="1"/>
  <c r="C398" i="14"/>
  <c r="C406" i="14" s="1"/>
  <c r="D26" i="14" s="1"/>
  <c r="C395" i="14"/>
  <c r="E25" i="14" s="1"/>
  <c r="C385" i="14"/>
  <c r="C386" i="14" s="1"/>
  <c r="C382" i="14"/>
  <c r="C375" i="14"/>
  <c r="C369" i="14"/>
  <c r="C358" i="14"/>
  <c r="C350" i="14"/>
  <c r="C349" i="14"/>
  <c r="C348" i="14"/>
  <c r="C334" i="14"/>
  <c r="E15" i="14" s="1"/>
  <c r="C306" i="14"/>
  <c r="C296" i="14"/>
  <c r="C286" i="14"/>
  <c r="C220" i="14"/>
  <c r="C223" i="14" s="1"/>
  <c r="C199" i="14"/>
  <c r="C174" i="14"/>
  <c r="C182" i="14" s="1"/>
  <c r="C173" i="14"/>
  <c r="C181" i="14" s="1"/>
  <c r="C172" i="14"/>
  <c r="C180" i="14" s="1"/>
  <c r="C171" i="14"/>
  <c r="C179" i="14" s="1"/>
  <c r="C170" i="14"/>
  <c r="C169" i="14"/>
  <c r="C177" i="14" s="1"/>
  <c r="C154" i="14"/>
  <c r="C149" i="14"/>
  <c r="C143" i="14"/>
  <c r="E14" i="14" s="1"/>
  <c r="C130" i="14"/>
  <c r="E13" i="14" s="1"/>
  <c r="C121" i="14"/>
  <c r="C134" i="14" s="1"/>
  <c r="C113" i="14"/>
  <c r="B76" i="14"/>
  <c r="B75" i="14"/>
  <c r="B74" i="14"/>
  <c r="B73" i="14"/>
  <c r="B72" i="14"/>
  <c r="B71" i="14"/>
  <c r="B70" i="14"/>
  <c r="B69" i="14"/>
  <c r="B68" i="14"/>
  <c r="B67" i="14"/>
  <c r="B66" i="14"/>
  <c r="B65" i="14"/>
  <c r="B64" i="14"/>
  <c r="B63" i="14"/>
  <c r="B62" i="14"/>
  <c r="B61" i="14"/>
  <c r="B55" i="14"/>
  <c r="K54" i="14"/>
  <c r="B50" i="14"/>
  <c r="B49" i="14"/>
  <c r="B48" i="14"/>
  <c r="K47" i="14"/>
  <c r="B47" i="14"/>
  <c r="B46" i="14"/>
  <c r="B45" i="14"/>
  <c r="K44" i="14"/>
  <c r="K43" i="14"/>
  <c r="B39" i="14"/>
  <c r="B30" i="14"/>
  <c r="B15" i="14"/>
  <c r="B13" i="14"/>
  <c r="E12" i="14"/>
  <c r="B12" i="14"/>
  <c r="C426" i="13"/>
  <c r="D415" i="13"/>
  <c r="D411" i="13"/>
  <c r="D410" i="13"/>
  <c r="D409" i="13"/>
  <c r="D408" i="13"/>
  <c r="D407" i="13"/>
  <c r="D406" i="13"/>
  <c r="D405" i="13"/>
  <c r="D404" i="13"/>
  <c r="D403" i="13"/>
  <c r="C400" i="13"/>
  <c r="D399" i="13"/>
  <c r="C399" i="13"/>
  <c r="D398" i="13"/>
  <c r="C398" i="13"/>
  <c r="D397" i="13"/>
  <c r="I396" i="13"/>
  <c r="H396" i="13"/>
  <c r="D396" i="13"/>
  <c r="C396" i="13"/>
  <c r="I395" i="13"/>
  <c r="H395" i="13"/>
  <c r="D395" i="13"/>
  <c r="I394" i="13"/>
  <c r="H394" i="13"/>
  <c r="D394" i="13"/>
  <c r="C394" i="13"/>
  <c r="I393" i="13"/>
  <c r="H393" i="13"/>
  <c r="D393" i="13"/>
  <c r="C393" i="13"/>
  <c r="I392" i="13"/>
  <c r="H392" i="13"/>
  <c r="D392" i="13"/>
  <c r="C392" i="13"/>
  <c r="I391" i="13"/>
  <c r="H391" i="13"/>
  <c r="D388" i="13"/>
  <c r="E386" i="13"/>
  <c r="F384" i="13"/>
  <c r="D384" i="13"/>
  <c r="F383" i="13"/>
  <c r="D383" i="13"/>
  <c r="F382" i="13"/>
  <c r="D382" i="13"/>
  <c r="F381" i="13"/>
  <c r="D381" i="13"/>
  <c r="M377" i="13"/>
  <c r="L377" i="13"/>
  <c r="J377" i="13"/>
  <c r="I377" i="13"/>
  <c r="F377" i="13"/>
  <c r="M376" i="13"/>
  <c r="L376" i="13"/>
  <c r="J376" i="13"/>
  <c r="I376" i="13"/>
  <c r="F376" i="13"/>
  <c r="E376" i="13"/>
  <c r="D376" i="13"/>
  <c r="B376" i="13"/>
  <c r="M375" i="13"/>
  <c r="L375" i="13"/>
  <c r="J375" i="13"/>
  <c r="I375" i="13"/>
  <c r="F375" i="13"/>
  <c r="E375" i="13"/>
  <c r="D375" i="13"/>
  <c r="B375" i="13"/>
  <c r="M374" i="13"/>
  <c r="L374" i="13"/>
  <c r="J374" i="13"/>
  <c r="I374" i="13"/>
  <c r="F374" i="13"/>
  <c r="E374" i="13"/>
  <c r="D374" i="13"/>
  <c r="B374" i="13"/>
  <c r="M373" i="13"/>
  <c r="L373" i="13"/>
  <c r="J373" i="13"/>
  <c r="I373" i="13"/>
  <c r="F373" i="13"/>
  <c r="E373" i="13"/>
  <c r="D373" i="13"/>
  <c r="B373" i="13"/>
  <c r="M372" i="13"/>
  <c r="L372" i="13"/>
  <c r="J372" i="13"/>
  <c r="I372" i="13"/>
  <c r="F372" i="13"/>
  <c r="E372" i="13"/>
  <c r="D372" i="13"/>
  <c r="B372" i="13"/>
  <c r="M371" i="13"/>
  <c r="L371" i="13"/>
  <c r="J371" i="13"/>
  <c r="I371" i="13"/>
  <c r="F371" i="13"/>
  <c r="M370" i="13"/>
  <c r="L370" i="13"/>
  <c r="J370" i="13"/>
  <c r="I370" i="13"/>
  <c r="F370" i="13"/>
  <c r="E370" i="13"/>
  <c r="D370" i="13"/>
  <c r="B370" i="13"/>
  <c r="M369" i="13"/>
  <c r="L369" i="13"/>
  <c r="J369" i="13"/>
  <c r="I369" i="13"/>
  <c r="F369" i="13"/>
  <c r="E369" i="13"/>
  <c r="D369" i="13"/>
  <c r="B369" i="13"/>
  <c r="M368" i="13"/>
  <c r="L368" i="13"/>
  <c r="J368" i="13"/>
  <c r="I368" i="13"/>
  <c r="F368" i="13"/>
  <c r="E368" i="13"/>
  <c r="D368" i="13"/>
  <c r="B368" i="13"/>
  <c r="M367" i="13"/>
  <c r="L367" i="13"/>
  <c r="J367" i="13"/>
  <c r="I367" i="13"/>
  <c r="F367" i="13"/>
  <c r="E367" i="13"/>
  <c r="D367" i="13"/>
  <c r="B367" i="13"/>
  <c r="M366" i="13"/>
  <c r="L366" i="13"/>
  <c r="J366" i="13"/>
  <c r="I366" i="13"/>
  <c r="F366" i="13"/>
  <c r="E366" i="13"/>
  <c r="D366" i="13"/>
  <c r="B366" i="13"/>
  <c r="M365" i="13"/>
  <c r="L365" i="13"/>
  <c r="J365" i="13"/>
  <c r="I365" i="13"/>
  <c r="F365" i="13"/>
  <c r="E365" i="13"/>
  <c r="D365" i="13"/>
  <c r="B365" i="13"/>
  <c r="M364" i="13"/>
  <c r="L364" i="13"/>
  <c r="J364" i="13"/>
  <c r="I364" i="13"/>
  <c r="F364" i="13"/>
  <c r="E364" i="13"/>
  <c r="D364" i="13"/>
  <c r="B364" i="13"/>
  <c r="M363" i="13"/>
  <c r="L363" i="13"/>
  <c r="J363" i="13"/>
  <c r="I363" i="13"/>
  <c r="F363" i="13"/>
  <c r="E363" i="13"/>
  <c r="D363" i="13"/>
  <c r="B363" i="13"/>
  <c r="M362" i="13"/>
  <c r="L362" i="13"/>
  <c r="J362" i="13"/>
  <c r="I362" i="13"/>
  <c r="F362" i="13"/>
  <c r="E362" i="13"/>
  <c r="D362" i="13"/>
  <c r="B362" i="13"/>
  <c r="M361" i="13"/>
  <c r="L361" i="13"/>
  <c r="J361" i="13"/>
  <c r="I361" i="13"/>
  <c r="F361" i="13"/>
  <c r="E361" i="13"/>
  <c r="D361" i="13"/>
  <c r="B361" i="13"/>
  <c r="M360" i="13"/>
  <c r="J360" i="13"/>
  <c r="I360" i="13"/>
  <c r="F360" i="13"/>
  <c r="E360" i="13"/>
  <c r="D360" i="13"/>
  <c r="B360" i="13"/>
  <c r="M359" i="13"/>
  <c r="L359" i="13"/>
  <c r="J359" i="13"/>
  <c r="I359" i="13"/>
  <c r="F359" i="13"/>
  <c r="E359" i="13"/>
  <c r="D359" i="13"/>
  <c r="B359" i="13"/>
  <c r="M358" i="13"/>
  <c r="L358" i="13"/>
  <c r="J358" i="13"/>
  <c r="I358" i="13"/>
  <c r="F358" i="13"/>
  <c r="E358" i="13"/>
  <c r="D358" i="13"/>
  <c r="B358" i="13"/>
  <c r="M357" i="13"/>
  <c r="L357" i="13"/>
  <c r="J357" i="13"/>
  <c r="I357" i="13"/>
  <c r="F357" i="13"/>
  <c r="E357" i="13"/>
  <c r="D357" i="13"/>
  <c r="B357" i="13"/>
  <c r="M356" i="13"/>
  <c r="L356" i="13"/>
  <c r="J356" i="13"/>
  <c r="I356" i="13"/>
  <c r="F356" i="13"/>
  <c r="E356" i="13"/>
  <c r="D356" i="13"/>
  <c r="B356" i="13"/>
  <c r="M355" i="13"/>
  <c r="L355" i="13"/>
  <c r="J355" i="13"/>
  <c r="I355" i="13"/>
  <c r="F355" i="13"/>
  <c r="E355" i="13"/>
  <c r="D355" i="13"/>
  <c r="B355" i="13"/>
  <c r="M354" i="13"/>
  <c r="L354" i="13"/>
  <c r="J354" i="13"/>
  <c r="I354" i="13"/>
  <c r="F354" i="13"/>
  <c r="E354" i="13"/>
  <c r="D354" i="13"/>
  <c r="B354" i="13"/>
  <c r="M353" i="13"/>
  <c r="L353" i="13"/>
  <c r="J353" i="13"/>
  <c r="I353" i="13"/>
  <c r="F353" i="13"/>
  <c r="E353" i="13"/>
  <c r="D353" i="13"/>
  <c r="B353" i="13"/>
  <c r="M352" i="13"/>
  <c r="L352" i="13"/>
  <c r="J352" i="13"/>
  <c r="I352" i="13"/>
  <c r="F352" i="13"/>
  <c r="E352" i="13"/>
  <c r="D352" i="13"/>
  <c r="B352" i="13"/>
  <c r="M351" i="13"/>
  <c r="L351" i="13"/>
  <c r="J351" i="13"/>
  <c r="I351" i="13"/>
  <c r="F351" i="13"/>
  <c r="E351" i="13"/>
  <c r="D351" i="13"/>
  <c r="B351" i="13"/>
  <c r="M350" i="13"/>
  <c r="L350" i="13"/>
  <c r="J350" i="13"/>
  <c r="I350" i="13"/>
  <c r="F350" i="13"/>
  <c r="E350" i="13"/>
  <c r="D350" i="13"/>
  <c r="B350" i="13"/>
  <c r="M349" i="13"/>
  <c r="L349" i="13"/>
  <c r="J349" i="13"/>
  <c r="I349" i="13"/>
  <c r="F349" i="13"/>
  <c r="E349" i="13"/>
  <c r="D349" i="13"/>
  <c r="B349" i="13"/>
  <c r="M348" i="13"/>
  <c r="L348" i="13"/>
  <c r="J348" i="13"/>
  <c r="I348" i="13"/>
  <c r="F348" i="13"/>
  <c r="E348" i="13"/>
  <c r="D348" i="13"/>
  <c r="B348" i="13"/>
  <c r="M347" i="13"/>
  <c r="L347" i="13"/>
  <c r="J347" i="13"/>
  <c r="I347" i="13"/>
  <c r="F347" i="13"/>
  <c r="E347" i="13"/>
  <c r="D347" i="13"/>
  <c r="B347" i="13"/>
  <c r="M346" i="13"/>
  <c r="L346" i="13"/>
  <c r="J346" i="13"/>
  <c r="I346" i="13"/>
  <c r="F346" i="13"/>
  <c r="E346" i="13"/>
  <c r="D346" i="13"/>
  <c r="B346" i="13"/>
  <c r="M345" i="13"/>
  <c r="L345" i="13"/>
  <c r="J345" i="13"/>
  <c r="I345" i="13"/>
  <c r="F345" i="13"/>
  <c r="E345" i="13"/>
  <c r="D345" i="13"/>
  <c r="B345" i="13"/>
  <c r="M344" i="13"/>
  <c r="L344" i="13"/>
  <c r="J344" i="13"/>
  <c r="I344" i="13"/>
  <c r="F344" i="13"/>
  <c r="M343" i="13"/>
  <c r="L343" i="13"/>
  <c r="J343" i="13"/>
  <c r="F343" i="13"/>
  <c r="E343" i="13"/>
  <c r="D343" i="13"/>
  <c r="M342" i="13"/>
  <c r="L342" i="13"/>
  <c r="J342" i="13"/>
  <c r="I342" i="13"/>
  <c r="F342" i="13"/>
  <c r="M341" i="13"/>
  <c r="L341" i="13"/>
  <c r="J341" i="13"/>
  <c r="I341" i="13"/>
  <c r="G341" i="13"/>
  <c r="F341" i="13"/>
  <c r="E341" i="13"/>
  <c r="D341" i="13"/>
  <c r="M340" i="13"/>
  <c r="L340" i="13"/>
  <c r="J340" i="13"/>
  <c r="I340" i="13"/>
  <c r="G340" i="13"/>
  <c r="F340" i="13"/>
  <c r="E340" i="13"/>
  <c r="D340" i="13"/>
  <c r="M339" i="13"/>
  <c r="L339" i="13"/>
  <c r="J339" i="13"/>
  <c r="I339" i="13"/>
  <c r="G339" i="13"/>
  <c r="F339" i="13"/>
  <c r="E339" i="13"/>
  <c r="D339" i="13"/>
  <c r="M338" i="13"/>
  <c r="L338" i="13"/>
  <c r="J338" i="13"/>
  <c r="I338" i="13"/>
  <c r="G338" i="13"/>
  <c r="F338" i="13"/>
  <c r="E338" i="13"/>
  <c r="D338" i="13"/>
  <c r="M337" i="13"/>
  <c r="L337" i="13"/>
  <c r="J337" i="13"/>
  <c r="I337" i="13"/>
  <c r="F337" i="13"/>
  <c r="G331" i="13"/>
  <c r="E331" i="13"/>
  <c r="G330" i="13"/>
  <c r="E330" i="13"/>
  <c r="D330" i="13"/>
  <c r="G329" i="13"/>
  <c r="E329" i="13"/>
  <c r="D329" i="13"/>
  <c r="G328" i="13"/>
  <c r="E328" i="13"/>
  <c r="D328" i="13"/>
  <c r="D325" i="13"/>
  <c r="D323" i="13"/>
  <c r="D321" i="13"/>
  <c r="D320" i="13"/>
  <c r="D319" i="13"/>
  <c r="D317" i="13"/>
  <c r="D315" i="13"/>
  <c r="D313" i="13"/>
  <c r="D312" i="13"/>
  <c r="D311" i="13"/>
  <c r="D309" i="13"/>
  <c r="D307" i="13"/>
  <c r="D305" i="13"/>
  <c r="D304" i="13"/>
  <c r="D302" i="13"/>
  <c r="D300" i="13"/>
  <c r="D298" i="13"/>
  <c r="D296" i="13"/>
  <c r="D295" i="13"/>
  <c r="D293" i="13"/>
  <c r="D291" i="13"/>
  <c r="D289" i="13"/>
  <c r="D287" i="13"/>
  <c r="D286" i="13"/>
  <c r="D284" i="13"/>
  <c r="D283" i="13"/>
  <c r="D281" i="13"/>
  <c r="D279" i="13"/>
  <c r="D277" i="13"/>
  <c r="D273" i="13"/>
  <c r="D271" i="13"/>
  <c r="D269" i="13"/>
  <c r="D265" i="13"/>
  <c r="D263" i="13"/>
  <c r="D261" i="13"/>
  <c r="D259" i="13"/>
  <c r="D257" i="13"/>
  <c r="D255" i="13"/>
  <c r="D253" i="13"/>
  <c r="D251" i="13"/>
  <c r="D249" i="13"/>
  <c r="D247" i="13"/>
  <c r="D245" i="13"/>
  <c r="D243" i="13"/>
  <c r="D241" i="13"/>
  <c r="D239" i="13"/>
  <c r="D238" i="13"/>
  <c r="D236" i="13"/>
  <c r="D234" i="13"/>
  <c r="D232" i="13"/>
  <c r="D231" i="13"/>
  <c r="D230" i="13"/>
  <c r="D228" i="13"/>
  <c r="D226" i="13"/>
  <c r="D224" i="13"/>
  <c r="D222" i="13"/>
  <c r="D221" i="13"/>
  <c r="D219" i="13"/>
  <c r="D217" i="13"/>
  <c r="D215" i="13"/>
  <c r="D212" i="13"/>
  <c r="D210" i="13"/>
  <c r="D208" i="13"/>
  <c r="D206" i="13"/>
  <c r="D203" i="13"/>
  <c r="D201" i="13"/>
  <c r="D199" i="13"/>
  <c r="D197" i="13"/>
  <c r="D194" i="13"/>
  <c r="D193" i="13"/>
  <c r="D191" i="13"/>
  <c r="D189" i="13"/>
  <c r="D187" i="13"/>
  <c r="D184" i="13"/>
  <c r="D182" i="13"/>
  <c r="D180" i="13"/>
  <c r="D178" i="13"/>
  <c r="D175" i="13"/>
  <c r="D173" i="13"/>
  <c r="D171" i="13"/>
  <c r="D169" i="13"/>
  <c r="D165" i="13"/>
  <c r="D163" i="13"/>
  <c r="D161" i="13"/>
  <c r="D160" i="13"/>
  <c r="D157" i="13"/>
  <c r="D155" i="13"/>
  <c r="D153" i="13"/>
  <c r="D152" i="13"/>
  <c r="D148" i="13"/>
  <c r="D146" i="13"/>
  <c r="D144" i="13"/>
  <c r="D143" i="13"/>
  <c r="D140" i="13"/>
  <c r="D138" i="13"/>
  <c r="D136" i="13"/>
  <c r="D135" i="13"/>
  <c r="D132" i="13"/>
  <c r="D130" i="13"/>
  <c r="D128" i="13"/>
  <c r="D127" i="13"/>
  <c r="D122" i="13"/>
  <c r="D120" i="13"/>
  <c r="D118" i="13"/>
  <c r="D117" i="13"/>
  <c r="D114" i="13"/>
  <c r="D112" i="13"/>
  <c r="D110" i="13"/>
  <c r="D109" i="13"/>
  <c r="D107" i="13"/>
  <c r="D105" i="13"/>
  <c r="D103" i="13"/>
  <c r="D102" i="13"/>
  <c r="D101" i="13"/>
  <c r="D99" i="13"/>
  <c r="D97" i="13"/>
  <c r="D95" i="13"/>
  <c r="D94" i="13"/>
  <c r="D92" i="13"/>
  <c r="B91" i="13"/>
  <c r="D90" i="13"/>
  <c r="D88" i="13"/>
  <c r="D87" i="13"/>
  <c r="D85" i="13"/>
  <c r="B84" i="13"/>
  <c r="D83" i="13"/>
  <c r="D81" i="13"/>
  <c r="D80" i="13"/>
  <c r="D78" i="13"/>
  <c r="B77" i="13"/>
  <c r="D76" i="13"/>
  <c r="D74" i="13"/>
  <c r="D73" i="13"/>
  <c r="D71" i="13"/>
  <c r="D69" i="13"/>
  <c r="D67" i="13"/>
  <c r="D66" i="13"/>
  <c r="D59" i="13"/>
  <c r="D58" i="13"/>
  <c r="D56" i="13"/>
  <c r="D54" i="13"/>
  <c r="D50" i="13"/>
  <c r="D47" i="13"/>
  <c r="D46" i="13"/>
  <c r="D44" i="13"/>
  <c r="D42" i="13"/>
  <c r="D39" i="13"/>
  <c r="D37" i="13"/>
  <c r="D35" i="13"/>
  <c r="D33" i="13"/>
  <c r="D30" i="13"/>
  <c r="D27" i="13"/>
  <c r="D25" i="13"/>
  <c r="D23" i="13"/>
  <c r="D21" i="13"/>
  <c r="D17" i="13"/>
  <c r="D15" i="13"/>
  <c r="D13" i="13"/>
  <c r="D10" i="13"/>
  <c r="D9" i="13"/>
  <c r="D3" i="13"/>
  <c r="D2" i="13"/>
  <c r="D58" i="12"/>
  <c r="B58" i="12"/>
  <c r="D57" i="12"/>
  <c r="B57" i="12"/>
  <c r="D56" i="12"/>
  <c r="B56" i="12"/>
  <c r="D55" i="12"/>
  <c r="B55" i="12"/>
  <c r="D54" i="12"/>
  <c r="B54" i="12"/>
  <c r="D53" i="12"/>
  <c r="B53" i="12"/>
  <c r="D52" i="12"/>
  <c r="B52" i="12"/>
  <c r="E48" i="12"/>
  <c r="E47" i="12"/>
  <c r="E45" i="12"/>
  <c r="E44" i="12"/>
  <c r="E42" i="12"/>
  <c r="E41" i="12"/>
  <c r="E40" i="12"/>
  <c r="E39" i="12"/>
  <c r="E38" i="12"/>
  <c r="E37" i="12"/>
  <c r="E32" i="12"/>
  <c r="E31" i="12"/>
  <c r="E30" i="12"/>
  <c r="E25" i="12"/>
  <c r="E24" i="12"/>
  <c r="E23" i="12"/>
  <c r="E22" i="12"/>
  <c r="E20" i="12"/>
  <c r="E5" i="12"/>
  <c r="H35" i="11"/>
  <c r="J43" i="9"/>
  <c r="J41" i="9"/>
  <c r="V37" i="9"/>
  <c r="S37" i="9"/>
  <c r="V35" i="9"/>
  <c r="S35" i="9"/>
  <c r="G35" i="9"/>
  <c r="V33" i="9"/>
  <c r="S33" i="9"/>
  <c r="G33" i="9"/>
  <c r="V31" i="9"/>
  <c r="S31" i="9"/>
  <c r="G31" i="9"/>
  <c r="D31" i="9"/>
  <c r="AE27" i="9"/>
  <c r="AB27" i="9"/>
  <c r="Y27" i="9"/>
  <c r="V27" i="9"/>
  <c r="Q27" i="9"/>
  <c r="O27" i="9"/>
  <c r="J27" i="9"/>
  <c r="G27" i="9"/>
  <c r="D27" i="9"/>
  <c r="AE25" i="9"/>
  <c r="AB25" i="9"/>
  <c r="Y25" i="9"/>
  <c r="V25" i="9"/>
  <c r="Q25" i="9"/>
  <c r="O25" i="9"/>
  <c r="D25" i="9"/>
  <c r="AE23" i="9"/>
  <c r="AB23" i="9"/>
  <c r="Y23" i="9"/>
  <c r="V23" i="9"/>
  <c r="Q23" i="9"/>
  <c r="O23" i="9"/>
  <c r="G23" i="9"/>
  <c r="AE21" i="9"/>
  <c r="AB21" i="9"/>
  <c r="Y21" i="9"/>
  <c r="V21" i="9"/>
  <c r="Q21" i="9"/>
  <c r="O21" i="9"/>
  <c r="J21" i="9"/>
  <c r="AE19" i="9"/>
  <c r="AB19" i="9"/>
  <c r="Y19" i="9"/>
  <c r="V19" i="9"/>
  <c r="Q19" i="9"/>
  <c r="O19" i="9"/>
  <c r="AE17" i="9"/>
  <c r="AB17" i="9"/>
  <c r="Y17" i="9"/>
  <c r="V17" i="9"/>
  <c r="Q17" i="9"/>
  <c r="O17" i="9"/>
  <c r="AE15" i="9"/>
  <c r="AB15" i="9"/>
  <c r="Y15" i="9"/>
  <c r="V15" i="9"/>
  <c r="Q15" i="9"/>
  <c r="O15" i="9"/>
  <c r="AE13" i="9"/>
  <c r="AB13" i="9"/>
  <c r="Y13" i="9"/>
  <c r="V13" i="9"/>
  <c r="Q13" i="9"/>
  <c r="O13" i="9"/>
  <c r="J13" i="9"/>
  <c r="D13" i="9"/>
  <c r="AE11" i="9"/>
  <c r="AB11" i="9"/>
  <c r="Y11" i="9"/>
  <c r="V11" i="9"/>
  <c r="Q11" i="9"/>
  <c r="O11" i="9"/>
  <c r="D11" i="9"/>
  <c r="AE9" i="9"/>
  <c r="AB9" i="9"/>
  <c r="Y9" i="9"/>
  <c r="V9" i="9"/>
  <c r="Q9" i="9"/>
  <c r="O9" i="9"/>
  <c r="D9" i="9"/>
  <c r="AE7" i="9"/>
  <c r="AB7" i="9"/>
  <c r="Y7" i="9"/>
  <c r="V7" i="9"/>
  <c r="Q7" i="9"/>
  <c r="O7" i="9"/>
  <c r="J7" i="9"/>
  <c r="AE5" i="9"/>
  <c r="AB5" i="9"/>
  <c r="Y5" i="9"/>
  <c r="V5" i="9"/>
  <c r="Q5" i="9"/>
  <c r="O5" i="9"/>
  <c r="D5" i="9"/>
  <c r="J43" i="8"/>
  <c r="J41" i="8"/>
  <c r="V37" i="8"/>
  <c r="S37" i="8"/>
  <c r="V35" i="8"/>
  <c r="S35" i="8"/>
  <c r="G35" i="8"/>
  <c r="D35" i="8"/>
  <c r="V33" i="8"/>
  <c r="S33" i="8"/>
  <c r="V31" i="8"/>
  <c r="S31" i="8"/>
  <c r="G31" i="8"/>
  <c r="D31" i="8"/>
  <c r="AE27" i="8"/>
  <c r="AB27" i="8"/>
  <c r="Y27" i="8"/>
  <c r="V27" i="8"/>
  <c r="Q27" i="8"/>
  <c r="O27" i="8"/>
  <c r="J27" i="8"/>
  <c r="G27" i="8"/>
  <c r="D27" i="8"/>
  <c r="AE25" i="8"/>
  <c r="AB25" i="8"/>
  <c r="Y25" i="8"/>
  <c r="V25" i="8"/>
  <c r="Q25" i="8"/>
  <c r="O25" i="8"/>
  <c r="AE23" i="8"/>
  <c r="AB23" i="8"/>
  <c r="Y23" i="8"/>
  <c r="V23" i="8"/>
  <c r="Q23" i="8"/>
  <c r="O23" i="8"/>
  <c r="G23" i="8"/>
  <c r="AE21" i="8"/>
  <c r="AB21" i="8"/>
  <c r="Y21" i="8"/>
  <c r="V21" i="8"/>
  <c r="Q21" i="8"/>
  <c r="O21" i="8"/>
  <c r="J21" i="8"/>
  <c r="AE19" i="8"/>
  <c r="AB19" i="8"/>
  <c r="Y19" i="8"/>
  <c r="V19" i="8"/>
  <c r="Q19" i="8"/>
  <c r="O19" i="8"/>
  <c r="J19" i="8"/>
  <c r="AE17" i="8"/>
  <c r="AB17" i="8"/>
  <c r="Y17" i="8"/>
  <c r="V17" i="8"/>
  <c r="Q17" i="8"/>
  <c r="O17" i="8"/>
  <c r="D17" i="8"/>
  <c r="AE15" i="8"/>
  <c r="AB15" i="8"/>
  <c r="Y15" i="8"/>
  <c r="V15" i="8"/>
  <c r="Q15" i="8"/>
  <c r="O15" i="8"/>
  <c r="J15" i="8"/>
  <c r="AE13" i="8"/>
  <c r="AB13" i="8"/>
  <c r="Y13" i="8"/>
  <c r="V13" i="8"/>
  <c r="Q13" i="8"/>
  <c r="O13" i="8"/>
  <c r="AE11" i="8"/>
  <c r="AB11" i="8"/>
  <c r="Y11" i="8"/>
  <c r="V11" i="8"/>
  <c r="Q11" i="8"/>
  <c r="O11" i="8"/>
  <c r="AE9" i="8"/>
  <c r="AB9" i="8"/>
  <c r="Y9" i="8"/>
  <c r="V9" i="8"/>
  <c r="Q9" i="8"/>
  <c r="O9" i="8"/>
  <c r="AE7" i="8"/>
  <c r="AB7" i="8"/>
  <c r="Y7" i="8"/>
  <c r="V7" i="8"/>
  <c r="Q7" i="8"/>
  <c r="O7" i="8"/>
  <c r="J7" i="8"/>
  <c r="G7" i="8"/>
  <c r="D7" i="8"/>
  <c r="AE5" i="8"/>
  <c r="AB5" i="8"/>
  <c r="Y5" i="8"/>
  <c r="V5" i="8"/>
  <c r="Q5" i="8"/>
  <c r="O5" i="8"/>
  <c r="J5" i="8"/>
  <c r="F19" i="6"/>
  <c r="F14" i="6"/>
  <c r="F13" i="6"/>
  <c r="F12" i="6"/>
  <c r="F11" i="6"/>
  <c r="F10" i="6"/>
  <c r="F8" i="6"/>
  <c r="F7" i="6"/>
  <c r="F6" i="6"/>
  <c r="F5" i="6"/>
  <c r="F4" i="6"/>
  <c r="D121" i="4"/>
  <c r="D119" i="4"/>
  <c r="E112" i="4"/>
  <c r="D112" i="4"/>
  <c r="F106" i="4"/>
  <c r="E106" i="4"/>
  <c r="D106" i="4"/>
  <c r="C106" i="4"/>
  <c r="F105" i="4"/>
  <c r="E105" i="4"/>
  <c r="D105" i="4"/>
  <c r="C105" i="4"/>
  <c r="E104" i="4"/>
  <c r="D104" i="4"/>
  <c r="F104" i="4" s="1"/>
  <c r="C104" i="4"/>
  <c r="F103" i="4"/>
  <c r="E103" i="4"/>
  <c r="C231" i="14" s="1"/>
  <c r="D103" i="4"/>
  <c r="C103" i="4"/>
  <c r="E102" i="4"/>
  <c r="C257" i="14" s="1"/>
  <c r="D102" i="4"/>
  <c r="F102" i="4" s="1"/>
  <c r="C102" i="4"/>
  <c r="E101" i="4"/>
  <c r="D101" i="4"/>
  <c r="C101" i="4"/>
  <c r="E100" i="4"/>
  <c r="D100" i="4"/>
  <c r="C100" i="4"/>
  <c r="F99" i="4"/>
  <c r="E99" i="4"/>
  <c r="D99" i="4"/>
  <c r="C99" i="4"/>
  <c r="H94" i="4"/>
  <c r="D92" i="4"/>
  <c r="E91" i="4"/>
  <c r="E18" i="11" s="1"/>
  <c r="D91" i="4"/>
  <c r="E90" i="4"/>
  <c r="D90" i="4"/>
  <c r="K84" i="4"/>
  <c r="H84" i="4"/>
  <c r="G84" i="4"/>
  <c r="F84" i="4"/>
  <c r="E84" i="4"/>
  <c r="D84" i="4"/>
  <c r="C84" i="4"/>
  <c r="K83" i="4"/>
  <c r="H83" i="4"/>
  <c r="G83" i="4"/>
  <c r="F83" i="4"/>
  <c r="E83" i="4"/>
  <c r="D83" i="4"/>
  <c r="C83" i="4"/>
  <c r="K82" i="4"/>
  <c r="H82" i="4"/>
  <c r="G82" i="4"/>
  <c r="F82" i="4"/>
  <c r="E82" i="4"/>
  <c r="D82" i="4"/>
  <c r="C82" i="4"/>
  <c r="K81" i="4"/>
  <c r="H81" i="4"/>
  <c r="G81" i="4"/>
  <c r="F81" i="4"/>
  <c r="E81" i="4"/>
  <c r="D81" i="4"/>
  <c r="C81" i="4"/>
  <c r="K80" i="4"/>
  <c r="H80" i="4"/>
  <c r="G80" i="4"/>
  <c r="F80" i="4"/>
  <c r="E80" i="4"/>
  <c r="D80" i="4"/>
  <c r="C80" i="4"/>
  <c r="K79" i="4"/>
  <c r="H79" i="4"/>
  <c r="G79" i="4"/>
  <c r="F79" i="4"/>
  <c r="E79" i="4"/>
  <c r="D79" i="4"/>
  <c r="C79" i="4"/>
  <c r="K78" i="4"/>
  <c r="H78" i="4"/>
  <c r="G78" i="4"/>
  <c r="F78" i="4"/>
  <c r="E78" i="4"/>
  <c r="D78" i="4"/>
  <c r="C78" i="4"/>
  <c r="K77" i="4"/>
  <c r="H77" i="4"/>
  <c r="G77" i="4"/>
  <c r="F77" i="4"/>
  <c r="E77" i="4"/>
  <c r="D77" i="4"/>
  <c r="C77" i="4"/>
  <c r="K76" i="4"/>
  <c r="H76" i="4"/>
  <c r="G76" i="4"/>
  <c r="F76" i="4"/>
  <c r="E76" i="4"/>
  <c r="D76" i="4"/>
  <c r="C76" i="4"/>
  <c r="K75" i="4"/>
  <c r="H75" i="4"/>
  <c r="G75" i="4"/>
  <c r="F75" i="4"/>
  <c r="E75" i="4"/>
  <c r="D75" i="4"/>
  <c r="C75" i="4"/>
  <c r="G74" i="4"/>
  <c r="F74" i="4"/>
  <c r="E74" i="4"/>
  <c r="D74" i="4"/>
  <c r="G67" i="4"/>
  <c r="F67" i="4"/>
  <c r="E67" i="4"/>
  <c r="D67" i="4"/>
  <c r="G66" i="4"/>
  <c r="F66" i="4"/>
  <c r="E66" i="4"/>
  <c r="D66" i="4"/>
  <c r="F65" i="4"/>
  <c r="E65" i="4"/>
  <c r="D65" i="4"/>
  <c r="E64" i="4"/>
  <c r="D64" i="4"/>
  <c r="G63" i="4"/>
  <c r="F63" i="4"/>
  <c r="E63" i="4"/>
  <c r="D63" i="4"/>
  <c r="G5" i="4"/>
  <c r="H5" i="4" s="1"/>
  <c r="E8" i="11"/>
  <c r="G18" i="3"/>
  <c r="F18" i="3"/>
  <c r="E18" i="3"/>
  <c r="D18" i="3"/>
  <c r="G13" i="3"/>
  <c r="F13" i="3"/>
  <c r="E13" i="3"/>
  <c r="F12" i="3"/>
  <c r="G12" i="3" s="1"/>
  <c r="E12" i="3"/>
  <c r="G11" i="3"/>
  <c r="F11" i="3"/>
  <c r="E11" i="3"/>
  <c r="F10" i="3"/>
  <c r="E10" i="3"/>
  <c r="C556" i="14" s="1"/>
  <c r="G9" i="3"/>
  <c r="E9" i="3"/>
  <c r="G28" i="2"/>
  <c r="F28" i="2"/>
  <c r="H28" i="2" s="1"/>
  <c r="E28" i="2"/>
  <c r="D28" i="2"/>
  <c r="B28" i="2"/>
  <c r="G27" i="2"/>
  <c r="F27" i="2"/>
  <c r="H27" i="2" s="1"/>
  <c r="E27" i="2"/>
  <c r="D27" i="2"/>
  <c r="B27" i="2"/>
  <c r="H26" i="2"/>
  <c r="G26" i="2"/>
  <c r="F26" i="2"/>
  <c r="E26" i="2"/>
  <c r="D26" i="2"/>
  <c r="B26" i="2"/>
  <c r="G25" i="2"/>
  <c r="F25" i="2"/>
  <c r="H25" i="2" s="1"/>
  <c r="E25" i="2"/>
  <c r="D25" i="2"/>
  <c r="B25" i="2"/>
  <c r="E24" i="2"/>
  <c r="D24" i="2"/>
  <c r="B24" i="2"/>
  <c r="F23" i="2"/>
  <c r="E23" i="2"/>
  <c r="B23" i="2"/>
  <c r="H18" i="2"/>
  <c r="G18" i="2"/>
  <c r="F18" i="2"/>
  <c r="E18" i="2"/>
  <c r="D18" i="2"/>
  <c r="C18" i="2"/>
  <c r="B18" i="2"/>
  <c r="H17" i="2"/>
  <c r="G17" i="2"/>
  <c r="F17" i="2"/>
  <c r="E17" i="2"/>
  <c r="D17" i="2"/>
  <c r="C17" i="2"/>
  <c r="B17" i="2"/>
  <c r="H16" i="2"/>
  <c r="G16" i="2"/>
  <c r="F16" i="2"/>
  <c r="E16" i="2"/>
  <c r="D16" i="2"/>
  <c r="C16" i="2"/>
  <c r="B16" i="2"/>
  <c r="H15" i="2"/>
  <c r="G15" i="2"/>
  <c r="F15" i="2"/>
  <c r="E15" i="2"/>
  <c r="D15" i="2"/>
  <c r="C15" i="2"/>
  <c r="B15" i="2"/>
  <c r="H14" i="2"/>
  <c r="G14" i="2"/>
  <c r="F14" i="2"/>
  <c r="E14" i="2"/>
  <c r="D14" i="2"/>
  <c r="C14" i="2"/>
  <c r="B14" i="2"/>
  <c r="H13" i="2"/>
  <c r="G13" i="2"/>
  <c r="F13" i="2"/>
  <c r="E13" i="2"/>
  <c r="D13" i="2"/>
  <c r="C13" i="2"/>
  <c r="B13" i="2"/>
  <c r="H12" i="2"/>
  <c r="G12" i="2"/>
  <c r="F12" i="2"/>
  <c r="E12" i="2"/>
  <c r="D12" i="2"/>
  <c r="C12" i="2"/>
  <c r="B12" i="2"/>
  <c r="H11" i="2"/>
  <c r="G11" i="2"/>
  <c r="F11" i="2"/>
  <c r="E11" i="2"/>
  <c r="D11" i="2"/>
  <c r="C11" i="2"/>
  <c r="B11" i="2"/>
  <c r="E10" i="2"/>
  <c r="E475" i="14" s="1"/>
  <c r="D10" i="2"/>
  <c r="C10" i="2"/>
  <c r="B10" i="2"/>
  <c r="H9" i="2"/>
  <c r="G9" i="2"/>
  <c r="F9" i="2"/>
  <c r="E9" i="2"/>
  <c r="D9" i="2"/>
  <c r="C9" i="2"/>
  <c r="B9" i="2"/>
  <c r="E8" i="2"/>
  <c r="C8" i="2"/>
  <c r="B8" i="2"/>
  <c r="H7" i="2"/>
  <c r="G7" i="2"/>
  <c r="F7" i="2"/>
  <c r="E7" i="2"/>
  <c r="D7" i="2"/>
  <c r="C7" i="2"/>
  <c r="B7" i="2"/>
  <c r="H6" i="2"/>
  <c r="G6" i="2"/>
  <c r="F6" i="2"/>
  <c r="E6" i="2"/>
  <c r="D6" i="2"/>
  <c r="C6" i="2"/>
  <c r="B6" i="2"/>
  <c r="G231" i="1"/>
  <c r="G230" i="1"/>
  <c r="G229" i="1"/>
  <c r="G228" i="1"/>
  <c r="G227" i="1"/>
  <c r="G226" i="1"/>
  <c r="G225" i="1"/>
  <c r="G224" i="1"/>
  <c r="G223" i="1"/>
  <c r="G222" i="1"/>
  <c r="F218" i="1"/>
  <c r="E92" i="4" s="1"/>
  <c r="F217" i="1"/>
  <c r="F214" i="1"/>
  <c r="F213" i="1"/>
  <c r="G207" i="1"/>
  <c r="G206" i="1"/>
  <c r="G205" i="1"/>
  <c r="G204" i="1"/>
  <c r="G203" i="1"/>
  <c r="G202" i="1"/>
  <c r="G201" i="1"/>
  <c r="G200" i="1"/>
  <c r="G199" i="1"/>
  <c r="G198" i="1"/>
  <c r="G195" i="1"/>
  <c r="G194" i="1"/>
  <c r="G193" i="1"/>
  <c r="G192" i="1"/>
  <c r="G191" i="1"/>
  <c r="G190" i="1"/>
  <c r="G189" i="1"/>
  <c r="G188" i="1"/>
  <c r="G187" i="1"/>
  <c r="G186" i="1"/>
  <c r="G183" i="1"/>
  <c r="G182" i="1"/>
  <c r="G181" i="1"/>
  <c r="G180" i="1"/>
  <c r="G179" i="1"/>
  <c r="G178" i="1"/>
  <c r="G177" i="1"/>
  <c r="G176" i="1"/>
  <c r="G175" i="1"/>
  <c r="G174" i="1"/>
  <c r="F169" i="1"/>
  <c r="F168" i="1"/>
  <c r="F167" i="1"/>
  <c r="F166" i="1"/>
  <c r="F165" i="1"/>
  <c r="F164" i="1"/>
  <c r="F163" i="1"/>
  <c r="F162" i="1"/>
  <c r="E158" i="1"/>
  <c r="F112" i="4" s="1"/>
  <c r="F129" i="1"/>
  <c r="F128" i="1"/>
  <c r="F127" i="1"/>
  <c r="F126" i="1"/>
  <c r="F125" i="1"/>
  <c r="F124" i="1"/>
  <c r="F123" i="1"/>
  <c r="F122" i="1"/>
  <c r="F121" i="1"/>
  <c r="F10" i="2" s="1"/>
  <c r="F120" i="1"/>
  <c r="H119" i="1"/>
  <c r="F118" i="1"/>
  <c r="F117" i="1"/>
  <c r="F24" i="2"/>
  <c r="E99" i="1"/>
  <c r="E98" i="1"/>
  <c r="E97" i="1"/>
  <c r="E90" i="1"/>
  <c r="E89" i="1"/>
  <c r="E88" i="1"/>
  <c r="E87" i="1"/>
  <c r="D71" i="1"/>
  <c r="B38" i="1"/>
  <c r="B37" i="1"/>
  <c r="B36" i="1"/>
  <c r="B35" i="1"/>
  <c r="B34" i="1"/>
  <c r="B33" i="1"/>
  <c r="B32" i="1"/>
  <c r="B31" i="1"/>
  <c r="B29" i="1"/>
  <c r="E28" i="1"/>
  <c r="B28" i="1"/>
  <c r="E27" i="1"/>
  <c r="B27" i="1"/>
  <c r="E26" i="1"/>
  <c r="B26" i="1"/>
  <c r="E24" i="14" l="1"/>
  <c r="C463" i="14"/>
  <c r="D51" i="14" s="1"/>
  <c r="F51" i="14" s="1"/>
  <c r="G51" i="14" s="1"/>
  <c r="F26" i="14"/>
  <c r="D31" i="14"/>
  <c r="F31" i="14" s="1"/>
  <c r="H18" i="11"/>
  <c r="K18" i="11" s="1"/>
  <c r="N18" i="11" s="1"/>
  <c r="E10" i="11"/>
  <c r="G65" i="4"/>
  <c r="F101" i="4"/>
  <c r="C436" i="14"/>
  <c r="C439" i="14" s="1"/>
  <c r="D48" i="14" s="1"/>
  <c r="F48" i="14" s="1"/>
  <c r="C414" i="14"/>
  <c r="D45" i="14" s="1"/>
  <c r="F45" i="14" s="1"/>
  <c r="E12" i="11"/>
  <c r="G10" i="2"/>
  <c r="C582" i="14"/>
  <c r="C587" i="14" s="1"/>
  <c r="D41" i="14" s="1"/>
  <c r="F41" i="14" s="1"/>
  <c r="C649" i="14"/>
  <c r="C653" i="14" s="1"/>
  <c r="C659" i="14" s="1"/>
  <c r="D80" i="14" s="1"/>
  <c r="H36" i="11"/>
  <c r="H38" i="11" s="1"/>
  <c r="D23" i="2"/>
  <c r="E18" i="14"/>
  <c r="E16" i="14"/>
  <c r="E17" i="14"/>
  <c r="E20" i="14"/>
  <c r="E19" i="14"/>
  <c r="C394" i="14"/>
  <c r="D25" i="14" s="1"/>
  <c r="F25" i="14" s="1"/>
  <c r="C546" i="14"/>
  <c r="C549" i="14" s="1"/>
  <c r="D40" i="14" s="1"/>
  <c r="F40" i="14" s="1"/>
  <c r="L40" i="14" s="1"/>
  <c r="C604" i="14"/>
  <c r="G20" i="15"/>
  <c r="C443" i="14"/>
  <c r="C446" i="14" s="1"/>
  <c r="D49" i="14" s="1"/>
  <c r="F49" i="14" s="1"/>
  <c r="F100" i="4"/>
  <c r="G112" i="4"/>
  <c r="H114" i="4" s="1"/>
  <c r="G10" i="3"/>
  <c r="G14" i="3" s="1"/>
  <c r="H10" i="2"/>
  <c r="H24" i="2"/>
  <c r="G24" i="2"/>
  <c r="G23" i="2"/>
  <c r="K23" i="11"/>
  <c r="N23" i="11" s="1"/>
  <c r="K8" i="11"/>
  <c r="C526" i="14"/>
  <c r="C529" i="14" s="1"/>
  <c r="D60" i="14" s="1"/>
  <c r="F60" i="14" s="1"/>
  <c r="L60" i="14" s="1"/>
  <c r="M60" i="14" s="1"/>
  <c r="E37" i="11"/>
  <c r="H37" i="11" s="1"/>
  <c r="L175" i="1"/>
  <c r="L173" i="1"/>
  <c r="F53" i="4"/>
  <c r="G53" i="4" s="1"/>
  <c r="F176" i="1"/>
  <c r="F180" i="1"/>
  <c r="F186" i="1"/>
  <c r="F190" i="1"/>
  <c r="F194" i="1"/>
  <c r="F202" i="1"/>
  <c r="F206" i="1"/>
  <c r="F20" i="4"/>
  <c r="G20" i="4" s="1"/>
  <c r="F30" i="4"/>
  <c r="G30" i="4" s="1"/>
  <c r="F48" i="4"/>
  <c r="G48" i="4" s="1"/>
  <c r="D98" i="1"/>
  <c r="H7" i="4"/>
  <c r="E15" i="11" s="1"/>
  <c r="F18" i="4"/>
  <c r="G18" i="4" s="1"/>
  <c r="F36" i="4"/>
  <c r="G36" i="4" s="1"/>
  <c r="F39" i="4"/>
  <c r="G39" i="4" s="1"/>
  <c r="F46" i="4"/>
  <c r="G46" i="4" s="1"/>
  <c r="F55" i="4"/>
  <c r="G55" i="4" s="1"/>
  <c r="D97" i="1"/>
  <c r="D99" i="1"/>
  <c r="F14" i="4"/>
  <c r="F32" i="4"/>
  <c r="G32" i="4" s="1"/>
  <c r="F50" i="4"/>
  <c r="G50" i="4" s="1"/>
  <c r="F21" i="4"/>
  <c r="G21" i="4" s="1"/>
  <c r="F174" i="1"/>
  <c r="F178" i="1"/>
  <c r="F182" i="1"/>
  <c r="F188" i="1"/>
  <c r="F192" i="1"/>
  <c r="F198" i="1"/>
  <c r="F200" i="1"/>
  <c r="F204" i="1"/>
  <c r="F23" i="4"/>
  <c r="G23" i="4" s="1"/>
  <c r="F38" i="4"/>
  <c r="G38" i="4" s="1"/>
  <c r="L174" i="1"/>
  <c r="F177" i="1"/>
  <c r="F179" i="1"/>
  <c r="F181" i="1"/>
  <c r="F183" i="1"/>
  <c r="F187" i="1"/>
  <c r="F189" i="1"/>
  <c r="F191" i="1"/>
  <c r="F193" i="1"/>
  <c r="F195" i="1"/>
  <c r="F199" i="1"/>
  <c r="F201" i="1"/>
  <c r="F203" i="1"/>
  <c r="F205" i="1"/>
  <c r="F207" i="1"/>
  <c r="F16" i="4"/>
  <c r="G16" i="4" s="1"/>
  <c r="F34" i="4"/>
  <c r="G34" i="4" s="1"/>
  <c r="F52" i="4"/>
  <c r="G52" i="4" s="1"/>
  <c r="F175" i="1"/>
  <c r="F15" i="4"/>
  <c r="G15" i="4" s="1"/>
  <c r="F19" i="4"/>
  <c r="G19" i="4" s="1"/>
  <c r="F22" i="4"/>
  <c r="G22" i="4" s="1"/>
  <c r="F29" i="4"/>
  <c r="F33" i="4"/>
  <c r="G33" i="4" s="1"/>
  <c r="F37" i="4"/>
  <c r="G37" i="4" s="1"/>
  <c r="F47" i="4"/>
  <c r="G47" i="4" s="1"/>
  <c r="F51" i="4"/>
  <c r="G51" i="4" s="1"/>
  <c r="F54" i="4"/>
  <c r="G54" i="4" s="1"/>
  <c r="D9" i="5"/>
  <c r="G9" i="5" s="1"/>
  <c r="G5" i="3"/>
  <c r="G22" i="3"/>
  <c r="F13" i="4"/>
  <c r="F17" i="4"/>
  <c r="G17" i="4" s="1"/>
  <c r="F31" i="4"/>
  <c r="G31" i="4" s="1"/>
  <c r="F35" i="4"/>
  <c r="G35" i="4" s="1"/>
  <c r="F45" i="4"/>
  <c r="F49" i="4"/>
  <c r="G49" i="4" s="1"/>
  <c r="D4" i="5"/>
  <c r="E35" i="11"/>
  <c r="F23" i="15"/>
  <c r="G23" i="15" s="1"/>
  <c r="G21" i="15"/>
  <c r="G18" i="15"/>
  <c r="C39" i="15"/>
  <c r="F22" i="15"/>
  <c r="G22" i="15" s="1"/>
  <c r="F50" i="14"/>
  <c r="G26" i="14"/>
  <c r="C485" i="14"/>
  <c r="F59" i="14"/>
  <c r="F44" i="14"/>
  <c r="L44" i="14" s="1"/>
  <c r="M44" i="14" s="1"/>
  <c r="C260" i="14"/>
  <c r="C261" i="14" s="1"/>
  <c r="C264" i="14" s="1"/>
  <c r="C351" i="14"/>
  <c r="C146" i="14"/>
  <c r="C153" i="14" s="1"/>
  <c r="D15" i="14" s="1"/>
  <c r="F15" i="14" s="1"/>
  <c r="C352" i="14"/>
  <c r="C486" i="14"/>
  <c r="C363" i="14"/>
  <c r="C368" i="14" s="1"/>
  <c r="C608" i="14"/>
  <c r="C111" i="14"/>
  <c r="C116" i="14" s="1"/>
  <c r="C606" i="14"/>
  <c r="C625" i="14"/>
  <c r="G17" i="15"/>
  <c r="C134" i="15"/>
  <c r="C44" i="15"/>
  <c r="C178" i="14"/>
  <c r="C183" i="14" s="1"/>
  <c r="C185" i="14" s="1"/>
  <c r="C175" i="14"/>
  <c r="C190" i="14" s="1"/>
  <c r="C191" i="14" s="1"/>
  <c r="C210" i="14"/>
  <c r="C212" i="14" s="1"/>
  <c r="C204" i="14"/>
  <c r="F58" i="14"/>
  <c r="C266" i="14"/>
  <c r="C275" i="14" s="1"/>
  <c r="C420" i="14"/>
  <c r="C423" i="14" s="1"/>
  <c r="D46" i="14" s="1"/>
  <c r="F46" i="14" s="1"/>
  <c r="C560" i="14"/>
  <c r="C563" i="14" s="1"/>
  <c r="D43" i="14" s="1"/>
  <c r="F43" i="14" s="1"/>
  <c r="C120" i="14"/>
  <c r="C376" i="14"/>
  <c r="C381" i="14" s="1"/>
  <c r="C456" i="14"/>
  <c r="C605" i="14"/>
  <c r="C607" i="14"/>
  <c r="C609" i="14"/>
  <c r="D24" i="14" l="1"/>
  <c r="F24" i="14" s="1"/>
  <c r="L24" i="14"/>
  <c r="M24" i="14" s="1"/>
  <c r="G24" i="14"/>
  <c r="F21" i="14"/>
  <c r="G21" i="14" s="1"/>
  <c r="G45" i="14"/>
  <c r="C650" i="14"/>
  <c r="D79" i="14" s="1"/>
  <c r="C615" i="14"/>
  <c r="M40" i="14"/>
  <c r="K10" i="11"/>
  <c r="N10" i="11" s="1"/>
  <c r="H69" i="4"/>
  <c r="H17" i="11" s="1"/>
  <c r="K12" i="11"/>
  <c r="C633" i="14" s="1"/>
  <c r="D67" i="14" s="1"/>
  <c r="F67" i="14" s="1"/>
  <c r="G67" i="14" s="1"/>
  <c r="C468" i="14"/>
  <c r="D54" i="14" s="1"/>
  <c r="F54" i="14" s="1"/>
  <c r="C467" i="14"/>
  <c r="D53" i="14" s="1"/>
  <c r="F53" i="14" s="1"/>
  <c r="G53" i="14" s="1"/>
  <c r="F8" i="2"/>
  <c r="D8" i="2"/>
  <c r="H123" i="4"/>
  <c r="D47" i="14"/>
  <c r="F47" i="14" s="1"/>
  <c r="C357" i="14"/>
  <c r="D32" i="14"/>
  <c r="F32" i="14" s="1"/>
  <c r="L45" i="14"/>
  <c r="M45" i="14" s="1"/>
  <c r="C285" i="14"/>
  <c r="C295" i="14" s="1"/>
  <c r="C299" i="14" s="1"/>
  <c r="C300" i="14" s="1"/>
  <c r="C303" i="14" s="1"/>
  <c r="C215" i="14"/>
  <c r="G48" i="14"/>
  <c r="C489" i="14"/>
  <c r="L48" i="14"/>
  <c r="M48" i="14" s="1"/>
  <c r="E11" i="11"/>
  <c r="H13" i="11"/>
  <c r="G31" i="14"/>
  <c r="L31" i="14"/>
  <c r="M31" i="14" s="1"/>
  <c r="E38" i="11"/>
  <c r="N8" i="11"/>
  <c r="D63" i="14"/>
  <c r="F63" i="14" s="1"/>
  <c r="L59" i="14"/>
  <c r="F57" i="14"/>
  <c r="F40" i="4"/>
  <c r="G29" i="4"/>
  <c r="K15" i="11"/>
  <c r="F56" i="4"/>
  <c r="G45" i="4"/>
  <c r="F24" i="4"/>
  <c r="G13" i="4"/>
  <c r="E7" i="11"/>
  <c r="H39" i="11"/>
  <c r="G41" i="14"/>
  <c r="G13" i="5"/>
  <c r="E9" i="11" s="1"/>
  <c r="H6" i="11"/>
  <c r="K6" i="11" s="1"/>
  <c r="N6" i="11" s="1"/>
  <c r="G14" i="4"/>
  <c r="F24" i="15"/>
  <c r="G24" i="15" s="1"/>
  <c r="L50" i="14"/>
  <c r="M50" i="14" s="1"/>
  <c r="G59" i="14"/>
  <c r="G40" i="14"/>
  <c r="L26" i="14"/>
  <c r="M26" i="14" s="1"/>
  <c r="G50" i="14"/>
  <c r="L25" i="14"/>
  <c r="M25" i="14" s="1"/>
  <c r="G49" i="14"/>
  <c r="C269" i="14"/>
  <c r="C278" i="14" s="1"/>
  <c r="C279" i="14" s="1"/>
  <c r="C282" i="14" s="1"/>
  <c r="L49" i="14"/>
  <c r="M49" i="14" s="1"/>
  <c r="G60" i="14"/>
  <c r="G44" i="14"/>
  <c r="L41" i="14"/>
  <c r="L15" i="14"/>
  <c r="M15" i="14" s="1"/>
  <c r="G15" i="14"/>
  <c r="C620" i="14"/>
  <c r="D36" i="14"/>
  <c r="F36" i="14" s="1"/>
  <c r="C371" i="14"/>
  <c r="C372" i="14" s="1"/>
  <c r="C618" i="14"/>
  <c r="D34" i="14"/>
  <c r="F34" i="14" s="1"/>
  <c r="D12" i="14"/>
  <c r="F12" i="14" s="1"/>
  <c r="G25" i="14"/>
  <c r="L51" i="14"/>
  <c r="C76" i="15"/>
  <c r="D13" i="15" s="1"/>
  <c r="F13" i="15" s="1"/>
  <c r="C70" i="15"/>
  <c r="D11" i="15" s="1"/>
  <c r="F11" i="15" s="1"/>
  <c r="G11" i="15" s="1"/>
  <c r="C64" i="15"/>
  <c r="D10" i="15" s="1"/>
  <c r="F10" i="15" s="1"/>
  <c r="C53" i="15"/>
  <c r="C59" i="15" s="1"/>
  <c r="D9" i="15" s="1"/>
  <c r="F9" i="15" s="1"/>
  <c r="G9" i="15" s="1"/>
  <c r="C50" i="15"/>
  <c r="D8" i="15" s="1"/>
  <c r="F8" i="15" s="1"/>
  <c r="G8" i="15" s="1"/>
  <c r="C137" i="15"/>
  <c r="C143" i="15" s="1"/>
  <c r="D28" i="15" s="1"/>
  <c r="C135" i="15"/>
  <c r="D27" i="15" s="1"/>
  <c r="C619" i="14"/>
  <c r="D35" i="14"/>
  <c r="F35" i="14" s="1"/>
  <c r="L46" i="14"/>
  <c r="G46" i="14"/>
  <c r="C241" i="14"/>
  <c r="C242" i="14" s="1"/>
  <c r="C245" i="14" s="1"/>
  <c r="C250" i="14"/>
  <c r="C251" i="14" s="1"/>
  <c r="C254" i="14" s="1"/>
  <c r="C232" i="14"/>
  <c r="C235" i="14" s="1"/>
  <c r="C133" i="14"/>
  <c r="C142" i="14" s="1"/>
  <c r="D14" i="14" s="1"/>
  <c r="F14" i="14" s="1"/>
  <c r="C129" i="14"/>
  <c r="D13" i="14" s="1"/>
  <c r="F13" i="14" s="1"/>
  <c r="C617" i="14"/>
  <c r="D33" i="14"/>
  <c r="F33" i="14" s="1"/>
  <c r="G43" i="14"/>
  <c r="L43" i="14"/>
  <c r="C621" i="14"/>
  <c r="D37" i="14"/>
  <c r="F37" i="14" s="1"/>
  <c r="G58" i="14"/>
  <c r="L58" i="14"/>
  <c r="D55" i="14" l="1"/>
  <c r="F55" i="14" s="1"/>
  <c r="G55" i="14" s="1"/>
  <c r="C494" i="14"/>
  <c r="F56" i="14" s="1"/>
  <c r="L56" i="14" s="1"/>
  <c r="M56" i="14" s="1"/>
  <c r="C631" i="14"/>
  <c r="D65" i="14" s="1"/>
  <c r="F65" i="14" s="1"/>
  <c r="L65" i="14" s="1"/>
  <c r="N12" i="11"/>
  <c r="G63" i="14"/>
  <c r="K94" i="14"/>
  <c r="M94" i="14" s="1"/>
  <c r="L32" i="14"/>
  <c r="M32" i="14" s="1"/>
  <c r="E39" i="11"/>
  <c r="E16" i="11"/>
  <c r="K16" i="11" s="1"/>
  <c r="C637" i="14" s="1"/>
  <c r="D71" i="14" s="1"/>
  <c r="F71" i="14" s="1"/>
  <c r="G71" i="14" s="1"/>
  <c r="K17" i="11"/>
  <c r="N17" i="11" s="1"/>
  <c r="E27" i="11"/>
  <c r="G8" i="2"/>
  <c r="H8" i="2"/>
  <c r="H36" i="2"/>
  <c r="K20" i="11"/>
  <c r="K13" i="11"/>
  <c r="G32" i="14"/>
  <c r="C289" i="14"/>
  <c r="C290" i="14" s="1"/>
  <c r="C293" i="14" s="1"/>
  <c r="C328" i="14" s="1"/>
  <c r="C332" i="14" s="1"/>
  <c r="G94" i="14"/>
  <c r="I94" i="14" s="1"/>
  <c r="M46" i="14"/>
  <c r="C305" i="14"/>
  <c r="C309" i="14" s="1"/>
  <c r="C310" i="14" s="1"/>
  <c r="C313" i="14" s="1"/>
  <c r="C322" i="14" s="1"/>
  <c r="C326" i="14" s="1"/>
  <c r="D20" i="14" s="1"/>
  <c r="F20" i="14" s="1"/>
  <c r="G20" i="14" s="1"/>
  <c r="L55" i="14"/>
  <c r="M55" i="14" s="1"/>
  <c r="C270" i="14"/>
  <c r="C273" i="14" s="1"/>
  <c r="C316" i="14" s="1"/>
  <c r="C320" i="14" s="1"/>
  <c r="D19" i="14" s="1"/>
  <c r="F19" i="14" s="1"/>
  <c r="G19" i="14" s="1"/>
  <c r="D17" i="14"/>
  <c r="L63" i="14"/>
  <c r="M63" i="14" s="1"/>
  <c r="G65" i="14"/>
  <c r="L67" i="14"/>
  <c r="M67" i="14" s="1"/>
  <c r="K11" i="11"/>
  <c r="L54" i="14"/>
  <c r="M54" i="14" s="1"/>
  <c r="N13" i="11"/>
  <c r="M59" i="14"/>
  <c r="L57" i="14"/>
  <c r="M51" i="14"/>
  <c r="M41" i="14"/>
  <c r="G54" i="14"/>
  <c r="H5" i="11"/>
  <c r="K7" i="11"/>
  <c r="N7" i="11" s="1"/>
  <c r="H24" i="4"/>
  <c r="K14" i="4" s="1"/>
  <c r="N15" i="11"/>
  <c r="C636" i="14"/>
  <c r="D70" i="14" s="1"/>
  <c r="F70" i="14" s="1"/>
  <c r="H56" i="4"/>
  <c r="K9" i="11"/>
  <c r="F52" i="14"/>
  <c r="G52" i="14" s="1"/>
  <c r="L53" i="14"/>
  <c r="K29" i="4"/>
  <c r="M58" i="14"/>
  <c r="M43" i="14"/>
  <c r="L34" i="14"/>
  <c r="M34" i="14" s="1"/>
  <c r="G34" i="14"/>
  <c r="L36" i="14"/>
  <c r="M36" i="14" s="1"/>
  <c r="G36" i="14"/>
  <c r="C622" i="14"/>
  <c r="F38" i="14" s="1"/>
  <c r="L12" i="14"/>
  <c r="M12" i="14" s="1"/>
  <c r="G12" i="14"/>
  <c r="G10" i="15"/>
  <c r="G32" i="15"/>
  <c r="F27" i="15"/>
  <c r="F14" i="15"/>
  <c r="G14" i="15" s="1"/>
  <c r="G13" i="15"/>
  <c r="G36" i="15"/>
  <c r="G33" i="15"/>
  <c r="G34" i="15"/>
  <c r="G57" i="14"/>
  <c r="L13" i="14"/>
  <c r="M13" i="14" s="1"/>
  <c r="G13" i="14"/>
  <c r="G14" i="14"/>
  <c r="L14" i="14"/>
  <c r="M14" i="14" s="1"/>
  <c r="L47" i="14"/>
  <c r="M47" i="14" s="1"/>
  <c r="G47" i="14"/>
  <c r="L33" i="14"/>
  <c r="G33" i="14"/>
  <c r="G37" i="14"/>
  <c r="L37" i="14"/>
  <c r="M37" i="14" s="1"/>
  <c r="L35" i="14"/>
  <c r="M35" i="14" s="1"/>
  <c r="G35" i="14"/>
  <c r="M65" i="14" l="1"/>
  <c r="K27" i="11"/>
  <c r="N27" i="11" s="1"/>
  <c r="L71" i="14"/>
  <c r="M71" i="14" s="1"/>
  <c r="N16" i="11"/>
  <c r="C634" i="14"/>
  <c r="D68" i="14" s="1"/>
  <c r="F68" i="14" s="1"/>
  <c r="L68" i="14" s="1"/>
  <c r="M68" i="14" s="1"/>
  <c r="K45" i="4"/>
  <c r="H58" i="4"/>
  <c r="N20" i="11"/>
  <c r="H24" i="11"/>
  <c r="H37" i="2"/>
  <c r="C639" i="14"/>
  <c r="D73" i="14" s="1"/>
  <c r="F73" i="14" s="1"/>
  <c r="G73" i="14" s="1"/>
  <c r="H21" i="11"/>
  <c r="H19" i="11"/>
  <c r="G32" i="2"/>
  <c r="D18" i="14"/>
  <c r="F18" i="14" s="1"/>
  <c r="G18" i="14" s="1"/>
  <c r="M57" i="14"/>
  <c r="F17" i="14"/>
  <c r="G17" i="14" s="1"/>
  <c r="G56" i="14"/>
  <c r="C632" i="14"/>
  <c r="D66" i="14" s="1"/>
  <c r="F66" i="14" s="1"/>
  <c r="N11" i="11"/>
  <c r="G38" i="14"/>
  <c r="L38" i="14"/>
  <c r="M38" i="14" s="1"/>
  <c r="F30" i="14"/>
  <c r="M53" i="14"/>
  <c r="L52" i="14"/>
  <c r="L70" i="14"/>
  <c r="M70" i="14" s="1"/>
  <c r="G70" i="14"/>
  <c r="H26" i="11"/>
  <c r="K5" i="11"/>
  <c r="K49" i="4"/>
  <c r="K54" i="4"/>
  <c r="K46" i="4"/>
  <c r="K47" i="4"/>
  <c r="K55" i="4"/>
  <c r="K52" i="4"/>
  <c r="K50" i="4"/>
  <c r="K51" i="4"/>
  <c r="K48" i="4"/>
  <c r="K34" i="4"/>
  <c r="K32" i="4"/>
  <c r="K38" i="4"/>
  <c r="K36" i="4"/>
  <c r="K31" i="4"/>
  <c r="K33" i="4"/>
  <c r="K30" i="4"/>
  <c r="K39" i="4"/>
  <c r="K35" i="4"/>
  <c r="N9" i="11"/>
  <c r="C630" i="14"/>
  <c r="D64" i="14" s="1"/>
  <c r="F64" i="14" s="1"/>
  <c r="K16" i="4"/>
  <c r="K23" i="4"/>
  <c r="K18" i="4"/>
  <c r="K15" i="4"/>
  <c r="K17" i="4"/>
  <c r="K20" i="4"/>
  <c r="K22" i="4"/>
  <c r="K19" i="4"/>
  <c r="G37" i="15"/>
  <c r="G35" i="15"/>
  <c r="G38" i="15" s="1"/>
  <c r="E28" i="15"/>
  <c r="E27" i="15"/>
  <c r="G27" i="15"/>
  <c r="C333" i="14"/>
  <c r="C339" i="14" s="1"/>
  <c r="M33" i="14"/>
  <c r="H95" i="14" l="1"/>
  <c r="G68" i="14"/>
  <c r="K19" i="11"/>
  <c r="L73" i="14"/>
  <c r="M73" i="14" s="1"/>
  <c r="K21" i="11"/>
  <c r="K24" i="11"/>
  <c r="N24" i="11" s="1"/>
  <c r="D16" i="14"/>
  <c r="F16" i="14" s="1"/>
  <c r="F11" i="14" s="1"/>
  <c r="G11" i="14" s="1"/>
  <c r="G30" i="14"/>
  <c r="G66" i="14"/>
  <c r="L66" i="14"/>
  <c r="M30" i="14"/>
  <c r="L30" i="14"/>
  <c r="K26" i="11"/>
  <c r="N26" i="11" s="1"/>
  <c r="L64" i="14"/>
  <c r="M64" i="14" s="1"/>
  <c r="G64" i="14"/>
  <c r="E28" i="11"/>
  <c r="E14" i="11"/>
  <c r="N5" i="11"/>
  <c r="D62" i="14"/>
  <c r="F62" i="14" s="1"/>
  <c r="M52" i="14"/>
  <c r="N35" i="11" l="1"/>
  <c r="M66" i="14"/>
  <c r="H96" i="14"/>
  <c r="H100" i="14" s="1"/>
  <c r="N21" i="11"/>
  <c r="C640" i="14"/>
  <c r="D74" i="14" s="1"/>
  <c r="F74" i="14" s="1"/>
  <c r="C638" i="14"/>
  <c r="D72" i="14" s="1"/>
  <c r="F72" i="14" s="1"/>
  <c r="N19" i="11"/>
  <c r="E30" i="11"/>
  <c r="L16" i="14"/>
  <c r="M16" i="14" s="1"/>
  <c r="G16" i="14"/>
  <c r="K28" i="11"/>
  <c r="G62" i="14"/>
  <c r="L62" i="14"/>
  <c r="H130" i="4"/>
  <c r="K14" i="11"/>
  <c r="C340" i="14"/>
  <c r="H87" i="14" l="1"/>
  <c r="H97" i="14" s="1"/>
  <c r="G93" i="14"/>
  <c r="I93" i="14" s="1"/>
  <c r="K93" i="14"/>
  <c r="M93" i="14" s="1"/>
  <c r="M62" i="14"/>
  <c r="G72" i="14"/>
  <c r="L72" i="14"/>
  <c r="L74" i="14"/>
  <c r="M74" i="14" s="1"/>
  <c r="G74" i="14"/>
  <c r="F27" i="14"/>
  <c r="N28" i="11"/>
  <c r="C642" i="14"/>
  <c r="D76" i="14" s="1"/>
  <c r="F76" i="14" s="1"/>
  <c r="H22" i="11"/>
  <c r="K25" i="11"/>
  <c r="N25" i="11" s="1"/>
  <c r="C635" i="14"/>
  <c r="N14" i="11"/>
  <c r="H91" i="14" l="1"/>
  <c r="H104" i="14"/>
  <c r="H89" i="14"/>
  <c r="H102" i="14"/>
  <c r="H103" i="14" s="1"/>
  <c r="H92" i="14"/>
  <c r="H88" i="14"/>
  <c r="H90" i="14"/>
  <c r="M72" i="14"/>
  <c r="G27" i="14"/>
  <c r="H30" i="11"/>
  <c r="Q13" i="11" s="1"/>
  <c r="H98" i="14"/>
  <c r="H99" i="14"/>
  <c r="K22" i="11"/>
  <c r="K30" i="11" s="1"/>
  <c r="G76" i="14"/>
  <c r="L76" i="14"/>
  <c r="M76" i="14" s="1"/>
  <c r="D69" i="14"/>
  <c r="F69" i="14" s="1"/>
  <c r="Q17" i="11" l="1"/>
  <c r="Q18" i="11"/>
  <c r="Q22" i="11"/>
  <c r="Q20" i="11"/>
  <c r="Q19" i="11"/>
  <c r="Q12" i="11"/>
  <c r="Q8" i="11"/>
  <c r="Q7" i="11"/>
  <c r="Q23" i="11"/>
  <c r="Q10" i="11"/>
  <c r="Q27" i="11"/>
  <c r="Q5" i="11"/>
  <c r="Q11" i="11"/>
  <c r="Q24" i="11"/>
  <c r="Q16" i="11"/>
  <c r="Q6" i="11"/>
  <c r="Q15" i="11"/>
  <c r="Q21" i="11"/>
  <c r="Q9" i="11"/>
  <c r="Q26" i="11"/>
  <c r="Q14" i="11"/>
  <c r="Q28" i="11"/>
  <c r="Q25" i="11"/>
  <c r="G69" i="14"/>
  <c r="L69" i="14"/>
  <c r="L95" i="14" s="1"/>
  <c r="C641" i="14"/>
  <c r="N22" i="11"/>
  <c r="Q30" i="11" l="1"/>
  <c r="N30" i="11"/>
  <c r="N37" i="11" s="1"/>
  <c r="M69" i="14"/>
  <c r="L96" i="14" s="1"/>
  <c r="L100" i="14" s="1"/>
  <c r="D75" i="14"/>
  <c r="F75" i="14" s="1"/>
  <c r="C643" i="14"/>
  <c r="L87" i="14" l="1"/>
  <c r="G75" i="14"/>
  <c r="L75" i="14"/>
  <c r="F61" i="14"/>
  <c r="I41" i="14" l="1"/>
  <c r="I57" i="14"/>
  <c r="I40" i="14"/>
  <c r="I52" i="14"/>
  <c r="I51" i="14"/>
  <c r="I63" i="14"/>
  <c r="I70" i="14"/>
  <c r="I64" i="14"/>
  <c r="I62" i="14"/>
  <c r="I76" i="14"/>
  <c r="I69" i="14"/>
  <c r="L104" i="14"/>
  <c r="L92" i="14"/>
  <c r="L102" i="14"/>
  <c r="L103" i="14" s="1"/>
  <c r="L88" i="14"/>
  <c r="L97" i="14"/>
  <c r="G61" i="14"/>
  <c r="M75" i="14"/>
  <c r="L61" i="14"/>
  <c r="I61" i="14" l="1"/>
  <c r="I29" i="14" s="1"/>
  <c r="M61" i="14"/>
  <c r="I77" i="14" l="1"/>
  <c r="M91" i="14"/>
  <c r="L99" i="14" l="1"/>
  <c r="L90" i="14"/>
  <c r="L91" i="14"/>
  <c r="L89" i="14"/>
  <c r="L98" i="14"/>
  <c r="D42" i="14" l="1"/>
  <c r="E42" i="14" l="1"/>
  <c r="F42" i="14" s="1"/>
  <c r="G42" i="14" l="1"/>
  <c r="G39" i="14" s="1"/>
  <c r="G29" i="14" s="1"/>
  <c r="F39" i="14"/>
  <c r="K42" i="14"/>
  <c r="L42" i="14" s="1"/>
  <c r="L39" i="14" l="1"/>
  <c r="I95" i="14"/>
  <c r="M95" i="14"/>
  <c r="M42" i="14"/>
  <c r="F29" i="14"/>
  <c r="M96" i="14" l="1"/>
  <c r="M87" i="14" s="1"/>
  <c r="M97" i="14" s="1"/>
  <c r="I96" i="14"/>
  <c r="I87" i="14" s="1"/>
  <c r="M39" i="14"/>
  <c r="K95" i="14"/>
  <c r="G95" i="14"/>
  <c r="M101" i="14" l="1"/>
  <c r="I105" i="14"/>
  <c r="I102" i="14"/>
  <c r="I88" i="14"/>
  <c r="I90" i="14"/>
  <c r="I98" i="14"/>
  <c r="I92" i="14"/>
  <c r="I89" i="14"/>
  <c r="I104" i="14"/>
  <c r="I91" i="14"/>
  <c r="K96" i="14"/>
  <c r="G96" i="14"/>
  <c r="G87" i="14" s="1"/>
  <c r="J21" i="14"/>
  <c r="J48" i="14"/>
  <c r="J44" i="14"/>
  <c r="M92" i="14"/>
  <c r="J46" i="14"/>
  <c r="J56" i="14"/>
  <c r="J65" i="14"/>
  <c r="J11" i="14"/>
  <c r="J30" i="14"/>
  <c r="M102" i="14"/>
  <c r="J71" i="14"/>
  <c r="J68" i="14"/>
  <c r="J67" i="14"/>
  <c r="M104" i="14"/>
  <c r="J49" i="14"/>
  <c r="J47" i="14"/>
  <c r="M88" i="14"/>
  <c r="M105" i="14"/>
  <c r="J73" i="14"/>
  <c r="J55" i="14"/>
  <c r="J45" i="14"/>
  <c r="J50" i="14"/>
  <c r="M89" i="14"/>
  <c r="M98" i="14"/>
  <c r="J74" i="14"/>
  <c r="J75" i="14"/>
  <c r="M90" i="14"/>
  <c r="J66" i="14"/>
  <c r="J43" i="14"/>
  <c r="J72" i="14"/>
  <c r="J42" i="14"/>
  <c r="I100" i="14"/>
  <c r="I101" i="14"/>
  <c r="I99" i="14"/>
  <c r="I97" i="14"/>
  <c r="M100" i="14"/>
  <c r="M99" i="14"/>
  <c r="G91" i="14" l="1"/>
  <c r="G89" i="14"/>
  <c r="G102" i="14"/>
  <c r="G92" i="14"/>
  <c r="G90" i="14"/>
  <c r="G98" i="14"/>
  <c r="G104" i="14"/>
  <c r="G88" i="14"/>
  <c r="G97" i="14"/>
  <c r="K100" i="14"/>
  <c r="J61" i="14"/>
  <c r="J29" i="14" s="1"/>
  <c r="K87" i="14"/>
  <c r="K99" i="14" s="1"/>
  <c r="M103" i="14"/>
  <c r="K101" i="14"/>
  <c r="I103" i="14"/>
  <c r="G100" i="14"/>
  <c r="G101" i="14"/>
  <c r="G99" i="14"/>
  <c r="G103" i="14" l="1"/>
  <c r="J77" i="14"/>
  <c r="H24" i="14"/>
  <c r="H13" i="14"/>
  <c r="H17" i="14"/>
  <c r="K90" i="14"/>
  <c r="H68" i="14"/>
  <c r="H46" i="14"/>
  <c r="H56" i="14"/>
  <c r="H26" i="14"/>
  <c r="H71" i="14"/>
  <c r="H33" i="14"/>
  <c r="H14" i="14"/>
  <c r="K98" i="14"/>
  <c r="H21" i="14"/>
  <c r="H16" i="14"/>
  <c r="H72" i="14"/>
  <c r="H25" i="14"/>
  <c r="H48" i="14"/>
  <c r="H45" i="14"/>
  <c r="H34" i="14"/>
  <c r="H54" i="14"/>
  <c r="H53" i="14"/>
  <c r="K89" i="14"/>
  <c r="K92" i="14"/>
  <c r="H60" i="14"/>
  <c r="H57" i="14"/>
  <c r="H32" i="14"/>
  <c r="H40" i="14"/>
  <c r="H61" i="14"/>
  <c r="H51" i="14"/>
  <c r="H67" i="14"/>
  <c r="H37" i="14"/>
  <c r="H70" i="14"/>
  <c r="H41" i="14"/>
  <c r="H12" i="14"/>
  <c r="H76" i="14"/>
  <c r="H43" i="14"/>
  <c r="K104" i="14"/>
  <c r="H38" i="14"/>
  <c r="H62" i="14"/>
  <c r="H66" i="14"/>
  <c r="H59" i="14"/>
  <c r="H30" i="14"/>
  <c r="H47" i="14"/>
  <c r="H27" i="14"/>
  <c r="H15" i="14"/>
  <c r="H63" i="14"/>
  <c r="H20" i="14"/>
  <c r="H73" i="14"/>
  <c r="H75" i="14"/>
  <c r="H52" i="14"/>
  <c r="H44" i="14"/>
  <c r="H74" i="14"/>
  <c r="K91" i="14"/>
  <c r="K88" i="14"/>
  <c r="H64" i="14"/>
  <c r="H11" i="14"/>
  <c r="K102" i="14"/>
  <c r="K103" i="14" s="1"/>
  <c r="H19" i="14"/>
  <c r="H18" i="14"/>
  <c r="H35" i="14"/>
  <c r="H50" i="14"/>
  <c r="H69" i="14"/>
  <c r="H49" i="14"/>
  <c r="H65" i="14"/>
  <c r="H36" i="14"/>
  <c r="H55" i="14"/>
  <c r="H31" i="14"/>
  <c r="H58" i="14"/>
  <c r="H42" i="14"/>
  <c r="H39" i="14"/>
  <c r="H29" i="14"/>
  <c r="K97" i="14"/>
  <c r="H10" i="14" l="1"/>
  <c r="H77" i="14"/>
</calcChain>
</file>

<file path=xl/comments1.xml><?xml version="1.0" encoding="utf-8"?>
<comments xmlns="http://schemas.openxmlformats.org/spreadsheetml/2006/main">
  <authors>
    <author>Rafael Araújo Nacimento</author>
    <author>reviewer</author>
  </authors>
  <commentList>
    <comment ref="C42" authorId="0" shapeId="0">
      <text>
        <r>
          <rPr>
            <b/>
            <sz val="9"/>
            <color indexed="81"/>
            <rFont val="Segoe UI"/>
            <family val="2"/>
          </rPr>
          <t xml:space="preserve">Rafael Araújo Nacimento:
</t>
        </r>
        <r>
          <rPr>
            <sz val="9"/>
            <color indexed="81"/>
            <rFont val="Segoe UI"/>
            <family val="2"/>
          </rPr>
          <t xml:space="preserve">
SIM: Para esta opção, insira o valor TOTAL GASTO COM VIAGENS na célula AZUL (abaixo) São consideradas viagens aquelas voltadas para compra de ração e insumos (ex. gás, medicamentos), transporte dos pintinhos, transporte dos frangos para venda durante a produção de um lote. Esta opção é voltada para produtores independentes.
NÃO: Esta opção é voltada para produtores integrados. Sugerimos que converse com seu técnico e peça as seguintes informações:
(i) distância média percorrida para entrega de pintinhos, ração e transporte de frangos para abate (km); (ii) número de viagens por lote para estes fins; e (iii) valor médio gasto por km rodado, sendo possível obter a partir do site https://www.calkoo.com/pt/calculadora-de-combustivel </t>
        </r>
      </text>
    </comment>
    <comment ref="C47" authorId="0" shapeId="0">
      <text>
        <r>
          <rPr>
            <b/>
            <sz val="9"/>
            <color indexed="81"/>
            <rFont val="Segoe UI"/>
            <family val="2"/>
          </rPr>
          <t xml:space="preserve">Rafael Araújo Nacimento:
SIM: </t>
        </r>
        <r>
          <rPr>
            <sz val="9"/>
            <color indexed="81"/>
            <rFont val="Segoe UI"/>
            <family val="2"/>
          </rPr>
          <t>Deve ser inserido valor total pago por lote na CÉLULA AZUL (abaixo). São considerados serviços terceirizados: serviços contábeis, serviços veterinários e zootécnicos, sindicatos, etc. Esta opção é importante para produtores independetes, também podendo ser preenchida por produtores integrados em determinadas situações que use serviços terceirizados adicionais.
Nota: deve ser o valor total, somado, de todos os gastos com serviços terceirizados durante o lote.</t>
        </r>
        <r>
          <rPr>
            <b/>
            <sz val="9"/>
            <color indexed="81"/>
            <rFont val="Segoe UI"/>
            <family val="2"/>
          </rPr>
          <t xml:space="preserve">
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b/>
            <sz val="9"/>
            <color indexed="81"/>
            <rFont val="Segoe UI"/>
            <family val="2"/>
          </rPr>
          <t>NÃO:</t>
        </r>
        <r>
          <rPr>
            <sz val="9"/>
            <color indexed="81"/>
            <rFont val="Segoe UI"/>
            <family val="2"/>
          </rPr>
          <t xml:space="preserve"> Esta opção é mais voltada para produtores no sistema integrado. No entanto, é importante informar qual o salário médio de um técnico responsável pelas funcões realizadas (CÉLULA LARANJA).</t>
        </r>
      </text>
    </comment>
    <comment ref="C49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SIM, E SEI O QUANTO QUE PAGO: Esta opção é dirigida a produtores que produzem a própria ração ou utiliza ingredientes alternadivos como complemento nas dietas. Você também pode utilizar a ração pronta como um ingrediente, inserindo outros ingredientes na dieta das aves (ex. alfafa picada). Para isso, vá em NUTRIÇÃO&lt;&lt; [selecione o ingrediente na caixa de seleção]&lt;&lt; Quantidade (un/fase) e digite a quantidade de ingrediente usado (sacos ou kg) e o preço em Preço (R$/un). É importante informar também ingredientes que não tiveram custos. Observação: Deve-se respeitar as unidades (sacos, kg, toneladas).
Pode-se ainda, inserir novos ingredientes na lista selecionável, clicando no botão "CADASTRAR INGREDIENTE"
NÃO, MAS SEI O VALOR QUE PAGO: Esta opção é dirigida a produtores que compram a ração pronta [</t>
        </r>
        <r>
          <rPr>
            <b/>
            <sz val="9"/>
            <color indexed="81"/>
            <rFont val="Segoe UI"/>
            <family val="2"/>
          </rPr>
          <t>USE ESTA OPÇÃO CASO COMPRE RAÇÃO PRONTA</t>
        </r>
        <r>
          <rPr>
            <sz val="9"/>
            <color indexed="81"/>
            <rFont val="Segoe UI"/>
            <family val="2"/>
          </rPr>
          <t>]. Vá em NUTRIÇÃO&lt;&lt; [caixa de seleção] RAÇÃO PRONTA &lt;&lt;Quantidade (un/fase) e digite a quantidade de ração comprada (sacos ou kg) e o preço em Preço (R$/un). Observação: Deve-se respeitar as unidades (sacos, kg, toneladas).
NÃO E NÃO SEI QUANTO PAGO: Esta opção é dirigida para produtores integrados cujas informações referentes à dieta são de uso exclusivo das integradoras.</t>
        </r>
      </text>
    </comment>
    <comment ref="C50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SIM: Esta opção é voltada para quem compra os próprios produtos de limpeza e desinfecção ou paga pelo serviço. Caso faça a própria limpeza e deseinfecção, insira os produtos utilizados e preços na seção LIMPEZA E DESINFECÇÃO. Caso terceirize a limpeza e desinfecção das instalações, insira o valor pago por lote na CÉLULA AZUL (abaixo).
</t>
        </r>
      </text>
    </comment>
    <comment ref="C53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Para produtores independentes, a melhor opção a ser assinalada na caixa de seleção seria "SIM". Em seguida, é importante preencher os itens solicitados na TABELA 9.
Produtores integrados, a melhor opção seria "NÃO" pois esta seria uma responsabilidade da integradora</t>
        </r>
      </text>
    </comment>
    <comment ref="D54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Caso seja produtor integrado, peça esta informação a técnicos de campo ou supervisores</t>
        </r>
      </text>
    </comment>
    <comment ref="C56" authorId="0" shapeId="0">
      <text>
        <r>
          <rPr>
            <b/>
            <sz val="9"/>
            <color indexed="81"/>
            <rFont val="Segoe UI"/>
            <family val="2"/>
          </rPr>
          <t xml:space="preserve">Rafael Araújo Nacimento:
</t>
        </r>
        <r>
          <rPr>
            <sz val="9"/>
            <color indexed="81"/>
            <rFont val="Segoe UI"/>
            <family val="2"/>
          </rPr>
          <t xml:space="preserve">
Para produtores independentes, a melhor opção a ser assinalada na caixa de seleção seria "SIM". Em seguida, é importante preencher a CÉLULA AZUL (abaixo) com o valor pago pelo serviço por lote. Caso o valor seja anual, sugerimos dividir o valor pelo número de lotes de frangos produzidos por ano.
Produtores integrados, a melhor opção seria "NÃO" pois esta seria uma responsabilidade da integradora</t>
        </r>
      </text>
    </comment>
    <comment ref="C58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Para produtores independentes, a melhor opção a ser assinalada na caixa de seleção seria "SIM". Em seguida, é importante preencher a CÉLULA AZUL (abaixo) com o valor pago pelo serviço por lote. Caso o valor seja anual, sugerimos dividir o valor pelo número de lotes de frangos produzidos por ano.
Produtores integrados, a melhor opção seria "NÃO" pois esta seria uma responsabilidade da integradora</t>
        </r>
      </text>
    </comment>
    <comment ref="C62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Caso utiliza de serviços pagos para tratamento de água e esgoto, insira o valor na CÉLULA AZUL  (abaixo).</t>
        </r>
      </text>
    </comment>
    <comment ref="D71" authorId="0" shapeId="0">
      <text>
        <r>
          <rPr>
            <b/>
            <sz val="9"/>
            <color indexed="81"/>
            <rFont val="Segoe UI"/>
            <family val="2"/>
          </rPr>
          <t xml:space="preserve">Rafael Araújo Nacimento:
</t>
        </r>
        <r>
          <rPr>
            <sz val="9"/>
            <color indexed="81"/>
            <rFont val="Segoe UI"/>
            <family val="2"/>
          </rPr>
          <t xml:space="preserve">
Neste trabalho, é considerada o sistema "todos dentro, todos fora" (</t>
        </r>
        <r>
          <rPr>
            <i/>
            <sz val="9"/>
            <color indexed="81"/>
            <rFont val="Segoe UI"/>
            <family val="2"/>
          </rPr>
          <t>all in, all out</t>
        </r>
        <r>
          <rPr>
            <sz val="9"/>
            <color indexed="81"/>
            <rFont val="Segoe UI"/>
            <family val="2"/>
          </rPr>
          <t>). Portanto, consideramos que o número de animais vendidos é o resultado do = do número de animais alojados menos a mortalidade (%).
Este método visa a melhor sanitização de instalações e equipamentos e proporciona melhores resultados zootécnicos dos lotes.</t>
        </r>
      </text>
    </comment>
    <comment ref="C84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b/>
            <sz val="9"/>
            <color indexed="81"/>
            <rFont val="Segoe UI"/>
            <family val="2"/>
          </rPr>
          <t>NÃO:</t>
        </r>
        <r>
          <rPr>
            <sz val="9"/>
            <color indexed="81"/>
            <rFont val="Segoe UI"/>
            <family val="2"/>
          </rPr>
          <t xml:space="preserve"> Para esta opção, será necessário utilizar o NÚMERO DE ANIMAIS MORTOS DE ACORDO COM A FASE. Sugerimos utilizar as seguintes fases:
     *Convencional Inicial (1 a 21d); Crescimento (22 a 35d); Final (36 ao abate);
     *Caipira Inicial (1 a 30d); Crescimento (31 a 60d); Final (61 ao abate)
Assim, insira o número de aves mortas de acordo com a fase nas CÉLULAS BRANCAS DA COLUNA "Nº de aves mortas".
SIM: Nesta opção, digite os valores correspondentes a cada fase nas CÉLULAS BRANCAS da coluna "Mortalidade (%)"
</t>
        </r>
      </text>
    </comment>
    <comment ref="D94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b/>
            <sz val="9"/>
            <color indexed="81"/>
            <rFont val="Segoe UI"/>
            <family val="2"/>
          </rPr>
          <t>NÃO:</t>
        </r>
        <r>
          <rPr>
            <sz val="9"/>
            <color indexed="81"/>
            <rFont val="Segoe UI"/>
            <family val="2"/>
          </rPr>
          <t xml:space="preserve"> Esta opção é direcionada para produtores que não fazem o controle do fornecimento de ração. NO entanto, para maior exatidão dos resultados, sugerimos que tenha o acompanhamento semanal ou por fase do fornecimento e consumo de ração.</t>
        </r>
      </text>
    </comment>
    <comment ref="D108" authorId="1" shapeId="0">
      <text>
        <r>
          <rPr>
            <b/>
            <sz val="9"/>
            <color indexed="81"/>
            <rFont val="Segoe UI"/>
            <family val="2"/>
          </rPr>
          <t>reviewer:</t>
        </r>
        <r>
          <rPr>
            <sz val="9"/>
            <color indexed="81"/>
            <rFont val="Segoe UI"/>
            <family val="2"/>
          </rPr>
          <t xml:space="preserve">
CUB index in 2008 to Parana State
Available in: http://memoria.cub.org.br/; accessed in: Mai 20, 2023</t>
        </r>
      </text>
    </comment>
    <comment ref="B109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(Usada apenas em sistema caipira e orgânico) Informações sobre área de piquete deverão ser inseridas se a área for utilizada na produção dos frangos.</t>
        </r>
      </text>
    </comment>
    <comment ref="E116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No item "VIDA ÚTIL", CASO NÃO SEJA LANÇADO NENHUM VALOR, para fins de cálculos, é importante deixar a célula preenchida pelo número '1'</t>
        </r>
      </text>
    </comment>
    <comment ref="F132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Número total de diaristas contratados por lote</t>
        </r>
      </text>
    </comment>
    <comment ref="B133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Insira aqui o Pró-labore</t>
        </r>
      </text>
    </comment>
    <comment ref="B154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Pode ser inserido o valor por pinto-1-d ou o valor total da compra, no entanto, apenas um dos dois deve ser informado</t>
        </r>
      </text>
    </comment>
    <comment ref="C161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Pode ser inserido o valor por unidade comprada ou o valor total pago. No entanto, apenas um dos dois deve ser informado</t>
        </r>
      </text>
    </comment>
    <comment ref="G161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Você pode inserir o valor total gasto no lote </t>
        </r>
        <r>
          <rPr>
            <u/>
            <sz val="9"/>
            <color indexed="81"/>
            <rFont val="Segoe UI"/>
            <family val="2"/>
          </rPr>
          <t>AQUI</t>
        </r>
      </text>
    </comment>
    <comment ref="C169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Para este item, você pode considerar fontes alternativas de substrato para aquecimento. Ex: esterco, bagaço de cana, peletes</t>
        </r>
      </text>
    </comment>
    <comment ref="D172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Neste item, você deve informar o número de sacos, toneladas ou quilos de ingrediente (ou ração) comprados
na caixa de seleção (abaixo) escolha a opção
</t>
        </r>
      </text>
    </comment>
    <comment ref="C210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Exemplo: 3 kg de sabão
Caso não tenha substituído o valor, para fins de cálculos, é importante deixar a célula preenchida pelo número '1'</t>
        </r>
      </text>
    </comment>
    <comment ref="D210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Informe aqui um valor estimado da quantidade usada em L ou kg.
Ex: dos 3kg de sabão que comprei, usei 2 kg.</t>
        </r>
      </text>
    </comment>
    <comment ref="E210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Insira aqui o valor total que foi gasto para comprar a quantidade do item informado.
Ex: para 3kg de detergente, gastei R$20,00</t>
        </r>
      </text>
    </comment>
    <comment ref="C221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No item "QUANTIDADE (mL ou g/frasco)", CASO NÃO SEJA LANÇADO NENHUM VALOR, para fins de cálculos, é importante deixar a célula preenchida pelo número '1'.
Nota: Caso utilize produtos naturais e/ou alternativos para lavagem, desinfecção, preventivo e/ou profiláticos, clique no botão "CADASTRAR VACINAS E MEDICAMENTOS" e insira o novo item</t>
        </r>
      </text>
    </comment>
    <comment ref="D221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VALE LEMBRAR:
Número em kg ou L (ex: 1 L) = 1
Número em g ou mL = (ex: 100g) = 0,1</t>
        </r>
      </text>
    </comment>
    <comment ref="F221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Você pode inserir o valor total para o item utilizando a coluna "Total (R$/lote)
Ex: gastei R$20,00 com medicamentos para o lote</t>
        </r>
      </text>
    </comment>
    <comment ref="B235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Estes itens foram preenchidos com valores sugeridos. No entanto, eles podem ser substituídos pelo valor real para cada situação</t>
        </r>
      </text>
    </comment>
    <comment ref="B236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Para descobrir o Índice Geral de Preços (IGP-DI, %; FGV) do mês, clique na célula escrita em azul</t>
        </r>
      </text>
    </comment>
    <comment ref="B237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Valor percentual (%) sobre o investimento em equipamentos e/ou instalações</t>
        </r>
      </text>
    </comment>
    <comment ref="B243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Número índice obtido no IGP-DI/FGV.
Remuneração real = [(taxa de juros * capital)-(taxa de juros IGP-DI * capital)]
O IGPDI representa mais a inflação de produtos agrícolas</t>
        </r>
      </text>
    </comment>
  </commentList>
</comments>
</file>

<file path=xl/comments2.xml><?xml version="1.0" encoding="utf-8"?>
<comments xmlns="http://schemas.openxmlformats.org/spreadsheetml/2006/main">
  <authors>
    <author>Rafael Araújo Nacimento</author>
  </authors>
  <commentList>
    <comment ref="F5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Pode ser inserido o valor por pinto-1-d ou o valor total da compra, no entanto, apenas um dos dois deve ser informado</t>
        </r>
      </text>
    </comment>
    <comment ref="F12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Neste item, podem ser inseridas unidades como toneladas (t), quilogramas (kg), sacas (sc).
</t>
        </r>
      </text>
    </comment>
    <comment ref="F28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Neste item, podem ser inseridas unidades como toneladas (t), quilogramas (kg), sacas (sc).
</t>
        </r>
      </text>
    </comment>
    <comment ref="F44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Neste item, podem ser inseridas unidades como toneladas (t), quilogramas (kg), sacas (sc).
</t>
        </r>
      </text>
    </comment>
  </commentList>
</comments>
</file>

<file path=xl/comments3.xml><?xml version="1.0" encoding="utf-8"?>
<comments xmlns="http://schemas.openxmlformats.org/spreadsheetml/2006/main">
  <authors>
    <author>Parecerista</author>
  </authors>
  <commentList>
    <comment ref="D4" authorId="0" shapeId="0">
      <text>
        <r>
          <rPr>
            <b/>
            <sz val="9"/>
            <color indexed="81"/>
            <rFont val="Tahoma"/>
            <family val="2"/>
          </rPr>
          <t>Parecerista:</t>
        </r>
        <r>
          <rPr>
            <sz val="9"/>
            <color indexed="81"/>
            <rFont val="Tahoma"/>
            <family val="2"/>
          </rPr>
          <t xml:space="preserve">
Multiplicar por 0,76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Parecerista:</t>
        </r>
        <r>
          <rPr>
            <sz val="9"/>
            <color indexed="81"/>
            <rFont val="Tahoma"/>
            <family val="2"/>
          </rPr>
          <t xml:space="preserve">
Multiplicar 1,27
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Parecerista:</t>
        </r>
        <r>
          <rPr>
            <sz val="9"/>
            <color indexed="81"/>
            <rFont val="Tahoma"/>
            <family val="2"/>
          </rPr>
          <t xml:space="preserve">
multiplicar por 1,30
</t>
        </r>
      </text>
    </comment>
  </commentList>
</comments>
</file>

<file path=xl/comments4.xml><?xml version="1.0" encoding="utf-8"?>
<comments xmlns="http://schemas.openxmlformats.org/spreadsheetml/2006/main">
  <authors>
    <author>Rafael Araújo Nacimento</author>
  </authors>
  <commentList>
    <comment ref="C36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Leva em consideração a quantidade de lotes por ano e o valor estimado da venda da cama (t)</t>
        </r>
      </text>
    </comment>
    <comment ref="C37" authorId="0" shapeId="0">
      <text>
        <r>
          <rPr>
            <b/>
            <sz val="9"/>
            <color indexed="81"/>
            <rFont val="Segoe UI"/>
            <family val="2"/>
          </rPr>
          <t>Rafael Araújo Nacimento:
Ponderação pela subutilização das instalações e equipamentos:</t>
        </r>
        <r>
          <rPr>
            <sz val="9"/>
            <color indexed="81"/>
            <rFont val="Segoe UI"/>
            <family val="2"/>
          </rPr>
          <t xml:space="preserve">
Este item é incluso ao modelo devido ao resarcimento do produtor por subutilização das instalações. Ou seja, se legalmente e de acordo com recomnedações a instalação pode alojar 12 aves/m² e se aloja 11 aves/m², é de responsabilidade da integradora ressarcir o produtor, pagando a diferença.</t>
        </r>
      </text>
    </comment>
  </commentList>
</comments>
</file>

<file path=xl/comments5.xml><?xml version="1.0" encoding="utf-8"?>
<comments xmlns="http://schemas.openxmlformats.org/spreadsheetml/2006/main">
  <authors>
    <author>reviewer</author>
    <author>tc={F5C344E0-57F4-4981-A9F7-5381168FC3AA}</author>
    <author>tc={046154E7-6DA0-4A1C-A7E0-5F3D9C23C5E1}</author>
    <author>tc={31D4B54D-7B38-4B87-A6E8-E44D35B06F7C}</author>
    <author>tc={589B26FC-8B51-4D05-AA30-FE309E7C18AE}</author>
    <author>Rafael Araújo Nacimento</author>
    <author>tc={F44BD68C-AECB-49E6-B2D1-6430A1FB67F1}</author>
  </authors>
  <commentList>
    <comment ref="D42" authorId="0" shapeId="0">
      <text>
        <r>
          <rPr>
            <b/>
            <sz val="9"/>
            <color indexed="81"/>
            <rFont val="Segoe UI"/>
            <family val="2"/>
          </rPr>
          <t>reviewer:</t>
        </r>
        <r>
          <rPr>
            <sz val="9"/>
            <color indexed="81"/>
            <rFont val="Segoe UI"/>
            <family val="2"/>
          </rPr>
          <t xml:space="preserve">
Own data</t>
        </r>
      </text>
    </comment>
    <comment ref="E42" authorId="0" shapeId="0">
      <text>
        <r>
          <rPr>
            <b/>
            <sz val="9"/>
            <color indexed="81"/>
            <rFont val="Segoe UI"/>
            <family val="2"/>
          </rPr>
          <t>reviewer:</t>
        </r>
        <r>
          <rPr>
            <sz val="9"/>
            <color indexed="81"/>
            <rFont val="Segoe UI"/>
            <family val="2"/>
          </rPr>
          <t xml:space="preserve">
Own data</t>
        </r>
      </text>
    </comment>
    <comment ref="K42" authorId="0" shapeId="0">
      <text>
        <r>
          <rPr>
            <b/>
            <sz val="9"/>
            <color indexed="81"/>
            <rFont val="Segoe UI"/>
            <family val="2"/>
          </rPr>
          <t>reviewer:</t>
        </r>
        <r>
          <rPr>
            <sz val="9"/>
            <color indexed="81"/>
            <rFont val="Segoe UI"/>
            <family val="2"/>
          </rPr>
          <t xml:space="preserve">
Own data</t>
        </r>
      </text>
    </comment>
    <comment ref="I106" authorId="0" shapeId="0">
      <text>
        <r>
          <rPr>
            <b/>
            <sz val="9"/>
            <color indexed="81"/>
            <rFont val="Segoe UI"/>
            <family val="2"/>
          </rPr>
          <t>reviewer:</t>
        </r>
        <r>
          <rPr>
            <sz val="9"/>
            <color indexed="81"/>
            <rFont val="Segoe UI"/>
            <family val="2"/>
          </rPr>
          <t xml:space="preserve">
Estimated fair price to producer if EER = 1,0</t>
        </r>
      </text>
    </comment>
    <comment ref="J106" authorId="0" shapeId="0">
      <text>
        <r>
          <rPr>
            <b/>
            <sz val="9"/>
            <color indexed="81"/>
            <rFont val="Segoe UI"/>
            <family val="2"/>
          </rPr>
          <t>reviewer:</t>
        </r>
        <r>
          <rPr>
            <sz val="9"/>
            <color indexed="81"/>
            <rFont val="Segoe UI"/>
            <family val="2"/>
          </rPr>
          <t xml:space="preserve">
value in BRL/bird</t>
        </r>
      </text>
    </comment>
    <comment ref="M106" authorId="0" shapeId="0">
      <text>
        <r>
          <rPr>
            <b/>
            <sz val="9"/>
            <color indexed="81"/>
            <rFont val="Segoe UI"/>
            <family val="2"/>
          </rPr>
          <t>reviewer:</t>
        </r>
        <r>
          <rPr>
            <sz val="9"/>
            <color indexed="81"/>
            <rFont val="Segoe UI"/>
            <family val="2"/>
          </rPr>
          <t xml:space="preserve">
Estimated fair price to producer if EER = 1,0</t>
        </r>
      </text>
    </comment>
    <comment ref="K520" authorId="1" shapeId="0">
      <text>
        <r>
          <rPr>
            <sz val="10"/>
            <color rgb="FF000000"/>
            <rFont val="Times New Roman"/>
            <family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According to Castellini et al. 2006</t>
        </r>
      </text>
    </comment>
    <comment ref="K550" authorId="2" shapeId="0">
      <text>
        <r>
          <rPr>
            <sz val="10"/>
            <color rgb="FF000000"/>
            <rFont val="Times New Roman"/>
            <family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According to Castellini et al. 2006</t>
        </r>
      </text>
    </comment>
    <comment ref="K564" authorId="3" shapeId="0">
      <text>
        <r>
          <rPr>
            <sz val="10"/>
            <color rgb="FF000000"/>
            <rFont val="Times New Roman"/>
            <family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According to Castellini et al. 2006</t>
        </r>
      </text>
    </comment>
    <comment ref="K579" authorId="4" shapeId="0">
      <text>
        <r>
          <rPr>
            <sz val="10"/>
            <color rgb="FF000000"/>
            <rFont val="Times New Roman"/>
            <family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According to Castellini et al. 2006</t>
        </r>
      </text>
    </comment>
    <comment ref="M589" authorId="5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it was considered half time of conventional system due to other activities as employed in a conventional farm service</t>
        </r>
      </text>
    </comment>
    <comment ref="K593" authorId="6" shapeId="0">
      <text>
        <r>
          <rPr>
            <sz val="10"/>
            <color rgb="FF000000"/>
            <rFont val="Times New Roman"/>
            <family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According to Castellini et al. 2006</t>
        </r>
      </text>
    </comment>
  </commentList>
</comments>
</file>

<file path=xl/comments6.xml><?xml version="1.0" encoding="utf-8"?>
<comments xmlns="http://schemas.openxmlformats.org/spreadsheetml/2006/main">
  <authors>
    <author>Rafael Araújo Nacimento</author>
  </authors>
  <commentList>
    <comment ref="B87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Alterar
</t>
        </r>
      </text>
    </comment>
    <comment ref="B89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Alterar</t>
        </r>
      </text>
    </comment>
    <comment ref="B93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Alterar
</t>
        </r>
      </text>
    </comment>
    <comment ref="B95" authorId="0" shapeId="0">
      <text>
        <r>
          <rPr>
            <b/>
            <sz val="9"/>
            <color indexed="81"/>
            <rFont val="Segoe UI"/>
            <family val="2"/>
          </rPr>
          <t>Rafael Araújo Nacimento:</t>
        </r>
        <r>
          <rPr>
            <sz val="9"/>
            <color indexed="81"/>
            <rFont val="Segoe UI"/>
            <family val="2"/>
          </rPr>
          <t xml:space="preserve">
Alterar</t>
        </r>
      </text>
    </comment>
  </commentList>
</comments>
</file>

<file path=xl/sharedStrings.xml><?xml version="1.0" encoding="utf-8"?>
<sst xmlns="http://schemas.openxmlformats.org/spreadsheetml/2006/main" count="3507" uniqueCount="1649">
  <si>
    <r>
      <rPr>
        <b/>
        <sz val="8.5"/>
        <color rgb="FF1F442D"/>
        <rFont val="Arial"/>
        <family val="2"/>
      </rPr>
      <t>VARIÁVEL</t>
    </r>
  </si>
  <si>
    <r>
      <rPr>
        <b/>
        <sz val="8.5"/>
        <color rgb="FF1F442D"/>
        <rFont val="Arial"/>
        <family val="2"/>
      </rPr>
      <t>FIXO</t>
    </r>
  </si>
  <si>
    <r>
      <rPr>
        <b/>
        <sz val="8.5"/>
        <color rgb="FF1F442D"/>
        <rFont val="Arial"/>
        <family val="2"/>
      </rPr>
      <t>TOTAL</t>
    </r>
  </si>
  <si>
    <r>
      <rPr>
        <b/>
        <sz val="8.5"/>
        <color rgb="FF1F442D"/>
        <rFont val="Arial"/>
        <family val="2"/>
      </rPr>
      <t>%</t>
    </r>
  </si>
  <si>
    <r>
      <rPr>
        <b/>
        <sz val="8.5"/>
        <color rgb="FF1F442D"/>
        <rFont val="Arial"/>
        <family val="2"/>
      </rPr>
      <t>CUSTO/OVO</t>
    </r>
  </si>
  <si>
    <r>
      <rPr>
        <b/>
        <sz val="8.5"/>
        <color rgb="FF1F442D"/>
        <rFont val="Arial"/>
        <family val="2"/>
      </rPr>
      <t>VALOR</t>
    </r>
  </si>
  <si>
    <r>
      <rPr>
        <b/>
        <sz val="8.5"/>
        <color rgb="FF1F442D"/>
        <rFont val="Arial"/>
        <family val="2"/>
      </rPr>
      <t>Juros a.m</t>
    </r>
  </si>
  <si>
    <r>
      <rPr>
        <b/>
        <sz val="8.5"/>
        <color rgb="FF1F442D"/>
        <rFont val="Arial"/>
        <family val="2"/>
      </rPr>
      <t>REMUNERAÇÃO</t>
    </r>
  </si>
  <si>
    <r>
      <rPr>
        <b/>
        <sz val="8.5"/>
        <color rgb="FF1F442D"/>
        <rFont val="Arial"/>
        <family val="2"/>
      </rPr>
      <t>Mão de obra</t>
    </r>
  </si>
  <si>
    <r>
      <rPr>
        <b/>
        <sz val="8.5"/>
        <color rgb="FFFFFFFF"/>
        <rFont val="Arial"/>
        <family val="2"/>
      </rPr>
      <t>SUBTOTAL I</t>
    </r>
  </si>
  <si>
    <r>
      <rPr>
        <b/>
        <sz val="8.5"/>
        <color rgb="FF1F442D"/>
        <rFont val="Arial"/>
        <family val="2"/>
      </rPr>
      <t>Valor Total</t>
    </r>
  </si>
  <si>
    <r>
      <rPr>
        <b/>
        <sz val="8.5"/>
        <color rgb="FF1F442D"/>
        <rFont val="Arial"/>
        <family val="2"/>
      </rPr>
      <t>R$ / Ovos comercializados</t>
    </r>
  </si>
  <si>
    <r>
      <rPr>
        <b/>
        <sz val="8.5"/>
        <color rgb="FF1F442D"/>
        <rFont val="Arial"/>
        <family val="2"/>
      </rPr>
      <t>Descarte Aves</t>
    </r>
  </si>
  <si>
    <r>
      <rPr>
        <b/>
        <sz val="8.5"/>
        <color rgb="FF1F442D"/>
        <rFont val="Arial"/>
        <family val="2"/>
      </rPr>
      <t>R$/Ave</t>
    </r>
  </si>
  <si>
    <r>
      <rPr>
        <b/>
        <sz val="8.5"/>
        <color rgb="FF1F442D"/>
        <rFont val="Arial"/>
        <family val="2"/>
      </rPr>
      <t>Esterco / Compostagem</t>
    </r>
  </si>
  <si>
    <r>
      <rPr>
        <b/>
        <sz val="8.5"/>
        <color rgb="FF1F442D"/>
        <rFont val="Arial"/>
        <family val="2"/>
      </rPr>
      <t>R$/Tonelada</t>
    </r>
  </si>
  <si>
    <r>
      <rPr>
        <b/>
        <sz val="8.5"/>
        <color rgb="FFFFFFFF"/>
        <rFont val="Arial"/>
        <family val="2"/>
      </rPr>
      <t>SUBTOTAL II</t>
    </r>
  </si>
  <si>
    <r>
      <rPr>
        <b/>
        <sz val="8.5"/>
        <color rgb="FF1F442D"/>
        <rFont val="Arial"/>
        <family val="2"/>
      </rPr>
      <t>VALORES</t>
    </r>
  </si>
  <si>
    <r>
      <rPr>
        <b/>
        <sz val="8.5"/>
        <color rgb="FF1F442D"/>
        <rFont val="Arial"/>
        <family val="2"/>
      </rPr>
      <t>SUBTOTAL I (Despesas)</t>
    </r>
  </si>
  <si>
    <r>
      <rPr>
        <b/>
        <sz val="8.5"/>
        <color rgb="FF1F442D"/>
        <rFont val="Arial"/>
        <family val="2"/>
      </rPr>
      <t>SUBTOTAL II (Receitas)</t>
    </r>
  </si>
  <si>
    <t>uni</t>
  </si>
  <si>
    <t>R$</t>
  </si>
  <si>
    <t>Total</t>
  </si>
  <si>
    <t>R$/kg</t>
  </si>
  <si>
    <t>TOTAL</t>
  </si>
  <si>
    <t>Quantidade</t>
  </si>
  <si>
    <t>Valor residual (R$)</t>
  </si>
  <si>
    <t>Bebedouro</t>
  </si>
  <si>
    <t>Comedouros</t>
  </si>
  <si>
    <t>ITENS DE CUSTO</t>
  </si>
  <si>
    <t>Nutrição</t>
  </si>
  <si>
    <t>%</t>
  </si>
  <si>
    <t>Depreciação</t>
  </si>
  <si>
    <t>Manutenção</t>
  </si>
  <si>
    <t>Ton</t>
  </si>
  <si>
    <t>TOTAL GERAL</t>
  </si>
  <si>
    <t>REMUNERAÇÃO FATORES DE PRODUÇÃO</t>
  </si>
  <si>
    <t>Custo de Oportunidade do Arrendamento Terra</t>
  </si>
  <si>
    <t>Seguro</t>
  </si>
  <si>
    <t>FÁBRICA DE RAÇÃO</t>
  </si>
  <si>
    <t>INFORMAÇÕES GERAIS</t>
  </si>
  <si>
    <t>RECEITAS</t>
  </si>
  <si>
    <t>VENDA DE ANIMAIS</t>
  </si>
  <si>
    <t>VENDA DE OVOS</t>
  </si>
  <si>
    <t>VENDA DE ESTERCO</t>
  </si>
  <si>
    <t>UNI</t>
  </si>
  <si>
    <t>UNIDADES</t>
  </si>
  <si>
    <t>CAIXAS</t>
  </si>
  <si>
    <t>KG</t>
  </si>
  <si>
    <t>TON</t>
  </si>
  <si>
    <t>Aquisição de ave</t>
  </si>
  <si>
    <t>Energia | Combustível | Cama</t>
  </si>
  <si>
    <t>SEMI-FIXO</t>
  </si>
  <si>
    <t>Serviço de água e esgoto</t>
  </si>
  <si>
    <r>
      <rPr>
        <b/>
        <sz val="11"/>
        <color rgb="FF1F442D"/>
        <rFont val="Arial"/>
        <family val="2"/>
      </rPr>
      <t>Valor Recebido</t>
    </r>
  </si>
  <si>
    <t>CUSTO/CX</t>
  </si>
  <si>
    <t>INGREDIENTES DA RAÇÃO</t>
  </si>
  <si>
    <t>Milho</t>
  </si>
  <si>
    <t>Soja, Farelo</t>
  </si>
  <si>
    <t>Soja, Óleo</t>
  </si>
  <si>
    <t>Trigo, Farelo</t>
  </si>
  <si>
    <t>Calcário Calcítico</t>
  </si>
  <si>
    <t>Suplemento vitamínico-mineral</t>
  </si>
  <si>
    <t>Fosfato bicálcico</t>
  </si>
  <si>
    <t>L-Lisina</t>
  </si>
  <si>
    <t>DL-Metionina</t>
  </si>
  <si>
    <t>L-Treonina</t>
  </si>
  <si>
    <t>Sal Comum</t>
  </si>
  <si>
    <t>Sorgo, baixo tanino</t>
  </si>
  <si>
    <t>Núcleo</t>
  </si>
  <si>
    <t>LOTE</t>
  </si>
  <si>
    <t>DESPESAS</t>
  </si>
  <si>
    <t>COMPRA DA CAMA</t>
  </si>
  <si>
    <t>COMPRA DE AVES</t>
  </si>
  <si>
    <t>INSTALAÇÕES</t>
  </si>
  <si>
    <t>GALPÃO</t>
  </si>
  <si>
    <t>ENTREPOSTO</t>
  </si>
  <si>
    <t>PIQUETE</t>
  </si>
  <si>
    <t>COMPOSTEIRA</t>
  </si>
  <si>
    <t>ESCRITÓRIO</t>
  </si>
  <si>
    <t>CASA</t>
  </si>
  <si>
    <t xml:space="preserve">HA </t>
  </si>
  <si>
    <t xml:space="preserve"> TAXAS E ÍNDICES</t>
  </si>
  <si>
    <t>POR ANO</t>
  </si>
  <si>
    <t>POR MÊS</t>
  </si>
  <si>
    <t>ÍNDICE DE PERDA NA PRODUÇÃO (%)</t>
  </si>
  <si>
    <t>TAXA DE PRODUÇÃO (%)</t>
  </si>
  <si>
    <t>TAXA DE MORTALIDADE (%)</t>
  </si>
  <si>
    <t>TARIFA DE ÁGUA</t>
  </si>
  <si>
    <t>TARIFA DE ESGOTO</t>
  </si>
  <si>
    <t>TARIFA DE ENERGIA</t>
  </si>
  <si>
    <t>KWH</t>
  </si>
  <si>
    <t>M2</t>
  </si>
  <si>
    <t>M3</t>
  </si>
  <si>
    <t>DESCRIÇÃO DO CARGO</t>
  </si>
  <si>
    <t>FOLGUISTA</t>
  </si>
  <si>
    <t>LOGÍSTICA</t>
  </si>
  <si>
    <t>GERENTE</t>
  </si>
  <si>
    <t>PROPRIETÁRIO</t>
  </si>
  <si>
    <t>SÓCIO</t>
  </si>
  <si>
    <t>ENTREGADOR</t>
  </si>
  <si>
    <t>GRANJEIRO</t>
  </si>
  <si>
    <t>MÉDICO VETERINÁRIO</t>
  </si>
  <si>
    <t>NUTRICIONISTA</t>
  </si>
  <si>
    <t>ELETRICISTA</t>
  </si>
  <si>
    <t>MECÂNICO</t>
  </si>
  <si>
    <t>RESPONSÁVEL TÉCNICO</t>
  </si>
  <si>
    <t>LITROS/AVE</t>
  </si>
  <si>
    <t>TAXA DE REMUNERAÇÃO DO CAPITAL</t>
  </si>
  <si>
    <t>Sanidade</t>
  </si>
  <si>
    <t>LOTE 01</t>
  </si>
  <si>
    <t>LOTE 02</t>
  </si>
  <si>
    <t>LOTE 03</t>
  </si>
  <si>
    <t>LOTE 04</t>
  </si>
  <si>
    <t>LOTE 05</t>
  </si>
  <si>
    <t>LOTE 06</t>
  </si>
  <si>
    <t>LOTE 07</t>
  </si>
  <si>
    <t>LOTE 08</t>
  </si>
  <si>
    <t>para fases iguais, coloca-se total</t>
  </si>
  <si>
    <t>DIAS</t>
  </si>
  <si>
    <t>SEMANAS</t>
  </si>
  <si>
    <t>ML/AVE</t>
  </si>
  <si>
    <t>G/AVE/DIA</t>
  </si>
  <si>
    <t>CAIXAS (360 UN)</t>
  </si>
  <si>
    <t xml:space="preserve">UN </t>
  </si>
  <si>
    <t>SERVIÇOS CONTÁBEIS</t>
  </si>
  <si>
    <t>R$/KG</t>
  </si>
  <si>
    <t>TOTAL/MÊS</t>
  </si>
  <si>
    <t>TOTAL/LOTE</t>
  </si>
  <si>
    <t>OVO (UN)</t>
  </si>
  <si>
    <t>Diversos</t>
  </si>
  <si>
    <t>CUSTO MENSAL DA PRODUÇÃO DE OVOS</t>
  </si>
  <si>
    <t>por mês</t>
  </si>
  <si>
    <t>por lote</t>
  </si>
  <si>
    <t>por ciclo</t>
  </si>
  <si>
    <t>POR CICLO</t>
  </si>
  <si>
    <t>ÁREA DE SERVIÇO</t>
  </si>
  <si>
    <t>SIM</t>
  </si>
  <si>
    <t>NÃO</t>
  </si>
  <si>
    <t>Gerador</t>
  </si>
  <si>
    <t>Calcário</t>
  </si>
  <si>
    <t>% a.m.</t>
  </si>
  <si>
    <t>% a.a.</t>
  </si>
  <si>
    <t>Cortinas</t>
  </si>
  <si>
    <t>Silos</t>
  </si>
  <si>
    <t>Escritório</t>
  </si>
  <si>
    <t>SERVIÇOS DE TRANSPORTE</t>
  </si>
  <si>
    <t>Ventiladores</t>
  </si>
  <si>
    <t>Placas evaporativas</t>
  </si>
  <si>
    <t>Nebulizadores</t>
  </si>
  <si>
    <t>Exaustores</t>
  </si>
  <si>
    <t>Pinto de 1 dia</t>
  </si>
  <si>
    <t>Índice do mês</t>
  </si>
  <si>
    <t>(em %)</t>
  </si>
  <si>
    <t>Índice acumulado</t>
  </si>
  <si>
    <t>no ano (em %)</t>
  </si>
  <si>
    <t>Índice acumulado nos últimos 12 meses</t>
  </si>
  <si>
    <t>Número índice</t>
  </si>
  <si>
    <t>acumulado a partir</t>
  </si>
  <si>
    <t>de Jan/93</t>
  </si>
  <si>
    <t>Mês / Ano</t>
  </si>
  <si>
    <t>1.911,4755</t>
  </si>
  <si>
    <t>1.903,8601</t>
  </si>
  <si>
    <t>1.886,8782</t>
  </si>
  <si>
    <t>1.866,9023</t>
  </si>
  <si>
    <t>0,0700</t>
  </si>
  <si>
    <t>1.843,8541</t>
  </si>
  <si>
    <t>Número índice obtido no IGP-DI/FGV.</t>
  </si>
  <si>
    <t>Remuneração real = [(taxa de juros * capital)-(taxa de juros IGP-DI * capital)]</t>
  </si>
  <si>
    <t>O IGPDI representa mais a inflação de produtos agrícolas</t>
  </si>
  <si>
    <t>POR AVE</t>
  </si>
  <si>
    <t>Idade de saída (dias)</t>
  </si>
  <si>
    <t>Iluminação</t>
  </si>
  <si>
    <t>POR L</t>
  </si>
  <si>
    <t>Inicial</t>
  </si>
  <si>
    <t>Crescimento</t>
  </si>
  <si>
    <t>POR FASE</t>
  </si>
  <si>
    <t>PAPELARIA</t>
  </si>
  <si>
    <t>PARAFUSOS</t>
  </si>
  <si>
    <t>FERRAMENTAS</t>
  </si>
  <si>
    <t>CUSTO/FRANGO</t>
  </si>
  <si>
    <t>Aquecedores</t>
  </si>
  <si>
    <t>Capital imobilizado</t>
  </si>
  <si>
    <t>SERVIÇO DE APANHA</t>
  </si>
  <si>
    <t>kg</t>
  </si>
  <si>
    <t>Número de aves alojadas</t>
  </si>
  <si>
    <t>Número de aves vendidas</t>
  </si>
  <si>
    <t>g</t>
  </si>
  <si>
    <t>Vida útil (ano)</t>
  </si>
  <si>
    <t>TOTAL/AVE</t>
  </si>
  <si>
    <t>Energia</t>
  </si>
  <si>
    <t>Transportes</t>
  </si>
  <si>
    <t>Combustível</t>
  </si>
  <si>
    <t>Cama</t>
  </si>
  <si>
    <t>Assistência técnica</t>
  </si>
  <si>
    <t>CUSTO/LOTE</t>
  </si>
  <si>
    <t>Detergente</t>
  </si>
  <si>
    <t>Total animais</t>
  </si>
  <si>
    <t>Cordeiro</t>
  </si>
  <si>
    <t>Matrizes</t>
  </si>
  <si>
    <t>Reprodutores</t>
  </si>
  <si>
    <t>GEB =1,20E+25</t>
  </si>
  <si>
    <t>Itens</t>
  </si>
  <si>
    <t>Variáveis</t>
  </si>
  <si>
    <t>Cálculos</t>
  </si>
  <si>
    <t>Nota</t>
  </si>
  <si>
    <t>Recursos Renováveis</t>
  </si>
  <si>
    <t>R1</t>
  </si>
  <si>
    <t>Sol</t>
  </si>
  <si>
    <t>Conversão, kwh para J</t>
  </si>
  <si>
    <t>Albedo, % decimal</t>
  </si>
  <si>
    <t>Energia, J/ha.ano</t>
  </si>
  <si>
    <t>Transformidade, sej/J</t>
  </si>
  <si>
    <t>Emergia, sej/ha.ano</t>
  </si>
  <si>
    <t>Fração renovável</t>
  </si>
  <si>
    <t>R2</t>
  </si>
  <si>
    <t>Vento</t>
  </si>
  <si>
    <t>Velocidade vento superficie, média anual, m/s</t>
  </si>
  <si>
    <r>
      <t>Densidade do ar, kg/m</t>
    </r>
    <r>
      <rPr>
        <vertAlign val="superscript"/>
        <sz val="11"/>
        <color theme="1"/>
        <rFont val="Calibri"/>
        <family val="2"/>
        <scheme val="minor"/>
      </rPr>
      <t>3</t>
    </r>
  </si>
  <si>
    <t>Alterou dia 04/05 para 1,2 baseado no boletim técnico de SP</t>
  </si>
  <si>
    <t xml:space="preserve">Vento geostrófico, m/s </t>
  </si>
  <si>
    <t>Coeficiente de arraste, adimensional</t>
  </si>
  <si>
    <t>Transformidade sej/J</t>
  </si>
  <si>
    <t>Emergia sej/ha.ano</t>
  </si>
  <si>
    <t>R3</t>
  </si>
  <si>
    <t>Chuva</t>
  </si>
  <si>
    <t>Precipitação mm ano</t>
  </si>
  <si>
    <t>potencial quimico</t>
  </si>
  <si>
    <t>Precipitação l/ha.ano</t>
  </si>
  <si>
    <t>Energia da água, J/kg (Energia livre de Gibbs)</t>
  </si>
  <si>
    <r>
      <t>Densidade da água,  kg/m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</si>
  <si>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Energia J/ha.ano </t>
  </si>
  <si>
    <t>R4</t>
  </si>
  <si>
    <t>Água de córrego</t>
  </si>
  <si>
    <t>Água consumida, litros/ha.ano</t>
  </si>
  <si>
    <t>Densidade da água, kg/l</t>
  </si>
  <si>
    <t>Energia da água, J/kg  (Energia livre de Gibbs).</t>
  </si>
  <si>
    <t>Energia J/ha.ano</t>
  </si>
  <si>
    <t>R</t>
  </si>
  <si>
    <t>R3+R4</t>
  </si>
  <si>
    <t>Recursos Não Renováveis</t>
  </si>
  <si>
    <t>N1</t>
  </si>
  <si>
    <t>Perda de solo</t>
  </si>
  <si>
    <t>Perda de solo kg/ha .ano</t>
  </si>
  <si>
    <t>Matéria organica % decimal</t>
  </si>
  <si>
    <t>Energia MO, kcal/kg MO</t>
  </si>
  <si>
    <t>Transformidade Sej/J</t>
  </si>
  <si>
    <t>N</t>
  </si>
  <si>
    <t>Recursos da Economia Materiais</t>
  </si>
  <si>
    <t>M1</t>
  </si>
  <si>
    <t>Muda de Tifton-85 kg/ha</t>
  </si>
  <si>
    <t>kg/ha</t>
  </si>
  <si>
    <t>Vida útil, anos</t>
  </si>
  <si>
    <t>Massa, kg/ha.ano</t>
  </si>
  <si>
    <t>corrigir J/kcal</t>
  </si>
  <si>
    <t>Energia J</t>
  </si>
  <si>
    <t>TRANFORMIDADE  (Tr), sej/J</t>
  </si>
  <si>
    <t>Emergia Sej/ha.ano</t>
  </si>
  <si>
    <t>Volumoso Cana de açúcar - Cordeiro</t>
  </si>
  <si>
    <t>Consumo Massa kg/animal.ano</t>
  </si>
  <si>
    <t>300 cordeiros</t>
  </si>
  <si>
    <t>Fluxo de massa/kg.ha.ano</t>
  </si>
  <si>
    <t>Emergia especifica (Tr), sej/kg</t>
  </si>
  <si>
    <t>Volumoso Cana de açúcar - Matrizes</t>
  </si>
  <si>
    <t>343 matrizes</t>
  </si>
  <si>
    <t>M4</t>
  </si>
  <si>
    <t>Volumoso Cana de açúcar - Reprodutores</t>
  </si>
  <si>
    <t>Consumo Massa kg/aniamal.ano</t>
  </si>
  <si>
    <t>3 reprodutores</t>
  </si>
  <si>
    <t>M5</t>
  </si>
  <si>
    <t>Consumo ton/ha.ano</t>
  </si>
  <si>
    <t>Fluxo de massa kg/ha.ano</t>
  </si>
  <si>
    <t>M6</t>
  </si>
  <si>
    <t>Reprodutor</t>
  </si>
  <si>
    <t xml:space="preserve">Reposição,  macho/ha.ano  </t>
  </si>
  <si>
    <t>Peso, kg.ha.ano</t>
  </si>
  <si>
    <t>Energia, J/kg peso vivo</t>
  </si>
  <si>
    <t>M7</t>
  </si>
  <si>
    <t>Sal Mineral Cordeiros</t>
  </si>
  <si>
    <t>Consumo kg/ha.ano</t>
  </si>
  <si>
    <t>M8</t>
  </si>
  <si>
    <t>Sal Mineral Matrizes</t>
  </si>
  <si>
    <t>Consumo kg/animal.ano</t>
  </si>
  <si>
    <t>M9</t>
  </si>
  <si>
    <t>Sal Mineral Reprodutores</t>
  </si>
  <si>
    <t>M10</t>
  </si>
  <si>
    <t>Concentrado Matrizes- milho kg/ano</t>
  </si>
  <si>
    <t>Consumo g/animal.ano</t>
  </si>
  <si>
    <t>Fluxo de massa g/ha.ano</t>
  </si>
  <si>
    <t>Emergia especifica (Tr), sej/g</t>
  </si>
  <si>
    <t>M11</t>
  </si>
  <si>
    <t>Concentrado Matrizes- soja kg/ano</t>
  </si>
  <si>
    <t>M12</t>
  </si>
  <si>
    <t>Concentrado Cordeiro- milho kg/ano</t>
  </si>
  <si>
    <t>M13</t>
  </si>
  <si>
    <t>Concentrado Cordeiro- soja kg/ano</t>
  </si>
  <si>
    <t>M14</t>
  </si>
  <si>
    <t>Vermifugo cordeiro</t>
  </si>
  <si>
    <t>Consumo ml/animal.ano</t>
  </si>
  <si>
    <t>Animais.ha.ano</t>
  </si>
  <si>
    <t>Densidade vermifugo g/ml</t>
  </si>
  <si>
    <t>Transformidade Sej/g</t>
  </si>
  <si>
    <t>M15</t>
  </si>
  <si>
    <t>Vermifugo matrizes</t>
  </si>
  <si>
    <t>M16</t>
  </si>
  <si>
    <t>Vermifugo reprodutor</t>
  </si>
  <si>
    <t>Total vermifugo</t>
  </si>
  <si>
    <t>M17</t>
  </si>
  <si>
    <t>Vacina cordeiro</t>
  </si>
  <si>
    <t>Consumo dose/animal.ano</t>
  </si>
  <si>
    <t>Densidade vacina g/ml</t>
  </si>
  <si>
    <t>Emergia especifica sej/g</t>
  </si>
  <si>
    <t>M18</t>
  </si>
  <si>
    <t>Vacina matrizes</t>
  </si>
  <si>
    <t>M19</t>
  </si>
  <si>
    <t>Vacina reprodutor</t>
  </si>
  <si>
    <t>Total vacina</t>
  </si>
  <si>
    <t>M20</t>
  </si>
  <si>
    <t xml:space="preserve">Arame </t>
  </si>
  <si>
    <t>15*200*6 metros de arame/metro linear de cerca=1800/20 anos</t>
  </si>
  <si>
    <t>M21</t>
  </si>
  <si>
    <t xml:space="preserve">Combustível Diesel </t>
  </si>
  <si>
    <t>Consumo litros/ha.ano</t>
  </si>
  <si>
    <t>Conversão L em J</t>
  </si>
  <si>
    <t>Fluxo de energia J/ha.ano</t>
  </si>
  <si>
    <t>M22</t>
  </si>
  <si>
    <t xml:space="preserve"> Energia elétrica</t>
  </si>
  <si>
    <t>Kwatts/ano</t>
  </si>
  <si>
    <t>Kwatts/ha.ano</t>
  </si>
  <si>
    <t>Conversão kwh para Joules</t>
  </si>
  <si>
    <t>Energia em Joules</t>
  </si>
  <si>
    <t>M23</t>
  </si>
  <si>
    <t>Depreciação Máquinas aço</t>
  </si>
  <si>
    <t>MF4275 peso 2730 kg  - hora.ha.ano</t>
  </si>
  <si>
    <t>Vida util horas</t>
  </si>
  <si>
    <t>M24</t>
  </si>
  <si>
    <t>Depreciação Equipamentos  aço</t>
  </si>
  <si>
    <t>Carreta - 432 kg-  - hora.ha.ano</t>
  </si>
  <si>
    <t>Ensiladeira - 195 kg  - hora.ha.ano</t>
  </si>
  <si>
    <t>Balança 180 kg  - hora.ha.ano</t>
  </si>
  <si>
    <t>M25</t>
  </si>
  <si>
    <t>Depreciação Instalações</t>
  </si>
  <si>
    <t>Aprisco - depreciação -ano R$</t>
  </si>
  <si>
    <t>Taxa de câmbio</t>
  </si>
  <si>
    <t>Fluxo U$.ha-1.ano-1</t>
  </si>
  <si>
    <t>Emergia por U$ (Tr), sej/U$</t>
  </si>
  <si>
    <t>M26</t>
  </si>
  <si>
    <t>Manutenção Máq. Equip.</t>
  </si>
  <si>
    <t>Recursos da Economia Serviço S</t>
  </si>
  <si>
    <t>S1</t>
  </si>
  <si>
    <t>Mão-de-obra diarista</t>
  </si>
  <si>
    <t>Homens-Dia/ha.ano</t>
  </si>
  <si>
    <t>Metabolismo kcal/Homen-Dia</t>
  </si>
  <si>
    <t>Conversão Kcal em J</t>
  </si>
  <si>
    <t>S2</t>
  </si>
  <si>
    <t>Mão-de-obra Registrado</t>
  </si>
  <si>
    <t>Conversão J</t>
  </si>
  <si>
    <t>S3</t>
  </si>
  <si>
    <t>Assitência Técnica</t>
  </si>
  <si>
    <t>S4</t>
  </si>
  <si>
    <t>Encargos sociais</t>
  </si>
  <si>
    <t>Valor  R$/ha.ano</t>
  </si>
  <si>
    <r>
      <t>Taxa de câmbio USD/R$</t>
    </r>
    <r>
      <rPr>
        <sz val="12"/>
        <color indexed="8"/>
        <rFont val="Times New Roman"/>
        <family val="1"/>
      </rPr>
      <t xml:space="preserve"> </t>
    </r>
  </si>
  <si>
    <r>
      <t>Conversão (R$)*(USD/R$</t>
    </r>
    <r>
      <rPr>
        <sz val="12"/>
        <color indexed="8"/>
        <rFont val="Times New Roman"/>
        <family val="1"/>
      </rPr>
      <t xml:space="preserve">) </t>
    </r>
  </si>
  <si>
    <t>Emergia por moeda Sej/U$</t>
  </si>
  <si>
    <t>S5</t>
  </si>
  <si>
    <t>Encargos Financeiros</t>
  </si>
  <si>
    <t>Produto</t>
  </si>
  <si>
    <t xml:space="preserve">Unidade </t>
  </si>
  <si>
    <t>Quantidade/ha</t>
  </si>
  <si>
    <t>Peso, kg/ha</t>
  </si>
  <si>
    <t>energia J/kg, odum 1996, Yang (2018)</t>
  </si>
  <si>
    <t>J/ha.ano Energia produzida</t>
  </si>
  <si>
    <t xml:space="preserve">Cordeiros/ha.ano </t>
  </si>
  <si>
    <t>unid.</t>
  </si>
  <si>
    <t>Matrizes descarte</t>
  </si>
  <si>
    <t>Reprodutor descarte</t>
  </si>
  <si>
    <t>Total/ha</t>
  </si>
  <si>
    <t>Unidade</t>
  </si>
  <si>
    <t>Quantidade un.ha.ano</t>
  </si>
  <si>
    <t>UEV</t>
  </si>
  <si>
    <t>Fluxo emergia seJ.ha.ano</t>
  </si>
  <si>
    <t>Fonte, Base line Odum 1999</t>
  </si>
  <si>
    <t>Fluxo renovável</t>
  </si>
  <si>
    <t>Fluxo Não renovável</t>
  </si>
  <si>
    <t>Porcentagem</t>
  </si>
  <si>
    <t>Emdólar</t>
  </si>
  <si>
    <t>R=</t>
  </si>
  <si>
    <t>J</t>
  </si>
  <si>
    <t>N=</t>
  </si>
  <si>
    <t>M</t>
  </si>
  <si>
    <t>M=</t>
  </si>
  <si>
    <t>U$</t>
  </si>
  <si>
    <t>S</t>
  </si>
  <si>
    <t>S=</t>
  </si>
  <si>
    <t>Y</t>
  </si>
  <si>
    <t>Emergia Total</t>
  </si>
  <si>
    <t>Y=</t>
  </si>
  <si>
    <t>Energia Produzida hectare.ano</t>
  </si>
  <si>
    <t>Energia J/kg, EP</t>
  </si>
  <si>
    <t>J/ha.ano Energia produzida, EP</t>
  </si>
  <si>
    <t>kg.ha.ano</t>
  </si>
  <si>
    <t>EP, total por hectare ano</t>
  </si>
  <si>
    <t xml:space="preserve">Taxa de câmbio </t>
  </si>
  <si>
    <t>R$/USD  e USD/R$</t>
  </si>
  <si>
    <t>considerar coproduto</t>
  </si>
  <si>
    <t>Preço cordeiro vivo</t>
  </si>
  <si>
    <t>Receita USD</t>
  </si>
  <si>
    <t>USD.ha.ano</t>
  </si>
  <si>
    <t>Em$/U$</t>
  </si>
  <si>
    <t>Fluxos emergéticos Agregados</t>
  </si>
  <si>
    <t>Mn</t>
  </si>
  <si>
    <t>Mr</t>
  </si>
  <si>
    <t>Sn</t>
  </si>
  <si>
    <t>Sr</t>
  </si>
  <si>
    <t>Ep</t>
  </si>
  <si>
    <t>EP</t>
  </si>
  <si>
    <t xml:space="preserve">F </t>
  </si>
  <si>
    <t xml:space="preserve">Indices Emergéticos </t>
  </si>
  <si>
    <t>Equação</t>
  </si>
  <si>
    <t xml:space="preserve">sej/J </t>
  </si>
  <si>
    <t>Transformidade (Tr)</t>
  </si>
  <si>
    <t>Y/Ep</t>
  </si>
  <si>
    <t xml:space="preserve">Renovabilidade (%R) </t>
  </si>
  <si>
    <t>100x(R/Y)</t>
  </si>
  <si>
    <t>Razão de rendimento emergético (EYR)</t>
  </si>
  <si>
    <t>Y/F</t>
  </si>
  <si>
    <t>Razão de investimento emergético (EIR)</t>
  </si>
  <si>
    <t>F/(R+N)</t>
  </si>
  <si>
    <t xml:space="preserve">Razão de carga ambiental (ELR) </t>
  </si>
  <si>
    <t>(F+N)/R</t>
  </si>
  <si>
    <t>Índice de sustentabilidade emergético (ESI)</t>
  </si>
  <si>
    <t>EYR/ELR</t>
  </si>
  <si>
    <t>Razão de intercâmbio emergético (EER)</t>
  </si>
  <si>
    <t>Y/[($)x(seJ/$)]</t>
  </si>
  <si>
    <t>Renovabilidade Parcial (%R)</t>
  </si>
  <si>
    <t>100x(R+MR+SR)/Y</t>
  </si>
  <si>
    <t>Razão de carga ambiental parcial (ELR)</t>
  </si>
  <si>
    <t>(N+MN+SN)/(R+MR+SR)</t>
  </si>
  <si>
    <t>Rascunho</t>
  </si>
  <si>
    <t>EB kcal/kg</t>
  </si>
  <si>
    <t>Peso vivo</t>
  </si>
  <si>
    <t>Rendimento carcaça</t>
  </si>
  <si>
    <t>Pescoço</t>
  </si>
  <si>
    <t>Paleta</t>
  </si>
  <si>
    <t>Costela verdadeira</t>
  </si>
  <si>
    <t>Costela falsa</t>
  </si>
  <si>
    <t>Serrote</t>
  </si>
  <si>
    <t>Lombo</t>
  </si>
  <si>
    <t>Pernil</t>
  </si>
  <si>
    <t>total</t>
  </si>
  <si>
    <t>Composição carne</t>
  </si>
  <si>
    <t xml:space="preserve">Southdown </t>
  </si>
  <si>
    <t xml:space="preserve">Romney </t>
  </si>
  <si>
    <t xml:space="preserve">Dorper </t>
  </si>
  <si>
    <t>Peso da carcaça fria</t>
  </si>
  <si>
    <t>% de osso</t>
  </si>
  <si>
    <t>% de musculo</t>
  </si>
  <si>
    <t>% de gordura</t>
  </si>
  <si>
    <t>GEB-2016</t>
  </si>
  <si>
    <t>Brown, M.T., et al., The geobiosphere emergy baseline: A synthesis. Ecol. Model. (2016), http://dx.doi.org/10.1016/j.ecolmodel.2016.03.018</t>
  </si>
  <si>
    <t>Item</t>
  </si>
  <si>
    <t>Ref.</t>
  </si>
  <si>
    <t>Referências</t>
  </si>
  <si>
    <t>GEB</t>
  </si>
  <si>
    <t>UEV-2016</t>
  </si>
  <si>
    <t>a -</t>
  </si>
  <si>
    <t>ODUM, H.T.. Environmental Accounting, EMERGY and Decision Making. John Wiley, New York, 370 pp. 1996.</t>
  </si>
  <si>
    <t>definição</t>
  </si>
  <si>
    <t>b -</t>
  </si>
  <si>
    <t>ODUM, H.T., BROWN, M.T., BRANDT-WILLIAMS, S.L. Handbook of Emergy Evaluation: A Compendium of Data for Emergy Computation Issued in a Series of Folios. Folio no 1 - Introduction and Global Budget. 2000. Center for Environmental Policy, Environmental Engineering Sciences, Univ. of Florida, Gainesville, 17 pp.</t>
  </si>
  <si>
    <t xml:space="preserve">c - </t>
  </si>
  <si>
    <t>COHEN, M. J.; BROWN, M. T.; SHEPERD, K. D. Estimating the environmental costs of soil erosion at multiple scales in Kenya using emergy synthesis. Agricultural Ecosystems &amp; Environment, v. 114, p. 249-269, 2006. http://dx.doi.org/10.1016/j.agee.2005.10.021</t>
  </si>
  <si>
    <t>d -</t>
  </si>
  <si>
    <t>G.C. Rótolo, T. Rydberg, G. Lieblein, C. Francis, Emergy evaluation of grazing cattle in Argentina's Pampas, Agriculture, Ecosystems &amp; Environment, Volume 119, Issues 3–4, 2007, Pages 383-395, ISSN 0167-8809, https://doi.org/10.1016/j.agee.2006.08.011</t>
  </si>
  <si>
    <t>M2,M3,M4</t>
  </si>
  <si>
    <t>e -</t>
  </si>
  <si>
    <t>Ometto, A.R., Roma, W., Ortega, E., (2004). Emergy life cycle assessment of fuel ethanol in Brazil: in Ortega, E. Ulgiati, S. (editors): Proceedings of IV Biennial International workshop “Advances in Energy Studies,” Unicamp, Campinas, SP. Brazil.</t>
  </si>
  <si>
    <t xml:space="preserve">f - </t>
  </si>
  <si>
    <t>Carlos Cezar Da Silva, Igor Corsini, Kátia Tagliaferro, Geslaine Frimaio, Cecília M. V. B. Almeida, Adrielle Frimaio e Silvia H. Bonilla. Environmental Accounting of Limestone Rock Processing for Agricultural Use. In … Brown, M.T., S. Sweeney, D.E. Campbell, S. Huang, D. Kang, T. Rydberg, D. Tilley and S. Ulgiati (eds). 2013. Emergy Synthesis 7: Theory and Applications of the Emergy Methodology. Proceedings of the 7th Biennial Emergy Conference. Center for Environmental Policy, University of Florida, Gainesville. Cap.26, p. 219-224.</t>
  </si>
  <si>
    <t>M7,M8,M9</t>
  </si>
  <si>
    <t xml:space="preserve"> ORTEGA, E.. Comparação dos Balanços de Emergia de 2 Sistemas de Produção de Leite. In: Enrique Ortega; Vitor Comar; Paul Safonov. (Org.). Engenharia Ecológica e Agricultura Sustentável. 1ed.São Paulo: Annalume, 2:122, 2001.</t>
  </si>
  <si>
    <t>M10, M12</t>
  </si>
  <si>
    <t>h</t>
  </si>
  <si>
    <t>Ortega, E., Anami, M., Diniz, G., 2002. Certification of food products using emergy analysis. In: Proceedings of IIIrd Internacional Workshop Advances in Energy Studies, Porto Venere, Italy. 227-237.</t>
  </si>
  <si>
    <t>M11, M13</t>
  </si>
  <si>
    <t>M14,M15,M16,M17,M18,M19</t>
  </si>
  <si>
    <t>i</t>
  </si>
  <si>
    <t>Campbell, D. E., &amp; Ohrt, A. (2009) Environmental accounting using emergy: evaluation of Minnesota. US Environmental Protection Agency, Office of Research and Development, National Health and Environmental Effects Research Laboratory, Atlantic Ecology Division.</t>
  </si>
  <si>
    <t>M20, M23,M24</t>
  </si>
  <si>
    <t>j</t>
  </si>
  <si>
    <t>Ulgiati, S., Odum, H. T., Bastianoni, S. (1994) Emergy use, environmental loading and sustainability. An emergy analysis of Italy. Ecol Modell 73:215-268. doi: 10.1016/0304-3800(94)90064-7</t>
  </si>
  <si>
    <t>k</t>
  </si>
  <si>
    <t xml:space="preserve"> Bastiannoni, S.; Campbell, D.E.; Ridolfi, R.; Pulselli, F.M. The solar transformity of petroleum fuels. Ecol. Model. 2009, 220, 40–50</t>
  </si>
  <si>
    <t>l</t>
  </si>
  <si>
    <t>BRANDT-WILLIAMS, S. L. Handbook of Emergy Evaluation: A Compendium of Data for Emergy Computation Issued in a Series of Folios. 2002. Folio no4 - Emergy of Florida Agriculture. Center for Environmental Policy, Environmental Engineering Sciences, Univ. of Florida, Gainesville, 40p. Disponível em: &lt;http://www.ees.ufl.edu/cep/&gt;.</t>
  </si>
  <si>
    <t>M25,M26, S5,S6</t>
  </si>
  <si>
    <t>m</t>
  </si>
  <si>
    <r>
      <t>Biagio F. Giannetti, Feni Agostinho, Luciano C. Moraes, Cecília M.V.B. Almeida, Sergio Ulgiati. Multicriteria cost–benefit assessment of tannery production: The need for breakthrough process alternatives beyond conventional technology optimization.</t>
    </r>
    <r>
      <rPr>
        <sz val="10"/>
        <color rgb="FF00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Environmental Impact Assessment Review 54 (2015) 22–38.</t>
    </r>
  </si>
  <si>
    <t>n</t>
  </si>
  <si>
    <t>Brown, M.T., 2003. Resource imperialism: Emergy perspectives on sustainability, international trade, and balancing the welfare of nations, pp. 135-149. In: Ulgiati, S, Brown, MT, Giampietro, M, Herendeen, R.A., Mayumi, K (eds) 3rd Biennial workshop, Advances in Emergy Studies, Reconsidering the Importance of Energy. SGEditoriali, Padova, Italy.</t>
  </si>
  <si>
    <t>S3,S4</t>
  </si>
  <si>
    <t>Lotes por ano</t>
  </si>
  <si>
    <t>Fator terra</t>
  </si>
  <si>
    <t>Eventuais (Agroindústria)</t>
  </si>
  <si>
    <t>Integrado</t>
  </si>
  <si>
    <t>POR KG</t>
  </si>
  <si>
    <t>Nome da Propriedade:</t>
  </si>
  <si>
    <t>Condição:</t>
  </si>
  <si>
    <t>Cidade/Estado:</t>
  </si>
  <si>
    <t>EQUIPAMENTOS</t>
  </si>
  <si>
    <t>DEPRECIAÇÃO</t>
  </si>
  <si>
    <t>m²</t>
  </si>
  <si>
    <t xml:space="preserve">Table 3b3. FARM Emergy Evaluation of </t>
  </si>
  <si>
    <t>Poultry</t>
  </si>
  <si>
    <t>ha/yr</t>
  </si>
  <si>
    <t>* If livestock is changed, adjust energy content in Farm Results sheet</t>
  </si>
  <si>
    <t>Solar</t>
  </si>
  <si>
    <t>Em$</t>
  </si>
  <si>
    <t>Data</t>
  </si>
  <si>
    <t>Transformity</t>
  </si>
  <si>
    <t>EMERGY</t>
  </si>
  <si>
    <t>Value</t>
  </si>
  <si>
    <t>Note</t>
  </si>
  <si>
    <t>Unit</t>
  </si>
  <si>
    <t>(units/yr)</t>
  </si>
  <si>
    <t>(sej/unit)</t>
  </si>
  <si>
    <t>(E13 sej/yr)</t>
  </si>
  <si>
    <t>(1984 $/yr)</t>
  </si>
  <si>
    <t>RENEWABLE RESOURCES</t>
  </si>
  <si>
    <t>Sun</t>
  </si>
  <si>
    <t>Rain, geopotential</t>
  </si>
  <si>
    <t>Et</t>
  </si>
  <si>
    <t>Earth cycle</t>
  </si>
  <si>
    <t>NONRENEWABLE STORAGES</t>
  </si>
  <si>
    <t>Topsoil losses</t>
  </si>
  <si>
    <t>Sum of free inputs (wdc)</t>
  </si>
  <si>
    <t>PURCHASED INPUTS</t>
  </si>
  <si>
    <t>Fuel</t>
  </si>
  <si>
    <t>Electricity</t>
  </si>
  <si>
    <t>Pesticides and vaccines</t>
  </si>
  <si>
    <t>Feed</t>
  </si>
  <si>
    <t>Mechanical equipment</t>
  </si>
  <si>
    <t>Labor</t>
  </si>
  <si>
    <t>Services, infrastructure</t>
  </si>
  <si>
    <t>$</t>
  </si>
  <si>
    <t>Sum of purchased inputs</t>
  </si>
  <si>
    <t>PRODUCTION</t>
  </si>
  <si>
    <t xml:space="preserve">Total Yield, dry weight </t>
  </si>
  <si>
    <t>SYSTEM'S RESULTS</t>
  </si>
  <si>
    <t>Name of Index</t>
  </si>
  <si>
    <t>Expression</t>
  </si>
  <si>
    <t>Index</t>
  </si>
  <si>
    <t>% Renewable</t>
  </si>
  <si>
    <t>R/(R+N+P+S)</t>
  </si>
  <si>
    <t>Environmental Loading Ratio</t>
  </si>
  <si>
    <t>(P+S+N)/R</t>
  </si>
  <si>
    <t>Emergy Investment Ratio</t>
  </si>
  <si>
    <t>(P + S)/(N + R)</t>
  </si>
  <si>
    <t>Emergy Yield Ratio</t>
  </si>
  <si>
    <t>Y/(P + S)</t>
  </si>
  <si>
    <t>Nonrenewable/Renewable</t>
  </si>
  <si>
    <t>(N + P)/R</t>
  </si>
  <si>
    <t>Empower Density</t>
  </si>
  <si>
    <t>sej/ha/yr</t>
  </si>
  <si>
    <t>Emergy Sustainability Index</t>
  </si>
  <si>
    <t>Used area =</t>
  </si>
  <si>
    <t>ha</t>
  </si>
  <si>
    <t>Buildings and pastage</t>
  </si>
  <si>
    <t>Footnotes to Table 3b3.</t>
  </si>
  <si>
    <t>Sun, J</t>
  </si>
  <si>
    <t>REFERENCE:</t>
  </si>
  <si>
    <t>Area base (1 ha) =</t>
  </si>
  <si>
    <t xml:space="preserve"> </t>
  </si>
  <si>
    <t xml:space="preserve">  Insolation  =</t>
  </si>
  <si>
    <t>Kcal/cm^2/yr</t>
  </si>
  <si>
    <t xml:space="preserve">  Albedo  =</t>
  </si>
  <si>
    <t>(% given as decimal)</t>
  </si>
  <si>
    <t xml:space="preserve">       Energy(J)  =</t>
  </si>
  <si>
    <t>(area incl shelf)*(avg insolation)*(1-albedo)</t>
  </si>
  <si>
    <t xml:space="preserve">                =</t>
  </si>
  <si>
    <t>(____ha)*(____kcal/cm^2/y)*(E+08cm^2/ha)*</t>
  </si>
  <si>
    <t>(1-albedo)*(4186J/kcal)</t>
  </si>
  <si>
    <t>J/yr</t>
  </si>
  <si>
    <t>TRANSFORMITY =</t>
  </si>
  <si>
    <t>sej/J</t>
  </si>
  <si>
    <t>Definition</t>
  </si>
  <si>
    <t xml:space="preserve">  Area  =</t>
  </si>
  <si>
    <t xml:space="preserve">  Rainfall  =</t>
  </si>
  <si>
    <t xml:space="preserve">  Avg. Elev  =</t>
  </si>
  <si>
    <t xml:space="preserve">  Runoff rate  =</t>
  </si>
  <si>
    <t xml:space="preserve">  (percent, given as a decimal )</t>
  </si>
  <si>
    <t>(area)(rainfall)(% runoff)(avg elevation)(gravity)</t>
  </si>
  <si>
    <t>(__m^2)*(__m)*(__%)*(1000kg/m^3)*(__m)*(9.8m/s^2)</t>
  </si>
  <si>
    <t>[Odum, 2000, Folio #1]</t>
  </si>
  <si>
    <t>Evapotranspiration, J</t>
  </si>
  <si>
    <t xml:space="preserve">Et: </t>
  </si>
  <si>
    <t>m/yr</t>
  </si>
  <si>
    <t>Annual energy =</t>
  </si>
  <si>
    <t>(m/yr)(Area)(1E3kg/m3)(4.94E3J/kg)</t>
  </si>
  <si>
    <t>Annual energy:</t>
  </si>
  <si>
    <t>Earth cycle, J</t>
  </si>
  <si>
    <t>Heat flow  =</t>
  </si>
  <si>
    <r>
      <t>J/m^</t>
    </r>
    <r>
      <rPr>
        <vertAlign val="superscript"/>
        <sz val="9"/>
        <rFont val="Geneva"/>
      </rPr>
      <t>2</t>
    </r>
  </si>
  <si>
    <t>Energy (J) =</t>
  </si>
  <si>
    <t>(area)(Heat flow)</t>
  </si>
  <si>
    <t>Energy (J)  =</t>
  </si>
  <si>
    <t>(____m2)(1E6 J/m2)</t>
  </si>
  <si>
    <t>=</t>
  </si>
  <si>
    <t>[Odum, 2000, Folio #2]</t>
  </si>
  <si>
    <t xml:space="preserve">  Soil loss  =</t>
  </si>
  <si>
    <r>
      <t>g/m</t>
    </r>
    <r>
      <rPr>
        <vertAlign val="superscript"/>
        <sz val="9"/>
        <rFont val="Geneva"/>
      </rPr>
      <t>2</t>
    </r>
    <r>
      <rPr>
        <sz val="9"/>
        <rFont val="Geneva"/>
      </rPr>
      <t>/yr</t>
    </r>
  </si>
  <si>
    <t>Average organic content (%) =</t>
  </si>
  <si>
    <t xml:space="preserve">       Energy (J) =</t>
  </si>
  <si>
    <r>
      <t>(__ g/m</t>
    </r>
    <r>
      <rPr>
        <vertAlign val="superscript"/>
        <sz val="9"/>
        <rFont val="Geneva"/>
      </rPr>
      <t>2</t>
    </r>
    <r>
      <rPr>
        <sz val="9"/>
        <rFont val="Geneva"/>
      </rPr>
      <t>/yr)*( __ m</t>
    </r>
    <r>
      <rPr>
        <vertAlign val="superscript"/>
        <sz val="9"/>
        <rFont val="Geneva"/>
      </rPr>
      <t>2</t>
    </r>
    <r>
      <rPr>
        <sz val="9"/>
        <rFont val="Geneva"/>
      </rPr>
      <t>)*(% organic)*(5.4 Kcal/g)(4186 J/Kcal)</t>
    </r>
  </si>
  <si>
    <t xml:space="preserve">                 =</t>
  </si>
  <si>
    <t>TRANSFORMITY SOM=</t>
  </si>
  <si>
    <t>[Brown, 2001, folio #3]</t>
  </si>
  <si>
    <r>
      <t xml:space="preserve">Fuel, J </t>
    </r>
    <r>
      <rPr>
        <sz val="9"/>
        <rFont val="Geneva"/>
      </rPr>
      <t>(includes diesel, gasoline, lubricants)</t>
    </r>
  </si>
  <si>
    <t>Consumption  =</t>
  </si>
  <si>
    <t>L/yr</t>
  </si>
  <si>
    <t>(____ L/yr)(energy content)</t>
  </si>
  <si>
    <t>(____ L/yr)*(1.14E4 kcal/L)*(4186 J/kcal)</t>
  </si>
  <si>
    <t>[Odum, 1996, Accounting]</t>
  </si>
  <si>
    <r>
      <t>Wood, J</t>
    </r>
    <r>
      <rPr>
        <sz val="9"/>
        <rFont val="Geneva"/>
      </rPr>
      <t xml:space="preserve"> (including wooden shave as litter)</t>
    </r>
  </si>
  <si>
    <t>m^3/yr</t>
  </si>
  <si>
    <t>REFERENCE</t>
  </si>
  <si>
    <t xml:space="preserve">Natural gas, J </t>
  </si>
  <si>
    <t>Electricity, J</t>
  </si>
  <si>
    <t>Kilowatt Hrs/yr =</t>
  </si>
  <si>
    <t>KwH/yr</t>
  </si>
  <si>
    <t>(Energy consumption)(energy content)</t>
  </si>
  <si>
    <t>(____KwH/yr)*(3.6E6 J/KwH)</t>
  </si>
  <si>
    <t>[Odum, 1996, A ccounting]</t>
  </si>
  <si>
    <t>Pesticides and vaccines, kg per ha</t>
  </si>
  <si>
    <t xml:space="preserve"> Consumption =</t>
  </si>
  <si>
    <t xml:space="preserve">kg/yr </t>
  </si>
  <si>
    <t xml:space="preserve">       Mass (g) =</t>
  </si>
  <si>
    <t>(____ kg/ yr)*(1E3g/kg)</t>
  </si>
  <si>
    <t>g/yr</t>
  </si>
  <si>
    <t>sej/g</t>
  </si>
  <si>
    <t>[Brandt-Williams, 2001, folio #4]</t>
  </si>
  <si>
    <t>Total feed used =</t>
  </si>
  <si>
    <t>MT/yr</t>
  </si>
  <si>
    <t>Energy content</t>
  </si>
  <si>
    <t>Average % protein =</t>
  </si>
  <si>
    <t>KJ/g</t>
  </si>
  <si>
    <t>Average % fat =</t>
  </si>
  <si>
    <t>kcal</t>
  </si>
  <si>
    <t>Average % carbohydrate =</t>
  </si>
  <si>
    <t>(fodder used)*(energy content in fodder)</t>
  </si>
  <si>
    <t>(__MT/yr)*(__% component * __KJ/g)*(1000 J/KJ)*(1E6 g/MT)</t>
  </si>
  <si>
    <t>[Brown, 1996, 105-130]</t>
  </si>
  <si>
    <t>Total number of machines  =</t>
  </si>
  <si>
    <t>machines/ha</t>
  </si>
  <si>
    <t>Average weight of machines =</t>
  </si>
  <si>
    <t>MT/machine</t>
  </si>
  <si>
    <t xml:space="preserve">  Mass (g) =</t>
  </si>
  <si>
    <t xml:space="preserve"> (machines)*(weight)/(depreciation)</t>
  </si>
  <si>
    <t xml:space="preserve"> (____ machines)*(____MT/machine)*(1E6g/MT)/(10 yr)</t>
  </si>
  <si>
    <t>Labor, J</t>
  </si>
  <si>
    <t>Total man-days applied =</t>
  </si>
  <si>
    <t>working days/yr non-educated labor</t>
  </si>
  <si>
    <t>((dias de alojamento) * (avg hrs trabalhadas/d) * (n lotes/yr)) /24 hrs</t>
  </si>
  <si>
    <t>(working days/yr)(total metab. energy/per/day)(energy content)</t>
  </si>
  <si>
    <t>(____ d/yr)(2500 kcal/pers/d)(4186 J/kcal)</t>
  </si>
  <si>
    <t>Services, infrastucture ($ per ha)</t>
  </si>
  <si>
    <t>$/yr:</t>
  </si>
  <si>
    <t>Annual emergy =</t>
  </si>
  <si>
    <t>($ serv/yr)+($ value assets used * depreciation)*(sej/$)</t>
  </si>
  <si>
    <t>Yield</t>
  </si>
  <si>
    <t>Total dry weight =</t>
  </si>
  <si>
    <t>MT/ha</t>
  </si>
  <si>
    <t>g/ha</t>
  </si>
  <si>
    <t>Product in Joules</t>
  </si>
  <si>
    <t>Total production (dry mass) =</t>
  </si>
  <si>
    <t>(product)*(energy content in fodder)</t>
  </si>
  <si>
    <t>adimensional</t>
  </si>
  <si>
    <t>Velocidade vento superficie =</t>
  </si>
  <si>
    <t>Densidade do ar =</t>
  </si>
  <si>
    <t>Coeficiente de arraste =</t>
  </si>
  <si>
    <t>média anual, m/s</t>
  </si>
  <si>
    <t>kg/m3</t>
  </si>
  <si>
    <t>J/ha.yr</t>
  </si>
  <si>
    <t xml:space="preserve"> kg/L</t>
  </si>
  <si>
    <t>Consumption =</t>
  </si>
  <si>
    <t>Fluxo de energia =</t>
  </si>
  <si>
    <t>Lotes/cama</t>
  </si>
  <si>
    <t>São José do Rio Preto</t>
  </si>
  <si>
    <t>Área, ha</t>
  </si>
  <si>
    <t>Animais/ha</t>
  </si>
  <si>
    <t>Sal</t>
  </si>
  <si>
    <r>
      <t>Radiação, kwh/m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rgb="FF000000"/>
        <rFont val="Times New Roman"/>
        <family val="1"/>
      </rPr>
      <t>.ano</t>
    </r>
  </si>
  <si>
    <t>acaba sendo de todos os animais</t>
  </si>
  <si>
    <t>Explicação da formula: o valor 4,33 é o valor do kg da femea de descarte. O valor 20,83 é o valor do macho de descarte.</t>
  </si>
  <si>
    <t>Indicadores de custo</t>
  </si>
  <si>
    <t>Custo total (CT), kg carcaça</t>
  </si>
  <si>
    <t>Custo total (CT), kg vivo</t>
  </si>
  <si>
    <t>CT menos custo do pasto (P)</t>
  </si>
  <si>
    <t>CT menos renda dos fatores (RF)</t>
  </si>
  <si>
    <t>CT menos depreciações (D)</t>
  </si>
  <si>
    <t>CT menos P, RF e D</t>
  </si>
  <si>
    <t>Water density =</t>
  </si>
  <si>
    <t>Water energy =</t>
  </si>
  <si>
    <t>J/kg  (Gibbs Free Energy)</t>
  </si>
  <si>
    <t>Energy =</t>
  </si>
  <si>
    <t>Odum, H.T., 1996. Environmental Accounting: Emergy and Environmental Decision Making. John Wiley, New York.</t>
  </si>
  <si>
    <t>Boyd, C., Ortega, E. Queiroz, J., Ferraz, M., 2000. Emergy analysis of channel catfish farming in Alabama, USA. Proceedings of the first biennal emergy conference.</t>
  </si>
  <si>
    <t>Cavalett, O., 2008. Análise do ciclo de vida da soja. (Doctoral thesis, UNICAMP, Campinas, Brazil). Available at: http://www.unicamp.br/fea/ortega/extensao/Tese-OtavioCavalett.pdf. (accessed 02.05.16.).</t>
  </si>
  <si>
    <t>Pereira, L., Zucaro, A., Ortega, E. and Ulgiati, S., 2013. Wealth, trade and the environment: Carrying capacity, economic performance and wellbeing in Brazil and Italy, J. Environ. Account. Manage. 1(2), 159-188.</t>
  </si>
  <si>
    <t>Bardi, E. and Brown, M., 2001. Folio #3 - Emergy of ecosystems. Handbook of Emergy evaluation - A compendium of Data for emergy computation issued in a series of folios.</t>
  </si>
  <si>
    <t>Teixeira, M.B., 2012. Análise do impacto ambiental de unidades agropecuárias. Estudo de caso: microbacia do Rio Pinhal, Santa Catarina. (Master dissertation, UNICAMP, Campinas, Brazil). Available at: http://www.unicamp.br/fea/ortega/extensao/dissertacao_MarianaBarrosTeixeira.pdf.</t>
  </si>
  <si>
    <t>(acessed 03.06.16).</t>
  </si>
  <si>
    <t>Emergy =</t>
  </si>
  <si>
    <t>Óleo de soja</t>
  </si>
  <si>
    <t>Farelo Soja 45%</t>
  </si>
  <si>
    <t>Fosfato bic.</t>
  </si>
  <si>
    <t>Calcário calcítico</t>
  </si>
  <si>
    <t>Suplemento vit. min.</t>
  </si>
  <si>
    <t>Anticoccidiano</t>
  </si>
  <si>
    <t>AGP</t>
  </si>
  <si>
    <t>Farinha de carne 33%</t>
  </si>
  <si>
    <t>Cal hidratada</t>
  </si>
  <si>
    <t>Formol</t>
  </si>
  <si>
    <t>(drinked water)*(water density)*(water energy)*(n flocks/yr)</t>
  </si>
  <si>
    <t>(___L/ha.yr)*(___kg//L)*(___J/kg)*(___flocks/yr)</t>
  </si>
  <si>
    <t>(consumption/yr)*(3.14E07)</t>
  </si>
  <si>
    <t>Peso de saída (kg)</t>
  </si>
  <si>
    <t>Eventuais</t>
  </si>
  <si>
    <t>Wood</t>
  </si>
  <si>
    <t>Lys+Met</t>
  </si>
  <si>
    <t>CH4 =</t>
  </si>
  <si>
    <t>(___birds/yr) / 10^6</t>
  </si>
  <si>
    <t>N(t) * Nex(t) * MS(t,s) * EF3 * (44/28)</t>
  </si>
  <si>
    <t>N2o direct emission =</t>
  </si>
  <si>
    <t>N2o indirect emission =</t>
  </si>
  <si>
    <t>N(t) * Nex(t) * MS(t,s) *</t>
  </si>
  <si>
    <t>(FracGasMS / 100)</t>
  </si>
  <si>
    <t>N2Og(mm) =</t>
  </si>
  <si>
    <t>kg / N.yr</t>
  </si>
  <si>
    <t>kg/N2O.yr</t>
  </si>
  <si>
    <t>(IPCC 2006, Chapter 10; Table 10A-8)</t>
  </si>
  <si>
    <t>N(volatilization - MMS) =</t>
  </si>
  <si>
    <t>N2OD(mm) =</t>
  </si>
  <si>
    <t>kg / N2O.yr</t>
  </si>
  <si>
    <t>kg N / animal.yr</t>
  </si>
  <si>
    <t>Sensible heat (Qs) =</t>
  </si>
  <si>
    <t>Q*t (1wk)=</t>
  </si>
  <si>
    <t>Q*t (2wk)=</t>
  </si>
  <si>
    <t>Q*t (3wk)=</t>
  </si>
  <si>
    <t>Q*t (4wk)=</t>
  </si>
  <si>
    <t>Q*t (5wk)=</t>
  </si>
  <si>
    <t>Q*t (6wk)=</t>
  </si>
  <si>
    <t>Q*t*(0.8-1.85*10^-7*(t+10)^4)</t>
  </si>
  <si>
    <t>Qs (1wk)=</t>
  </si>
  <si>
    <t>Qs (2wk)=</t>
  </si>
  <si>
    <t>Qs (3wk)=</t>
  </si>
  <si>
    <t>Qs (4wk)=</t>
  </si>
  <si>
    <t>Qs (5wk)=</t>
  </si>
  <si>
    <t>Qs (6wk)=</t>
  </si>
  <si>
    <t>(volume of material) (density) (organic fraction) (G)</t>
  </si>
  <si>
    <t xml:space="preserve">(___m^3) (1E6cm^3/m^3) (___g/cm^3) </t>
  </si>
  <si>
    <t>(___organic) ((___kcal/g) * (4186J/kcal))</t>
  </si>
  <si>
    <t>(Natural gas) (energy content)</t>
  </si>
  <si>
    <t>(____ kg/yr) * (1.19E9 J)</t>
  </si>
  <si>
    <t>kg/yr</t>
  </si>
  <si>
    <t>Renewable fraction =</t>
  </si>
  <si>
    <t>R% Emergy =</t>
  </si>
  <si>
    <t>(According to Strom, 1978; CIGR, 1984)</t>
  </si>
  <si>
    <t>(n birds) * (n of flocks/yr)</t>
  </si>
  <si>
    <t>Watts/yr</t>
  </si>
  <si>
    <t>Mass of dissolution air (M) =</t>
  </si>
  <si>
    <t>m/s</t>
  </si>
  <si>
    <t>BW/wk</t>
  </si>
  <si>
    <t>tC/wk</t>
  </si>
  <si>
    <t>(___animals) * (___kgN/animal.yr) * (___%) *</t>
  </si>
  <si>
    <t>(0.001) * (44/28)</t>
  </si>
  <si>
    <t>Nex(t) a,b,c=</t>
  </si>
  <si>
    <t>considerer initial phase a (1-21d) as 46.67% of the total raising production and broiler body weight as 0.83 kg</t>
  </si>
  <si>
    <t>considerer initial phase b (22-35d) as 31.11% of the total raising production  and broiler body weight as 1.92 kg</t>
  </si>
  <si>
    <t>considerer initial phase c (36-45d) as 20.00% of the total raising production  and broiler body weight as 2.45 kg</t>
  </si>
  <si>
    <t>soma a,b,c[Nrate(t) * (TAM / 1000) * days in phase]</t>
  </si>
  <si>
    <t>(1.1) * (___kg / 1000) * (___days)</t>
  </si>
  <si>
    <t>((___animals/flock) * (___flocks/yr)) *</t>
  </si>
  <si>
    <t>(___kg N/animal.yr) * (40) * ((___%) / 100)</t>
  </si>
  <si>
    <t>(N(volatilization )− MMS * EF4) * 44/28</t>
  </si>
  <si>
    <t>d * W / c</t>
  </si>
  <si>
    <t>(___kg/m^3) * (___g) / (___g)</t>
  </si>
  <si>
    <t>Emergy to dissolution air =</t>
  </si>
  <si>
    <t>Wind characteristics</t>
  </si>
  <si>
    <t>Cosiderer Total sensible heat (Qs) as mass dissolution air (M)</t>
  </si>
  <si>
    <t>(EF(t) * N(t)) / 10^6</t>
  </si>
  <si>
    <t>(0.02kg CH4/bird.yr) *</t>
  </si>
  <si>
    <t>CO2 Wood production =</t>
  </si>
  <si>
    <t>(Fuel consumption in TJ) * (EF/kg.TJ)</t>
  </si>
  <si>
    <t>Heat production</t>
  </si>
  <si>
    <t>Wind to negative externalities dissolution from broilers</t>
  </si>
  <si>
    <t>Wind to negative externalities dissolution from litter</t>
  </si>
  <si>
    <t>Wind to negative externalities dissolution from energetic sources</t>
  </si>
  <si>
    <t>Natural Gas</t>
  </si>
  <si>
    <t>N2O Wood production =</t>
  </si>
  <si>
    <t>CH4 Wood production =</t>
  </si>
  <si>
    <t>[1]</t>
  </si>
  <si>
    <t>[2]</t>
  </si>
  <si>
    <t>[3]</t>
  </si>
  <si>
    <t>[3.1]</t>
  </si>
  <si>
    <t>[3.2]</t>
  </si>
  <si>
    <t>[3.1.1]</t>
  </si>
  <si>
    <t>[3.1.2]</t>
  </si>
  <si>
    <t>[3.1.3]</t>
  </si>
  <si>
    <t>[3.2.1]</t>
  </si>
  <si>
    <t>[3.2.2]</t>
  </si>
  <si>
    <t>[3.2.3]</t>
  </si>
  <si>
    <t>[3.3]</t>
  </si>
  <si>
    <t>[3.3.1]</t>
  </si>
  <si>
    <t>kg CO2/yr</t>
  </si>
  <si>
    <t>Total CO2 emission =</t>
  </si>
  <si>
    <t>[1.1]</t>
  </si>
  <si>
    <t>CO2 emission</t>
  </si>
  <si>
    <t>[1.2]</t>
  </si>
  <si>
    <t>[2.1]</t>
  </si>
  <si>
    <t>N2O dissolution</t>
  </si>
  <si>
    <t>[2.2]</t>
  </si>
  <si>
    <t>CH4 dissolution</t>
  </si>
  <si>
    <t>N2O emission</t>
  </si>
  <si>
    <t>CH4 emission</t>
  </si>
  <si>
    <t>CO2 emission =</t>
  </si>
  <si>
    <t>[3.3.2]</t>
  </si>
  <si>
    <t>[3.3.3]</t>
  </si>
  <si>
    <t>N2O emission =</t>
  </si>
  <si>
    <t>CH4 emission =</t>
  </si>
  <si>
    <t>GWP N2O =</t>
  </si>
  <si>
    <t>GWP CH4</t>
  </si>
  <si>
    <t>GWP CO2 =</t>
  </si>
  <si>
    <t>N2O Eq to CO2 =</t>
  </si>
  <si>
    <t>(N2O emission) * (310)</t>
  </si>
  <si>
    <t>g CO2 eq</t>
  </si>
  <si>
    <t>CH4 Eq to CO2 =</t>
  </si>
  <si>
    <t>(CH4 emission) * (21)</t>
  </si>
  <si>
    <t>CO2 Eq to CO2 =</t>
  </si>
  <si>
    <t>(CO2 emission) * (1)</t>
  </si>
  <si>
    <t>GHG emission</t>
  </si>
  <si>
    <t>L</t>
  </si>
  <si>
    <t>https://cep.ees.ufl.edu/emergy/documents/conferences/ERC01_1999/ERC01_1999_Chapter_09.pdf</t>
  </si>
  <si>
    <t>Groundwater</t>
  </si>
  <si>
    <t>Total Yield, dry weight (litter as fertilizer)</t>
  </si>
  <si>
    <t>(volume of material) (density)</t>
  </si>
  <si>
    <t xml:space="preserve"> (organic fraction) (G) </t>
  </si>
  <si>
    <t xml:space="preserve">(__m^3) (1.47g/cm^3) (0.03) </t>
  </si>
  <si>
    <t>(5.4kcal/kg) (4186J/kcal)</t>
  </si>
  <si>
    <t>Total Yield, dry weight (broiler)</t>
  </si>
  <si>
    <t xml:space="preserve">(The GHG emission was estimated following the TIER 1 models </t>
  </si>
  <si>
    <t>suggested by IPCC 2006 (Chapter 10; Table 10.19)</t>
  </si>
  <si>
    <t xml:space="preserve">It was considered the average water intake as 0,225; 0,480; 725; 1000; 1250; and </t>
  </si>
  <si>
    <t>(___m^3) (___un)</t>
  </si>
  <si>
    <t>1500 L/bird among 1st to 6th wk, respectively, according to Penz Junior (2003).</t>
  </si>
  <si>
    <t>Thus, the average water intake it was considered 0,863L bird</t>
  </si>
  <si>
    <t>Tabelas Brasileiras de Composição de Alimentos (NEPA, 2014)</t>
  </si>
  <si>
    <t>It was considered wooden chips resulting of wood processing</t>
  </si>
  <si>
    <t>used as substrate to thermical isolation of floor</t>
  </si>
  <si>
    <t>manual guideline (Planalto, 2006).</t>
  </si>
  <si>
    <t>(The estimate heat and CO2 production were according to Strom, 1978; CIGR, 1984)</t>
  </si>
  <si>
    <t xml:space="preserve">The curves of weight and t°C per wk were according to broiler strain </t>
  </si>
  <si>
    <t>(GHG and animal heat production)</t>
  </si>
  <si>
    <t>It was considered the wind emergy used to total negative externalities dissolution</t>
  </si>
  <si>
    <t>Proprietário:</t>
  </si>
  <si>
    <t>Salário Base (R$/lote)</t>
  </si>
  <si>
    <t>Encargo (%)</t>
  </si>
  <si>
    <t>Salário+Encargos (R$/lote)</t>
  </si>
  <si>
    <t>Funcionário 1</t>
  </si>
  <si>
    <t>Funcionário 2</t>
  </si>
  <si>
    <t>Funcionário 3</t>
  </si>
  <si>
    <t>Funcionário 4</t>
  </si>
  <si>
    <t>Diarista</t>
  </si>
  <si>
    <t>Horas trabalhadas (/lote)</t>
  </si>
  <si>
    <t>Número de diaristas (/lote)</t>
  </si>
  <si>
    <t>Preço pago (R$/hora)</t>
  </si>
  <si>
    <t>Serviço de apanha</t>
  </si>
  <si>
    <t>SUBTOTAL (R$/lote)</t>
  </si>
  <si>
    <t>Uso na atividade (%)</t>
  </si>
  <si>
    <t>Valor inicial (R$)</t>
  </si>
  <si>
    <t>Depreciação (R$/ano)</t>
  </si>
  <si>
    <t>Galpão</t>
  </si>
  <si>
    <t>Piquete</t>
  </si>
  <si>
    <t>Casa</t>
  </si>
  <si>
    <t>Cerca de isolamento</t>
  </si>
  <si>
    <t>Arco de desinfecção</t>
  </si>
  <si>
    <t>Painel solar</t>
  </si>
  <si>
    <t>Composteira</t>
  </si>
  <si>
    <t>Manutenção (R$/ano)</t>
  </si>
  <si>
    <t>Juros sobre o Capital imobilizado</t>
  </si>
  <si>
    <t>NUTRIÇÃO</t>
  </si>
  <si>
    <t>Final</t>
  </si>
  <si>
    <t>Ração pronta</t>
  </si>
  <si>
    <t>Concentrado</t>
  </si>
  <si>
    <t>Valor Total (R$/lote)</t>
  </si>
  <si>
    <t>Desinfetante</t>
  </si>
  <si>
    <t>Análise de água</t>
  </si>
  <si>
    <t>Análise de Salmonella</t>
  </si>
  <si>
    <t>Marek</t>
  </si>
  <si>
    <t>Gumboro</t>
  </si>
  <si>
    <t>Bouba</t>
  </si>
  <si>
    <t>VACINAS</t>
  </si>
  <si>
    <t>Newcastle</t>
  </si>
  <si>
    <t>Bronquite</t>
  </si>
  <si>
    <t>Coriza</t>
  </si>
  <si>
    <t>INSTALAÇÕES E BENFEITORIAS</t>
  </si>
  <si>
    <t>Limpeza e desinfecção dos galpões e instalações (R$/lote)</t>
  </si>
  <si>
    <t>Preço pago (R$/ano)</t>
  </si>
  <si>
    <t>Valor (R$/lote)</t>
  </si>
  <si>
    <t>SUBTOTAL I</t>
  </si>
  <si>
    <t>ENERGÉTICOS</t>
  </si>
  <si>
    <t>Consumo (un/lote)</t>
  </si>
  <si>
    <t>nº de reusos (un/lote)</t>
  </si>
  <si>
    <t>Substrato para cama</t>
  </si>
  <si>
    <t>Preço pago     (R$/t)</t>
  </si>
  <si>
    <t>Quantidade (t)</t>
  </si>
  <si>
    <t>Preço pago    (R$/un)</t>
  </si>
  <si>
    <t>Valor    (R$/lote)</t>
  </si>
  <si>
    <t>SUBTOTAL II</t>
  </si>
  <si>
    <t>SUBTOTAL III</t>
  </si>
  <si>
    <t>SUBTOTAL V</t>
  </si>
  <si>
    <t>Pedrisco (Calc. Grosso)</t>
  </si>
  <si>
    <t>Cons na fase (R$/ingred)</t>
  </si>
  <si>
    <t>Composição             (%)</t>
  </si>
  <si>
    <t>Composição            (%)</t>
  </si>
  <si>
    <t>Composição       (%)</t>
  </si>
  <si>
    <t>TOTAL GERAL (R$/lote)</t>
  </si>
  <si>
    <t>SUBTOTAL VI</t>
  </si>
  <si>
    <t>SUBTOTAL VII</t>
  </si>
  <si>
    <t>Ingrediente</t>
  </si>
  <si>
    <t>L-Lys</t>
  </si>
  <si>
    <t>DL-Met</t>
  </si>
  <si>
    <t>Preço (R$/un)</t>
  </si>
  <si>
    <t>Quantidade    (un/fase)</t>
  </si>
  <si>
    <t>Valor       (R$/fase)</t>
  </si>
  <si>
    <t>Sorgo</t>
  </si>
  <si>
    <t>Moscas</t>
  </si>
  <si>
    <t>Roedores</t>
  </si>
  <si>
    <t>VACINAS E</t>
  </si>
  <si>
    <t>MEDICAMENTOS</t>
  </si>
  <si>
    <t>Sulfaquinoxalina</t>
  </si>
  <si>
    <t>Tetraciclina</t>
  </si>
  <si>
    <t>Diesel (L)</t>
  </si>
  <si>
    <t>Gasolina (L)</t>
  </si>
  <si>
    <t>Álcool (L)</t>
  </si>
  <si>
    <t>Energia (kwh)</t>
  </si>
  <si>
    <t>Lenha (m³)</t>
  </si>
  <si>
    <t>Gás (botijão 13kg)</t>
  </si>
  <si>
    <t>Peletes (sacos)</t>
  </si>
  <si>
    <t>Pintos-1-d</t>
  </si>
  <si>
    <t>Cresc.</t>
  </si>
  <si>
    <t>Preço(R$/un)</t>
  </si>
  <si>
    <t>Quanto paga para transportar seus frangos?</t>
  </si>
  <si>
    <t>TABELA 7. NUTRIÇÃO</t>
  </si>
  <si>
    <t>(R$/lote)</t>
  </si>
  <si>
    <t>Quanto paga pelo serviço?</t>
  </si>
  <si>
    <t>(dd)</t>
  </si>
  <si>
    <t>(mm)</t>
  </si>
  <si>
    <t>(aaaa)</t>
  </si>
  <si>
    <t>Peso do pinto-1-d (kg)</t>
  </si>
  <si>
    <t>Neste item eu colocarei os aparetos legais para a produção de frangos de corte, caipira e convencionais</t>
  </si>
  <si>
    <t>como por exemplo, IN que fala sobre registro de propriedades a partir de x frangos</t>
  </si>
  <si>
    <t>ex: o que deve conter num abatedouro simples para frangos de corte</t>
  </si>
  <si>
    <t>Diaristas (/lote)</t>
  </si>
  <si>
    <t>Qual a tarifa paga?</t>
  </si>
  <si>
    <t>(R$/m³)</t>
  </si>
  <si>
    <t>IMPLEMENTOS</t>
  </si>
  <si>
    <t>MAQUINÁRIOS/</t>
  </si>
  <si>
    <t>BENFEITORIAS</t>
  </si>
  <si>
    <t>Rotativa TR430 Husqvarna</t>
  </si>
  <si>
    <t>Trator MF 50</t>
  </si>
  <si>
    <t>Equipamentos (Geral)</t>
  </si>
  <si>
    <t>TAXAS E SEGUROS</t>
  </si>
  <si>
    <t>IGP-DI (FGV) Índice mensal(%)</t>
  </si>
  <si>
    <t>Parcelas anuais(R$)</t>
  </si>
  <si>
    <t>Preço de venda da terra na região (R$/m²)</t>
  </si>
  <si>
    <t>Total (R$/lote)</t>
  </si>
  <si>
    <t>Seguro (% ano)</t>
  </si>
  <si>
    <t>Mortalidade   (%)</t>
  </si>
  <si>
    <t>Quantidade (ave/lote)</t>
  </si>
  <si>
    <t>por ave</t>
  </si>
  <si>
    <t>Intervalo(dias)</t>
  </si>
  <si>
    <t>Consumo de água(m³)</t>
  </si>
  <si>
    <t>Área da instalação (M²)</t>
  </si>
  <si>
    <t>Produtor (R$/lote)</t>
  </si>
  <si>
    <t>Agroindústria (R$/lote)</t>
  </si>
  <si>
    <t>Eventuais (produtor)</t>
  </si>
  <si>
    <t>Limpeza e desinfecção</t>
  </si>
  <si>
    <r>
      <rPr>
        <sz val="11"/>
        <color rgb="FF1F442D"/>
        <rFont val="Lucida Console"/>
        <family val="3"/>
      </rPr>
      <t>VARIÁVEL</t>
    </r>
  </si>
  <si>
    <r>
      <rPr>
        <sz val="11"/>
        <color rgb="FF1F442D"/>
        <rFont val="Lucida Console"/>
        <family val="3"/>
      </rPr>
      <t>FIXO</t>
    </r>
  </si>
  <si>
    <r>
      <rPr>
        <sz val="11"/>
        <color rgb="FF1F442D"/>
        <rFont val="Lucida Console"/>
        <family val="3"/>
      </rPr>
      <t>VALOR</t>
    </r>
  </si>
  <si>
    <r>
      <rPr>
        <sz val="11"/>
        <color rgb="FF1F442D"/>
        <rFont val="Lucida Console"/>
        <family val="3"/>
      </rPr>
      <t>Mão de obra</t>
    </r>
  </si>
  <si>
    <t>Remuneração dos fatores</t>
  </si>
  <si>
    <t>Registrado</t>
  </si>
  <si>
    <t>PRODUTOR</t>
  </si>
  <si>
    <t>sacas</t>
  </si>
  <si>
    <t>toneladas</t>
  </si>
  <si>
    <t>Consumo (kg)</t>
  </si>
  <si>
    <t>(R$/ano)</t>
  </si>
  <si>
    <t>(vazio)</t>
  </si>
  <si>
    <t>Usefull life =</t>
  </si>
  <si>
    <t>yr</t>
  </si>
  <si>
    <t>men/flock</t>
  </si>
  <si>
    <t>hr/flock</t>
  </si>
  <si>
    <t xml:space="preserve">(broiler raising days)*(hours worked) / </t>
  </si>
  <si>
    <t>(broiler raising hours) * (flocks/yr)</t>
  </si>
  <si>
    <t>Days worked =</t>
  </si>
  <si>
    <t>Worked days =</t>
  </si>
  <si>
    <t xml:space="preserve">((number of men) * (days worked/yr) * </t>
  </si>
  <si>
    <t>(hours/day)) / 24hours</t>
  </si>
  <si>
    <t xml:space="preserve">((__men/flock) * (___days/yr) * </t>
  </si>
  <si>
    <t>(___hr/day)) / 24</t>
  </si>
  <si>
    <t>Worked hours =</t>
  </si>
  <si>
    <t xml:space="preserve">(___days/flock) * (___hr/flock) / </t>
  </si>
  <si>
    <t>(___hr/flock) * (___flocks/yr)</t>
  </si>
  <si>
    <t>In the other phases, it was considerer 8 hour worked per day.</t>
  </si>
  <si>
    <t>wooden shave energy =</t>
  </si>
  <si>
    <t>kcal/g</t>
  </si>
  <si>
    <t xml:space="preserve">(wooden shave used) * (flocks/yr) / </t>
  </si>
  <si>
    <t>(times reuse litter)</t>
  </si>
  <si>
    <t>(___g/flock) * (___flocks/yr)  * (___n/yr)</t>
  </si>
  <si>
    <t>Natural gas</t>
  </si>
  <si>
    <t>(volume of gas/yr) (energy unit volume)</t>
  </si>
  <si>
    <t>Gasolina(L)</t>
  </si>
  <si>
    <t>Diesel(L)</t>
  </si>
  <si>
    <t>Álcool(L)</t>
  </si>
  <si>
    <r>
      <t>Gás</t>
    </r>
    <r>
      <rPr>
        <sz val="10"/>
        <color rgb="FF1F442D"/>
        <rFont val="Lucida Console"/>
        <family val="3"/>
      </rPr>
      <t>(botj.13kg)</t>
    </r>
  </si>
  <si>
    <t>Energia(kwh)</t>
  </si>
  <si>
    <t>Biomassa(un)</t>
  </si>
  <si>
    <t>(thousand cubic ft/yr) (1.1*10^9J /thousand cubic ft</t>
  </si>
  <si>
    <t>Total GHG emission</t>
  </si>
  <si>
    <t>[3.3.4]</t>
  </si>
  <si>
    <t>(n bottles natural gas) (volume) (flocks/yr)</t>
  </si>
  <si>
    <t>(__n) (__kg) (__flocks/yr)</t>
  </si>
  <si>
    <t>Watts to KJ =</t>
  </si>
  <si>
    <t>KJ</t>
  </si>
  <si>
    <t>KJ/yr</t>
  </si>
  <si>
    <t>(__KJ/yr) (4.5L CO2) / (100KJ)</t>
  </si>
  <si>
    <t>Total sensible heat (TQs) =</t>
  </si>
  <si>
    <t>(TQs) (4.5L CO2) / (100KJ)</t>
  </si>
  <si>
    <t>Total CO2 production (TCO2B) =</t>
  </si>
  <si>
    <t>Heat production of broiler (Q*t) =</t>
  </si>
  <si>
    <t>Total heat production of broiler (TQ*t) =</t>
  </si>
  <si>
    <t>((n sold bird) (final b weight) (flocks/yr))</t>
  </si>
  <si>
    <t>Por ave</t>
  </si>
  <si>
    <t>Valor Recebido (aves)</t>
  </si>
  <si>
    <t>Valor Recebido total (R$/lote)</t>
  </si>
  <si>
    <t>Valor Recebido (Cama/lote)</t>
  </si>
  <si>
    <t>Preço de compra     (R$/t)</t>
  </si>
  <si>
    <t>CAIPIRA</t>
  </si>
  <si>
    <t>ORGÂNICO</t>
  </si>
  <si>
    <t>CONVENCIONAL</t>
  </si>
  <si>
    <t>AVES/M²</t>
  </si>
  <si>
    <t>Ponderação pela subutilização</t>
  </si>
  <si>
    <t>% TOTAL</t>
  </si>
  <si>
    <t>SIM, E SEI O VALOR QUE PAGO</t>
  </si>
  <si>
    <t>NÃO, MAS SEI O VALOR QUE PAGO</t>
  </si>
  <si>
    <t>NÃO, E NÃO SEI O VALOR QUE PAGO</t>
  </si>
  <si>
    <t>Área total da propriedade</t>
  </si>
  <si>
    <t>AGROINDÚSTRIA</t>
  </si>
  <si>
    <t>(mão de obra)</t>
  </si>
  <si>
    <t>(km)</t>
  </si>
  <si>
    <t>Qual a distância até a integradora?</t>
  </si>
  <si>
    <t>CUSTO MENSAL DA PRODUÇÃO DE FRANGOS DE CORTE</t>
  </si>
  <si>
    <t>Quantas viagens faz em cada lote?</t>
  </si>
  <si>
    <t>Carvão (un)</t>
  </si>
  <si>
    <t>Equipamentos em geral</t>
  </si>
  <si>
    <t>Qual o valor médio gasto por km rodado?</t>
  </si>
  <si>
    <t>(R$/km)</t>
  </si>
  <si>
    <t>ELR</t>
  </si>
  <si>
    <t>EIR</t>
  </si>
  <si>
    <t>EYR</t>
  </si>
  <si>
    <t>ESI</t>
  </si>
  <si>
    <t>EER</t>
  </si>
  <si>
    <t>Medicamentos</t>
  </si>
  <si>
    <t>Ecto-Endoparasiticida</t>
  </si>
  <si>
    <t>Estilo de produção:</t>
  </si>
  <si>
    <t>INTEGRADO</t>
  </si>
  <si>
    <t>INDEPENDENTE</t>
  </si>
  <si>
    <t>Corn</t>
  </si>
  <si>
    <t>Soybean meal</t>
  </si>
  <si>
    <t>Yang, H., Chen, L., Yan, Z., Wang, H. 2010. Emergy analysis of cassava chips-suitable feedstock for fuel ethanol in China. Ecological Engineering, v.36, i.10, p.1348-1354 (https://doi.org/10.1016/j.ecoleng.2010.06.011)</t>
  </si>
  <si>
    <t>To conventional production: considered 8 worked hr/day</t>
  </si>
  <si>
    <t>Lotação máx. galpão (frangos/m²)</t>
  </si>
  <si>
    <t xml:space="preserve">Salário médio (R$/mÊs) </t>
  </si>
  <si>
    <t>(R$/mês)</t>
  </si>
  <si>
    <t>Possui a mortalidade em (%)</t>
  </si>
  <si>
    <t>Nº de aves mortas</t>
  </si>
  <si>
    <t xml:space="preserve">Tem controle sobre o consumo de ração? </t>
  </si>
  <si>
    <t>Consumo (kg/ave)</t>
  </si>
  <si>
    <t>Mortalidade          (%)</t>
  </si>
  <si>
    <t>Estimado (kg/ave)</t>
  </si>
  <si>
    <t>De acordo com o valor que investiu em equipamentos e instalações, qual a porcentagem (%) que gasta em manutenção por ano?</t>
  </si>
  <si>
    <t>Premix</t>
  </si>
  <si>
    <t>sacas (60kg)</t>
  </si>
  <si>
    <t>sacas (45kg)</t>
  </si>
  <si>
    <t>sacas (30kg)</t>
  </si>
  <si>
    <t>sacas (25kg)</t>
  </si>
  <si>
    <t>tonelada (t)</t>
  </si>
  <si>
    <t>quilos (kg)</t>
  </si>
  <si>
    <t>porcentagem (%)</t>
  </si>
  <si>
    <t>Quantidade comprada</t>
  </si>
  <si>
    <t>Quantidade       (kg)</t>
  </si>
  <si>
    <t>Cop. Mandioca</t>
  </si>
  <si>
    <t>UTILIZO E PAGO</t>
  </si>
  <si>
    <t>UTILIZO, MAS NÃO PAGO</t>
  </si>
  <si>
    <t>NÃO FAÇO USO</t>
  </si>
  <si>
    <t>Preço(R$)</t>
  </si>
  <si>
    <t>Quantidade usada (L ou kg/frasco)</t>
  </si>
  <si>
    <t>Preço (R$/frasco ou sachê)</t>
  </si>
  <si>
    <t>SIM, FAÇO MEU PRÓPRIO CONTROLE</t>
  </si>
  <si>
    <t>NÃO FAÇO CONTROLE</t>
  </si>
  <si>
    <t>Se alguém faz por você, quanto custa o serviço?</t>
  </si>
  <si>
    <t>NÃO, MAS TENHO QUEM FAÇA</t>
  </si>
  <si>
    <t>Taxa (tarifa) de água</t>
  </si>
  <si>
    <t>Seguros</t>
  </si>
  <si>
    <t>Licenciamento ambiental</t>
  </si>
  <si>
    <t>Valor            (R$/lote)</t>
  </si>
  <si>
    <t>R$/ave</t>
  </si>
  <si>
    <t>R$/t</t>
  </si>
  <si>
    <t>Frango vivo:</t>
  </si>
  <si>
    <t>% Capital de giro (agroindústria)</t>
  </si>
  <si>
    <t>% Capital de giro (prod. integrado)</t>
  </si>
  <si>
    <r>
      <t xml:space="preserve">TOTAL GERAL </t>
    </r>
    <r>
      <rPr>
        <b/>
        <sz val="10"/>
        <color rgb="FFFFFFFF"/>
        <rFont val="Lucida Console"/>
        <family val="3"/>
      </rPr>
      <t>(R$/lote)</t>
    </r>
  </si>
  <si>
    <t>Sistema de refrigeração:</t>
  </si>
  <si>
    <t>Sistema de comedouros:</t>
  </si>
  <si>
    <t>Sistema de bebedouros:</t>
  </si>
  <si>
    <t>Funrural (%/lote)</t>
  </si>
  <si>
    <t>Cama:</t>
  </si>
  <si>
    <t>Tx juros. Capital imobilizado e de giro (%, ano)</t>
  </si>
  <si>
    <t>Quanto paga?</t>
  </si>
  <si>
    <t>(listar aqui quais os custos que são de sua responsabilidade)</t>
  </si>
  <si>
    <t>Quantidade comprada (kg ou L/lote)</t>
  </si>
  <si>
    <t>Quantidade comprada        (L ou kg/lote)</t>
  </si>
  <si>
    <t>Revalidação licença para operação (R$/ano)</t>
  </si>
  <si>
    <t>(includes diesel, gasoline, lubricants)</t>
  </si>
  <si>
    <t>AMBOS</t>
  </si>
  <si>
    <r>
      <t xml:space="preserve">2 - Utiliza de </t>
    </r>
    <r>
      <rPr>
        <sz val="11"/>
        <color rgb="FFFF0000"/>
        <rFont val="Lucida Console"/>
        <family val="3"/>
      </rPr>
      <t>serviços terceirizados</t>
    </r>
    <r>
      <rPr>
        <sz val="11"/>
        <color rgb="FF1F442D"/>
        <rFont val="Lucida Console"/>
        <family val="3"/>
      </rPr>
      <t xml:space="preserve"> e </t>
    </r>
    <r>
      <rPr>
        <sz val="11"/>
        <color rgb="FFFF0000"/>
        <rFont val="Lucida Console"/>
        <family val="3"/>
      </rPr>
      <t>assistência técnica especializada</t>
    </r>
    <r>
      <rPr>
        <sz val="11"/>
        <color rgb="FF1F442D"/>
        <rFont val="Lucida Console"/>
        <family val="3"/>
      </rPr>
      <t>?</t>
    </r>
  </si>
  <si>
    <r>
      <t xml:space="preserve">1 - Faz o próprio </t>
    </r>
    <r>
      <rPr>
        <sz val="11"/>
        <color rgb="FFFF0000"/>
        <rFont val="Lucida Console"/>
        <family val="3"/>
      </rPr>
      <t>transporte</t>
    </r>
    <r>
      <rPr>
        <sz val="11"/>
        <color rgb="FF1F442D"/>
        <rFont val="Lucida Console"/>
        <family val="3"/>
      </rPr>
      <t>?</t>
    </r>
  </si>
  <si>
    <r>
      <t xml:space="preserve">3 - Compra ou faz a </t>
    </r>
    <r>
      <rPr>
        <sz val="11"/>
        <color rgb="FFFF0000"/>
        <rFont val="Lucida Console"/>
        <family val="3"/>
      </rPr>
      <t>própria ração e sabe o valor que paga</t>
    </r>
    <r>
      <rPr>
        <sz val="11"/>
        <color rgb="FF1F442D"/>
        <rFont val="Lucida Console"/>
        <family val="3"/>
      </rPr>
      <t>?</t>
    </r>
  </si>
  <si>
    <r>
      <t xml:space="preserve">4 - Faz a própria </t>
    </r>
    <r>
      <rPr>
        <sz val="11"/>
        <color rgb="FFFF0000"/>
        <rFont val="Lucida Console"/>
        <family val="3"/>
      </rPr>
      <t xml:space="preserve">limpeza e desinfecção </t>
    </r>
    <r>
      <rPr>
        <sz val="11"/>
        <color rgb="FF1F442D"/>
        <rFont val="Lucida Console"/>
        <family val="3"/>
      </rPr>
      <t>das instalações e equipamentos?</t>
    </r>
  </si>
  <si>
    <r>
      <t xml:space="preserve">5 - Faz o próprio </t>
    </r>
    <r>
      <rPr>
        <sz val="11"/>
        <color rgb="FFFF0000"/>
        <rFont val="Lucida Console"/>
        <family val="3"/>
      </rPr>
      <t>controle de pragas</t>
    </r>
    <r>
      <rPr>
        <sz val="11"/>
        <color rgb="FF1F442D"/>
        <rFont val="Lucida Console"/>
        <family val="3"/>
      </rPr>
      <t>?</t>
    </r>
  </si>
  <si>
    <r>
      <t xml:space="preserve">6 - Faz e paga pela própria </t>
    </r>
    <r>
      <rPr>
        <sz val="11"/>
        <color rgb="FFFF0000"/>
        <rFont val="Lucida Console"/>
        <family val="3"/>
      </rPr>
      <t>análise de qualidade da água</t>
    </r>
    <r>
      <rPr>
        <sz val="11"/>
        <color rgb="FF1F442D"/>
        <rFont val="Lucida Console"/>
        <family val="3"/>
      </rPr>
      <t>?</t>
    </r>
  </si>
  <si>
    <r>
      <t xml:space="preserve">7 - Paga pela própria </t>
    </r>
    <r>
      <rPr>
        <sz val="11"/>
        <color rgb="FFFF0000"/>
        <rFont val="Lucida Console"/>
        <family val="3"/>
      </rPr>
      <t>análise de Salmonella</t>
    </r>
    <r>
      <rPr>
        <sz val="11"/>
        <color rgb="FF1F442D"/>
        <rFont val="Lucida Console"/>
        <family val="3"/>
      </rPr>
      <t>?</t>
    </r>
  </si>
  <si>
    <r>
      <t xml:space="preserve">8 - Paga por </t>
    </r>
    <r>
      <rPr>
        <sz val="11"/>
        <color rgb="FFFF0000"/>
        <rFont val="Lucida Console"/>
        <family val="3"/>
      </rPr>
      <t>serviços de apanha</t>
    </r>
    <r>
      <rPr>
        <sz val="11"/>
        <color rgb="FF1F442D"/>
        <rFont val="Lucida Console"/>
        <family val="3"/>
      </rPr>
      <t>?</t>
    </r>
  </si>
  <si>
    <r>
      <t xml:space="preserve">9 - Paga alguma </t>
    </r>
    <r>
      <rPr>
        <sz val="11"/>
        <color rgb="FFFF0000"/>
        <rFont val="Lucida Console"/>
        <family val="3"/>
      </rPr>
      <t>tarifa pelo uso da água</t>
    </r>
    <r>
      <rPr>
        <sz val="11"/>
        <color rgb="FF1F442D"/>
        <rFont val="Lucida Console"/>
        <family val="3"/>
      </rPr>
      <t>?</t>
    </r>
  </si>
  <si>
    <t>INSUMOS</t>
  </si>
  <si>
    <t>1. NÍVEL TECNOLÓGICO DA PRODUÇÃO</t>
  </si>
  <si>
    <t>2. DE QUEM É A RESPONSABILIDADE PELO PAGAMENTO DE:</t>
  </si>
  <si>
    <t>3. PREENCHA AS PERGUNTAS INICIAIS</t>
  </si>
  <si>
    <t>4. ÍNDICES ZOOTÉCNICOS</t>
  </si>
  <si>
    <t>PINTOS-1-d</t>
  </si>
  <si>
    <t>SUBSTRATO PARA CAMA DO AVIÁRIO</t>
  </si>
  <si>
    <t>MAQUINÁRIOS E IMPLEMENTOS</t>
  </si>
  <si>
    <t>5. INVENTÁRIO</t>
  </si>
  <si>
    <t>TABELA 6. MÃO-DE-OBRA</t>
  </si>
  <si>
    <t>7. INSUMOS</t>
  </si>
  <si>
    <t>LIMPEZA E DESINFECÇÃO</t>
  </si>
  <si>
    <t>MEDICAMENTOS E SIMILARES</t>
  </si>
  <si>
    <t>MÃO-DE-OBRA</t>
  </si>
  <si>
    <t>Registrados (R$/lote)</t>
  </si>
  <si>
    <t>Diaristas (R$/lote)</t>
  </si>
  <si>
    <t>Serviço de apanha (R$/lote)</t>
  </si>
  <si>
    <t>Assistência técnica (R$/lote)</t>
  </si>
  <si>
    <t>Maquinários e implementos</t>
  </si>
  <si>
    <t>Benfeitorias</t>
  </si>
  <si>
    <t>Energéticos</t>
  </si>
  <si>
    <t>Taxas e Seguros</t>
  </si>
  <si>
    <t>Data de preenchimento:</t>
  </si>
  <si>
    <t>Preço de venda:</t>
  </si>
  <si>
    <t>CONTROLE DE PRAGAS</t>
  </si>
  <si>
    <t>Quant usada   (L ou kg/lote)</t>
  </si>
  <si>
    <t>Preço         (R$/L ou kg)</t>
  </si>
  <si>
    <t>Total          (R$/lote)</t>
  </si>
  <si>
    <t>Peso da máquina (t)</t>
  </si>
  <si>
    <t xml:space="preserve"> (____ machines)*(____MT/machine)*(1E6g/MT)/(__yr)</t>
  </si>
  <si>
    <t>Total weight =</t>
  </si>
  <si>
    <t xml:space="preserve">MT/ha </t>
  </si>
  <si>
    <t>Total usefull life =</t>
  </si>
  <si>
    <t>days/ha.yr</t>
  </si>
  <si>
    <t>Preço pago (R$/kg ingred)</t>
  </si>
  <si>
    <t>INPE/MCTIC. 2017. Atlas brasileiro de energia solar. 2ed. Pg 42. http://urlib.net/rep/8JMKD3MGP3W34P/3PERDJE</t>
  </si>
  <si>
    <t>Renewable resource from nature</t>
  </si>
  <si>
    <t>Non-renewable resource from nature</t>
  </si>
  <si>
    <t>GEB =</t>
  </si>
  <si>
    <t>Conv. Factor</t>
  </si>
  <si>
    <t>Castellini et al. 2006</t>
  </si>
  <si>
    <t>Dollar Exchange rate =</t>
  </si>
  <si>
    <t>Litter</t>
  </si>
  <si>
    <t>Registered manpower</t>
  </si>
  <si>
    <t>Unregistered manpower</t>
  </si>
  <si>
    <t>F</t>
  </si>
  <si>
    <t>Comments</t>
  </si>
  <si>
    <t>Runoff rate =</t>
  </si>
  <si>
    <t>Consumption</t>
  </si>
  <si>
    <t>Corn =</t>
  </si>
  <si>
    <t>Soybean meal =</t>
  </si>
  <si>
    <t>Rotativa</t>
  </si>
  <si>
    <t>Trator Valmet</t>
  </si>
  <si>
    <t>Poço artesiano</t>
  </si>
  <si>
    <t>Remuneração do lote (R$/lote)</t>
  </si>
  <si>
    <t>Pró-labore</t>
  </si>
  <si>
    <t>It was considered Cobb500 broiler strain yield (1 to 42d) to eligible parts as</t>
  </si>
  <si>
    <t>79.81,1.96, 0.64, 2.34, 4.35 % to carcass, liver, heart, gizzard and feet, respectively.</t>
  </si>
  <si>
    <t>The dry weight (%) was considered 33.5% of total eligible parts weight</t>
  </si>
  <si>
    <t xml:space="preserve">The nutritional composition of broiler, whole, with skin is according to </t>
  </si>
  <si>
    <t>https://www.cfn.org.br/wp-content/uploads/2017/03/taco_4_edicao_ampliada_e_revisada.pdf</t>
  </si>
  <si>
    <t>Wind, kinetic energy</t>
  </si>
  <si>
    <t>Land Area =</t>
  </si>
  <si>
    <t>Density of Air =</t>
  </si>
  <si>
    <t xml:space="preserve">kg/m^3  </t>
  </si>
  <si>
    <t>Avg. annual wind velocity =</t>
  </si>
  <si>
    <t>mps</t>
  </si>
  <si>
    <t>Geostrophic wind =</t>
  </si>
  <si>
    <t xml:space="preserve">Drag Coeff. = </t>
  </si>
  <si>
    <t>(area)(air density)(drag coefficient)(velocity^3)</t>
  </si>
  <si>
    <t>(_____m^2)(1.2E-03 kg/m^3)(1.00 E-3)(______mps)(3.14 E7 s/yr)</t>
  </si>
  <si>
    <t>Luo et al. 2015</t>
  </si>
  <si>
    <t>(___sej/J) ]</t>
  </si>
  <si>
    <t>m^2</t>
  </si>
  <si>
    <t>Renewability</t>
  </si>
  <si>
    <t>Factor</t>
  </si>
  <si>
    <t>Renewable</t>
  </si>
  <si>
    <t>Non-renewable purchase resources</t>
  </si>
  <si>
    <t>R%</t>
  </si>
  <si>
    <t>Certificações</t>
  </si>
  <si>
    <t>Lic. Ambiental</t>
  </si>
  <si>
    <t>Limpeza e Sanidade</t>
  </si>
  <si>
    <t>Medicamentos e saúde (R$/lote)</t>
  </si>
  <si>
    <t>Heating</t>
  </si>
  <si>
    <t>EER2</t>
  </si>
  <si>
    <t>Flow (Fr)</t>
  </si>
  <si>
    <t>Flow (Fn)</t>
  </si>
  <si>
    <t>Transport</t>
  </si>
  <si>
    <t>According to Cavallet (2009)</t>
  </si>
  <si>
    <t>Number of trips =</t>
  </si>
  <si>
    <t>Distance per trip (round way) =</t>
  </si>
  <si>
    <t>Total km allocated to transport =</t>
  </si>
  <si>
    <t>Weight of an average truck =</t>
  </si>
  <si>
    <t>km/trip</t>
  </si>
  <si>
    <t>km/truck</t>
  </si>
  <si>
    <t xml:space="preserve">Fuel </t>
  </si>
  <si>
    <t>kg/km</t>
  </si>
  <si>
    <t>to heavy road transport of farm from industry.</t>
  </si>
  <si>
    <t>It was considered the weight and fuel consumption</t>
  </si>
  <si>
    <t>h/trip</t>
  </si>
  <si>
    <t>Number of flock per year =</t>
  </si>
  <si>
    <t>Diesel demand per km Mass =</t>
  </si>
  <si>
    <t>n/yr</t>
  </si>
  <si>
    <t>Labor per trip =</t>
  </si>
  <si>
    <t>Total labor applied =</t>
  </si>
  <si>
    <t>Working days per year (8 hours/day)  =</t>
  </si>
  <si>
    <t>Fuel (included Transport)</t>
  </si>
  <si>
    <t>Cavallet and Ortega, 2010</t>
  </si>
  <si>
    <t>N of Registered manpower =</t>
  </si>
  <si>
    <t xml:space="preserve">Transport manpower </t>
  </si>
  <si>
    <t>It was considered 30 days of vacation</t>
  </si>
  <si>
    <t>Flocks per year =</t>
  </si>
  <si>
    <t>trip/flock</t>
  </si>
  <si>
    <t>n/year</t>
  </si>
  <si>
    <t>Truck usefull life =</t>
  </si>
  <si>
    <t>Number of trucks =</t>
  </si>
  <si>
    <t>Mechanical machine</t>
  </si>
  <si>
    <t>Technical assistance</t>
  </si>
  <si>
    <t>Médico Veterinário</t>
  </si>
  <si>
    <t>Zootecnista</t>
  </si>
  <si>
    <t>Consultor Técnico</t>
  </si>
  <si>
    <t>Contador</t>
  </si>
  <si>
    <t>(outros)</t>
  </si>
  <si>
    <t>Pagamento</t>
  </si>
  <si>
    <t>Harvesting services</t>
  </si>
  <si>
    <t>Soil occupation</t>
  </si>
  <si>
    <t>Rain, chemical potential</t>
  </si>
  <si>
    <t>Forced cooling</t>
  </si>
  <si>
    <t xml:space="preserve">Groundwater recharge refers to a hydrologic process, through which surface water enters </t>
  </si>
  <si>
    <t xml:space="preserve">to groundwater (Freeze and Cherry, 1979). </t>
  </si>
  <si>
    <t>Precipitation =</t>
  </si>
  <si>
    <t>https://doi.org/10.1016/j.ecoser.2020.101073</t>
  </si>
  <si>
    <t>kg/m^3</t>
  </si>
  <si>
    <t>infiltration coefficient =</t>
  </si>
  <si>
    <t>kg to g =</t>
  </si>
  <si>
    <t>Gibbs free energy =</t>
  </si>
  <si>
    <t>Groundwater recharges</t>
  </si>
  <si>
    <t>Data according to the region</t>
  </si>
  <si>
    <t>Water infiltration rate: 60%</t>
  </si>
  <si>
    <t>according to https://portalcultura.campinas.sp.gov.br/estrutura/gs/cspc/cedoc/permeabilidade_alternativa</t>
  </si>
  <si>
    <t>J/kg</t>
  </si>
  <si>
    <t xml:space="preserve">ha </t>
  </si>
  <si>
    <t>Rain, chemical potential energy</t>
  </si>
  <si>
    <t>Rain, geopotential energy</t>
  </si>
  <si>
    <t>Area =</t>
  </si>
  <si>
    <t>Evaporation rate =</t>
  </si>
  <si>
    <t>kg/kg</t>
  </si>
  <si>
    <t xml:space="preserve"> (Lou and Ulgiati, 2013)</t>
  </si>
  <si>
    <t>Buildings</t>
  </si>
  <si>
    <t>Depreciation</t>
  </si>
  <si>
    <t>sej/m^2.yr</t>
  </si>
  <si>
    <t>J/m^2.yr</t>
  </si>
  <si>
    <t>km/yr</t>
  </si>
  <si>
    <t>MJ/m^2.d</t>
  </si>
  <si>
    <t>(insolation)*(area)*(albedo)</t>
  </si>
  <si>
    <t>(___MJ/m^2.d)*365*(____m^2)*(____albedo)</t>
  </si>
  <si>
    <t>Building area =</t>
  </si>
  <si>
    <t>m^2 to m^3 =</t>
  </si>
  <si>
    <t>m^3</t>
  </si>
  <si>
    <t>http://www.iac.sp.gov.br/produtoseservicos/analisedosolo/interpretacaoanalise.php</t>
  </si>
  <si>
    <t>g/cm^3</t>
  </si>
  <si>
    <t>cm^3 to m^3 =</t>
  </si>
  <si>
    <t>O.M energy =</t>
  </si>
  <si>
    <t>kcal/kg</t>
  </si>
  <si>
    <t>30g/dm^3</t>
  </si>
  <si>
    <t>kg/kg of soil</t>
  </si>
  <si>
    <t>Soil density =</t>
  </si>
  <si>
    <t>Bargigli &amp; Ulgiati (2003)</t>
  </si>
  <si>
    <t>Ventilation (by raising day) =</t>
  </si>
  <si>
    <t>Average value to winter (max), summer (max) and summer with UR% up to 50%</t>
  </si>
  <si>
    <t>https://ainfo.cnptia.embrapa.br/digital/bitstream/item/58306/1/doc63.pdf</t>
  </si>
  <si>
    <t>Abreu and Abreu (2000), Table 2. pg. 09</t>
  </si>
  <si>
    <t>Cobertura de fibrocimento</t>
  </si>
  <si>
    <t>Muretas laterais, tela de fechamento e cortina</t>
  </si>
  <si>
    <t>Estrutura madeira c/ tesoura p/ telha fibrocimento (vão &lt; 5 m)</t>
  </si>
  <si>
    <t xml:space="preserve">Prego </t>
  </si>
  <si>
    <t xml:space="preserve">kg </t>
  </si>
  <si>
    <t xml:space="preserve">Linhas de suporte das tesouras (5,0 x 0,15 x 0,12 m) </t>
  </si>
  <si>
    <t>Pç</t>
  </si>
  <si>
    <t xml:space="preserve">Escoras (1,5 x 0,08 x 0,08 m) </t>
  </si>
  <si>
    <t xml:space="preserve">Pç </t>
  </si>
  <si>
    <t>Tábuas para tesoura (15 cm de largura)</t>
  </si>
  <si>
    <t xml:space="preserve"> Ml </t>
  </si>
  <si>
    <t xml:space="preserve">Terças para fixação das telhas (3,5 x 0,12 x 0,06 m) </t>
  </si>
  <si>
    <t>Terças para fixação das telhas (2,5 x 0,12 x 0,06 m)</t>
  </si>
  <si>
    <t xml:space="preserve"> Pç </t>
  </si>
  <si>
    <t xml:space="preserve">Telhas de fibrocimento 6 mm (1,83 x 1,00) </t>
  </si>
  <si>
    <t xml:space="preserve">Cumeeira de cimento-amianto 6mm </t>
  </si>
  <si>
    <t xml:space="preserve">Parafuso telheiro </t>
  </si>
  <si>
    <t xml:space="preserve">Un </t>
  </si>
  <si>
    <t>Estrutura madeira c/ tesoura p/ telha de barro</t>
  </si>
  <si>
    <t xml:space="preserve"> m² </t>
  </si>
  <si>
    <t>Terças de suporte dos caibros (5,0 x 0,12 x 0,08 m)</t>
  </si>
  <si>
    <t xml:space="preserve">Caibros (3,5 x 0,10 x 0,08 m) </t>
  </si>
  <si>
    <t xml:space="preserve">Ripas </t>
  </si>
  <si>
    <t>Ml</t>
  </si>
  <si>
    <t>Telhas de barro</t>
  </si>
  <si>
    <t xml:space="preserve"> Un </t>
  </si>
  <si>
    <t>Cumeeira de barro</t>
  </si>
  <si>
    <t xml:space="preserve"> Total</t>
  </si>
  <si>
    <t>Lastro de concreto magro para fixação do pilar em madeira</t>
  </si>
  <si>
    <t xml:space="preserve"> M3</t>
  </si>
  <si>
    <t xml:space="preserve">Cimento (2,9 sacos) </t>
  </si>
  <si>
    <t>Kg</t>
  </si>
  <si>
    <t>Brita</t>
  </si>
  <si>
    <t xml:space="preserve">Areia </t>
  </si>
  <si>
    <t xml:space="preserve">m3 </t>
  </si>
  <si>
    <t xml:space="preserve">Pilar de madeira 20 x 20 e h= 4,00 m </t>
  </si>
  <si>
    <t>Alvenaria tijolo furado (e= 10 cm)</t>
  </si>
  <si>
    <t xml:space="preserve"> M2</t>
  </si>
  <si>
    <t>Cimento</t>
  </si>
  <si>
    <t xml:space="preserve"> Kg</t>
  </si>
  <si>
    <t xml:space="preserve">Cal </t>
  </si>
  <si>
    <t>m3</t>
  </si>
  <si>
    <t xml:space="preserve">Tijolo </t>
  </si>
  <si>
    <t>m2</t>
  </si>
  <si>
    <t xml:space="preserve">Cortinas laterais </t>
  </si>
  <si>
    <t>Chapisco interno/externo (e= 5mm)(parede)</t>
  </si>
  <si>
    <t xml:space="preserve"> m2 </t>
  </si>
  <si>
    <t xml:space="preserve">Cimento </t>
  </si>
  <si>
    <t>Areia grossa</t>
  </si>
  <si>
    <t xml:space="preserve">Reboco externo/interno (e= 5 mm) </t>
  </si>
  <si>
    <t xml:space="preserve">m2 </t>
  </si>
  <si>
    <t xml:space="preserve">Kg </t>
  </si>
  <si>
    <t xml:space="preserve">Areia fina </t>
  </si>
  <si>
    <t xml:space="preserve">m³ </t>
  </si>
  <si>
    <t>Qtidade</t>
  </si>
  <si>
    <t>Estrutura Cobertura</t>
  </si>
  <si>
    <t>Cobertura de telha de barro</t>
  </si>
  <si>
    <t>Infra-Estrutura Fundação</t>
  </si>
  <si>
    <t>Peso (kg)</t>
  </si>
  <si>
    <t>https://atlantanet.com.br/tabua-bruta-eucalipto-15cm</t>
  </si>
  <si>
    <t>https://www.leroymerlin.com.br/telha-ceramica-40,5x24,3cm-romana-vermelho-marajo_87788211</t>
  </si>
  <si>
    <t>Peso/un (kg)</t>
  </si>
  <si>
    <t>https://www.telhanorte.com.br/telha-cumeeira-de-ceramica-41x21cm-10mm-vermelha-resinada-barrobello-1402960/p</t>
  </si>
  <si>
    <t>Tábuas para tesoura (15 cm de largura x 3m)</t>
  </si>
  <si>
    <t>-</t>
  </si>
  <si>
    <t>Albino et al. 2009</t>
  </si>
  <si>
    <t>https://www.leroymerlin.com.br/tijolo-ceramico-10-furos-19x9x5,5cm-marajo_87835552</t>
  </si>
  <si>
    <t>https://www.comercialrosalles.com.br/telas-e-alambrados</t>
  </si>
  <si>
    <t>Tela anti-pássaro p/ fechamento lateral*</t>
  </si>
  <si>
    <t>* peso por m^2</t>
  </si>
  <si>
    <t>https://produto.mercadolivre.com.br/MLB-1631519068-cortina-pra-aviarios-e-granjas-_JM#position=1&amp;type=item&amp;tracking_id=d7791958-eab7-487b-8a8b-5f2849ca03c2</t>
  </si>
  <si>
    <t>https://www.leroymerlin.com.br/ripa-de-madeira-pinus-aplainada-natural-4x1x250cm-schneider_87547502</t>
  </si>
  <si>
    <t>Albino et al. 2010</t>
  </si>
  <si>
    <t>https://www.marchio.com/produto/caibro-5-x-5-x-350-m-99214/</t>
  </si>
  <si>
    <t>Madeira =</t>
  </si>
  <si>
    <t>Ferro =</t>
  </si>
  <si>
    <t>Areia =</t>
  </si>
  <si>
    <t>Cimento =</t>
  </si>
  <si>
    <t>Brita =</t>
  </si>
  <si>
    <t>Tijolos =</t>
  </si>
  <si>
    <t>Telhas =</t>
  </si>
  <si>
    <t>Brown and Buranakarn, 2003</t>
  </si>
  <si>
    <t>Wood =</t>
  </si>
  <si>
    <t>Steel =</t>
  </si>
  <si>
    <t>Sand =</t>
  </si>
  <si>
    <t>Cement =</t>
  </si>
  <si>
    <t>Tile =</t>
  </si>
  <si>
    <t>Gravel =</t>
  </si>
  <si>
    <t xml:space="preserve">Albino, J.J., Bassi, L.J., Saatkamp, M.G., Lorenzet, A.L., 2009. </t>
  </si>
  <si>
    <t xml:space="preserve">Construção de aviário para produção de frangos de corte em </t>
  </si>
  <si>
    <t>sistemas alternativos em pequena escala. Embrapa Suínos e Aves, p.22.</t>
  </si>
  <si>
    <t>Block =</t>
  </si>
  <si>
    <t>Input</t>
  </si>
  <si>
    <t>Depreciation =</t>
  </si>
  <si>
    <t>Pulselli et al. 2008</t>
  </si>
  <si>
    <t>(material)*(1E3g)/(Usefull life)</t>
  </si>
  <si>
    <t>(___kg/m^2)*(1E3g)/(___yr)</t>
  </si>
  <si>
    <t>Steel</t>
  </si>
  <si>
    <t>Sand</t>
  </si>
  <si>
    <t>Cement</t>
  </si>
  <si>
    <t>Gravel</t>
  </si>
  <si>
    <t>Block</t>
  </si>
  <si>
    <t>Tile</t>
  </si>
  <si>
    <t>(material) / (Usefull life)</t>
  </si>
  <si>
    <t xml:space="preserve">(area) * (rainfall) * (% runoff) * </t>
  </si>
  <si>
    <t>(density) * (Gibbs Free energy)</t>
  </si>
  <si>
    <t xml:space="preserve">(__m^2) * (__m) * (__%) * </t>
  </si>
  <si>
    <t>(1000kg/m^3) * (4.96E3 J/kg)</t>
  </si>
  <si>
    <t xml:space="preserve">(area) * (rainfall) * (evaporation) * </t>
  </si>
  <si>
    <t>(density) * (Gibbs free energy)</t>
  </si>
  <si>
    <t xml:space="preserve">(___m^2) * (___m/yr) * (___%) * </t>
  </si>
  <si>
    <t>(1E3kg/m^3) * (4.96E3J/kg)</t>
  </si>
  <si>
    <t>Air requeriment from the ventilation (m^3/h.weight)</t>
  </si>
  <si>
    <t>(volume) * (O.M.) * (1.2g/cm^3 * 1E6cm^3/m^3)*</t>
  </si>
  <si>
    <t>Services =</t>
  </si>
  <si>
    <t>US$/yr =</t>
  </si>
  <si>
    <t>Chicks</t>
  </si>
  <si>
    <t>Nutrition</t>
  </si>
  <si>
    <t>1-day-chicks</t>
  </si>
  <si>
    <t>Sanity</t>
  </si>
  <si>
    <t>Maintenance</t>
  </si>
  <si>
    <t>Rate, insurances and certifications</t>
  </si>
  <si>
    <t>Miscellaneous</t>
  </si>
  <si>
    <t>Production factors cost</t>
  </si>
  <si>
    <t>https://doi.org/10.1002/zoo.21084</t>
  </si>
  <si>
    <t xml:space="preserve">Kerr et al. 2013. Apparent total tract macronutrient and energy digestibility of </t>
  </si>
  <si>
    <t xml:space="preserve">1‐ to‐ 3‐day‐old whole chicks, adult ground chicken, and extruded and canned </t>
  </si>
  <si>
    <t>chicken‐based diets in African wildcats (Felis silvestris lybica)</t>
  </si>
  <si>
    <t>Kcal to J =</t>
  </si>
  <si>
    <t xml:space="preserve">(initial body weight) * (n of chicks) * </t>
  </si>
  <si>
    <t>(n flocks) * (1E3g) / (area)</t>
  </si>
  <si>
    <t xml:space="preserve">(___kg) * (___un) * (___flocks/yr) * </t>
  </si>
  <si>
    <t>(1E3g) / (___m^2)</t>
  </si>
  <si>
    <t>Service</t>
  </si>
  <si>
    <t>No service</t>
  </si>
  <si>
    <r>
      <t>F</t>
    </r>
    <r>
      <rPr>
        <sz val="8"/>
        <rFont val="Geneva"/>
      </rPr>
      <t>R</t>
    </r>
  </si>
  <si>
    <r>
      <t>F</t>
    </r>
    <r>
      <rPr>
        <sz val="8"/>
        <rFont val="Geneva"/>
      </rPr>
      <t>N</t>
    </r>
  </si>
  <si>
    <t>Renewable purchase resources</t>
  </si>
  <si>
    <t>R+N+F</t>
  </si>
  <si>
    <t>N/(R+N+F)</t>
  </si>
  <si>
    <r>
      <t>(N+F</t>
    </r>
    <r>
      <rPr>
        <sz val="8"/>
        <color rgb="FF000000"/>
        <rFont val="Geneva"/>
      </rPr>
      <t>N</t>
    </r>
    <r>
      <rPr>
        <sz val="9"/>
        <color rgb="FF000000"/>
        <rFont val="Geneva"/>
      </rPr>
      <t>)/(R+F</t>
    </r>
    <r>
      <rPr>
        <sz val="8"/>
        <color rgb="FF000000"/>
        <rFont val="Geneva"/>
      </rPr>
      <t>R</t>
    </r>
    <r>
      <rPr>
        <sz val="9"/>
        <color rgb="FF000000"/>
        <rFont val="Geneva"/>
      </rPr>
      <t>)</t>
    </r>
  </si>
  <si>
    <t>(F)/(R+N+F+S)</t>
  </si>
  <si>
    <t>(F) / (N + R)</t>
  </si>
  <si>
    <r>
      <t>Y / (F</t>
    </r>
    <r>
      <rPr>
        <sz val="8"/>
        <color rgb="FF000000"/>
        <rFont val="Geneva"/>
      </rPr>
      <t>N</t>
    </r>
    <r>
      <rPr>
        <sz val="9"/>
        <color rgb="FF000000"/>
        <rFont val="Geneva"/>
      </rPr>
      <t>)</t>
    </r>
  </si>
  <si>
    <t>EYR / ELR</t>
  </si>
  <si>
    <t>sej/sej</t>
  </si>
  <si>
    <t>sej</t>
  </si>
  <si>
    <t>Broiler UEV</t>
  </si>
  <si>
    <t>Litter (as fertilizer) UEV</t>
  </si>
  <si>
    <t>Demetrio, 2011</t>
  </si>
  <si>
    <t>Wind velocity, pg. 36</t>
  </si>
  <si>
    <t>Giannetti et al. 2019</t>
  </si>
  <si>
    <t>kg/ha.yr</t>
  </si>
  <si>
    <t>TJ/m^2.yr</t>
  </si>
  <si>
    <t>(___kg/m^2.yr) * (112000kg/TJ)</t>
  </si>
  <si>
    <t>(___kg/m^2.yr) * (4kg/TJ)</t>
  </si>
  <si>
    <t>(___kg/m^2.yr) * (300kg/TJ)</t>
  </si>
  <si>
    <t>(___kg/m^2.yr) * (56100kg/TJ)</t>
  </si>
  <si>
    <t>(___kg/m^2.yr) * (0.1kg/TJ)</t>
  </si>
  <si>
    <t>(___kg/m^2.yr) * (5kg/TJ)</t>
  </si>
  <si>
    <t>(___kg/m^2.yr) * (0.6kg/TJ)</t>
  </si>
  <si>
    <t>Total GHG emissions =</t>
  </si>
  <si>
    <t>Frango vivo (cotação):</t>
  </si>
  <si>
    <t>TRANSPORTE DE RAÇÃO</t>
  </si>
  <si>
    <t>TRANSPORTE DE FRANGOS</t>
  </si>
  <si>
    <t xml:space="preserve">Valor pago       (R$/kg de ração) </t>
  </si>
  <si>
    <t>Consumo de ração          (kg/lote)</t>
  </si>
  <si>
    <t xml:space="preserve">Valor pago       (R$/ave) </t>
  </si>
  <si>
    <t>Aves vendidas (aves/lote)</t>
  </si>
  <si>
    <t>Preço pago (R$/ave)</t>
  </si>
  <si>
    <t>(Valor destinado ao pagamento do produtor pela venda dos frangos)</t>
  </si>
  <si>
    <t>Usefull life</t>
  </si>
  <si>
    <t>Girotto and Souza, 2005</t>
  </si>
  <si>
    <t>% Capital imobilizado</t>
  </si>
  <si>
    <t>Certificação de Bem-estar animal</t>
  </si>
  <si>
    <t>((rising days / 7)*(3)*(3hr/day))*(Flock/yr)</t>
  </si>
  <si>
    <t>((__days) / 7) (3) * (3hr/day) (__n/yr)</t>
  </si>
  <si>
    <t>8.09m^0.75*(4*10^-5*(20-t)^3+1) *</t>
  </si>
  <si>
    <t>(__m^2)(1.2E-03 kg/m^3)(1.00 E-3)(__mps)(3.14 E7 s/yr)</t>
  </si>
  <si>
    <t>energy content =</t>
  </si>
  <si>
    <t>CO2 fuel emission =</t>
  </si>
  <si>
    <t>(R) / (R+N+F)</t>
  </si>
  <si>
    <t>Producer</t>
  </si>
  <si>
    <t>if EER = 1,0</t>
  </si>
  <si>
    <t>N de visitas (/ semana)</t>
  </si>
  <si>
    <t>Tempo gasto (hr/visita)</t>
  </si>
  <si>
    <t>Controle de pragas</t>
  </si>
  <si>
    <t>Gomes et al. 2019</t>
  </si>
  <si>
    <t>Organic matter =</t>
  </si>
  <si>
    <t>Paddock area =</t>
  </si>
  <si>
    <t>Pasture soil loss =</t>
  </si>
  <si>
    <t>(O.M.energy)(4186J)/(area)</t>
  </si>
  <si>
    <t>((paddock)(soil loss)/(1E+4))(O.M)</t>
  </si>
  <si>
    <t>((__m^2)(__kg/ha.yr)/(1E+4))(__kg/kg soil)</t>
  </si>
  <si>
    <t>(5400kcal/kg)(4186J/kcal)/(area)</t>
  </si>
  <si>
    <t>days</t>
  </si>
  <si>
    <t>wk</t>
  </si>
  <si>
    <t>working days =</t>
  </si>
  <si>
    <t>days/wk</t>
  </si>
  <si>
    <t>(working days/yr)(total metab. energy/day)(energy content)</t>
  </si>
  <si>
    <t>hr/day</t>
  </si>
  <si>
    <t>working hours =</t>
  </si>
  <si>
    <t>flocks =</t>
  </si>
  <si>
    <t>Broiler rising days =</t>
  </si>
  <si>
    <t>(__n/flock) (__kg/bird) (__n/yr)</t>
  </si>
  <si>
    <t>Empower density</t>
  </si>
  <si>
    <t>ED</t>
  </si>
  <si>
    <t>sej J/m^2.yr</t>
  </si>
  <si>
    <t>Value (sej/$.yr)</t>
  </si>
  <si>
    <t>days/yr</t>
  </si>
  <si>
    <t>t</t>
  </si>
  <si>
    <t>TJ/yr</t>
  </si>
  <si>
    <t xml:space="preserve"> J/yr</t>
  </si>
  <si>
    <t xml:space="preserve"> L/ano</t>
  </si>
  <si>
    <t>(___L/yr)*(3.14E07)</t>
  </si>
  <si>
    <t>(___kg/yr) * (74100kg/TJ)</t>
  </si>
  <si>
    <t>(___kg/yr) * (10kg/TJ)</t>
  </si>
  <si>
    <t>(___g N2O/yr) (310)</t>
  </si>
  <si>
    <t>(___g CH4/yr) (21)</t>
  </si>
  <si>
    <t>(___g CO2/yr) (1)</t>
  </si>
  <si>
    <t>(Mass)/(useful life)</t>
  </si>
  <si>
    <t>(____MT/machine)*(1E6g/MT)/(___yr)</t>
  </si>
  <si>
    <t>sej/yr</t>
  </si>
  <si>
    <t>Demétrio, 2011</t>
  </si>
  <si>
    <t>Aquecimento</t>
  </si>
  <si>
    <t>Medicamentos, análises e controle</t>
  </si>
  <si>
    <t>Taxas, Seguros e Certificações</t>
  </si>
  <si>
    <t>kg/m^3.yr</t>
  </si>
  <si>
    <t>kg N2O/yr</t>
  </si>
  <si>
    <t>kg CH4/yr</t>
  </si>
  <si>
    <t>kg CO2/m^2.yr</t>
  </si>
  <si>
    <t>kg N2O/ha.yr</t>
  </si>
  <si>
    <t>kg CH4/m^2.yr</t>
  </si>
  <si>
    <t>[(M) * (v²) * Tr]</t>
  </si>
  <si>
    <t xml:space="preserve">[(___g/yr) * (___m/s) * </t>
  </si>
  <si>
    <t>(4186J/kcal)*(5400kcal/kg)/(area)/(usefull life)</t>
  </si>
  <si>
    <t>EMR =</t>
  </si>
  <si>
    <t>sej/USD</t>
  </si>
  <si>
    <t>EMR SC</t>
  </si>
  <si>
    <t>Symbol</t>
  </si>
  <si>
    <t>Agroindustry</t>
  </si>
  <si>
    <t>Y / Ep</t>
  </si>
  <si>
    <t>Y / area</t>
  </si>
  <si>
    <t>7.1.</t>
  </si>
  <si>
    <t>Total Yield, dry weight (broiler) =</t>
  </si>
  <si>
    <t>Total Yield, dry weight (litter as fertilizer) =</t>
  </si>
  <si>
    <t>Concórdia/SP</t>
  </si>
  <si>
    <t>Assistência técnica sob responsabilidade do produtor</t>
  </si>
  <si>
    <t>Convencional</t>
  </si>
  <si>
    <t>(Drastig et al. 2016)</t>
  </si>
  <si>
    <t>(litter) / (1E3)</t>
  </si>
  <si>
    <r>
      <t>Y</t>
    </r>
    <r>
      <rPr>
        <i/>
        <sz val="8"/>
        <color rgb="FF000000"/>
        <rFont val="Geneva"/>
      </rPr>
      <t>producer</t>
    </r>
    <r>
      <rPr>
        <sz val="9"/>
        <color rgb="FF000000"/>
        <rFont val="Geneva"/>
      </rPr>
      <t xml:space="preserve"> / ($/bird) (sej/$)</t>
    </r>
  </si>
  <si>
    <t>Y / ($) (sej/$)</t>
  </si>
  <si>
    <t>Non-</t>
  </si>
  <si>
    <t>renewable</t>
  </si>
  <si>
    <t>contrib.</t>
  </si>
  <si>
    <t>EMERGY Investment Ratio</t>
  </si>
  <si>
    <t>EMERGY Yield Ratio</t>
  </si>
  <si>
    <t>EMERGY Sustainability Index</t>
  </si>
  <si>
    <t>EMERGY Exchange Ratio</t>
  </si>
  <si>
    <t>EMERGY Exchange Ratio (producer)</t>
  </si>
  <si>
    <t>OUTPUTS</t>
  </si>
  <si>
    <t xml:space="preserve">contrib. from </t>
  </si>
  <si>
    <t>contrib. from</t>
  </si>
  <si>
    <t>Guideline for minimum ventilation</t>
  </si>
  <si>
    <t>Forced cooling by positive ventilation</t>
  </si>
  <si>
    <t>CO2</t>
  </si>
  <si>
    <t>N2O</t>
  </si>
  <si>
    <t>CH4</t>
  </si>
  <si>
    <t>Wooden shave (litter)</t>
  </si>
  <si>
    <t>Services</t>
  </si>
  <si>
    <t>seJ</t>
  </si>
  <si>
    <t>BRL:USD (2018)</t>
  </si>
  <si>
    <t>Registered manpower =</t>
  </si>
  <si>
    <t>Technical assistance 1 =</t>
  </si>
  <si>
    <t>Technical assistance 2 =</t>
  </si>
  <si>
    <t>Technical assistance 3 =</t>
  </si>
  <si>
    <t>Technical assistance 4 =</t>
  </si>
  <si>
    <t>Technical assistance 5 =</t>
  </si>
  <si>
    <t>Technical assistance 6 =</t>
  </si>
  <si>
    <t>Unregistered manpower =</t>
  </si>
  <si>
    <t>Brown, 2001, folio #3</t>
  </si>
  <si>
    <t>Odum, 1996</t>
  </si>
  <si>
    <t>Outputs</t>
  </si>
  <si>
    <t>Farmer</t>
  </si>
  <si>
    <t>Hydroelectric power</t>
  </si>
  <si>
    <t>Tassinari et al. 2016</t>
  </si>
  <si>
    <t>t/yr</t>
  </si>
  <si>
    <t>Cavalett et al. 2009</t>
  </si>
  <si>
    <t>Aves (un)</t>
  </si>
  <si>
    <t>EMR SC =</t>
  </si>
  <si>
    <t>USD/bird</t>
  </si>
  <si>
    <t>Custo prod.</t>
  </si>
  <si>
    <t>Custo agro.</t>
  </si>
  <si>
    <t>(litter)*(4 kcal/g)*(4186 J to kcal)</t>
  </si>
  <si>
    <t>(__g)*(4kcal/g)*(4186J to Kcal)</t>
  </si>
  <si>
    <t>22.10</t>
  </si>
  <si>
    <t>22.11</t>
  </si>
  <si>
    <t>22.12</t>
  </si>
  <si>
    <t>22.13</t>
  </si>
  <si>
    <t>22.14</t>
  </si>
  <si>
    <t>22.15</t>
  </si>
  <si>
    <t>Hydroeletric power</t>
  </si>
  <si>
    <t>Footnotes to Table 3.</t>
  </si>
  <si>
    <t>EMBRAPA. 2019. Dados agrometeorológicos. Available in: http://www.cnpsa.embrapa.br/meteor/. Accessed in: August 03, 2023.</t>
  </si>
  <si>
    <t>Condepacc. 2013. Permeabilidade alternativa. Available in: https://portalcultura.campinas.sp.gov.br/estrutura/gs/cspc/cedoc/permeabilidade_alternativa; Accessed in August 03, 2023.</t>
  </si>
  <si>
    <t>Buenfil, 2000</t>
  </si>
  <si>
    <t>NEPA, 2011. Pg 50 (https://www.cfn.org.br/wp-content/uploads/2017/03/taco_4_edicao_ampliada_e_revisada.pdf)</t>
  </si>
  <si>
    <t>NEPA, 2011. Tabela 1, pg. 50</t>
  </si>
  <si>
    <t xml:space="preserve">The volume of H20 used to clean the facilities was </t>
  </si>
  <si>
    <t xml:space="preserve">considered according to the IPCC for water service </t>
  </si>
  <si>
    <t xml:space="preserve">(0.09* number of birds). It was possible to estimate the </t>
  </si>
  <si>
    <t>amount of disinfectants and sanitizers.</t>
  </si>
  <si>
    <t>Comar and Komori, 2006</t>
  </si>
  <si>
    <t xml:space="preserve">Comar and Komori (2006) </t>
  </si>
  <si>
    <t>Giannetti et al. 2017</t>
  </si>
  <si>
    <t xml:space="preserve">The emergy renewability index for Brazil in 2011 </t>
  </si>
  <si>
    <t>(22% from Giannetti et al., 2017) used to represent the</t>
  </si>
  <si>
    <t xml:space="preserve"> indirect labor embodied in services.</t>
  </si>
  <si>
    <t>Giannetti et al., 2017</t>
  </si>
  <si>
    <t>(___kg)*(1E3g)*(___sej/g)/(___yr)</t>
  </si>
  <si>
    <t>US$</t>
  </si>
  <si>
    <t>(__R$/flock) * (__flocks/yr) / (___US$)</t>
  </si>
  <si>
    <t>(item) * (n flocks) / (US$)</t>
  </si>
  <si>
    <t>(___kg/m^2)*(1E3g/kg)/(___yr)</t>
  </si>
  <si>
    <t>g/m^2.yr</t>
  </si>
  <si>
    <t xml:space="preserve">trip/yr </t>
  </si>
  <si>
    <t>h/yr</t>
  </si>
  <si>
    <t>(water intake/m^3) (flocks/yr)</t>
  </si>
  <si>
    <t>Table S4. Emergy synthesis for broiler production in Santa Catarina State, Brazil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</si>
</sst>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8" formatCode="&quot;R$&quot;\ #,##0.00;[Red]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0.000"/>
    <numFmt numFmtId="167" formatCode="0.00000"/>
    <numFmt numFmtId="168" formatCode="0.0000"/>
    <numFmt numFmtId="169" formatCode="_-[$$-409]* #,##0.000_ ;_-[$$-409]* \-#,##0.000\ ;_-[$$-409]* &quot;-&quot;??_ ;_-@_ "/>
    <numFmt numFmtId="170" formatCode="_-[$$-409]* #,##0.000_ ;_-[$$-409]* \-#,##0.000\ ;_-[$$-409]* &quot;-&quot;???_ ;_-@_ "/>
    <numFmt numFmtId="171" formatCode="_-* #,##0.00_-;\-* #,##0.00_-;_-* &quot;-&quot;_-;_-@_-"/>
    <numFmt numFmtId="172" formatCode="_-* #,##0.000_-;\-* #,##0.000_-;_-* &quot;-&quot;??_-;_-@_-"/>
    <numFmt numFmtId="173" formatCode="_-* #,##0.00_-;\-* #,##0.00_-;_-* &quot;-&quot;???_-;_-@_-"/>
    <numFmt numFmtId="174" formatCode="_-* #,##0.0_-;\-* #,##0.0_-;_-* &quot;-&quot;_-;_-@_-"/>
    <numFmt numFmtId="175" formatCode="0.0%"/>
  </numFmts>
  <fonts count="123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rgb="FFFFFFFF"/>
      <name val="Arial"/>
      <family val="2"/>
    </font>
    <font>
      <b/>
      <sz val="8.5"/>
      <name val="Arial"/>
      <family val="2"/>
    </font>
    <font>
      <b/>
      <sz val="8.5"/>
      <color rgb="FF000000"/>
      <name val="Arial"/>
      <family val="2"/>
    </font>
    <font>
      <b/>
      <sz val="8.5"/>
      <color rgb="FFFFFFFF"/>
      <name val="Arial"/>
      <family val="2"/>
    </font>
    <font>
      <b/>
      <sz val="11"/>
      <color rgb="FF1F442D"/>
      <name val="Arial"/>
      <family val="2"/>
    </font>
    <font>
      <b/>
      <sz val="8.5"/>
      <color rgb="FF1F442D"/>
      <name val="Arial"/>
      <family val="2"/>
    </font>
    <font>
      <b/>
      <sz val="11"/>
      <color theme="0"/>
      <name val="Arial"/>
      <family val="2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0"/>
      <name val="Times New Roman"/>
      <family val="1"/>
    </font>
    <font>
      <sz val="11"/>
      <color rgb="FF000000"/>
      <name val="Arial"/>
      <family val="2"/>
    </font>
    <font>
      <b/>
      <sz val="8.5"/>
      <color theme="0"/>
      <name val="Arial"/>
      <family val="2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0"/>
      <name val="Times New Roman"/>
      <family val="1"/>
    </font>
    <font>
      <sz val="12"/>
      <color indexed="8"/>
      <name val="Times New Roman"/>
      <family val="1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000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FF0000"/>
      <name val="Times New Roman"/>
      <family val="1"/>
    </font>
    <font>
      <b/>
      <sz val="10"/>
      <name val="Geneva"/>
    </font>
    <font>
      <b/>
      <sz val="9"/>
      <name val="Geneva"/>
    </font>
    <font>
      <sz val="8"/>
      <name val="Geneva"/>
    </font>
    <font>
      <sz val="9"/>
      <name val="Geneva"/>
    </font>
    <font>
      <sz val="9"/>
      <color indexed="8"/>
      <name val="Geneva"/>
    </font>
    <font>
      <vertAlign val="superscript"/>
      <sz val="9"/>
      <name val="Geneva"/>
    </font>
    <font>
      <sz val="9"/>
      <color rgb="FFFF0000"/>
      <name val="Geneva"/>
    </font>
    <font>
      <sz val="9"/>
      <color rgb="FF000000"/>
      <name val="Geneva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i/>
      <sz val="9"/>
      <name val="Geneva"/>
    </font>
    <font>
      <i/>
      <sz val="9"/>
      <color rgb="FF000000"/>
      <name val="Geneva"/>
    </font>
    <font>
      <sz val="12"/>
      <color rgb="FF000000"/>
      <name val="Lucida Console"/>
      <family val="3"/>
    </font>
    <font>
      <b/>
      <sz val="12"/>
      <color rgb="FF1F442D"/>
      <name val="Lucida Console"/>
      <family val="3"/>
    </font>
    <font>
      <b/>
      <sz val="12"/>
      <name val="Lucida Console"/>
      <family val="3"/>
    </font>
    <font>
      <b/>
      <sz val="12"/>
      <color rgb="FF000000"/>
      <name val="Lucida Console"/>
      <family val="3"/>
    </font>
    <font>
      <b/>
      <sz val="11"/>
      <color rgb="FFFFFFFF"/>
      <name val="Lucida Console"/>
      <family val="3"/>
    </font>
    <font>
      <b/>
      <sz val="11"/>
      <color theme="0"/>
      <name val="Lucida Console"/>
      <family val="3"/>
    </font>
    <font>
      <b/>
      <sz val="12"/>
      <color rgb="FFFFFFFF"/>
      <name val="Lucida Console"/>
      <family val="3"/>
    </font>
    <font>
      <b/>
      <sz val="12"/>
      <color theme="0"/>
      <name val="Lucida Console"/>
      <family val="3"/>
    </font>
    <font>
      <b/>
      <sz val="11"/>
      <name val="Lucida Console"/>
      <family val="3"/>
    </font>
    <font>
      <sz val="12"/>
      <name val="Lucida Console"/>
      <family val="3"/>
    </font>
    <font>
      <sz val="12"/>
      <color rgb="FF1F442D"/>
      <name val="Lucida Console"/>
      <family val="3"/>
    </font>
    <font>
      <sz val="11"/>
      <color rgb="FF000000"/>
      <name val="Lucida Console"/>
      <family val="3"/>
    </font>
    <font>
      <sz val="12"/>
      <color theme="1"/>
      <name val="Lucida Console"/>
      <family val="3"/>
    </font>
    <font>
      <sz val="12"/>
      <color theme="0"/>
      <name val="Lucida Console"/>
      <family val="3"/>
    </font>
    <font>
      <b/>
      <sz val="10"/>
      <color theme="0"/>
      <name val="Lucida Console"/>
      <family val="3"/>
    </font>
    <font>
      <i/>
      <sz val="9"/>
      <color indexed="81"/>
      <name val="Segoe UI"/>
      <family val="2"/>
    </font>
    <font>
      <sz val="11"/>
      <color rgb="FF1F442D"/>
      <name val="Lucida Console"/>
      <family val="3"/>
    </font>
    <font>
      <sz val="11"/>
      <name val="Lucida Console"/>
      <family val="3"/>
    </font>
    <font>
      <b/>
      <sz val="11"/>
      <color rgb="FF1F442D"/>
      <name val="Lucida Console"/>
      <family val="3"/>
    </font>
    <font>
      <sz val="11"/>
      <color rgb="FFFF0000"/>
      <name val="Lucida Console"/>
      <family val="3"/>
    </font>
    <font>
      <sz val="11"/>
      <color theme="1"/>
      <name val="Lucida Console"/>
      <family val="3"/>
    </font>
    <font>
      <b/>
      <sz val="11"/>
      <color rgb="FF000000"/>
      <name val="Lucida Console"/>
      <family val="3"/>
    </font>
    <font>
      <sz val="11"/>
      <color theme="0"/>
      <name val="Lucida Console"/>
      <family val="3"/>
    </font>
    <font>
      <sz val="11"/>
      <color rgb="FFFFFFFF"/>
      <name val="Lucida Console"/>
      <family val="3"/>
    </font>
    <font>
      <sz val="9"/>
      <color rgb="FF000000"/>
      <name val="Lucida Console"/>
      <family val="3"/>
    </font>
    <font>
      <sz val="10"/>
      <name val="Lucida Console"/>
      <family val="3"/>
    </font>
    <font>
      <sz val="11"/>
      <color theme="6" tint="0.79998168889431442"/>
      <name val="Lucida Console"/>
      <family val="3"/>
    </font>
    <font>
      <b/>
      <sz val="10"/>
      <color rgb="FFFFFFFF"/>
      <name val="Lucida Console"/>
      <family val="3"/>
    </font>
    <font>
      <sz val="10"/>
      <color rgb="FF000000"/>
      <name val="Lucida Console"/>
      <family val="3"/>
    </font>
    <font>
      <sz val="10"/>
      <color theme="0"/>
      <name val="Lucida Console"/>
      <family val="3"/>
    </font>
    <font>
      <sz val="10"/>
      <color rgb="FF1F442D"/>
      <name val="Lucida Console"/>
      <family val="3"/>
    </font>
    <font>
      <u/>
      <sz val="9"/>
      <color indexed="81"/>
      <name val="Segoe UI"/>
      <family val="2"/>
    </font>
    <font>
      <sz val="10"/>
      <color rgb="FF000000"/>
      <name val="Times New Roman"/>
      <family val="1"/>
    </font>
    <font>
      <b/>
      <sz val="10"/>
      <color rgb="FF1F442D"/>
      <name val="Lucida Console"/>
      <family val="3"/>
    </font>
    <font>
      <sz val="8"/>
      <color rgb="FF1F442D"/>
      <name val="Lucida Console"/>
      <family val="3"/>
    </font>
    <font>
      <sz val="8"/>
      <color rgb="FF000000"/>
      <name val="Lucida Console"/>
      <family val="3"/>
    </font>
    <font>
      <sz val="11"/>
      <color rgb="FF000000"/>
      <name val="Times New Roman"/>
      <family val="1"/>
    </font>
    <font>
      <sz val="11"/>
      <color theme="0"/>
      <name val="Times New Roman"/>
      <family val="1"/>
    </font>
    <font>
      <b/>
      <sz val="9"/>
      <color theme="0"/>
      <name val="Geneva"/>
    </font>
    <font>
      <b/>
      <sz val="9"/>
      <color rgb="FF000000"/>
      <name val="Geneva"/>
    </font>
    <font>
      <sz val="8"/>
      <color rgb="FF000000"/>
      <name val="Segoe UI"/>
      <family val="2"/>
    </font>
    <font>
      <b/>
      <sz val="10"/>
      <color rgb="FF000000"/>
      <name val="Lucida Console"/>
      <family val="3"/>
    </font>
    <font>
      <sz val="10"/>
      <color rgb="FF000000"/>
      <name val="Geneva"/>
    </font>
    <font>
      <b/>
      <sz val="10"/>
      <color rgb="FF000000"/>
      <name val="Geneva"/>
    </font>
    <font>
      <sz val="9"/>
      <color rgb="FFCCFFFF"/>
      <name val="Geneva"/>
    </font>
    <font>
      <sz val="11"/>
      <color rgb="FF000000"/>
      <name val="Geneva"/>
    </font>
    <font>
      <sz val="8"/>
      <name val="Times New Roman"/>
      <family val="1"/>
    </font>
    <font>
      <b/>
      <i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0"/>
      <color rgb="FF000000"/>
      <name val="Times New Roman"/>
      <family val="1"/>
    </font>
    <font>
      <b/>
      <i/>
      <sz val="9"/>
      <color rgb="FF000000"/>
      <name val="Geneva"/>
    </font>
    <font>
      <b/>
      <sz val="9"/>
      <name val="Verdana"/>
      <family val="2"/>
    </font>
    <font>
      <sz val="8"/>
      <color rgb="FF000000"/>
      <name val="Geneva"/>
    </font>
    <font>
      <sz val="11"/>
      <name val="Geneva"/>
    </font>
    <font>
      <sz val="14"/>
      <color rgb="FFFF0000"/>
      <name val="Lucida Console"/>
      <family val="3"/>
    </font>
    <font>
      <b/>
      <i/>
      <sz val="9"/>
      <name val="Geneva"/>
    </font>
    <font>
      <b/>
      <sz val="11"/>
      <color rgb="FF000000"/>
      <name val="Geneva"/>
    </font>
    <font>
      <i/>
      <sz val="11"/>
      <color rgb="FF000000"/>
      <name val="Lucida Console"/>
      <family val="3"/>
    </font>
    <font>
      <i/>
      <sz val="8"/>
      <color rgb="FF000000"/>
      <name val="Geneva"/>
    </font>
    <font>
      <sz val="6"/>
      <name val="Lucida Console"/>
      <family val="3"/>
    </font>
    <font>
      <b/>
      <i/>
      <sz val="10"/>
      <name val="Geneva"/>
    </font>
    <font>
      <u/>
      <sz val="9"/>
      <color rgb="FFFF000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Geneva"/>
    </font>
  </fonts>
  <fills count="35">
    <fill>
      <patternFill patternType="none"/>
    </fill>
    <fill>
      <patternFill patternType="gray125"/>
    </fill>
    <fill>
      <patternFill patternType="solid">
        <fgColor rgb="FF1F442D"/>
      </patternFill>
    </fill>
    <fill>
      <patternFill patternType="solid">
        <fgColor rgb="FFEBF0DE"/>
      </patternFill>
    </fill>
    <fill>
      <patternFill patternType="solid">
        <fgColor rgb="FF4F6128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1F442D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40">
    <border>
      <left/>
      <right/>
      <top/>
      <bottom/>
      <diagonal/>
    </border>
    <border>
      <left style="thin">
        <color rgb="FF0066CC"/>
      </left>
      <right style="thin">
        <color rgb="FF0066CC"/>
      </right>
      <top style="thin">
        <color rgb="FF0066CC"/>
      </top>
      <bottom style="thin">
        <color rgb="FF0066CC"/>
      </bottom>
      <diagonal/>
    </border>
    <border>
      <left style="thin">
        <color rgb="FF0066CC"/>
      </left>
      <right style="thin">
        <color rgb="FF0066CC"/>
      </right>
      <top style="thin">
        <color rgb="FF0066CC"/>
      </top>
      <bottom/>
      <diagonal/>
    </border>
    <border>
      <left style="thin">
        <color rgb="FF0066CC"/>
      </left>
      <right style="thin">
        <color rgb="FF0066CC"/>
      </right>
      <top/>
      <bottom/>
      <diagonal/>
    </border>
    <border>
      <left style="thin">
        <color rgb="FF0066CC"/>
      </left>
      <right style="thin">
        <color rgb="FF0066CC"/>
      </right>
      <top/>
      <bottom style="thin">
        <color rgb="FF0066CC"/>
      </bottom>
      <diagonal/>
    </border>
    <border>
      <left style="thin">
        <color indexed="64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2" fillId="0" borderId="0" applyFont="0" applyFill="0" applyBorder="0" applyAlignment="0" applyProtection="0"/>
    <xf numFmtId="0" fontId="32" fillId="0" borderId="0"/>
    <xf numFmtId="0" fontId="39" fillId="0" borderId="0" applyNumberFormat="0" applyFill="0" applyBorder="0" applyAlignment="0" applyProtection="0"/>
    <xf numFmtId="44" fontId="90" fillId="0" borderId="0" applyFont="0" applyFill="0" applyBorder="0" applyAlignment="0" applyProtection="0"/>
    <xf numFmtId="0" fontId="1" fillId="0" borderId="0"/>
    <xf numFmtId="9" fontId="107" fillId="0" borderId="0" applyFont="0" applyFill="0" applyBorder="0" applyAlignment="0" applyProtection="0"/>
  </cellStyleXfs>
  <cellXfs count="1276">
    <xf numFmtId="0" fontId="0" fillId="0" borderId="0" xfId="0" applyFill="1" applyBorder="1" applyAlignment="1">
      <alignment horizontal="left" vertical="top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 indent="2"/>
    </xf>
    <xf numFmtId="0" fontId="4" fillId="3" borderId="0" xfId="0" applyFont="1" applyFill="1" applyBorder="1" applyAlignment="1">
      <alignment horizontal="left" vertical="top" wrapText="1" indent="4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left" vertical="top" wrapText="1" indent="1"/>
    </xf>
    <xf numFmtId="9" fontId="5" fillId="0" borderId="0" xfId="0" applyNumberFormat="1" applyFont="1" applyFill="1" applyBorder="1" applyAlignment="1">
      <alignment horizontal="center" vertical="top" shrinkToFit="1"/>
    </xf>
    <xf numFmtId="0" fontId="10" fillId="3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wrapText="1"/>
    </xf>
    <xf numFmtId="0" fontId="0" fillId="3" borderId="0" xfId="0" applyFill="1" applyBorder="1" applyAlignment="1">
      <alignment horizontal="right" wrapText="1"/>
    </xf>
    <xf numFmtId="0" fontId="6" fillId="4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15" fillId="4" borderId="0" xfId="0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vertical="top" wrapText="1"/>
    </xf>
    <xf numFmtId="0" fontId="15" fillId="4" borderId="0" xfId="0" applyFont="1" applyFill="1" applyBorder="1" applyAlignment="1">
      <alignment horizontal="right" vertical="top" wrapText="1"/>
    </xf>
    <xf numFmtId="43" fontId="15" fillId="4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horizontal="left" vertical="top" wrapText="1" indent="1"/>
    </xf>
    <xf numFmtId="43" fontId="15" fillId="4" borderId="0" xfId="0" applyNumberFormat="1" applyFont="1" applyFill="1" applyBorder="1" applyAlignment="1">
      <alignment horizontal="center" vertical="top" wrapText="1"/>
    </xf>
    <xf numFmtId="0" fontId="11" fillId="3" borderId="0" xfId="0" applyFont="1" applyFill="1" applyBorder="1" applyAlignment="1">
      <alignment horizontal="left" vertical="center" wrapText="1"/>
    </xf>
    <xf numFmtId="43" fontId="15" fillId="2" borderId="0" xfId="1" applyFont="1" applyFill="1" applyBorder="1" applyAlignment="1">
      <alignment horizontal="right" vertical="top" wrapText="1"/>
    </xf>
    <xf numFmtId="43" fontId="15" fillId="4" borderId="0" xfId="1" applyFont="1" applyFill="1" applyBorder="1" applyAlignment="1">
      <alignment horizontal="right" vertical="top" wrapText="1"/>
    </xf>
    <xf numFmtId="1" fontId="6" fillId="4" borderId="0" xfId="0" applyNumberFormat="1" applyFont="1" applyFill="1" applyBorder="1" applyAlignment="1">
      <alignment horizontal="center" vertical="top" wrapText="1" shrinkToFit="1"/>
    </xf>
    <xf numFmtId="0" fontId="8" fillId="3" borderId="0" xfId="0" applyFont="1" applyFill="1" applyBorder="1" applyAlignment="1">
      <alignment horizontal="left" wrapText="1" indent="1"/>
    </xf>
    <xf numFmtId="43" fontId="15" fillId="4" borderId="0" xfId="0" applyNumberFormat="1" applyFont="1" applyFill="1" applyBorder="1" applyAlignment="1">
      <alignment horizontal="right" vertical="top" wrapText="1"/>
    </xf>
    <xf numFmtId="43" fontId="15" fillId="4" borderId="0" xfId="0" applyNumberFormat="1" applyFont="1" applyFill="1" applyBorder="1" applyAlignment="1">
      <alignment horizontal="left" vertical="top" wrapText="1" indent="2"/>
    </xf>
    <xf numFmtId="43" fontId="15" fillId="4" borderId="0" xfId="1" applyFont="1" applyFill="1" applyBorder="1" applyAlignment="1">
      <alignment horizontal="left" vertical="top" wrapText="1" indent="2"/>
    </xf>
    <xf numFmtId="4" fontId="15" fillId="4" borderId="0" xfId="0" applyNumberFormat="1" applyFont="1" applyFill="1" applyBorder="1" applyAlignment="1">
      <alignment horizontal="right" vertical="top" wrapText="1"/>
    </xf>
    <xf numFmtId="0" fontId="0" fillId="3" borderId="0" xfId="0" applyFill="1" applyBorder="1" applyAlignment="1">
      <alignment horizontal="center" vertical="center" wrapText="1"/>
    </xf>
    <xf numFmtId="43" fontId="15" fillId="2" borderId="0" xfId="0" applyNumberFormat="1" applyFont="1" applyFill="1" applyBorder="1" applyAlignment="1">
      <alignment horizontal="right" vertical="top" wrapText="1"/>
    </xf>
    <xf numFmtId="43" fontId="15" fillId="2" borderId="0" xfId="1" applyFont="1" applyFill="1" applyBorder="1" applyAlignment="1">
      <alignment horizontal="left" vertical="top" wrapText="1"/>
    </xf>
    <xf numFmtId="43" fontId="15" fillId="2" borderId="0" xfId="0" applyNumberFormat="1" applyFont="1" applyFill="1" applyBorder="1" applyAlignment="1">
      <alignment horizontal="left" vertical="top" wrapText="1"/>
    </xf>
    <xf numFmtId="2" fontId="6" fillId="2" borderId="0" xfId="0" applyNumberFormat="1" applyFont="1" applyFill="1" applyBorder="1" applyAlignment="1">
      <alignment horizontal="center" vertical="center" shrinkToFit="1"/>
    </xf>
    <xf numFmtId="1" fontId="6" fillId="2" borderId="0" xfId="0" applyNumberFormat="1" applyFont="1" applyFill="1" applyBorder="1" applyAlignment="1">
      <alignment horizontal="center" vertical="center" shrinkToFit="1"/>
    </xf>
    <xf numFmtId="43" fontId="6" fillId="4" borderId="0" xfId="0" applyNumberFormat="1" applyFont="1" applyFill="1" applyBorder="1" applyAlignment="1">
      <alignment horizontal="right" vertical="top" wrapText="1"/>
    </xf>
    <xf numFmtId="0" fontId="13" fillId="3" borderId="0" xfId="0" applyFont="1" applyFill="1" applyBorder="1" applyAlignment="1">
      <alignment horizontal="left" vertical="center" wrapText="1"/>
    </xf>
    <xf numFmtId="2" fontId="15" fillId="4" borderId="0" xfId="0" applyNumberFormat="1" applyFont="1" applyFill="1" applyBorder="1" applyAlignment="1">
      <alignment horizontal="center" vertical="top" wrapText="1"/>
    </xf>
    <xf numFmtId="2" fontId="13" fillId="3" borderId="0" xfId="0" applyNumberFormat="1" applyFont="1" applyFill="1" applyBorder="1" applyAlignment="1">
      <alignment horizontal="center" vertical="center" wrapText="1"/>
    </xf>
    <xf numFmtId="2" fontId="13" fillId="3" borderId="0" xfId="0" applyNumberFormat="1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vertical="center" wrapText="1"/>
    </xf>
    <xf numFmtId="43" fontId="15" fillId="4" borderId="0" xfId="1" applyFont="1" applyFill="1" applyBorder="1" applyAlignment="1">
      <alignment horizontal="right" vertical="top"/>
    </xf>
    <xf numFmtId="43" fontId="15" fillId="4" borderId="0" xfId="1" applyFont="1" applyFill="1" applyBorder="1" applyAlignment="1">
      <alignment horizontal="center" vertical="center"/>
    </xf>
    <xf numFmtId="43" fontId="15" fillId="4" borderId="0" xfId="1" applyFont="1" applyFill="1" applyBorder="1" applyAlignment="1">
      <alignment horizontal="left" vertical="top" wrapText="1"/>
    </xf>
    <xf numFmtId="0" fontId="0" fillId="5" borderId="0" xfId="0" applyFill="1" applyBorder="1" applyAlignment="1">
      <alignment horizontal="left" vertical="top"/>
    </xf>
    <xf numFmtId="43" fontId="13" fillId="3" borderId="0" xfId="1" applyFont="1" applyFill="1" applyBorder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0" fillId="3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wrapText="1"/>
    </xf>
    <xf numFmtId="0" fontId="4" fillId="3" borderId="0" xfId="0" applyFont="1" applyFill="1" applyBorder="1" applyAlignment="1">
      <alignment horizontal="left" vertical="center" wrapText="1" indent="7"/>
    </xf>
    <xf numFmtId="0" fontId="4" fillId="3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 indent="1"/>
    </xf>
    <xf numFmtId="43" fontId="15" fillId="2" borderId="0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0" fillId="3" borderId="0" xfId="0" applyFill="1" applyBorder="1" applyAlignment="1">
      <alignment horizontal="left" wrapText="1"/>
    </xf>
    <xf numFmtId="0" fontId="0" fillId="3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wrapText="1"/>
    </xf>
    <xf numFmtId="0" fontId="4" fillId="3" borderId="0" xfId="0" applyFont="1" applyFill="1" applyBorder="1" applyAlignment="1">
      <alignment horizontal="left" vertical="center" wrapText="1" indent="7"/>
    </xf>
    <xf numFmtId="0" fontId="4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wrapText="1"/>
    </xf>
    <xf numFmtId="0" fontId="4" fillId="7" borderId="0" xfId="0" applyFont="1" applyFill="1" applyBorder="1" applyAlignment="1">
      <alignment horizontal="left" vertical="top" wrapText="1"/>
    </xf>
    <xf numFmtId="0" fontId="8" fillId="7" borderId="0" xfId="0" applyFont="1" applyFill="1" applyBorder="1" applyAlignment="1">
      <alignment horizontal="left" vertical="top" wrapText="1" indent="1"/>
    </xf>
    <xf numFmtId="2" fontId="15" fillId="7" borderId="0" xfId="0" applyNumberFormat="1" applyFont="1" applyFill="1" applyBorder="1" applyAlignment="1">
      <alignment horizontal="right" vertical="top" wrapText="1"/>
    </xf>
    <xf numFmtId="43" fontId="15" fillId="9" borderId="0" xfId="1" applyFont="1" applyFill="1" applyBorder="1" applyAlignment="1">
      <alignment horizontal="left" vertical="center" wrapText="1"/>
    </xf>
    <xf numFmtId="43" fontId="15" fillId="10" borderId="0" xfId="1" applyFont="1" applyFill="1" applyBorder="1" applyAlignment="1">
      <alignment horizontal="left" vertical="center" wrapText="1"/>
    </xf>
    <xf numFmtId="0" fontId="6" fillId="7" borderId="0" xfId="0" applyFont="1" applyFill="1" applyBorder="1" applyAlignment="1">
      <alignment horizontal="left" vertical="top" wrapText="1"/>
    </xf>
    <xf numFmtId="43" fontId="15" fillId="7" borderId="0" xfId="0" applyNumberFormat="1" applyFont="1" applyFill="1" applyBorder="1" applyAlignment="1">
      <alignment horizontal="center" vertical="top" wrapText="1"/>
    </xf>
    <xf numFmtId="4" fontId="15" fillId="7" borderId="0" xfId="0" applyNumberFormat="1" applyFont="1" applyFill="1" applyBorder="1" applyAlignment="1">
      <alignment horizontal="right" vertical="top" wrapText="1"/>
    </xf>
    <xf numFmtId="43" fontId="0" fillId="0" borderId="0" xfId="1" applyFont="1" applyFill="1" applyBorder="1" applyAlignment="1">
      <alignment horizontal="left" vertical="top"/>
    </xf>
    <xf numFmtId="43" fontId="0" fillId="0" borderId="0" xfId="0" applyNumberFormat="1" applyFill="1" applyBorder="1" applyAlignment="1">
      <alignment horizontal="left" vertical="top"/>
    </xf>
    <xf numFmtId="0" fontId="20" fillId="12" borderId="2" xfId="0" applyFont="1" applyFill="1" applyBorder="1" applyAlignment="1">
      <alignment horizontal="center" vertical="center" wrapText="1"/>
    </xf>
    <xf numFmtId="0" fontId="20" fillId="12" borderId="3" xfId="0" applyFont="1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0" fontId="20" fillId="12" borderId="4" xfId="0" applyFont="1" applyFill="1" applyBorder="1" applyAlignment="1">
      <alignment horizontal="center" vertical="center" wrapText="1"/>
    </xf>
    <xf numFmtId="17" fontId="20" fillId="12" borderId="1" xfId="0" applyNumberFormat="1" applyFont="1" applyFill="1" applyBorder="1" applyAlignment="1">
      <alignment horizontal="center" vertical="center" wrapText="1"/>
    </xf>
    <xf numFmtId="0" fontId="19" fillId="11" borderId="1" xfId="0" applyFont="1" applyFill="1" applyBorder="1" applyAlignment="1">
      <alignment horizontal="center" vertical="center" wrapText="1"/>
    </xf>
    <xf numFmtId="3" fontId="19" fillId="11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0" fillId="0" borderId="0" xfId="0"/>
    <xf numFmtId="0" fontId="0" fillId="7" borderId="0" xfId="0" applyFill="1"/>
    <xf numFmtId="0" fontId="0" fillId="13" borderId="0" xfId="0" applyFill="1"/>
    <xf numFmtId="2" fontId="0" fillId="13" borderId="0" xfId="0" applyNumberFormat="1" applyFill="1"/>
    <xf numFmtId="0" fontId="0" fillId="14" borderId="0" xfId="0" applyFill="1"/>
    <xf numFmtId="0" fontId="0" fillId="15" borderId="0" xfId="0" applyFill="1"/>
    <xf numFmtId="11" fontId="0" fillId="15" borderId="0" xfId="0" applyNumberFormat="1" applyFill="1"/>
    <xf numFmtId="11" fontId="25" fillId="15" borderId="0" xfId="0" applyNumberFormat="1" applyFont="1" applyFill="1"/>
    <xf numFmtId="11" fontId="0" fillId="0" borderId="0" xfId="0" applyNumberFormat="1"/>
    <xf numFmtId="0" fontId="0" fillId="7" borderId="0" xfId="0" quotePrefix="1" applyFill="1"/>
    <xf numFmtId="0" fontId="0" fillId="0" borderId="0" xfId="0" applyAlignment="1">
      <alignment wrapText="1"/>
    </xf>
    <xf numFmtId="0" fontId="25" fillId="0" borderId="0" xfId="0" applyFont="1"/>
    <xf numFmtId="11" fontId="0" fillId="16" borderId="0" xfId="0" applyNumberFormat="1" applyFill="1"/>
    <xf numFmtId="0" fontId="0" fillId="17" borderId="0" xfId="0" applyFill="1"/>
    <xf numFmtId="11" fontId="0" fillId="17" borderId="0" xfId="0" applyNumberFormat="1" applyFill="1"/>
    <xf numFmtId="11" fontId="25" fillId="0" borderId="0" xfId="0" applyNumberFormat="1" applyFont="1"/>
    <xf numFmtId="11" fontId="27" fillId="0" borderId="0" xfId="0" applyNumberFormat="1" applyFont="1"/>
    <xf numFmtId="0" fontId="16" fillId="0" borderId="0" xfId="0" applyFont="1" applyAlignment="1">
      <alignment wrapText="1"/>
    </xf>
    <xf numFmtId="11" fontId="28" fillId="0" borderId="0" xfId="0" applyNumberFormat="1" applyFont="1"/>
    <xf numFmtId="0" fontId="0" fillId="0" borderId="0" xfId="0" applyAlignment="1">
      <alignment vertical="center"/>
    </xf>
    <xf numFmtId="1" fontId="29" fillId="0" borderId="0" xfId="0" applyNumberFormat="1" applyFont="1" applyBorder="1" applyAlignment="1">
      <alignment horizontal="right" vertical="center" wrapText="1"/>
    </xf>
    <xf numFmtId="0" fontId="16" fillId="0" borderId="0" xfId="0" applyFont="1"/>
    <xf numFmtId="11" fontId="0" fillId="16" borderId="0" xfId="0" applyNumberFormat="1" applyFill="1" applyBorder="1"/>
    <xf numFmtId="11" fontId="0" fillId="14" borderId="0" xfId="0" applyNumberFormat="1" applyFill="1"/>
    <xf numFmtId="11" fontId="0" fillId="7" borderId="0" xfId="0" applyNumberFormat="1" applyFill="1"/>
    <xf numFmtId="0" fontId="23" fillId="0" borderId="0" xfId="0" applyFont="1"/>
    <xf numFmtId="0" fontId="30" fillId="0" borderId="0" xfId="0" applyFont="1"/>
    <xf numFmtId="0" fontId="0" fillId="0" borderId="0" xfId="0" applyFill="1"/>
    <xf numFmtId="11" fontId="0" fillId="0" borderId="0" xfId="0" applyNumberFormat="1" applyFill="1"/>
    <xf numFmtId="0" fontId="31" fillId="18" borderId="0" xfId="0" applyFont="1" applyFill="1"/>
    <xf numFmtId="0" fontId="29" fillId="0" borderId="0" xfId="0" applyFont="1" applyAlignment="1">
      <alignment vertical="center" wrapText="1"/>
    </xf>
    <xf numFmtId="0" fontId="29" fillId="7" borderId="0" xfId="0" applyFont="1" applyFill="1" applyAlignment="1">
      <alignment horizontal="left" vertical="center" wrapText="1"/>
    </xf>
    <xf numFmtId="2" fontId="0" fillId="19" borderId="0" xfId="0" applyNumberFormat="1" applyFill="1"/>
    <xf numFmtId="0" fontId="23" fillId="0" borderId="0" xfId="0" applyFont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11" fontId="29" fillId="0" borderId="0" xfId="0" applyNumberFormat="1" applyFont="1"/>
    <xf numFmtId="0" fontId="29" fillId="0" borderId="0" xfId="0" applyFont="1" applyAlignment="1">
      <alignment horizontal="center" vertical="center" wrapText="1"/>
    </xf>
    <xf numFmtId="2" fontId="0" fillId="7" borderId="0" xfId="0" applyNumberFormat="1" applyFill="1"/>
    <xf numFmtId="0" fontId="29" fillId="0" borderId="0" xfId="0" applyFont="1"/>
    <xf numFmtId="0" fontId="0" fillId="18" borderId="0" xfId="0" applyFill="1"/>
    <xf numFmtId="0" fontId="32" fillId="0" borderId="0" xfId="2"/>
    <xf numFmtId="0" fontId="27" fillId="0" borderId="0" xfId="0" applyFont="1" applyAlignment="1">
      <alignment vertical="center"/>
    </xf>
    <xf numFmtId="0" fontId="29" fillId="0" borderId="0" xfId="0" applyFont="1" applyFill="1" applyAlignment="1">
      <alignment horizontal="left" vertical="center" wrapText="1"/>
    </xf>
    <xf numFmtId="11" fontId="0" fillId="0" borderId="0" xfId="0" applyNumberFormat="1" applyAlignment="1">
      <alignment horizontal="right"/>
    </xf>
    <xf numFmtId="0" fontId="0" fillId="0" borderId="0" xfId="0" applyNumberFormat="1"/>
    <xf numFmtId="166" fontId="0" fillId="7" borderId="0" xfId="0" applyNumberFormat="1" applyFill="1"/>
    <xf numFmtId="11" fontId="11" fillId="0" borderId="0" xfId="0" applyNumberFormat="1" applyFont="1" applyAlignment="1">
      <alignment horizontal="right" vertical="center" wrapText="1"/>
    </xf>
    <xf numFmtId="0" fontId="0" fillId="7" borderId="0" xfId="0" applyFill="1" applyAlignment="1">
      <alignment horizontal="left"/>
    </xf>
    <xf numFmtId="0" fontId="25" fillId="0" borderId="0" xfId="0" applyFont="1" applyAlignment="1">
      <alignment horizontal="lef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11" fontId="32" fillId="0" borderId="6" xfId="0" applyNumberFormat="1" applyFont="1" applyBorder="1" applyAlignment="1">
      <alignment horizontal="right" wrapText="1" readingOrder="1"/>
    </xf>
    <xf numFmtId="0" fontId="10" fillId="0" borderId="0" xfId="0" applyFont="1" applyAlignment="1">
      <alignment horizontal="center"/>
    </xf>
    <xf numFmtId="13" fontId="0" fillId="7" borderId="0" xfId="0" applyNumberFormat="1" applyFill="1"/>
    <xf numFmtId="2" fontId="33" fillId="0" borderId="0" xfId="0" applyNumberFormat="1" applyFont="1" applyAlignment="1">
      <alignment horizontal="center"/>
    </xf>
    <xf numFmtId="0" fontId="23" fillId="7" borderId="0" xfId="0" applyFont="1" applyFill="1"/>
    <xf numFmtId="0" fontId="30" fillId="0" borderId="0" xfId="0" applyFont="1" applyAlignment="1">
      <alignment vertical="center"/>
    </xf>
    <xf numFmtId="0" fontId="24" fillId="15" borderId="0" xfId="0" applyFont="1" applyFill="1"/>
    <xf numFmtId="0" fontId="0" fillId="0" borderId="0" xfId="0" applyAlignment="1">
      <alignment horizontal="left"/>
    </xf>
    <xf numFmtId="0" fontId="30" fillId="7" borderId="0" xfId="0" applyFont="1" applyFill="1" applyAlignment="1">
      <alignment vertical="center"/>
    </xf>
    <xf numFmtId="0" fontId="0" fillId="5" borderId="0" xfId="0" applyFill="1"/>
    <xf numFmtId="2" fontId="0" fillId="14" borderId="0" xfId="0" applyNumberFormat="1" applyFill="1"/>
    <xf numFmtId="3" fontId="0" fillId="14" borderId="0" xfId="0" applyNumberFormat="1" applyFill="1"/>
    <xf numFmtId="2" fontId="0" fillId="0" borderId="0" xfId="0" applyNumberFormat="1"/>
    <xf numFmtId="0" fontId="0" fillId="20" borderId="0" xfId="0" applyFill="1"/>
    <xf numFmtId="0" fontId="0" fillId="20" borderId="0" xfId="0" applyFill="1" applyAlignment="1">
      <alignment horizontal="center"/>
    </xf>
    <xf numFmtId="0" fontId="25" fillId="20" borderId="0" xfId="0" applyFont="1" applyFill="1"/>
    <xf numFmtId="0" fontId="0" fillId="21" borderId="0" xfId="0" applyFill="1"/>
    <xf numFmtId="0" fontId="0" fillId="21" borderId="0" xfId="0" applyFill="1" applyAlignment="1">
      <alignment horizontal="right"/>
    </xf>
    <xf numFmtId="0" fontId="25" fillId="21" borderId="0" xfId="0" applyFont="1" applyFill="1" applyAlignment="1">
      <alignment horizontal="right"/>
    </xf>
    <xf numFmtId="11" fontId="0" fillId="22" borderId="0" xfId="0" applyNumberFormat="1" applyFill="1"/>
    <xf numFmtId="167" fontId="0" fillId="21" borderId="0" xfId="0" applyNumberFormat="1" applyFill="1"/>
    <xf numFmtId="2" fontId="0" fillId="21" borderId="0" xfId="0" applyNumberFormat="1" applyFill="1"/>
    <xf numFmtId="2" fontId="0" fillId="23" borderId="0" xfId="0" applyNumberFormat="1" applyFill="1"/>
    <xf numFmtId="0" fontId="25" fillId="22" borderId="0" xfId="0" applyFont="1" applyFill="1" applyAlignment="1">
      <alignment horizontal="right"/>
    </xf>
    <xf numFmtId="11" fontId="25" fillId="22" borderId="0" xfId="0" applyNumberFormat="1" applyFont="1" applyFill="1"/>
    <xf numFmtId="2" fontId="0" fillId="0" borderId="0" xfId="0" applyNumberFormat="1" applyFill="1"/>
    <xf numFmtId="167" fontId="0" fillId="22" borderId="0" xfId="0" applyNumberFormat="1" applyFill="1"/>
    <xf numFmtId="11" fontId="25" fillId="14" borderId="0" xfId="0" applyNumberFormat="1" applyFont="1" applyFill="1"/>
    <xf numFmtId="0" fontId="25" fillId="0" borderId="0" xfId="0" applyFont="1" applyAlignment="1">
      <alignment horizontal="justify" vertical="center"/>
    </xf>
    <xf numFmtId="0" fontId="25" fillId="21" borderId="0" xfId="0" applyFont="1" applyFill="1"/>
    <xf numFmtId="11" fontId="0" fillId="21" borderId="0" xfId="0" applyNumberFormat="1" applyFill="1" applyAlignment="1">
      <alignment horizontal="right"/>
    </xf>
    <xf numFmtId="11" fontId="35" fillId="14" borderId="0" xfId="0" applyNumberFormat="1" applyFont="1" applyFill="1"/>
    <xf numFmtId="0" fontId="25" fillId="21" borderId="0" xfId="0" applyFont="1" applyFill="1" applyAlignment="1">
      <alignment horizontal="justify" vertical="center"/>
    </xf>
    <xf numFmtId="11" fontId="35" fillId="22" borderId="0" xfId="0" applyNumberFormat="1" applyFont="1" applyFill="1"/>
    <xf numFmtId="0" fontId="36" fillId="0" borderId="0" xfId="0" applyFont="1"/>
    <xf numFmtId="11" fontId="23" fillId="0" borderId="0" xfId="0" applyNumberFormat="1" applyFont="1"/>
    <xf numFmtId="11" fontId="37" fillId="0" borderId="0" xfId="0" applyNumberFormat="1" applyFont="1"/>
    <xf numFmtId="11" fontId="35" fillId="0" borderId="0" xfId="0" applyNumberFormat="1" applyFont="1"/>
    <xf numFmtId="168" fontId="23" fillId="0" borderId="0" xfId="0" applyNumberFormat="1" applyFont="1"/>
    <xf numFmtId="2" fontId="23" fillId="0" borderId="0" xfId="0" applyNumberFormat="1" applyFont="1"/>
    <xf numFmtId="166" fontId="23" fillId="0" borderId="0" xfId="0" applyNumberFormat="1" applyFont="1"/>
    <xf numFmtId="0" fontId="38" fillId="0" borderId="0" xfId="0" applyFont="1"/>
    <xf numFmtId="0" fontId="38" fillId="0" borderId="0" xfId="0" applyFont="1" applyFill="1"/>
    <xf numFmtId="11" fontId="38" fillId="0" borderId="0" xfId="0" applyNumberFormat="1" applyFont="1"/>
    <xf numFmtId="0" fontId="30" fillId="0" borderId="0" xfId="0" applyFont="1" applyFill="1" applyAlignment="1">
      <alignment vertical="center"/>
    </xf>
    <xf numFmtId="11" fontId="38" fillId="0" borderId="0" xfId="0" applyNumberFormat="1" applyFont="1" applyFill="1"/>
    <xf numFmtId="0" fontId="30" fillId="0" borderId="0" xfId="0" applyFont="1" applyAlignment="1">
      <alignment vertical="center" wrapText="1"/>
    </xf>
    <xf numFmtId="2" fontId="38" fillId="0" borderId="0" xfId="0" applyNumberFormat="1" applyFont="1"/>
    <xf numFmtId="0" fontId="30" fillId="0" borderId="0" xfId="0" applyFont="1" applyFill="1" applyAlignment="1">
      <alignment vertical="center" wrapText="1"/>
    </xf>
    <xf numFmtId="2" fontId="38" fillId="0" borderId="0" xfId="0" applyNumberFormat="1" applyFont="1" applyFill="1"/>
    <xf numFmtId="0" fontId="30" fillId="24" borderId="0" xfId="0" applyFont="1" applyFill="1" applyAlignment="1">
      <alignment vertical="center" wrapText="1"/>
    </xf>
    <xf numFmtId="9" fontId="0" fillId="0" borderId="0" xfId="0" applyNumberFormat="1"/>
    <xf numFmtId="0" fontId="40" fillId="7" borderId="0" xfId="3" applyFont="1" applyFill="1" applyAlignment="1">
      <alignment horizontal="justify" vertical="center"/>
    </xf>
    <xf numFmtId="0" fontId="41" fillId="0" borderId="0" xfId="0" applyFont="1"/>
    <xf numFmtId="0" fontId="42" fillId="0" borderId="0" xfId="0" applyFont="1" applyBorder="1" applyAlignment="1">
      <alignment horizontal="right" vertical="center"/>
    </xf>
    <xf numFmtId="0" fontId="42" fillId="0" borderId="0" xfId="0" applyFont="1" applyBorder="1" applyAlignment="1">
      <alignment horizontal="right" vertical="center" wrapText="1"/>
    </xf>
    <xf numFmtId="11" fontId="42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11" fontId="41" fillId="0" borderId="0" xfId="0" applyNumberFormat="1" applyFont="1"/>
    <xf numFmtId="11" fontId="11" fillId="0" borderId="0" xfId="0" applyNumberFormat="1" applyFont="1"/>
    <xf numFmtId="0" fontId="11" fillId="0" borderId="0" xfId="0" applyFont="1"/>
    <xf numFmtId="1" fontId="11" fillId="0" borderId="0" xfId="0" applyNumberFormat="1" applyFont="1"/>
    <xf numFmtId="11" fontId="11" fillId="0" borderId="0" xfId="0" applyNumberFormat="1" applyFont="1" applyAlignment="1">
      <alignment horizontal="right" vertical="center"/>
    </xf>
    <xf numFmtId="0" fontId="41" fillId="0" borderId="0" xfId="0" applyFont="1" applyAlignment="1">
      <alignment vertical="center"/>
    </xf>
    <xf numFmtId="0" fontId="46" fillId="26" borderId="8" xfId="0" applyFont="1" applyFill="1" applyBorder="1"/>
    <xf numFmtId="0" fontId="0" fillId="26" borderId="9" xfId="0" applyFill="1" applyBorder="1"/>
    <xf numFmtId="0" fontId="47" fillId="27" borderId="9" xfId="0" applyFont="1" applyFill="1" applyBorder="1" applyAlignment="1" applyProtection="1">
      <alignment horizontal="center"/>
      <protection locked="0"/>
    </xf>
    <xf numFmtId="0" fontId="0" fillId="26" borderId="10" xfId="0" applyFill="1" applyBorder="1"/>
    <xf numFmtId="0" fontId="0" fillId="26" borderId="11" xfId="0" applyFill="1" applyBorder="1"/>
    <xf numFmtId="0" fontId="0" fillId="26" borderId="0" xfId="0" applyFill="1" applyBorder="1"/>
    <xf numFmtId="0" fontId="48" fillId="26" borderId="0" xfId="0" applyFont="1" applyFill="1" applyBorder="1"/>
    <xf numFmtId="0" fontId="0" fillId="26" borderId="12" xfId="0" applyFill="1" applyBorder="1"/>
    <xf numFmtId="0" fontId="0" fillId="26" borderId="13" xfId="0" applyFill="1" applyBorder="1"/>
    <xf numFmtId="0" fontId="0" fillId="26" borderId="7" xfId="0" applyFill="1" applyBorder="1"/>
    <xf numFmtId="0" fontId="0" fillId="26" borderId="7" xfId="0" applyFill="1" applyBorder="1" applyAlignment="1">
      <alignment horizontal="center"/>
    </xf>
    <xf numFmtId="0" fontId="0" fillId="26" borderId="7" xfId="0" applyFill="1" applyBorder="1" applyAlignment="1">
      <alignment horizontal="right"/>
    </xf>
    <xf numFmtId="0" fontId="0" fillId="26" borderId="14" xfId="0" applyFill="1" applyBorder="1" applyAlignment="1">
      <alignment horizontal="right"/>
    </xf>
    <xf numFmtId="0" fontId="0" fillId="26" borderId="0" xfId="0" applyFill="1" applyBorder="1" applyAlignment="1">
      <alignment horizontal="center"/>
    </xf>
    <xf numFmtId="0" fontId="0" fillId="26" borderId="0" xfId="0" applyFill="1" applyBorder="1" applyAlignment="1">
      <alignment horizontal="right"/>
    </xf>
    <xf numFmtId="0" fontId="0" fillId="26" borderId="12" xfId="0" applyFill="1" applyBorder="1" applyAlignment="1">
      <alignment horizontal="right"/>
    </xf>
    <xf numFmtId="0" fontId="0" fillId="26" borderId="15" xfId="0" applyFill="1" applyBorder="1" applyAlignment="1">
      <alignment horizontal="left"/>
    </xf>
    <xf numFmtId="0" fontId="0" fillId="26" borderId="16" xfId="0" applyFill="1" applyBorder="1" applyAlignment="1">
      <alignment horizontal="center"/>
    </xf>
    <xf numFmtId="0" fontId="0" fillId="26" borderId="16" xfId="0" applyFill="1" applyBorder="1" applyAlignment="1">
      <alignment horizontal="left"/>
    </xf>
    <xf numFmtId="0" fontId="0" fillId="26" borderId="16" xfId="0" applyFill="1" applyBorder="1" applyAlignment="1">
      <alignment horizontal="right"/>
    </xf>
    <xf numFmtId="0" fontId="0" fillId="26" borderId="17" xfId="0" applyFill="1" applyBorder="1" applyAlignment="1">
      <alignment horizontal="right"/>
    </xf>
    <xf numFmtId="0" fontId="0" fillId="26" borderId="11" xfId="0" applyFill="1" applyBorder="1" applyAlignment="1">
      <alignment horizontal="left"/>
    </xf>
    <xf numFmtId="0" fontId="0" fillId="26" borderId="0" xfId="0" applyFill="1" applyBorder="1" applyAlignment="1">
      <alignment horizontal="left"/>
    </xf>
    <xf numFmtId="0" fontId="46" fillId="26" borderId="11" xfId="0" applyFont="1" applyFill="1" applyBorder="1" applyAlignment="1">
      <alignment horizontal="left"/>
    </xf>
    <xf numFmtId="11" fontId="0" fillId="26" borderId="0" xfId="0" applyNumberFormat="1" applyFill="1" applyBorder="1" applyAlignment="1">
      <alignment horizontal="center"/>
    </xf>
    <xf numFmtId="2" fontId="0" fillId="26" borderId="0" xfId="0" applyNumberFormat="1" applyFill="1" applyBorder="1" applyAlignment="1">
      <alignment horizontal="right"/>
    </xf>
    <xf numFmtId="1" fontId="0" fillId="26" borderId="12" xfId="0" applyNumberFormat="1" applyFill="1" applyBorder="1" applyAlignment="1">
      <alignment horizontal="right"/>
    </xf>
    <xf numFmtId="0" fontId="49" fillId="26" borderId="0" xfId="0" applyFont="1" applyFill="1" applyBorder="1" applyAlignment="1">
      <alignment horizontal="left"/>
    </xf>
    <xf numFmtId="0" fontId="47" fillId="26" borderId="0" xfId="0" applyFont="1" applyFill="1" applyBorder="1"/>
    <xf numFmtId="11" fontId="0" fillId="26" borderId="0" xfId="0" applyNumberFormat="1" applyFill="1" applyBorder="1" applyAlignment="1">
      <alignment horizontal="right"/>
    </xf>
    <xf numFmtId="11" fontId="0" fillId="26" borderId="12" xfId="0" applyNumberFormat="1" applyFill="1" applyBorder="1" applyAlignment="1">
      <alignment horizontal="right"/>
    </xf>
    <xf numFmtId="0" fontId="45" fillId="26" borderId="0" xfId="0" applyFont="1" applyFill="1" applyBorder="1" applyAlignment="1">
      <alignment horizontal="left"/>
    </xf>
    <xf numFmtId="0" fontId="47" fillId="26" borderId="0" xfId="0" applyFont="1" applyFill="1" applyBorder="1" applyAlignment="1">
      <alignment horizontal="left"/>
    </xf>
    <xf numFmtId="0" fontId="11" fillId="26" borderId="0" xfId="0" applyFont="1" applyFill="1" applyBorder="1" applyAlignment="1">
      <alignment horizontal="left"/>
    </xf>
    <xf numFmtId="11" fontId="50" fillId="26" borderId="0" xfId="0" applyNumberFormat="1" applyFont="1" applyFill="1" applyBorder="1" applyAlignment="1">
      <alignment horizontal="center"/>
    </xf>
    <xf numFmtId="2" fontId="0" fillId="26" borderId="0" xfId="0" applyNumberFormat="1" applyFill="1" applyBorder="1" applyAlignment="1">
      <alignment horizontal="center"/>
    </xf>
    <xf numFmtId="0" fontId="0" fillId="26" borderId="12" xfId="0" applyFill="1" applyBorder="1" applyAlignment="1">
      <alignment horizontal="center"/>
    </xf>
    <xf numFmtId="0" fontId="0" fillId="26" borderId="16" xfId="0" applyFill="1" applyBorder="1"/>
    <xf numFmtId="0" fontId="0" fillId="26" borderId="17" xfId="0" applyFill="1" applyBorder="1"/>
    <xf numFmtId="0" fontId="0" fillId="26" borderId="13" xfId="0" applyFill="1" applyBorder="1" applyAlignment="1">
      <alignment horizontal="left"/>
    </xf>
    <xf numFmtId="0" fontId="47" fillId="26" borderId="7" xfId="0" applyFont="1" applyFill="1" applyBorder="1" applyAlignment="1">
      <alignment horizontal="center"/>
    </xf>
    <xf numFmtId="0" fontId="0" fillId="26" borderId="14" xfId="0" applyFill="1" applyBorder="1"/>
    <xf numFmtId="0" fontId="47" fillId="26" borderId="11" xfId="0" applyFont="1" applyFill="1" applyBorder="1" applyAlignment="1">
      <alignment horizontal="left"/>
    </xf>
    <xf numFmtId="0" fontId="47" fillId="26" borderId="0" xfId="0" applyFont="1" applyFill="1" applyBorder="1" applyAlignment="1">
      <alignment horizontal="center"/>
    </xf>
    <xf numFmtId="0" fontId="47" fillId="26" borderId="12" xfId="0" applyFont="1" applyFill="1" applyBorder="1" applyAlignment="1">
      <alignment horizontal="center"/>
    </xf>
    <xf numFmtId="0" fontId="49" fillId="26" borderId="11" xfId="0" applyFont="1" applyFill="1" applyBorder="1" applyAlignment="1">
      <alignment horizontal="left"/>
    </xf>
    <xf numFmtId="0" fontId="49" fillId="26" borderId="0" xfId="0" applyFont="1" applyFill="1" applyBorder="1" applyAlignment="1">
      <alignment horizontal="center"/>
    </xf>
    <xf numFmtId="11" fontId="49" fillId="26" borderId="12" xfId="0" applyNumberFormat="1" applyFont="1" applyFill="1" applyBorder="1" applyAlignment="1">
      <alignment horizontal="center"/>
    </xf>
    <xf numFmtId="11" fontId="0" fillId="26" borderId="12" xfId="0" applyNumberFormat="1" applyFill="1" applyBorder="1" applyAlignment="1">
      <alignment horizontal="center"/>
    </xf>
    <xf numFmtId="167" fontId="0" fillId="0" borderId="0" xfId="0" applyNumberFormat="1"/>
    <xf numFmtId="0" fontId="49" fillId="26" borderId="15" xfId="0" applyFont="1" applyFill="1" applyBorder="1" applyAlignment="1">
      <alignment horizontal="left"/>
    </xf>
    <xf numFmtId="0" fontId="47" fillId="26" borderId="16" xfId="0" applyFont="1" applyFill="1" applyBorder="1"/>
    <xf numFmtId="11" fontId="49" fillId="26" borderId="17" xfId="0" applyNumberFormat="1" applyFont="1" applyFill="1" applyBorder="1" applyAlignment="1">
      <alignment horizontal="center"/>
    </xf>
    <xf numFmtId="11" fontId="0" fillId="26" borderId="0" xfId="0" applyNumberFormat="1" applyFill="1" applyBorder="1" applyProtection="1"/>
    <xf numFmtId="0" fontId="11" fillId="26" borderId="16" xfId="0" applyFont="1" applyFill="1" applyBorder="1"/>
    <xf numFmtId="0" fontId="47" fillId="0" borderId="11" xfId="0" applyFont="1" applyBorder="1" applyAlignment="1">
      <alignment horizontal="left"/>
    </xf>
    <xf numFmtId="0" fontId="47" fillId="0" borderId="0" xfId="0" applyFont="1" applyBorder="1"/>
    <xf numFmtId="0" fontId="49" fillId="0" borderId="0" xfId="0" applyFont="1" applyBorder="1"/>
    <xf numFmtId="0" fontId="49" fillId="0" borderId="12" xfId="0" applyFont="1" applyBorder="1"/>
    <xf numFmtId="0" fontId="49" fillId="0" borderId="11" xfId="0" applyFont="1" applyBorder="1" applyAlignment="1">
      <alignment horizontal="left"/>
    </xf>
    <xf numFmtId="0" fontId="47" fillId="0" borderId="12" xfId="0" applyFont="1" applyBorder="1"/>
    <xf numFmtId="11" fontId="49" fillId="27" borderId="0" xfId="0" applyNumberFormat="1" applyFont="1" applyFill="1" applyBorder="1" applyProtection="1">
      <protection locked="0"/>
    </xf>
    <xf numFmtId="0" fontId="49" fillId="0" borderId="12" xfId="0" applyFont="1" applyBorder="1" applyAlignment="1" applyProtection="1">
      <alignment shrinkToFit="1"/>
      <protection locked="0"/>
    </xf>
    <xf numFmtId="0" fontId="49" fillId="0" borderId="0" xfId="0" applyFont="1" applyBorder="1" applyAlignment="1">
      <alignment horizontal="right"/>
    </xf>
    <xf numFmtId="11" fontId="49" fillId="0" borderId="0" xfId="0" applyNumberFormat="1" applyFont="1" applyFill="1" applyBorder="1" applyProtection="1"/>
    <xf numFmtId="0" fontId="49" fillId="0" borderId="0" xfId="0" applyFont="1" applyBorder="1" applyAlignment="1">
      <alignment horizontal="left"/>
    </xf>
    <xf numFmtId="2" fontId="49" fillId="0" borderId="12" xfId="0" applyNumberFormat="1" applyFont="1" applyBorder="1" applyAlignment="1" applyProtection="1">
      <alignment vertical="top" shrinkToFit="1"/>
      <protection locked="0"/>
    </xf>
    <xf numFmtId="11" fontId="49" fillId="28" borderId="0" xfId="0" applyNumberFormat="1" applyFont="1" applyFill="1" applyBorder="1" applyProtection="1"/>
    <xf numFmtId="2" fontId="49" fillId="28" borderId="0" xfId="0" applyNumberFormat="1" applyFont="1" applyFill="1" applyBorder="1" applyProtection="1"/>
    <xf numFmtId="11" fontId="49" fillId="0" borderId="0" xfId="0" applyNumberFormat="1" applyFont="1" applyBorder="1" applyAlignment="1">
      <alignment horizontal="left"/>
    </xf>
    <xf numFmtId="11" fontId="49" fillId="29" borderId="0" xfId="0" applyNumberFormat="1" applyFont="1" applyFill="1" applyBorder="1"/>
    <xf numFmtId="1" fontId="49" fillId="30" borderId="0" xfId="0" applyNumberFormat="1" applyFont="1" applyFill="1" applyBorder="1"/>
    <xf numFmtId="2" fontId="49" fillId="30" borderId="12" xfId="0" applyNumberFormat="1" applyFont="1" applyFill="1" applyBorder="1" applyAlignment="1" applyProtection="1">
      <alignment vertical="top" shrinkToFit="1"/>
    </xf>
    <xf numFmtId="0" fontId="47" fillId="0" borderId="0" xfId="0" applyFont="1" applyBorder="1" applyAlignment="1">
      <alignment horizontal="left"/>
    </xf>
    <xf numFmtId="11" fontId="49" fillId="28" borderId="0" xfId="0" applyNumberFormat="1" applyFont="1" applyFill="1" applyBorder="1"/>
    <xf numFmtId="2" fontId="49" fillId="28" borderId="0" xfId="0" applyNumberFormat="1" applyFont="1" applyFill="1" applyBorder="1"/>
    <xf numFmtId="2" fontId="49" fillId="29" borderId="0" xfId="0" applyNumberFormat="1" applyFont="1" applyFill="1" applyBorder="1"/>
    <xf numFmtId="11" fontId="49" fillId="30" borderId="0" xfId="0" applyNumberFormat="1" applyFont="1" applyFill="1" applyBorder="1" applyProtection="1">
      <protection locked="0"/>
    </xf>
    <xf numFmtId="0" fontId="49" fillId="30" borderId="12" xfId="0" applyFont="1" applyFill="1" applyBorder="1" applyAlignment="1" applyProtection="1">
      <alignment vertical="top" shrinkToFit="1"/>
    </xf>
    <xf numFmtId="0" fontId="49" fillId="0" borderId="0" xfId="0" applyFont="1" applyFill="1" applyBorder="1" applyAlignment="1">
      <alignment horizontal="right"/>
    </xf>
    <xf numFmtId="11" fontId="49" fillId="30" borderId="0" xfId="0" applyNumberFormat="1" applyFont="1" applyFill="1" applyBorder="1"/>
    <xf numFmtId="0" fontId="49" fillId="30" borderId="12" xfId="0" applyFont="1" applyFill="1" applyBorder="1" applyAlignment="1" applyProtection="1">
      <alignment shrinkToFit="1"/>
    </xf>
    <xf numFmtId="11" fontId="49" fillId="0" borderId="0" xfId="0" applyNumberFormat="1" applyFont="1" applyBorder="1"/>
    <xf numFmtId="11" fontId="49" fillId="28" borderId="0" xfId="0" applyNumberFormat="1" applyFont="1" applyFill="1" applyBorder="1" applyAlignment="1">
      <alignment horizontal="right"/>
    </xf>
    <xf numFmtId="11" fontId="49" fillId="0" borderId="0" xfId="0" applyNumberFormat="1" applyFont="1" applyFill="1" applyBorder="1" applyAlignment="1">
      <alignment horizontal="left"/>
    </xf>
    <xf numFmtId="1" fontId="49" fillId="27" borderId="0" xfId="0" applyNumberFormat="1" applyFont="1" applyFill="1" applyBorder="1" applyProtection="1">
      <protection locked="0"/>
    </xf>
    <xf numFmtId="11" fontId="49" fillId="30" borderId="0" xfId="0" applyNumberFormat="1" applyFont="1" applyFill="1" applyBorder="1" applyProtection="1"/>
    <xf numFmtId="11" fontId="49" fillId="0" borderId="0" xfId="0" applyNumberFormat="1" applyFont="1" applyFill="1" applyBorder="1"/>
    <xf numFmtId="11" fontId="0" fillId="30" borderId="0" xfId="0" applyNumberFormat="1" applyFont="1" applyFill="1" applyBorder="1" applyProtection="1"/>
    <xf numFmtId="0" fontId="49" fillId="7" borderId="0" xfId="0" applyFont="1" applyFill="1" applyBorder="1" applyAlignment="1">
      <alignment horizontal="right"/>
    </xf>
    <xf numFmtId="11" fontId="49" fillId="7" borderId="0" xfId="0" applyNumberFormat="1" applyFont="1" applyFill="1" applyBorder="1" applyAlignment="1">
      <alignment horizontal="left"/>
    </xf>
    <xf numFmtId="0" fontId="49" fillId="7" borderId="0" xfId="0" applyFont="1" applyFill="1" applyBorder="1"/>
    <xf numFmtId="11" fontId="0" fillId="7" borderId="0" xfId="0" applyNumberFormat="1" applyFont="1" applyFill="1" applyBorder="1" applyProtection="1"/>
    <xf numFmtId="2" fontId="52" fillId="30" borderId="12" xfId="0" applyNumberFormat="1" applyFont="1" applyFill="1" applyBorder="1" applyAlignment="1" applyProtection="1">
      <alignment vertical="top" shrinkToFit="1"/>
    </xf>
    <xf numFmtId="0" fontId="11" fillId="0" borderId="0" xfId="0" applyFont="1" applyBorder="1" applyAlignment="1">
      <alignment horizontal="right"/>
    </xf>
    <xf numFmtId="11" fontId="0" fillId="27" borderId="0" xfId="0" applyNumberFormat="1" applyFill="1" applyBorder="1" applyProtection="1">
      <protection locked="0"/>
    </xf>
    <xf numFmtId="0" fontId="0" fillId="0" borderId="18" xfId="0" applyBorder="1" applyAlignment="1">
      <alignment horizontal="right"/>
    </xf>
    <xf numFmtId="0" fontId="0" fillId="27" borderId="7" xfId="0" applyFill="1" applyBorder="1" applyProtection="1">
      <protection locked="0"/>
    </xf>
    <xf numFmtId="0" fontId="0" fillId="0" borderId="7" xfId="0" applyBorder="1"/>
    <xf numFmtId="0" fontId="0" fillId="30" borderId="7" xfId="0" applyFill="1" applyBorder="1"/>
    <xf numFmtId="0" fontId="0" fillId="0" borderId="19" xfId="0" applyBorder="1"/>
    <xf numFmtId="0" fontId="0" fillId="0" borderId="5" xfId="0" applyBorder="1" applyAlignment="1">
      <alignment horizontal="right"/>
    </xf>
    <xf numFmtId="0" fontId="0" fillId="27" borderId="0" xfId="0" applyFill="1" applyBorder="1" applyProtection="1">
      <protection locked="0"/>
    </xf>
    <xf numFmtId="0" fontId="0" fillId="30" borderId="0" xfId="0" applyFill="1" applyBorder="1"/>
    <xf numFmtId="0" fontId="0" fillId="0" borderId="20" xfId="0" applyBorder="1"/>
    <xf numFmtId="0" fontId="0" fillId="0" borderId="21" xfId="0" applyBorder="1" applyAlignment="1">
      <alignment horizontal="right"/>
    </xf>
    <xf numFmtId="0" fontId="0" fillId="27" borderId="16" xfId="0" applyFill="1" applyBorder="1" applyProtection="1">
      <protection locked="0"/>
    </xf>
    <xf numFmtId="0" fontId="0" fillId="0" borderId="16" xfId="0" applyBorder="1"/>
    <xf numFmtId="0" fontId="0" fillId="30" borderId="16" xfId="0" applyFill="1" applyBorder="1"/>
    <xf numFmtId="0" fontId="0" fillId="0" borderId="22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11" fontId="0" fillId="29" borderId="0" xfId="0" applyNumberFormat="1" applyFill="1" applyBorder="1"/>
    <xf numFmtId="11" fontId="0" fillId="30" borderId="0" xfId="0" applyNumberFormat="1" applyFill="1" applyBorder="1" applyProtection="1">
      <protection locked="0"/>
    </xf>
    <xf numFmtId="0" fontId="0" fillId="30" borderId="12" xfId="0" applyFill="1" applyBorder="1" applyAlignment="1" applyProtection="1">
      <alignment vertical="top" shrinkToFit="1"/>
    </xf>
    <xf numFmtId="0" fontId="0" fillId="0" borderId="12" xfId="0" applyBorder="1" applyAlignment="1" applyProtection="1">
      <alignment shrinkToFit="1"/>
      <protection locked="0"/>
    </xf>
    <xf numFmtId="11" fontId="11" fillId="27" borderId="0" xfId="0" applyNumberFormat="1" applyFont="1" applyFill="1" applyBorder="1" applyProtection="1">
      <protection locked="0"/>
    </xf>
    <xf numFmtId="0" fontId="45" fillId="0" borderId="0" xfId="0" applyFont="1" applyBorder="1" applyAlignment="1">
      <alignment horizontal="right"/>
    </xf>
    <xf numFmtId="11" fontId="45" fillId="5" borderId="0" xfId="0" applyNumberFormat="1" applyFont="1" applyFill="1" applyBorder="1" applyProtection="1">
      <protection locked="0"/>
    </xf>
    <xf numFmtId="0" fontId="45" fillId="0" borderId="0" xfId="0" applyFont="1" applyBorder="1"/>
    <xf numFmtId="11" fontId="0" fillId="30" borderId="0" xfId="0" applyNumberFormat="1" applyFill="1" applyBorder="1" applyProtection="1"/>
    <xf numFmtId="11" fontId="0" fillId="28" borderId="0" xfId="0" applyNumberFormat="1" applyFill="1" applyBorder="1" applyProtection="1"/>
    <xf numFmtId="0" fontId="49" fillId="0" borderId="23" xfId="0" applyFont="1" applyBorder="1" applyAlignment="1">
      <alignment horizontal="left"/>
    </xf>
    <xf numFmtId="0" fontId="0" fillId="0" borderId="24" xfId="0" applyBorder="1" applyAlignment="1">
      <alignment horizontal="right"/>
    </xf>
    <xf numFmtId="11" fontId="0" fillId="29" borderId="24" xfId="0" applyNumberFormat="1" applyFill="1" applyBorder="1"/>
    <xf numFmtId="0" fontId="0" fillId="0" borderId="24" xfId="0" applyBorder="1"/>
    <xf numFmtId="0" fontId="49" fillId="0" borderId="25" xfId="0" applyFont="1" applyBorder="1" applyAlignment="1" applyProtection="1">
      <alignment shrinkToFit="1"/>
      <protection locked="0"/>
    </xf>
    <xf numFmtId="0" fontId="54" fillId="0" borderId="26" xfId="0" applyFont="1" applyBorder="1" applyAlignment="1">
      <alignment horizontal="center" vertical="center" wrapText="1"/>
    </xf>
    <xf numFmtId="0" fontId="55" fillId="0" borderId="9" xfId="0" applyFont="1" applyBorder="1" applyAlignment="1">
      <alignment horizontal="center" vertical="center" wrapText="1"/>
    </xf>
    <xf numFmtId="8" fontId="54" fillId="0" borderId="0" xfId="0" applyNumberFormat="1" applyFont="1" applyAlignment="1">
      <alignment horizontal="center" vertical="center" wrapText="1"/>
    </xf>
    <xf numFmtId="169" fontId="0" fillId="0" borderId="0" xfId="0" applyNumberFormat="1"/>
    <xf numFmtId="170" fontId="0" fillId="0" borderId="0" xfId="0" applyNumberFormat="1"/>
    <xf numFmtId="0" fontId="54" fillId="0" borderId="0" xfId="0" applyFont="1" applyAlignment="1">
      <alignment vertical="center" wrapText="1"/>
    </xf>
    <xf numFmtId="0" fontId="30" fillId="0" borderId="27" xfId="0" applyFont="1" applyBorder="1" applyAlignment="1">
      <alignment vertical="center" wrapText="1"/>
    </xf>
    <xf numFmtId="8" fontId="54" fillId="0" borderId="27" xfId="0" applyNumberFormat="1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left" vertical="center"/>
    </xf>
    <xf numFmtId="0" fontId="39" fillId="0" borderId="0" xfId="3" applyFill="1" applyBorder="1" applyAlignment="1">
      <alignment horizontal="left" vertical="center"/>
    </xf>
    <xf numFmtId="0" fontId="60" fillId="3" borderId="0" xfId="0" applyFont="1" applyFill="1" applyBorder="1" applyAlignment="1">
      <alignment horizontal="left" vertical="top" wrapText="1"/>
    </xf>
    <xf numFmtId="0" fontId="58" fillId="3" borderId="0" xfId="0" applyFont="1" applyFill="1" applyBorder="1" applyAlignment="1">
      <alignment horizontal="center" wrapText="1"/>
    </xf>
    <xf numFmtId="0" fontId="58" fillId="3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right" vertical="top"/>
    </xf>
    <xf numFmtId="0" fontId="64" fillId="2" borderId="0" xfId="0" applyFont="1" applyFill="1" applyBorder="1" applyAlignment="1">
      <alignment horizontal="center" vertical="top" wrapText="1"/>
    </xf>
    <xf numFmtId="43" fontId="65" fillId="25" borderId="0" xfId="0" applyNumberFormat="1" applyFont="1" applyFill="1" applyBorder="1" applyAlignment="1">
      <alignment horizontal="center" wrapText="1"/>
    </xf>
    <xf numFmtId="0" fontId="65" fillId="25" borderId="0" xfId="0" applyFont="1" applyFill="1" applyBorder="1" applyAlignment="1">
      <alignment horizontal="center" wrapText="1"/>
    </xf>
    <xf numFmtId="0" fontId="66" fillId="3" borderId="0" xfId="0" applyFont="1" applyFill="1" applyBorder="1" applyAlignment="1">
      <alignment horizontal="left" vertical="top" wrapText="1"/>
    </xf>
    <xf numFmtId="0" fontId="65" fillId="2" borderId="0" xfId="0" applyFont="1" applyFill="1" applyBorder="1" applyAlignment="1">
      <alignment horizontal="left" wrapText="1"/>
    </xf>
    <xf numFmtId="0" fontId="58" fillId="5" borderId="0" xfId="0" applyFont="1" applyFill="1" applyBorder="1" applyAlignment="1">
      <alignment horizontal="left" vertical="top"/>
    </xf>
    <xf numFmtId="0" fontId="68" fillId="3" borderId="0" xfId="0" applyFont="1" applyFill="1" applyBorder="1" applyAlignment="1">
      <alignment horizontal="left" vertical="top" wrapText="1" indent="2"/>
    </xf>
    <xf numFmtId="0" fontId="58" fillId="3" borderId="0" xfId="0" applyFont="1" applyFill="1" applyBorder="1" applyAlignment="1">
      <alignment wrapText="1"/>
    </xf>
    <xf numFmtId="0" fontId="63" fillId="2" borderId="0" xfId="0" applyFont="1" applyFill="1" applyBorder="1" applyAlignment="1">
      <alignment wrapText="1"/>
    </xf>
    <xf numFmtId="0" fontId="69" fillId="5" borderId="0" xfId="0" applyFont="1" applyFill="1" applyBorder="1" applyAlignment="1">
      <alignment horizontal="left" vertical="top"/>
    </xf>
    <xf numFmtId="0" fontId="64" fillId="2" borderId="0" xfId="0" applyFont="1" applyFill="1" applyBorder="1" applyAlignment="1">
      <alignment vertical="top" wrapText="1"/>
    </xf>
    <xf numFmtId="0" fontId="64" fillId="2" borderId="0" xfId="0" applyFont="1" applyFill="1" applyBorder="1" applyAlignment="1">
      <alignment vertical="top"/>
    </xf>
    <xf numFmtId="0" fontId="58" fillId="2" borderId="0" xfId="0" applyFont="1" applyFill="1" applyBorder="1" applyAlignment="1">
      <alignment vertical="top" wrapText="1"/>
    </xf>
    <xf numFmtId="0" fontId="58" fillId="2" borderId="0" xfId="0" applyFont="1" applyFill="1" applyBorder="1" applyAlignment="1">
      <alignment horizontal="left" wrapText="1"/>
    </xf>
    <xf numFmtId="0" fontId="60" fillId="3" borderId="0" xfId="0" applyFont="1" applyFill="1" applyBorder="1" applyAlignment="1">
      <alignment horizontal="left" vertical="top" wrapText="1" indent="2"/>
    </xf>
    <xf numFmtId="0" fontId="58" fillId="2" borderId="0" xfId="0" applyFont="1" applyFill="1" applyBorder="1" applyAlignment="1">
      <alignment horizontal="center" wrapText="1"/>
    </xf>
    <xf numFmtId="0" fontId="58" fillId="2" borderId="0" xfId="0" applyFont="1" applyFill="1" applyBorder="1" applyAlignment="1">
      <alignment horizontal="left" vertical="top" wrapText="1"/>
    </xf>
    <xf numFmtId="0" fontId="58" fillId="2" borderId="0" xfId="0" applyFont="1" applyFill="1" applyBorder="1" applyAlignment="1">
      <alignment horizontal="center" vertical="center" wrapText="1"/>
    </xf>
    <xf numFmtId="0" fontId="58" fillId="5" borderId="0" xfId="0" applyFont="1" applyFill="1" applyBorder="1" applyAlignment="1">
      <alignment horizontal="center" vertical="center"/>
    </xf>
    <xf numFmtId="0" fontId="61" fillId="3" borderId="0" xfId="0" applyFont="1" applyFill="1" applyBorder="1" applyAlignment="1">
      <alignment horizontal="left" vertical="top" wrapText="1"/>
    </xf>
    <xf numFmtId="0" fontId="68" fillId="3" borderId="0" xfId="0" applyFont="1" applyFill="1" applyBorder="1" applyAlignment="1">
      <alignment horizontal="center" wrapText="1"/>
    </xf>
    <xf numFmtId="1" fontId="58" fillId="6" borderId="0" xfId="0" applyNumberFormat="1" applyFont="1" applyFill="1" applyBorder="1" applyAlignment="1">
      <alignment horizontal="center" wrapText="1" shrinkToFit="1"/>
    </xf>
    <xf numFmtId="0" fontId="58" fillId="5" borderId="0" xfId="0" applyFont="1" applyFill="1" applyBorder="1" applyAlignment="1">
      <alignment horizontal="center"/>
    </xf>
    <xf numFmtId="1" fontId="58" fillId="6" borderId="0" xfId="0" applyNumberFormat="1" applyFont="1" applyFill="1" applyBorder="1" applyAlignment="1">
      <alignment horizontal="center" shrinkToFit="1"/>
    </xf>
    <xf numFmtId="0" fontId="67" fillId="6" borderId="0" xfId="0" applyFont="1" applyFill="1" applyBorder="1" applyAlignment="1">
      <alignment horizontal="center" vertical="center" wrapText="1"/>
    </xf>
    <xf numFmtId="43" fontId="71" fillId="2" borderId="0" xfId="0" applyNumberFormat="1" applyFont="1" applyFill="1" applyBorder="1" applyAlignment="1">
      <alignment vertical="top" wrapText="1"/>
    </xf>
    <xf numFmtId="0" fontId="64" fillId="2" borderId="0" xfId="0" applyFont="1" applyFill="1" applyBorder="1" applyAlignment="1">
      <alignment horizontal="left" vertical="top" wrapText="1" indent="1"/>
    </xf>
    <xf numFmtId="0" fontId="64" fillId="2" borderId="0" xfId="0" applyFont="1" applyFill="1" applyBorder="1" applyAlignment="1">
      <alignment horizontal="left" vertical="top" wrapText="1"/>
    </xf>
    <xf numFmtId="0" fontId="60" fillId="6" borderId="0" xfId="0" applyFont="1" applyFill="1" applyBorder="1" applyAlignment="1">
      <alignment horizontal="center" vertical="top" wrapText="1"/>
    </xf>
    <xf numFmtId="0" fontId="60" fillId="6" borderId="0" xfId="0" applyFont="1" applyFill="1" applyBorder="1" applyAlignment="1">
      <alignment horizontal="left" vertical="top" wrapText="1"/>
    </xf>
    <xf numFmtId="0" fontId="59" fillId="6" borderId="0" xfId="0" applyFont="1" applyFill="1" applyBorder="1" applyAlignment="1">
      <alignment horizontal="left" vertical="top" wrapText="1"/>
    </xf>
    <xf numFmtId="0" fontId="67" fillId="6" borderId="0" xfId="0" applyFont="1" applyFill="1" applyBorder="1" applyAlignment="1">
      <alignment horizontal="left" vertical="top" wrapText="1"/>
    </xf>
    <xf numFmtId="0" fontId="68" fillId="6" borderId="0" xfId="0" applyFont="1" applyFill="1" applyBorder="1" applyAlignment="1">
      <alignment horizontal="left" vertical="top" wrapText="1"/>
    </xf>
    <xf numFmtId="0" fontId="67" fillId="6" borderId="0" xfId="0" applyFont="1" applyFill="1" applyBorder="1" applyAlignment="1">
      <alignment horizontal="center" vertical="top" wrapText="1"/>
    </xf>
    <xf numFmtId="0" fontId="72" fillId="25" borderId="0" xfId="0" applyFont="1" applyFill="1" applyBorder="1" applyAlignment="1">
      <alignment horizontal="center" wrapText="1"/>
    </xf>
    <xf numFmtId="0" fontId="58" fillId="5" borderId="0" xfId="0" applyFont="1" applyFill="1" applyBorder="1" applyAlignment="1">
      <alignment horizontal="center" vertical="center" wrapText="1"/>
    </xf>
    <xf numFmtId="1" fontId="58" fillId="3" borderId="0" xfId="0" applyNumberFormat="1" applyFont="1" applyFill="1" applyBorder="1" applyAlignment="1">
      <alignment horizontal="center" vertical="center" shrinkToFit="1"/>
    </xf>
    <xf numFmtId="0" fontId="71" fillId="25" borderId="0" xfId="0" applyFont="1" applyFill="1" applyBorder="1" applyAlignment="1">
      <alignment horizontal="left" vertical="top"/>
    </xf>
    <xf numFmtId="0" fontId="65" fillId="25" borderId="0" xfId="0" applyFont="1" applyFill="1" applyBorder="1" applyAlignment="1">
      <alignment horizontal="left" vertical="top"/>
    </xf>
    <xf numFmtId="0" fontId="58" fillId="5" borderId="16" xfId="0" applyFont="1" applyFill="1" applyBorder="1" applyAlignment="1">
      <alignment horizontal="left" vertical="top"/>
    </xf>
    <xf numFmtId="0" fontId="58" fillId="5" borderId="18" xfId="0" applyFont="1" applyFill="1" applyBorder="1" applyAlignment="1">
      <alignment horizontal="left" vertical="top"/>
    </xf>
    <xf numFmtId="0" fontId="58" fillId="5" borderId="5" xfId="0" applyFont="1" applyFill="1" applyBorder="1" applyAlignment="1">
      <alignment horizontal="left" vertical="top"/>
    </xf>
    <xf numFmtId="0" fontId="58" fillId="5" borderId="20" xfId="0" applyFont="1" applyFill="1" applyBorder="1" applyAlignment="1">
      <alignment horizontal="left" vertical="top"/>
    </xf>
    <xf numFmtId="0" fontId="58" fillId="5" borderId="21" xfId="0" applyFont="1" applyFill="1" applyBorder="1" applyAlignment="1">
      <alignment horizontal="left" vertical="top"/>
    </xf>
    <xf numFmtId="0" fontId="58" fillId="5" borderId="22" xfId="0" applyFont="1" applyFill="1" applyBorder="1" applyAlignment="1">
      <alignment horizontal="left" vertical="top"/>
    </xf>
    <xf numFmtId="0" fontId="58" fillId="2" borderId="0" xfId="0" applyFont="1" applyFill="1" applyBorder="1" applyAlignment="1">
      <alignment vertical="center" wrapText="1"/>
    </xf>
    <xf numFmtId="0" fontId="64" fillId="2" borderId="0" xfId="0" applyFont="1" applyFill="1" applyBorder="1" applyAlignment="1">
      <alignment vertical="center" wrapText="1"/>
    </xf>
    <xf numFmtId="0" fontId="65" fillId="4" borderId="0" xfId="0" applyFont="1" applyFill="1" applyBorder="1" applyAlignment="1">
      <alignment horizontal="center" vertical="center" wrapText="1"/>
    </xf>
    <xf numFmtId="0" fontId="59" fillId="3" borderId="0" xfId="0" applyFont="1" applyFill="1" applyBorder="1" applyAlignment="1">
      <alignment horizontal="center" vertical="center" wrapText="1"/>
    </xf>
    <xf numFmtId="0" fontId="59" fillId="3" borderId="0" xfId="0" applyFont="1" applyFill="1" applyBorder="1" applyAlignment="1">
      <alignment horizontal="right" vertical="center" wrapText="1"/>
    </xf>
    <xf numFmtId="1" fontId="61" fillId="3" borderId="0" xfId="0" applyNumberFormat="1" applyFont="1" applyFill="1" applyBorder="1" applyAlignment="1">
      <alignment horizontal="center" vertical="center" shrinkToFit="1"/>
    </xf>
    <xf numFmtId="43" fontId="60" fillId="6" borderId="0" xfId="0" applyNumberFormat="1" applyFont="1" applyFill="1" applyBorder="1" applyAlignment="1">
      <alignment horizontal="right" vertical="center" shrinkToFit="1"/>
    </xf>
    <xf numFmtId="1" fontId="61" fillId="6" borderId="0" xfId="0" applyNumberFormat="1" applyFont="1" applyFill="1" applyBorder="1" applyAlignment="1">
      <alignment horizontal="left" vertical="center" indent="1" shrinkToFit="1"/>
    </xf>
    <xf numFmtId="164" fontId="60" fillId="0" borderId="0" xfId="1" applyNumberFormat="1" applyFont="1" applyFill="1" applyBorder="1" applyAlignment="1">
      <alignment horizontal="center" vertical="center" shrinkToFit="1"/>
    </xf>
    <xf numFmtId="0" fontId="58" fillId="5" borderId="7" xfId="0" applyFont="1" applyFill="1" applyBorder="1" applyAlignment="1">
      <alignment horizontal="left" vertical="top"/>
    </xf>
    <xf numFmtId="0" fontId="71" fillId="25" borderId="18" xfId="0" applyFont="1" applyFill="1" applyBorder="1" applyAlignment="1">
      <alignment horizontal="left" vertical="top"/>
    </xf>
    <xf numFmtId="0" fontId="65" fillId="25" borderId="19" xfId="0" applyFont="1" applyFill="1" applyBorder="1" applyAlignment="1">
      <alignment horizontal="left" vertical="top"/>
    </xf>
    <xf numFmtId="0" fontId="71" fillId="25" borderId="5" xfId="0" applyFont="1" applyFill="1" applyBorder="1" applyAlignment="1">
      <alignment horizontal="left" vertical="top"/>
    </xf>
    <xf numFmtId="1" fontId="58" fillId="6" borderId="0" xfId="0" applyNumberFormat="1" applyFont="1" applyFill="1" applyBorder="1" applyAlignment="1">
      <alignment horizontal="left" vertical="center" wrapText="1" shrinkToFit="1"/>
    </xf>
    <xf numFmtId="0" fontId="58" fillId="3" borderId="0" xfId="0" applyFont="1" applyFill="1" applyBorder="1" applyAlignment="1">
      <alignment horizontal="center" vertical="center" wrapText="1"/>
    </xf>
    <xf numFmtId="0" fontId="59" fillId="3" borderId="0" xfId="0" applyFont="1" applyFill="1" applyBorder="1" applyAlignment="1">
      <alignment horizontal="center" vertical="center" wrapText="1"/>
    </xf>
    <xf numFmtId="0" fontId="60" fillId="6" borderId="0" xfId="0" applyFont="1" applyFill="1" applyBorder="1" applyAlignment="1">
      <alignment horizontal="right" vertical="center" wrapText="1"/>
    </xf>
    <xf numFmtId="0" fontId="59" fillId="3" borderId="0" xfId="0" applyFont="1" applyFill="1" applyBorder="1" applyAlignment="1">
      <alignment horizontal="center" vertical="center" wrapText="1"/>
    </xf>
    <xf numFmtId="0" fontId="59" fillId="3" borderId="0" xfId="0" applyFont="1" applyFill="1" applyBorder="1" applyAlignment="1">
      <alignment horizontal="left" vertical="center" wrapText="1"/>
    </xf>
    <xf numFmtId="0" fontId="68" fillId="3" borderId="0" xfId="0" applyFont="1" applyFill="1" applyBorder="1" applyAlignment="1">
      <alignment horizontal="center" vertical="center" wrapText="1"/>
    </xf>
    <xf numFmtId="0" fontId="59" fillId="0" borderId="0" xfId="0" applyFont="1" applyFill="1" applyBorder="1" applyAlignment="1">
      <alignment horizontal="center" vertical="center" wrapText="1"/>
    </xf>
    <xf numFmtId="0" fontId="69" fillId="3" borderId="0" xfId="1" applyNumberFormat="1" applyFont="1" applyFill="1" applyBorder="1" applyAlignment="1">
      <alignment vertical="top"/>
    </xf>
    <xf numFmtId="1" fontId="69" fillId="6" borderId="0" xfId="0" applyNumberFormat="1" applyFont="1" applyFill="1" applyBorder="1" applyAlignment="1">
      <alignment horizontal="center" wrapText="1" shrinkToFit="1"/>
    </xf>
    <xf numFmtId="0" fontId="74" fillId="3" borderId="0" xfId="0" applyFont="1" applyFill="1" applyBorder="1" applyAlignment="1">
      <alignment horizontal="center" vertical="center" wrapText="1"/>
    </xf>
    <xf numFmtId="1" fontId="69" fillId="6" borderId="0" xfId="0" applyNumberFormat="1" applyFont="1" applyFill="1" applyBorder="1" applyAlignment="1">
      <alignment horizontal="center" vertical="center" wrapText="1" shrinkToFit="1"/>
    </xf>
    <xf numFmtId="1" fontId="69" fillId="3" borderId="0" xfId="0" applyNumberFormat="1" applyFont="1" applyFill="1" applyBorder="1" applyAlignment="1">
      <alignment horizontal="center" vertical="center" wrapText="1" shrinkToFit="1"/>
    </xf>
    <xf numFmtId="0" fontId="69" fillId="3" borderId="0" xfId="0" applyFont="1" applyFill="1" applyBorder="1" applyAlignment="1">
      <alignment horizontal="center" vertical="center" wrapText="1"/>
    </xf>
    <xf numFmtId="1" fontId="69" fillId="6" borderId="0" xfId="0" applyNumberFormat="1" applyFont="1" applyFill="1" applyBorder="1" applyAlignment="1">
      <alignment horizontal="left" vertical="center" wrapText="1" shrinkToFit="1"/>
    </xf>
    <xf numFmtId="0" fontId="58" fillId="3" borderId="0" xfId="0" applyFont="1" applyFill="1" applyBorder="1" applyAlignment="1">
      <alignment horizontal="left" vertical="center" wrapText="1"/>
    </xf>
    <xf numFmtId="0" fontId="76" fillId="3" borderId="0" xfId="0" applyFont="1" applyFill="1" applyBorder="1" applyAlignment="1">
      <alignment horizontal="right" vertical="center" wrapText="1"/>
    </xf>
    <xf numFmtId="43" fontId="70" fillId="6" borderId="0" xfId="0" applyNumberFormat="1" applyFont="1" applyFill="1" applyBorder="1" applyAlignment="1">
      <alignment horizontal="center" vertical="center" shrinkToFit="1"/>
    </xf>
    <xf numFmtId="0" fontId="74" fillId="3" borderId="0" xfId="0" applyFont="1" applyFill="1" applyBorder="1" applyAlignment="1">
      <alignment horizontal="left" vertical="center"/>
    </xf>
    <xf numFmtId="0" fontId="68" fillId="3" borderId="0" xfId="0" applyFont="1" applyFill="1" applyBorder="1" applyAlignment="1">
      <alignment horizontal="left" vertical="center"/>
    </xf>
    <xf numFmtId="0" fontId="58" fillId="0" borderId="0" xfId="0" applyFont="1" applyFill="1" applyBorder="1" applyAlignment="1">
      <alignment horizontal="left" vertical="top"/>
    </xf>
    <xf numFmtId="0" fontId="59" fillId="3" borderId="0" xfId="0" applyFont="1" applyFill="1" applyBorder="1" applyAlignment="1">
      <alignment horizontal="center" vertical="center" wrapText="1"/>
    </xf>
    <xf numFmtId="0" fontId="58" fillId="2" borderId="0" xfId="0" applyFont="1" applyFill="1" applyBorder="1" applyAlignment="1">
      <alignment horizontal="center" vertical="center" wrapText="1"/>
    </xf>
    <xf numFmtId="0" fontId="65" fillId="4" borderId="0" xfId="0" applyFont="1" applyFill="1" applyBorder="1" applyAlignment="1">
      <alignment horizontal="center" vertical="center" wrapText="1"/>
    </xf>
    <xf numFmtId="41" fontId="69" fillId="0" borderId="0" xfId="0" applyNumberFormat="1" applyFont="1" applyFill="1" applyBorder="1" applyAlignment="1">
      <alignment horizontal="center" vertical="center" shrinkToFit="1"/>
    </xf>
    <xf numFmtId="0" fontId="69" fillId="3" borderId="0" xfId="0" applyFont="1" applyFill="1" applyBorder="1" applyAlignment="1">
      <alignment wrapText="1"/>
    </xf>
    <xf numFmtId="0" fontId="75" fillId="3" borderId="0" xfId="0" applyFont="1" applyFill="1" applyBorder="1" applyAlignment="1">
      <alignment horizontal="center" wrapText="1"/>
    </xf>
    <xf numFmtId="43" fontId="75" fillId="0" borderId="0" xfId="1" applyFont="1" applyFill="1" applyBorder="1" applyAlignment="1">
      <alignment horizontal="right" vertical="top" wrapText="1" indent="2"/>
    </xf>
    <xf numFmtId="0" fontId="75" fillId="6" borderId="0" xfId="0" applyFont="1" applyFill="1" applyBorder="1" applyAlignment="1">
      <alignment horizontal="center" wrapText="1"/>
    </xf>
    <xf numFmtId="0" fontId="74" fillId="3" borderId="0" xfId="0" applyFont="1" applyFill="1" applyBorder="1" applyAlignment="1">
      <alignment horizontal="right" vertical="top" wrapText="1"/>
    </xf>
    <xf numFmtId="43" fontId="78" fillId="0" borderId="0" xfId="1" applyFont="1" applyFill="1" applyBorder="1" applyAlignment="1">
      <alignment horizontal="right" vertical="top" wrapText="1" indent="2"/>
    </xf>
    <xf numFmtId="41" fontId="75" fillId="6" borderId="0" xfId="1" applyNumberFormat="1" applyFont="1" applyFill="1" applyBorder="1" applyAlignment="1">
      <alignment horizontal="center" shrinkToFit="1"/>
    </xf>
    <xf numFmtId="43" fontId="69" fillId="0" borderId="0" xfId="0" applyNumberFormat="1" applyFont="1" applyFill="1" applyBorder="1" applyAlignment="1">
      <alignment horizontal="center" vertical="center" wrapText="1"/>
    </xf>
    <xf numFmtId="41" fontId="69" fillId="0" borderId="0" xfId="0" applyNumberFormat="1" applyFont="1" applyFill="1" applyBorder="1" applyAlignment="1">
      <alignment horizontal="center" vertical="center" wrapText="1"/>
    </xf>
    <xf numFmtId="0" fontId="76" fillId="3" borderId="0" xfId="0" applyFont="1" applyFill="1" applyBorder="1" applyAlignment="1">
      <alignment horizontal="center" vertical="center" wrapText="1"/>
    </xf>
    <xf numFmtId="164" fontId="69" fillId="0" borderId="0" xfId="0" applyNumberFormat="1" applyFont="1" applyFill="1" applyBorder="1" applyAlignment="1">
      <alignment horizontal="center" vertical="center" wrapText="1"/>
    </xf>
    <xf numFmtId="43" fontId="69" fillId="0" borderId="0" xfId="1" applyNumberFormat="1" applyFont="1" applyFill="1" applyBorder="1" applyAlignment="1">
      <alignment horizontal="center" vertical="center" shrinkToFit="1"/>
    </xf>
    <xf numFmtId="43" fontId="69" fillId="3" borderId="0" xfId="0" applyNumberFormat="1" applyFont="1" applyFill="1" applyBorder="1" applyAlignment="1">
      <alignment horizontal="center" vertical="center" shrinkToFit="1"/>
    </xf>
    <xf numFmtId="171" fontId="69" fillId="0" borderId="0" xfId="0" applyNumberFormat="1" applyFont="1" applyFill="1" applyBorder="1" applyAlignment="1">
      <alignment horizontal="center" vertical="center" shrinkToFit="1"/>
    </xf>
    <xf numFmtId="0" fontId="65" fillId="25" borderId="20" xfId="0" applyFont="1" applyFill="1" applyBorder="1" applyAlignment="1">
      <alignment horizontal="left" vertical="top"/>
    </xf>
    <xf numFmtId="43" fontId="69" fillId="0" borderId="0" xfId="0" applyNumberFormat="1" applyFont="1" applyFill="1" applyBorder="1" applyAlignment="1">
      <alignment horizontal="center" vertical="center" shrinkToFit="1"/>
    </xf>
    <xf numFmtId="164" fontId="69" fillId="0" borderId="0" xfId="0" applyNumberFormat="1" applyFont="1" applyFill="1" applyBorder="1" applyAlignment="1">
      <alignment horizontal="center" vertical="center" shrinkToFit="1"/>
    </xf>
    <xf numFmtId="43" fontId="67" fillId="6" borderId="0" xfId="1" applyNumberFormat="1" applyFont="1" applyFill="1" applyBorder="1" applyAlignment="1">
      <alignment horizontal="center" vertical="top" shrinkToFit="1"/>
    </xf>
    <xf numFmtId="0" fontId="74" fillId="6" borderId="0" xfId="0" applyFont="1" applyFill="1" applyBorder="1" applyAlignment="1">
      <alignment horizontal="left" vertical="center" wrapText="1"/>
    </xf>
    <xf numFmtId="0" fontId="58" fillId="3" borderId="0" xfId="0" applyFont="1" applyFill="1" applyBorder="1" applyAlignment="1">
      <alignment horizontal="center" vertical="center" wrapText="1"/>
    </xf>
    <xf numFmtId="1" fontId="69" fillId="3" borderId="0" xfId="0" applyNumberFormat="1" applyFont="1" applyFill="1" applyBorder="1" applyAlignment="1">
      <alignment horizontal="left" vertical="center" shrinkToFit="1"/>
    </xf>
    <xf numFmtId="0" fontId="59" fillId="3" borderId="0" xfId="0" applyFont="1" applyFill="1" applyBorder="1" applyAlignment="1">
      <alignment horizontal="center" vertical="center" wrapText="1"/>
    </xf>
    <xf numFmtId="0" fontId="69" fillId="3" borderId="0" xfId="0" applyFont="1" applyFill="1" applyBorder="1" applyAlignment="1">
      <alignment horizontal="left" wrapText="1"/>
    </xf>
    <xf numFmtId="43" fontId="75" fillId="6" borderId="0" xfId="0" applyNumberFormat="1" applyFont="1" applyFill="1" applyBorder="1" applyAlignment="1">
      <alignment vertical="center" wrapText="1"/>
    </xf>
    <xf numFmtId="43" fontId="69" fillId="6" borderId="0" xfId="0" applyNumberFormat="1" applyFont="1" applyFill="1" applyBorder="1" applyAlignment="1">
      <alignment horizontal="left" wrapText="1"/>
    </xf>
    <xf numFmtId="43" fontId="69" fillId="0" borderId="0" xfId="0" applyNumberFormat="1" applyFont="1" applyFill="1" applyBorder="1" applyAlignment="1">
      <alignment horizontal="left" wrapText="1"/>
    </xf>
    <xf numFmtId="43" fontId="69" fillId="0" borderId="0" xfId="0" applyNumberFormat="1" applyFont="1" applyFill="1" applyBorder="1" applyAlignment="1">
      <alignment horizontal="center" vertical="center"/>
    </xf>
    <xf numFmtId="43" fontId="78" fillId="6" borderId="0" xfId="0" applyNumberFormat="1" applyFont="1" applyFill="1" applyBorder="1" applyAlignment="1">
      <alignment horizontal="center" vertical="center" shrinkToFit="1"/>
    </xf>
    <xf numFmtId="43" fontId="69" fillId="0" borderId="0" xfId="0" applyNumberFormat="1" applyFont="1" applyFill="1" applyBorder="1" applyAlignment="1">
      <alignment horizontal="center" wrapText="1"/>
    </xf>
    <xf numFmtId="43" fontId="69" fillId="6" borderId="0" xfId="0" applyNumberFormat="1" applyFont="1" applyFill="1" applyBorder="1" applyAlignment="1">
      <alignment horizontal="center" wrapText="1"/>
    </xf>
    <xf numFmtId="1" fontId="79" fillId="3" borderId="0" xfId="0" applyNumberFormat="1" applyFont="1" applyFill="1" applyBorder="1" applyAlignment="1">
      <alignment horizontal="center" vertical="center" shrinkToFit="1"/>
    </xf>
    <xf numFmtId="41" fontId="75" fillId="0" borderId="0" xfId="0" applyNumberFormat="1" applyFont="1" applyFill="1" applyBorder="1" applyAlignment="1">
      <alignment horizontal="left" vertical="top" wrapText="1"/>
    </xf>
    <xf numFmtId="43" fontId="75" fillId="0" borderId="0" xfId="0" applyNumberFormat="1" applyFont="1" applyFill="1" applyBorder="1" applyAlignment="1">
      <alignment horizontal="left" vertical="top" wrapText="1"/>
    </xf>
    <xf numFmtId="43" fontId="75" fillId="6" borderId="0" xfId="0" applyNumberFormat="1" applyFont="1" applyFill="1" applyBorder="1" applyAlignment="1">
      <alignment horizontal="left" vertical="top" wrapText="1"/>
    </xf>
    <xf numFmtId="0" fontId="74" fillId="6" borderId="0" xfId="0" applyFont="1" applyFill="1" applyBorder="1" applyAlignment="1">
      <alignment horizontal="center" vertical="center" wrapText="1"/>
    </xf>
    <xf numFmtId="0" fontId="74" fillId="3" borderId="0" xfId="0" applyFont="1" applyFill="1" applyBorder="1" applyAlignment="1">
      <alignment vertical="center" wrapText="1"/>
    </xf>
    <xf numFmtId="0" fontId="76" fillId="3" borderId="0" xfId="0" applyFont="1" applyFill="1" applyBorder="1" applyAlignment="1">
      <alignment vertical="center" wrapText="1"/>
    </xf>
    <xf numFmtId="0" fontId="71" fillId="5" borderId="0" xfId="0" applyFont="1" applyFill="1" applyBorder="1" applyAlignment="1">
      <alignment horizontal="left" vertical="top"/>
    </xf>
    <xf numFmtId="43" fontId="69" fillId="6" borderId="0" xfId="0" applyNumberFormat="1" applyFont="1" applyFill="1" applyBorder="1" applyAlignment="1">
      <alignment horizontal="center" vertical="center" shrinkToFit="1"/>
    </xf>
    <xf numFmtId="0" fontId="69" fillId="2" borderId="0" xfId="0" applyFont="1" applyFill="1" applyBorder="1" applyAlignment="1">
      <alignment horizontal="left" wrapText="1"/>
    </xf>
    <xf numFmtId="0" fontId="80" fillId="3" borderId="0" xfId="0" applyFont="1" applyFill="1" applyBorder="1" applyAlignment="1">
      <alignment horizontal="left" wrapText="1"/>
    </xf>
    <xf numFmtId="43" fontId="69" fillId="3" borderId="0" xfId="0" applyNumberFormat="1" applyFont="1" applyFill="1" applyBorder="1" applyAlignment="1">
      <alignment horizontal="left" wrapText="1"/>
    </xf>
    <xf numFmtId="0" fontId="78" fillId="6" borderId="0" xfId="0" applyFont="1" applyFill="1" applyBorder="1" applyAlignment="1">
      <alignment horizontal="left" wrapText="1"/>
    </xf>
    <xf numFmtId="0" fontId="69" fillId="5" borderId="0" xfId="0" applyFont="1" applyFill="1" applyBorder="1" applyAlignment="1">
      <alignment horizontal="left" wrapText="1"/>
    </xf>
    <xf numFmtId="0" fontId="80" fillId="5" borderId="0" xfId="0" applyFont="1" applyFill="1" applyBorder="1" applyAlignment="1">
      <alignment horizontal="left" wrapText="1"/>
    </xf>
    <xf numFmtId="2" fontId="80" fillId="5" borderId="0" xfId="0" applyNumberFormat="1" applyFont="1" applyFill="1" applyBorder="1" applyAlignment="1">
      <alignment horizontal="center" wrapText="1"/>
    </xf>
    <xf numFmtId="0" fontId="82" fillId="2" borderId="0" xfId="0" applyFont="1" applyFill="1" applyBorder="1" applyAlignment="1">
      <alignment wrapText="1"/>
    </xf>
    <xf numFmtId="0" fontId="82" fillId="2" borderId="0" xfId="0" applyFont="1" applyFill="1" applyBorder="1" applyAlignment="1">
      <alignment horizontal="left" wrapText="1"/>
    </xf>
    <xf numFmtId="0" fontId="69" fillId="5" borderId="0" xfId="0" applyFont="1" applyFill="1" applyBorder="1" applyAlignment="1">
      <alignment horizontal="left"/>
    </xf>
    <xf numFmtId="0" fontId="82" fillId="3" borderId="0" xfId="0" applyFont="1" applyFill="1" applyBorder="1" applyAlignment="1">
      <alignment wrapText="1"/>
    </xf>
    <xf numFmtId="0" fontId="74" fillId="3" borderId="0" xfId="0" applyFont="1" applyFill="1" applyBorder="1" applyAlignment="1">
      <alignment horizontal="left" wrapText="1"/>
    </xf>
    <xf numFmtId="0" fontId="75" fillId="3" borderId="0" xfId="0" applyFont="1" applyFill="1" applyBorder="1" applyAlignment="1">
      <alignment horizontal="left" wrapText="1"/>
    </xf>
    <xf numFmtId="0" fontId="69" fillId="3" borderId="0" xfId="0" applyFont="1" applyFill="1" applyBorder="1" applyAlignment="1">
      <alignment horizontal="center" wrapText="1"/>
    </xf>
    <xf numFmtId="0" fontId="81" fillId="4" borderId="0" xfId="0" applyFont="1" applyFill="1" applyBorder="1" applyAlignment="1">
      <alignment horizontal="left" wrapText="1"/>
    </xf>
    <xf numFmtId="43" fontId="80" fillId="4" borderId="0" xfId="0" applyNumberFormat="1" applyFont="1" applyFill="1" applyBorder="1" applyAlignment="1">
      <alignment wrapText="1"/>
    </xf>
    <xf numFmtId="43" fontId="80" fillId="4" borderId="0" xfId="0" applyNumberFormat="1" applyFont="1" applyFill="1" applyBorder="1" applyAlignment="1">
      <alignment horizontal="left" wrapText="1"/>
    </xf>
    <xf numFmtId="43" fontId="80" fillId="4" borderId="0" xfId="0" applyNumberFormat="1" applyFont="1" applyFill="1" applyBorder="1" applyAlignment="1">
      <alignment horizontal="right" wrapText="1"/>
    </xf>
    <xf numFmtId="43" fontId="80" fillId="4" borderId="0" xfId="1" applyFont="1" applyFill="1" applyBorder="1" applyAlignment="1">
      <alignment horizontal="center" wrapText="1"/>
    </xf>
    <xf numFmtId="43" fontId="80" fillId="4" borderId="0" xfId="1" applyFont="1" applyFill="1" applyBorder="1" applyAlignment="1">
      <alignment horizontal="left" wrapText="1"/>
    </xf>
    <xf numFmtId="43" fontId="80" fillId="4" borderId="0" xfId="0" applyNumberFormat="1" applyFont="1" applyFill="1" applyBorder="1" applyAlignment="1">
      <alignment horizontal="center" wrapText="1"/>
    </xf>
    <xf numFmtId="43" fontId="80" fillId="4" borderId="0" xfId="1" applyFont="1" applyFill="1" applyBorder="1" applyAlignment="1">
      <alignment horizontal="center"/>
    </xf>
    <xf numFmtId="0" fontId="74" fillId="6" borderId="0" xfId="0" applyFont="1" applyFill="1" applyBorder="1" applyAlignment="1">
      <alignment horizontal="left" wrapText="1"/>
    </xf>
    <xf numFmtId="0" fontId="81" fillId="2" borderId="0" xfId="0" applyFont="1" applyFill="1" applyBorder="1" applyAlignment="1">
      <alignment horizontal="left" wrapText="1"/>
    </xf>
    <xf numFmtId="43" fontId="80" fillId="2" borderId="0" xfId="0" applyNumberFormat="1" applyFont="1" applyFill="1" applyBorder="1" applyAlignment="1">
      <alignment horizontal="center" wrapText="1"/>
    </xf>
    <xf numFmtId="43" fontId="80" fillId="2" borderId="0" xfId="0" applyNumberFormat="1" applyFont="1" applyFill="1" applyBorder="1" applyAlignment="1">
      <alignment horizontal="right" wrapText="1"/>
    </xf>
    <xf numFmtId="0" fontId="75" fillId="2" borderId="0" xfId="0" applyFont="1" applyFill="1" applyBorder="1" applyAlignment="1">
      <alignment horizontal="left" wrapText="1"/>
    </xf>
    <xf numFmtId="0" fontId="75" fillId="3" borderId="0" xfId="0" applyFont="1" applyFill="1" applyBorder="1" applyAlignment="1">
      <alignment wrapText="1"/>
    </xf>
    <xf numFmtId="0" fontId="74" fillId="3" borderId="0" xfId="0" applyFont="1" applyFill="1" applyBorder="1" applyAlignment="1">
      <alignment wrapText="1"/>
    </xf>
    <xf numFmtId="165" fontId="69" fillId="3" borderId="0" xfId="0" applyNumberFormat="1" applyFont="1" applyFill="1" applyBorder="1" applyAlignment="1">
      <alignment horizontal="left" wrapText="1"/>
    </xf>
    <xf numFmtId="0" fontId="69" fillId="8" borderId="0" xfId="0" applyFont="1" applyFill="1" applyBorder="1" applyAlignment="1"/>
    <xf numFmtId="0" fontId="82" fillId="5" borderId="0" xfId="0" applyFont="1" applyFill="1" applyBorder="1" applyAlignment="1"/>
    <xf numFmtId="43" fontId="69" fillId="5" borderId="0" xfId="0" applyNumberFormat="1" applyFont="1" applyFill="1" applyBorder="1" applyAlignment="1">
      <alignment horizontal="left"/>
    </xf>
    <xf numFmtId="0" fontId="74" fillId="5" borderId="0" xfId="0" applyFont="1" applyFill="1" applyBorder="1" applyAlignment="1">
      <alignment horizontal="left" wrapText="1"/>
    </xf>
    <xf numFmtId="0" fontId="75" fillId="5" borderId="0" xfId="0" applyFont="1" applyFill="1" applyBorder="1" applyAlignment="1">
      <alignment horizontal="center" wrapText="1"/>
    </xf>
    <xf numFmtId="0" fontId="75" fillId="5" borderId="0" xfId="0" applyFont="1" applyFill="1" applyBorder="1" applyAlignment="1">
      <alignment horizontal="left" wrapText="1"/>
    </xf>
    <xf numFmtId="0" fontId="69" fillId="5" borderId="0" xfId="0" applyFont="1" applyFill="1" applyBorder="1" applyAlignment="1">
      <alignment horizontal="center" wrapText="1"/>
    </xf>
    <xf numFmtId="0" fontId="81" fillId="5" borderId="0" xfId="0" applyFont="1" applyFill="1" applyBorder="1" applyAlignment="1">
      <alignment horizontal="left" wrapText="1"/>
    </xf>
    <xf numFmtId="43" fontId="80" fillId="5" borderId="0" xfId="0" applyNumberFormat="1" applyFont="1" applyFill="1" applyBorder="1" applyAlignment="1">
      <alignment horizontal="left" wrapText="1"/>
    </xf>
    <xf numFmtId="43" fontId="80" fillId="5" borderId="0" xfId="0" applyNumberFormat="1" applyFont="1" applyFill="1" applyBorder="1" applyAlignment="1">
      <alignment horizontal="right" wrapText="1"/>
    </xf>
    <xf numFmtId="43" fontId="80" fillId="5" borderId="0" xfId="1" applyFont="1" applyFill="1" applyBorder="1" applyAlignment="1">
      <alignment horizontal="right" wrapText="1"/>
    </xf>
    <xf numFmtId="43" fontId="80" fillId="5" borderId="0" xfId="0" applyNumberFormat="1" applyFont="1" applyFill="1" applyBorder="1" applyAlignment="1">
      <alignment horizontal="center" wrapText="1"/>
    </xf>
    <xf numFmtId="43" fontId="80" fillId="5" borderId="0" xfId="1" applyFont="1" applyFill="1" applyBorder="1" applyAlignment="1">
      <alignment horizontal="right"/>
    </xf>
    <xf numFmtId="0" fontId="80" fillId="5" borderId="0" xfId="0" applyFont="1" applyFill="1" applyBorder="1" applyAlignment="1">
      <alignment horizontal="right" wrapText="1"/>
    </xf>
    <xf numFmtId="43" fontId="80" fillId="5" borderId="0" xfId="1" applyFont="1" applyFill="1" applyBorder="1" applyAlignment="1">
      <alignment horizontal="center"/>
    </xf>
    <xf numFmtId="4" fontId="80" fillId="5" borderId="0" xfId="0" applyNumberFormat="1" applyFont="1" applyFill="1" applyBorder="1" applyAlignment="1">
      <alignment horizontal="right" wrapText="1"/>
    </xf>
    <xf numFmtId="43" fontId="80" fillId="5" borderId="0" xfId="1" applyFont="1" applyFill="1" applyBorder="1" applyAlignment="1">
      <alignment horizontal="left" wrapText="1"/>
    </xf>
    <xf numFmtId="1" fontId="81" fillId="5" borderId="0" xfId="0" applyNumberFormat="1" applyFont="1" applyFill="1" applyBorder="1" applyAlignment="1">
      <alignment horizontal="center" wrapText="1" shrinkToFit="1"/>
    </xf>
    <xf numFmtId="43" fontId="81" fillId="5" borderId="0" xfId="0" applyNumberFormat="1" applyFont="1" applyFill="1" applyBorder="1" applyAlignment="1">
      <alignment horizontal="right" wrapText="1"/>
    </xf>
    <xf numFmtId="43" fontId="75" fillId="6" borderId="0" xfId="0" applyNumberFormat="1" applyFont="1" applyFill="1" applyBorder="1" applyAlignment="1">
      <alignment horizontal="right" vertical="center" wrapText="1"/>
    </xf>
    <xf numFmtId="0" fontId="62" fillId="2" borderId="0" xfId="0" applyFont="1" applyFill="1" applyBorder="1" applyAlignment="1">
      <alignment vertical="top"/>
    </xf>
    <xf numFmtId="0" fontId="81" fillId="9" borderId="0" xfId="0" applyFont="1" applyFill="1" applyBorder="1" applyAlignment="1">
      <alignment horizontal="left" wrapText="1"/>
    </xf>
    <xf numFmtId="43" fontId="80" fillId="9" borderId="0" xfId="0" applyNumberFormat="1" applyFont="1" applyFill="1" applyBorder="1" applyAlignment="1">
      <alignment horizontal="left" wrapText="1"/>
    </xf>
    <xf numFmtId="0" fontId="75" fillId="6" borderId="0" xfId="0" applyFont="1" applyFill="1" applyBorder="1" applyAlignment="1">
      <alignment horizontal="left" wrapText="1"/>
    </xf>
    <xf numFmtId="43" fontId="75" fillId="6" borderId="0" xfId="0" applyNumberFormat="1" applyFont="1" applyFill="1" applyBorder="1" applyAlignment="1">
      <alignment horizontal="left" wrapText="1"/>
    </xf>
    <xf numFmtId="43" fontId="80" fillId="4" borderId="0" xfId="0" applyNumberFormat="1" applyFont="1" applyFill="1" applyBorder="1" applyAlignment="1">
      <alignment horizontal="right" vertical="center" wrapText="1"/>
    </xf>
    <xf numFmtId="43" fontId="80" fillId="4" borderId="0" xfId="1" applyFont="1" applyFill="1" applyBorder="1" applyAlignment="1">
      <alignment horizontal="right" vertical="center" wrapText="1"/>
    </xf>
    <xf numFmtId="4" fontId="80" fillId="4" borderId="0" xfId="0" applyNumberFormat="1" applyFont="1" applyFill="1" applyBorder="1" applyAlignment="1">
      <alignment horizontal="right" vertical="center" wrapText="1"/>
    </xf>
    <xf numFmtId="0" fontId="86" fillId="3" borderId="0" xfId="0" applyFont="1" applyFill="1" applyBorder="1" applyAlignment="1">
      <alignment horizontal="center" vertical="center" wrapText="1"/>
    </xf>
    <xf numFmtId="0" fontId="86" fillId="2" borderId="0" xfId="0" applyFont="1" applyFill="1" applyBorder="1" applyAlignment="1">
      <alignment vertical="center" wrapText="1"/>
    </xf>
    <xf numFmtId="164" fontId="58" fillId="6" borderId="0" xfId="1" applyNumberFormat="1" applyFont="1" applyFill="1" applyBorder="1" applyAlignment="1">
      <alignment wrapText="1"/>
    </xf>
    <xf numFmtId="43" fontId="58" fillId="6" borderId="0" xfId="1" applyNumberFormat="1" applyFont="1" applyFill="1" applyBorder="1" applyAlignment="1">
      <alignment wrapText="1"/>
    </xf>
    <xf numFmtId="164" fontId="67" fillId="6" borderId="0" xfId="0" applyNumberFormat="1" applyFont="1" applyFill="1" applyBorder="1" applyAlignment="1">
      <alignment vertical="top" wrapText="1"/>
    </xf>
    <xf numFmtId="43" fontId="80" fillId="9" borderId="0" xfId="0" applyNumberFormat="1" applyFont="1" applyFill="1" applyBorder="1" applyAlignment="1">
      <alignment horizontal="center" wrapText="1"/>
    </xf>
    <xf numFmtId="43" fontId="80" fillId="9" borderId="0" xfId="1" applyFont="1" applyFill="1" applyBorder="1" applyAlignment="1">
      <alignment horizontal="center" wrapText="1"/>
    </xf>
    <xf numFmtId="0" fontId="58" fillId="2" borderId="0" xfId="0" applyFont="1" applyFill="1" applyBorder="1" applyAlignment="1">
      <alignment horizontal="left" vertical="center" wrapText="1"/>
    </xf>
    <xf numFmtId="164" fontId="58" fillId="6" borderId="0" xfId="1" applyNumberFormat="1" applyFont="1" applyFill="1" applyBorder="1" applyAlignment="1">
      <alignment vertical="center" wrapText="1"/>
    </xf>
    <xf numFmtId="43" fontId="58" fillId="6" borderId="0" xfId="1" applyNumberFormat="1" applyFont="1" applyFill="1" applyBorder="1" applyAlignment="1">
      <alignment vertical="center" wrapText="1"/>
    </xf>
    <xf numFmtId="164" fontId="67" fillId="6" borderId="0" xfId="0" applyNumberFormat="1" applyFont="1" applyFill="1" applyBorder="1" applyAlignment="1">
      <alignment vertical="center" wrapText="1"/>
    </xf>
    <xf numFmtId="43" fontId="67" fillId="6" borderId="0" xfId="1" applyNumberFormat="1" applyFont="1" applyFill="1" applyBorder="1" applyAlignment="1">
      <alignment horizontal="center" vertical="center" shrinkToFit="1"/>
    </xf>
    <xf numFmtId="0" fontId="58" fillId="5" borderId="0" xfId="0" applyFont="1" applyFill="1" applyBorder="1" applyAlignment="1">
      <alignment horizontal="left" vertical="center"/>
    </xf>
    <xf numFmtId="0" fontId="74" fillId="3" borderId="0" xfId="0" applyFont="1" applyFill="1" applyBorder="1" applyAlignment="1">
      <alignment horizontal="left" vertical="top" wrapText="1" indent="2"/>
    </xf>
    <xf numFmtId="0" fontId="59" fillId="3" borderId="0" xfId="0" applyFont="1" applyFill="1" applyBorder="1" applyAlignment="1">
      <alignment horizontal="right" vertical="center" wrapText="1"/>
    </xf>
    <xf numFmtId="0" fontId="69" fillId="3" borderId="0" xfId="0" applyFont="1" applyFill="1" applyBorder="1" applyAlignment="1">
      <alignment horizontal="left" wrapText="1"/>
    </xf>
    <xf numFmtId="0" fontId="74" fillId="3" borderId="0" xfId="0" applyFont="1" applyFill="1" applyBorder="1" applyAlignment="1">
      <alignment horizontal="center" wrapText="1"/>
    </xf>
    <xf numFmtId="0" fontId="75" fillId="3" borderId="0" xfId="0" applyFont="1" applyFill="1" applyBorder="1" applyAlignment="1">
      <alignment horizontal="center" wrapText="1"/>
    </xf>
    <xf numFmtId="0" fontId="69" fillId="3" borderId="0" xfId="0" applyFont="1" applyFill="1" applyBorder="1" applyAlignment="1">
      <alignment horizontal="center" wrapText="1"/>
    </xf>
    <xf numFmtId="1" fontId="69" fillId="3" borderId="0" xfId="0" applyNumberFormat="1" applyFont="1" applyFill="1" applyBorder="1" applyAlignment="1">
      <alignment horizontal="left" vertical="center" shrinkToFit="1"/>
    </xf>
    <xf numFmtId="1" fontId="69" fillId="3" borderId="0" xfId="0" applyNumberFormat="1" applyFont="1" applyFill="1" applyBorder="1" applyAlignment="1">
      <alignment horizontal="center" vertical="center" shrinkToFit="1"/>
    </xf>
    <xf numFmtId="0" fontId="58" fillId="2" borderId="0" xfId="0" applyFont="1" applyFill="1" applyBorder="1" applyAlignment="1">
      <alignment horizontal="center" vertical="center" wrapText="1"/>
    </xf>
    <xf numFmtId="0" fontId="74" fillId="3" borderId="0" xfId="0" applyFont="1" applyFill="1" applyBorder="1" applyAlignment="1">
      <alignment horizontal="left" vertical="center" wrapText="1"/>
    </xf>
    <xf numFmtId="0" fontId="65" fillId="4" borderId="0" xfId="0" applyFont="1" applyFill="1" applyBorder="1" applyAlignment="1">
      <alignment horizontal="center" vertical="center" wrapText="1"/>
    </xf>
    <xf numFmtId="0" fontId="64" fillId="2" borderId="0" xfId="0" applyFont="1" applyFill="1" applyBorder="1" applyAlignment="1">
      <alignment horizontal="left" vertical="top" wrapText="1"/>
    </xf>
    <xf numFmtId="0" fontId="59" fillId="3" borderId="0" xfId="0" applyFont="1" applyFill="1" applyBorder="1" applyAlignment="1">
      <alignment horizontal="center" vertical="center" wrapText="1"/>
    </xf>
    <xf numFmtId="0" fontId="76" fillId="3" borderId="0" xfId="0" applyFont="1" applyFill="1" applyBorder="1" applyAlignment="1">
      <alignment horizontal="center" vertical="center" wrapText="1"/>
    </xf>
    <xf numFmtId="43" fontId="75" fillId="6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top" wrapText="1"/>
    </xf>
    <xf numFmtId="0" fontId="63" fillId="2" borderId="0" xfId="0" applyFont="1" applyFill="1" applyBorder="1" applyAlignment="1">
      <alignment horizontal="left" wrapText="1"/>
    </xf>
    <xf numFmtId="0" fontId="69" fillId="3" borderId="0" xfId="0" applyFont="1" applyFill="1" applyBorder="1" applyAlignment="1">
      <alignment horizontal="left" wrapText="1"/>
    </xf>
    <xf numFmtId="0" fontId="74" fillId="3" borderId="0" xfId="0" applyFont="1" applyFill="1" applyBorder="1" applyAlignment="1">
      <alignment horizontal="center" wrapText="1"/>
    </xf>
    <xf numFmtId="0" fontId="75" fillId="3" borderId="0" xfId="0" applyFont="1" applyFill="1" applyBorder="1" applyAlignment="1">
      <alignment horizontal="center" wrapText="1"/>
    </xf>
    <xf numFmtId="0" fontId="69" fillId="3" borderId="0" xfId="0" applyFont="1" applyFill="1" applyBorder="1" applyAlignment="1">
      <alignment horizontal="center" wrapText="1"/>
    </xf>
    <xf numFmtId="43" fontId="67" fillId="6" borderId="0" xfId="4" applyNumberFormat="1" applyFont="1" applyFill="1" applyBorder="1" applyAlignment="1">
      <alignment horizontal="center" vertical="top" shrinkToFit="1"/>
    </xf>
    <xf numFmtId="43" fontId="58" fillId="6" borderId="0" xfId="1" applyFont="1" applyFill="1" applyBorder="1" applyAlignment="1">
      <alignment wrapText="1"/>
    </xf>
    <xf numFmtId="41" fontId="67" fillId="6" borderId="0" xfId="0" applyNumberFormat="1" applyFont="1" applyFill="1" applyBorder="1" applyAlignment="1">
      <alignment horizontal="center" vertical="top" wrapText="1"/>
    </xf>
    <xf numFmtId="43" fontId="67" fillId="6" borderId="0" xfId="0" applyNumberFormat="1" applyFont="1" applyFill="1" applyBorder="1" applyAlignment="1">
      <alignment horizontal="center" vertical="top" wrapText="1"/>
    </xf>
    <xf numFmtId="43" fontId="74" fillId="6" borderId="0" xfId="0" applyNumberFormat="1" applyFont="1" applyFill="1" applyBorder="1" applyAlignment="1">
      <alignment horizontal="left" vertical="top" wrapText="1" indent="2"/>
    </xf>
    <xf numFmtId="43" fontId="80" fillId="4" borderId="0" xfId="1" applyNumberFormat="1" applyFont="1" applyFill="1" applyBorder="1" applyAlignment="1">
      <alignment horizontal="center" wrapText="1"/>
    </xf>
    <xf numFmtId="43" fontId="81" fillId="4" borderId="0" xfId="0" applyNumberFormat="1" applyFont="1" applyFill="1" applyBorder="1" applyAlignment="1">
      <alignment horizontal="center" wrapText="1"/>
    </xf>
    <xf numFmtId="43" fontId="80" fillId="9" borderId="0" xfId="4" applyNumberFormat="1" applyFont="1" applyFill="1" applyBorder="1" applyAlignment="1">
      <alignment horizontal="center"/>
    </xf>
    <xf numFmtId="43" fontId="74" fillId="3" borderId="0" xfId="0" applyNumberFormat="1" applyFont="1" applyFill="1" applyBorder="1" applyAlignment="1">
      <alignment horizontal="center" wrapText="1"/>
    </xf>
    <xf numFmtId="43" fontId="74" fillId="3" borderId="0" xfId="0" applyNumberFormat="1" applyFont="1" applyFill="1" applyBorder="1" applyAlignment="1">
      <alignment wrapText="1"/>
    </xf>
    <xf numFmtId="0" fontId="80" fillId="9" borderId="0" xfId="0" applyFont="1" applyFill="1" applyBorder="1" applyAlignment="1">
      <alignment horizontal="left" wrapText="1"/>
    </xf>
    <xf numFmtId="43" fontId="75" fillId="6" borderId="0" xfId="0" applyNumberFormat="1" applyFont="1" applyFill="1" applyBorder="1" applyAlignment="1">
      <alignment horizontal="center" wrapText="1"/>
    </xf>
    <xf numFmtId="43" fontId="75" fillId="6" borderId="0" xfId="1" applyFont="1" applyFill="1" applyBorder="1" applyAlignment="1">
      <alignment horizontal="center" wrapText="1"/>
    </xf>
    <xf numFmtId="43" fontId="75" fillId="6" borderId="0" xfId="0" applyNumberFormat="1" applyFont="1" applyFill="1" applyBorder="1" applyAlignment="1">
      <alignment wrapText="1"/>
    </xf>
    <xf numFmtId="0" fontId="74" fillId="3" borderId="0" xfId="0" applyFont="1" applyFill="1" applyBorder="1" applyAlignment="1">
      <alignment horizontal="left" vertical="center" indent="1"/>
    </xf>
    <xf numFmtId="0" fontId="74" fillId="3" borderId="0" xfId="0" applyFont="1" applyFill="1" applyBorder="1" applyAlignment="1">
      <alignment horizontal="left" vertical="center" wrapText="1" indent="1"/>
    </xf>
    <xf numFmtId="165" fontId="75" fillId="6" borderId="0" xfId="0" applyNumberFormat="1" applyFont="1" applyFill="1" applyBorder="1" applyAlignment="1">
      <alignment horizontal="left" wrapText="1"/>
    </xf>
    <xf numFmtId="1" fontId="69" fillId="6" borderId="0" xfId="0" applyNumberFormat="1" applyFont="1" applyFill="1" applyBorder="1" applyAlignment="1">
      <alignment horizontal="left" vertical="center" wrapText="1" indent="1" shrinkToFit="1"/>
    </xf>
    <xf numFmtId="0" fontId="88" fillId="0" borderId="0" xfId="0" applyFont="1" applyFill="1" applyBorder="1" applyAlignment="1">
      <alignment horizontal="left" vertical="center" wrapText="1"/>
    </xf>
    <xf numFmtId="0" fontId="59" fillId="6" borderId="0" xfId="0" applyFont="1" applyFill="1" applyBorder="1" applyAlignment="1">
      <alignment horizontal="center" vertical="center" wrapText="1"/>
    </xf>
    <xf numFmtId="0" fontId="68" fillId="6" borderId="0" xfId="0" applyFont="1" applyFill="1" applyBorder="1" applyAlignment="1">
      <alignment horizontal="left" vertical="center"/>
    </xf>
    <xf numFmtId="0" fontId="88" fillId="0" borderId="0" xfId="0" applyFont="1" applyFill="1" applyBorder="1" applyAlignment="1">
      <alignment horizontal="left" vertical="center"/>
    </xf>
    <xf numFmtId="0" fontId="88" fillId="0" borderId="0" xfId="0" applyFont="1" applyFill="1" applyBorder="1" applyAlignment="1">
      <alignment horizontal="center" vertical="center" wrapText="1"/>
    </xf>
    <xf numFmtId="43" fontId="69" fillId="3" borderId="0" xfId="0" applyNumberFormat="1" applyFont="1" applyFill="1" applyBorder="1" applyAlignment="1">
      <alignment horizontal="left" vertical="center" shrinkToFit="1"/>
    </xf>
    <xf numFmtId="0" fontId="91" fillId="3" borderId="0" xfId="0" applyFont="1" applyFill="1" applyBorder="1" applyAlignment="1">
      <alignment horizontal="center" vertical="center" wrapText="1"/>
    </xf>
    <xf numFmtId="0" fontId="69" fillId="6" borderId="0" xfId="0" applyFont="1" applyFill="1" applyBorder="1" applyAlignment="1">
      <alignment horizontal="left" vertical="center"/>
    </xf>
    <xf numFmtId="43" fontId="75" fillId="0" borderId="0" xfId="1" applyNumberFormat="1" applyFont="1" applyFill="1" applyBorder="1" applyAlignment="1">
      <alignment horizontal="center" vertical="center" wrapText="1"/>
    </xf>
    <xf numFmtId="0" fontId="85" fillId="2" borderId="0" xfId="0" applyFont="1" applyFill="1" applyBorder="1" applyAlignment="1">
      <alignment vertical="top" wrapText="1"/>
    </xf>
    <xf numFmtId="0" fontId="69" fillId="2" borderId="0" xfId="0" applyFont="1" applyFill="1" applyBorder="1" applyAlignment="1">
      <alignment horizontal="left" vertical="top" wrapText="1"/>
    </xf>
    <xf numFmtId="0" fontId="62" fillId="2" borderId="0" xfId="0" applyFont="1" applyFill="1" applyBorder="1" applyAlignment="1">
      <alignment vertical="top" wrapText="1"/>
    </xf>
    <xf numFmtId="0" fontId="62" fillId="2" borderId="0" xfId="0" applyFont="1" applyFill="1" applyBorder="1" applyAlignment="1">
      <alignment horizontal="center" vertical="top" wrapText="1"/>
    </xf>
    <xf numFmtId="0" fontId="63" fillId="2" borderId="0" xfId="0" applyFont="1" applyFill="1" applyBorder="1" applyAlignment="1">
      <alignment horizontal="center" vertical="top" wrapText="1"/>
    </xf>
    <xf numFmtId="0" fontId="69" fillId="3" borderId="0" xfId="0" applyFont="1" applyFill="1" applyBorder="1" applyAlignment="1">
      <alignment vertical="center" wrapText="1"/>
    </xf>
    <xf numFmtId="0" fontId="74" fillId="6" borderId="0" xfId="0" applyFont="1" applyFill="1" applyBorder="1" applyAlignment="1">
      <alignment horizontal="right" vertical="center" wrapText="1"/>
    </xf>
    <xf numFmtId="43" fontId="75" fillId="6" borderId="0" xfId="1" applyFont="1" applyFill="1" applyBorder="1" applyAlignment="1">
      <alignment vertical="top"/>
    </xf>
    <xf numFmtId="43" fontId="75" fillId="6" borderId="0" xfId="1" applyFont="1" applyFill="1" applyBorder="1" applyAlignment="1">
      <alignment horizontal="right" vertical="top" wrapText="1" indent="2"/>
    </xf>
    <xf numFmtId="43" fontId="81" fillId="25" borderId="0" xfId="0" applyNumberFormat="1" applyFont="1" applyFill="1" applyBorder="1" applyAlignment="1">
      <alignment vertical="top" wrapText="1"/>
    </xf>
    <xf numFmtId="0" fontId="75" fillId="3" borderId="0" xfId="0" applyFont="1" applyFill="1" applyBorder="1" applyAlignment="1">
      <alignment horizontal="center" vertical="top" wrapText="1"/>
    </xf>
    <xf numFmtId="0" fontId="75" fillId="3" borderId="0" xfId="0" applyFont="1" applyFill="1" applyBorder="1" applyAlignment="1">
      <alignment vertical="top" wrapText="1"/>
    </xf>
    <xf numFmtId="0" fontId="66" fillId="3" borderId="0" xfId="0" applyFont="1" applyFill="1" applyBorder="1" applyAlignment="1">
      <alignment vertical="top" wrapText="1"/>
    </xf>
    <xf numFmtId="0" fontId="76" fillId="3" borderId="0" xfId="0" applyFont="1" applyFill="1" applyBorder="1" applyAlignment="1">
      <alignment vertical="top" wrapText="1"/>
    </xf>
    <xf numFmtId="0" fontId="66" fillId="3" borderId="0" xfId="0" applyFont="1" applyFill="1" applyBorder="1" applyAlignment="1">
      <alignment horizontal="center" vertical="top" wrapText="1"/>
    </xf>
    <xf numFmtId="0" fontId="74" fillId="3" borderId="0" xfId="0" applyFont="1" applyFill="1" applyBorder="1" applyAlignment="1">
      <alignment vertical="top" wrapText="1"/>
    </xf>
    <xf numFmtId="0" fontId="75" fillId="6" borderId="0" xfId="0" applyFont="1" applyFill="1" applyBorder="1" applyAlignment="1">
      <alignment horizontal="center" vertical="top" wrapText="1"/>
    </xf>
    <xf numFmtId="0" fontId="74" fillId="6" borderId="0" xfId="0" applyFont="1" applyFill="1" applyBorder="1" applyAlignment="1">
      <alignment horizontal="center" vertical="top" wrapText="1"/>
    </xf>
    <xf numFmtId="43" fontId="78" fillId="6" borderId="0" xfId="1" applyFont="1" applyFill="1" applyBorder="1" applyAlignment="1">
      <alignment horizontal="right" vertical="top" wrapText="1" indent="2"/>
    </xf>
    <xf numFmtId="43" fontId="80" fillId="2" borderId="0" xfId="0" applyNumberFormat="1" applyFont="1" applyFill="1" applyBorder="1" applyAlignment="1">
      <alignment horizontal="right" vertical="top" wrapText="1" indent="2"/>
    </xf>
    <xf numFmtId="0" fontId="74" fillId="3" borderId="0" xfId="0" applyFont="1" applyFill="1" applyBorder="1" applyAlignment="1">
      <alignment horizontal="center" vertical="top" wrapText="1"/>
    </xf>
    <xf numFmtId="164" fontId="74" fillId="6" borderId="0" xfId="0" applyNumberFormat="1" applyFont="1" applyFill="1" applyBorder="1" applyAlignment="1">
      <alignment vertical="top" wrapText="1"/>
    </xf>
    <xf numFmtId="0" fontId="75" fillId="6" borderId="0" xfId="0" applyFont="1" applyFill="1" applyBorder="1" applyAlignment="1">
      <alignment horizontal="center" vertical="center" wrapText="1"/>
    </xf>
    <xf numFmtId="43" fontId="80" fillId="2" borderId="0" xfId="0" applyNumberFormat="1" applyFont="1" applyFill="1" applyBorder="1" applyAlignment="1">
      <alignment vertical="top" wrapText="1"/>
    </xf>
    <xf numFmtId="0" fontId="63" fillId="25" borderId="0" xfId="0" applyFont="1" applyFill="1" applyBorder="1" applyAlignment="1">
      <alignment horizontal="center" wrapText="1"/>
    </xf>
    <xf numFmtId="43" fontId="63" fillId="25" borderId="0" xfId="0" applyNumberFormat="1" applyFont="1" applyFill="1" applyBorder="1" applyAlignment="1">
      <alignment horizontal="center" wrapText="1"/>
    </xf>
    <xf numFmtId="0" fontId="69" fillId="3" borderId="0" xfId="0" applyFont="1" applyFill="1" applyBorder="1" applyAlignment="1">
      <alignment horizontal="left" vertical="center" wrapText="1"/>
    </xf>
    <xf numFmtId="0" fontId="69" fillId="2" borderId="0" xfId="0" applyFont="1" applyFill="1" applyBorder="1" applyAlignment="1">
      <alignment vertical="center" wrapText="1"/>
    </xf>
    <xf numFmtId="0" fontId="69" fillId="5" borderId="0" xfId="0" applyFont="1" applyFill="1" applyBorder="1" applyAlignment="1">
      <alignment horizontal="center" vertical="center" wrapText="1"/>
    </xf>
    <xf numFmtId="0" fontId="69" fillId="5" borderId="0" xfId="0" applyFont="1" applyFill="1" applyBorder="1" applyAlignment="1">
      <alignment horizontal="center" vertical="center"/>
    </xf>
    <xf numFmtId="0" fontId="63" fillId="2" borderId="0" xfId="0" applyFont="1" applyFill="1" applyBorder="1" applyAlignment="1">
      <alignment horizontal="left" vertical="top" wrapText="1"/>
    </xf>
    <xf numFmtId="0" fontId="79" fillId="5" borderId="0" xfId="0" applyFont="1" applyFill="1" applyBorder="1" applyAlignment="1">
      <alignment horizontal="center" vertical="center" wrapText="1"/>
    </xf>
    <xf numFmtId="0" fontId="79" fillId="5" borderId="0" xfId="0" applyFont="1" applyFill="1" applyBorder="1" applyAlignment="1">
      <alignment horizontal="center" vertical="center"/>
    </xf>
    <xf numFmtId="0" fontId="79" fillId="2" borderId="0" xfId="0" applyFont="1" applyFill="1" applyBorder="1" applyAlignment="1">
      <alignment horizontal="left" vertical="top" wrapText="1"/>
    </xf>
    <xf numFmtId="43" fontId="80" fillId="25" borderId="0" xfId="0" applyNumberFormat="1" applyFont="1" applyFill="1" applyBorder="1" applyAlignment="1">
      <alignment horizontal="left" wrapText="1"/>
    </xf>
    <xf numFmtId="43" fontId="74" fillId="6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wrapText="1"/>
    </xf>
    <xf numFmtId="0" fontId="79" fillId="3" borderId="0" xfId="0" applyFont="1" applyFill="1" applyBorder="1" applyAlignment="1">
      <alignment horizontal="left" wrapText="1"/>
    </xf>
    <xf numFmtId="0" fontId="94" fillId="5" borderId="0" xfId="0" applyFont="1" applyFill="1" applyBorder="1" applyAlignment="1">
      <alignment horizontal="left" vertical="top"/>
    </xf>
    <xf numFmtId="0" fontId="69" fillId="3" borderId="0" xfId="0" applyFont="1" applyFill="1" applyBorder="1" applyAlignment="1">
      <alignment horizontal="center" vertical="top" wrapText="1"/>
    </xf>
    <xf numFmtId="0" fontId="94" fillId="5" borderId="0" xfId="0" applyFont="1" applyFill="1" applyBorder="1" applyAlignment="1">
      <alignment horizontal="center" vertical="top"/>
    </xf>
    <xf numFmtId="43" fontId="69" fillId="0" borderId="0" xfId="0" applyNumberFormat="1" applyFont="1" applyFill="1" applyBorder="1" applyAlignment="1">
      <alignment horizontal="right" wrapText="1"/>
    </xf>
    <xf numFmtId="0" fontId="9" fillId="2" borderId="0" xfId="0" applyFont="1" applyFill="1" applyBorder="1" applyAlignment="1">
      <alignment vertical="top" wrapText="1"/>
    </xf>
    <xf numFmtId="0" fontId="69" fillId="3" borderId="0" xfId="0" applyFont="1" applyFill="1" applyBorder="1" applyAlignment="1">
      <alignment horizontal="left" vertical="top" wrapText="1"/>
    </xf>
    <xf numFmtId="43" fontId="69" fillId="6" borderId="0" xfId="0" applyNumberFormat="1" applyFont="1" applyFill="1" applyBorder="1" applyAlignment="1">
      <alignment horizontal="right" wrapText="1"/>
    </xf>
    <xf numFmtId="43" fontId="69" fillId="3" borderId="0" xfId="0" applyNumberFormat="1" applyFont="1" applyFill="1" applyBorder="1" applyAlignment="1">
      <alignment horizontal="right" wrapText="1"/>
    </xf>
    <xf numFmtId="0" fontId="79" fillId="3" borderId="0" xfId="0" applyFont="1" applyFill="1" applyBorder="1" applyAlignment="1">
      <alignment horizontal="center" wrapText="1"/>
    </xf>
    <xf numFmtId="0" fontId="69" fillId="3" borderId="0" xfId="0" applyFont="1" applyFill="1" applyBorder="1" applyAlignment="1">
      <alignment horizontal="left"/>
    </xf>
    <xf numFmtId="0" fontId="69" fillId="6" borderId="0" xfId="0" applyFont="1" applyFill="1" applyBorder="1" applyAlignment="1">
      <alignment horizontal="left" wrapText="1"/>
    </xf>
    <xf numFmtId="0" fontId="69" fillId="6" borderId="0" xfId="0" applyFont="1" applyFill="1" applyBorder="1" applyAlignment="1">
      <alignment horizontal="center" wrapText="1"/>
    </xf>
    <xf numFmtId="0" fontId="77" fillId="3" borderId="0" xfId="0" applyFont="1" applyFill="1" applyBorder="1" applyAlignment="1">
      <alignment horizontal="left"/>
    </xf>
    <xf numFmtId="0" fontId="69" fillId="6" borderId="0" xfId="0" applyFont="1" applyFill="1" applyBorder="1" applyAlignment="1">
      <alignment horizontal="center" vertical="top" wrapText="1"/>
    </xf>
    <xf numFmtId="41" fontId="69" fillId="6" borderId="0" xfId="0" applyNumberFormat="1" applyFont="1" applyFill="1" applyBorder="1" applyAlignment="1">
      <alignment horizontal="center" wrapText="1"/>
    </xf>
    <xf numFmtId="41" fontId="95" fillId="5" borderId="0" xfId="0" applyNumberFormat="1" applyFont="1" applyFill="1" applyBorder="1" applyAlignment="1">
      <alignment horizontal="left" vertical="top"/>
    </xf>
    <xf numFmtId="0" fontId="9" fillId="2" borderId="0" xfId="0" applyFont="1" applyFill="1" applyBorder="1" applyAlignment="1">
      <alignment horizontal="center" wrapText="1"/>
    </xf>
    <xf numFmtId="0" fontId="63" fillId="2" borderId="0" xfId="0" applyFont="1" applyFill="1" applyBorder="1" applyAlignment="1">
      <alignment horizontal="center" wrapText="1"/>
    </xf>
    <xf numFmtId="0" fontId="69" fillId="3" borderId="0" xfId="0" applyFont="1" applyFill="1" applyBorder="1" applyAlignment="1">
      <alignment vertical="top" wrapText="1"/>
    </xf>
    <xf numFmtId="0" fontId="69" fillId="5" borderId="0" xfId="0" applyFont="1" applyFill="1" applyBorder="1" applyAlignment="1">
      <alignment horizontal="center" vertical="top"/>
    </xf>
    <xf numFmtId="0" fontId="74" fillId="6" borderId="0" xfId="0" applyFont="1" applyFill="1" applyBorder="1" applyAlignment="1">
      <alignment horizontal="left" vertical="top" wrapText="1" indent="2"/>
    </xf>
    <xf numFmtId="41" fontId="75" fillId="6" borderId="0" xfId="0" applyNumberFormat="1" applyFont="1" applyFill="1" applyBorder="1" applyAlignment="1">
      <alignment horizontal="left" vertical="top" wrapText="1"/>
    </xf>
    <xf numFmtId="0" fontId="76" fillId="3" borderId="0" xfId="0" applyFont="1" applyFill="1" applyBorder="1" applyAlignment="1">
      <alignment horizontal="left" vertical="top" wrapText="1"/>
    </xf>
    <xf numFmtId="0" fontId="76" fillId="3" borderId="0" xfId="0" applyFont="1" applyFill="1" applyBorder="1" applyAlignment="1">
      <alignment horizontal="left" vertical="top" wrapText="1" indent="2"/>
    </xf>
    <xf numFmtId="0" fontId="76" fillId="3" borderId="0" xfId="0" applyFont="1" applyFill="1" applyBorder="1" applyAlignment="1">
      <alignment horizontal="center" vertical="top" wrapText="1"/>
    </xf>
    <xf numFmtId="164" fontId="69" fillId="6" borderId="0" xfId="0" applyNumberFormat="1" applyFont="1" applyFill="1" applyBorder="1" applyAlignment="1">
      <alignment horizontal="center" wrapText="1"/>
    </xf>
    <xf numFmtId="0" fontId="86" fillId="5" borderId="0" xfId="0" applyFont="1" applyFill="1" applyBorder="1" applyAlignment="1">
      <alignment horizontal="center" vertical="center" wrapText="1"/>
    </xf>
    <xf numFmtId="0" fontId="86" fillId="5" borderId="0" xfId="0" applyFont="1" applyFill="1" applyBorder="1" applyAlignment="1">
      <alignment horizontal="center" vertical="center"/>
    </xf>
    <xf numFmtId="0" fontId="93" fillId="2" borderId="0" xfId="0" applyFont="1" applyFill="1" applyBorder="1" applyAlignment="1">
      <alignment vertical="center" wrapText="1"/>
    </xf>
    <xf numFmtId="0" fontId="93" fillId="5" borderId="0" xfId="0" applyFont="1" applyFill="1" applyBorder="1" applyAlignment="1">
      <alignment horizontal="center" vertical="center" wrapText="1"/>
    </xf>
    <xf numFmtId="0" fontId="93" fillId="5" borderId="0" xfId="0" applyFont="1" applyFill="1" applyBorder="1" applyAlignment="1">
      <alignment horizontal="center" vertical="center"/>
    </xf>
    <xf numFmtId="0" fontId="92" fillId="3" borderId="0" xfId="0" applyFont="1" applyFill="1" applyBorder="1" applyAlignment="1">
      <alignment horizontal="right" vertical="center" wrapText="1"/>
    </xf>
    <xf numFmtId="0" fontId="92" fillId="3" borderId="0" xfId="0" applyFont="1" applyFill="1" applyBorder="1" applyAlignment="1">
      <alignment horizontal="center" vertical="center" wrapText="1"/>
    </xf>
    <xf numFmtId="164" fontId="70" fillId="6" borderId="0" xfId="1" applyNumberFormat="1" applyFont="1" applyFill="1" applyBorder="1" applyAlignment="1">
      <alignment horizontal="center" vertical="top" wrapText="1"/>
    </xf>
    <xf numFmtId="0" fontId="70" fillId="6" borderId="0" xfId="0" applyFont="1" applyFill="1" applyBorder="1" applyAlignment="1">
      <alignment horizontal="center" vertical="top" wrapText="1"/>
    </xf>
    <xf numFmtId="2" fontId="70" fillId="6" borderId="0" xfId="0" applyNumberFormat="1" applyFont="1" applyFill="1" applyBorder="1" applyAlignment="1">
      <alignment horizontal="center" vertical="top" wrapText="1"/>
    </xf>
    <xf numFmtId="0" fontId="76" fillId="3" borderId="0" xfId="0" applyFont="1" applyFill="1" applyBorder="1" applyAlignment="1">
      <alignment horizontal="center" vertical="center" wrapText="1"/>
    </xf>
    <xf numFmtId="0" fontId="77" fillId="3" borderId="0" xfId="0" applyFont="1" applyFill="1" applyBorder="1" applyAlignment="1">
      <alignment horizontal="left" wrapText="1"/>
    </xf>
    <xf numFmtId="43" fontId="75" fillId="6" borderId="0" xfId="0" applyNumberFormat="1" applyFont="1" applyFill="1" applyBorder="1" applyAlignment="1">
      <alignment horizontal="right" vertical="center" wrapText="1"/>
    </xf>
    <xf numFmtId="0" fontId="74" fillId="3" borderId="0" xfId="0" applyFont="1" applyFill="1" applyBorder="1" applyAlignment="1">
      <alignment horizontal="left" vertical="center" wrapText="1"/>
    </xf>
    <xf numFmtId="0" fontId="76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1" fillId="0" borderId="0" xfId="0" applyFont="1" applyAlignment="1">
      <alignment horizontal="center" wrapText="1"/>
    </xf>
    <xf numFmtId="43" fontId="87" fillId="33" borderId="0" xfId="0" applyNumberFormat="1" applyFont="1" applyFill="1" applyBorder="1" applyAlignment="1">
      <alignment horizontal="center" vertical="center" wrapText="1"/>
    </xf>
    <xf numFmtId="41" fontId="74" fillId="0" borderId="0" xfId="0" applyNumberFormat="1" applyFont="1" applyFill="1" applyBorder="1" applyAlignment="1">
      <alignment horizontal="center" vertical="center" wrapText="1"/>
    </xf>
    <xf numFmtId="0" fontId="58" fillId="2" borderId="0" xfId="0" applyFont="1" applyFill="1" applyBorder="1" applyAlignment="1">
      <alignment vertical="center"/>
    </xf>
    <xf numFmtId="0" fontId="88" fillId="5" borderId="0" xfId="0" applyFont="1" applyFill="1" applyBorder="1" applyAlignment="1">
      <alignment horizontal="left" vertical="center"/>
    </xf>
    <xf numFmtId="9" fontId="17" fillId="0" borderId="0" xfId="0" applyNumberFormat="1" applyFont="1" applyFill="1" applyBorder="1" applyAlignment="1">
      <alignment horizontal="center" vertical="top"/>
    </xf>
    <xf numFmtId="1" fontId="69" fillId="3" borderId="0" xfId="0" applyNumberFormat="1" applyFont="1" applyFill="1" applyBorder="1" applyAlignment="1">
      <alignment horizontal="left" vertical="center" wrapText="1" shrinkToFit="1"/>
    </xf>
    <xf numFmtId="0" fontId="76" fillId="3" borderId="0" xfId="0" applyFont="1" applyFill="1" applyBorder="1" applyAlignment="1">
      <alignment horizontal="left" vertical="center" wrapText="1"/>
    </xf>
    <xf numFmtId="43" fontId="75" fillId="6" borderId="0" xfId="1" applyNumberFormat="1" applyFont="1" applyFill="1" applyBorder="1" applyAlignment="1">
      <alignment horizontal="center" vertical="center" wrapText="1"/>
    </xf>
    <xf numFmtId="43" fontId="78" fillId="6" borderId="0" xfId="1" applyNumberFormat="1" applyFont="1" applyFill="1" applyBorder="1" applyAlignment="1">
      <alignment horizontal="right" vertical="center" shrinkToFit="1"/>
    </xf>
    <xf numFmtId="0" fontId="74" fillId="3" borderId="0" xfId="0" applyFont="1" applyFill="1" applyBorder="1" applyAlignment="1">
      <alignment horizontal="left" vertical="top"/>
    </xf>
    <xf numFmtId="1" fontId="69" fillId="3" borderId="0" xfId="0" applyNumberFormat="1" applyFont="1" applyFill="1" applyBorder="1" applyAlignment="1">
      <alignment horizontal="center" vertical="top" wrapText="1" shrinkToFit="1"/>
    </xf>
    <xf numFmtId="0" fontId="59" fillId="3" borderId="0" xfId="0" applyFont="1" applyFill="1" applyBorder="1" applyAlignment="1">
      <alignment horizontal="center" vertical="top" wrapText="1"/>
    </xf>
    <xf numFmtId="0" fontId="68" fillId="3" borderId="0" xfId="0" applyFont="1" applyFill="1" applyBorder="1" applyAlignment="1">
      <alignment horizontal="center" vertical="top" wrapText="1"/>
    </xf>
    <xf numFmtId="0" fontId="58" fillId="5" borderId="0" xfId="0" applyFont="1" applyFill="1" applyBorder="1" applyAlignment="1">
      <alignment horizontal="center" vertical="top"/>
    </xf>
    <xf numFmtId="0" fontId="58" fillId="5" borderId="0" xfId="0" applyFont="1" applyFill="1" applyBorder="1" applyAlignment="1">
      <alignment horizontal="center" vertical="top" wrapText="1"/>
    </xf>
    <xf numFmtId="0" fontId="69" fillId="6" borderId="0" xfId="0" applyFont="1" applyFill="1" applyBorder="1" applyAlignment="1">
      <alignment horizontal="left" vertical="center" indent="3"/>
    </xf>
    <xf numFmtId="0" fontId="74" fillId="3" borderId="0" xfId="0" applyFont="1" applyFill="1" applyBorder="1" applyAlignment="1">
      <alignment horizontal="left" vertical="center" wrapText="1" indent="3"/>
    </xf>
    <xf numFmtId="0" fontId="74" fillId="3" borderId="0" xfId="0" applyFont="1" applyFill="1" applyBorder="1" applyAlignment="1">
      <alignment horizontal="left" vertical="center" indent="3"/>
    </xf>
    <xf numFmtId="0" fontId="74" fillId="3" borderId="0" xfId="0" applyFont="1" applyFill="1" applyBorder="1" applyAlignment="1">
      <alignment horizontal="left" vertical="center" indent="5"/>
    </xf>
    <xf numFmtId="43" fontId="75" fillId="6" borderId="0" xfId="0" applyNumberFormat="1" applyFont="1" applyFill="1" applyBorder="1" applyAlignment="1">
      <alignment vertical="center"/>
    </xf>
    <xf numFmtId="41" fontId="69" fillId="0" borderId="0" xfId="1" applyNumberFormat="1" applyFont="1" applyFill="1" applyBorder="1" applyAlignment="1">
      <alignment horizontal="center" vertical="center" shrinkToFit="1"/>
    </xf>
    <xf numFmtId="2" fontId="58" fillId="5" borderId="0" xfId="0" applyNumberFormat="1" applyFont="1" applyFill="1" applyBorder="1" applyAlignment="1">
      <alignment horizontal="center" vertical="center"/>
    </xf>
    <xf numFmtId="43" fontId="69" fillId="6" borderId="0" xfId="1" applyNumberFormat="1" applyFont="1" applyFill="1" applyBorder="1" applyAlignment="1">
      <alignment horizontal="center" vertical="center" shrinkToFit="1"/>
    </xf>
    <xf numFmtId="43" fontId="58" fillId="5" borderId="0" xfId="0" applyNumberFormat="1" applyFont="1" applyFill="1" applyBorder="1" applyAlignment="1">
      <alignment horizontal="center" vertical="center"/>
    </xf>
    <xf numFmtId="0" fontId="75" fillId="3" borderId="0" xfId="0" applyFont="1" applyFill="1" applyBorder="1" applyAlignment="1">
      <alignment horizontal="center" vertical="center" wrapText="1"/>
    </xf>
    <xf numFmtId="0" fontId="74" fillId="3" borderId="0" xfId="0" applyFont="1" applyFill="1" applyBorder="1" applyAlignment="1">
      <alignment horizontal="left" vertical="center" wrapText="1"/>
    </xf>
    <xf numFmtId="0" fontId="76" fillId="3" borderId="0" xfId="0" applyFont="1" applyFill="1" applyBorder="1" applyAlignment="1">
      <alignment horizontal="center" vertical="center" wrapText="1"/>
    </xf>
    <xf numFmtId="0" fontId="69" fillId="3" borderId="0" xfId="0" applyFont="1" applyFill="1" applyBorder="1" applyAlignment="1">
      <alignment horizontal="left" wrapText="1"/>
    </xf>
    <xf numFmtId="43" fontId="74" fillId="3" borderId="0" xfId="0" applyNumberFormat="1" applyFont="1" applyFill="1" applyBorder="1" applyAlignment="1">
      <alignment vertical="top" wrapText="1"/>
    </xf>
    <xf numFmtId="0" fontId="67" fillId="6" borderId="0" xfId="0" applyFont="1" applyFill="1" applyBorder="1" applyAlignment="1">
      <alignment vertical="top" wrapText="1"/>
    </xf>
    <xf numFmtId="43" fontId="80" fillId="25" borderId="0" xfId="0" applyNumberFormat="1" applyFont="1" applyFill="1" applyBorder="1" applyAlignment="1">
      <alignment horizontal="center" wrapText="1"/>
    </xf>
    <xf numFmtId="41" fontId="74" fillId="6" borderId="0" xfId="0" applyNumberFormat="1" applyFont="1" applyFill="1" applyBorder="1" applyAlignment="1">
      <alignment horizontal="center" vertical="center" wrapText="1"/>
    </xf>
    <xf numFmtId="43" fontId="87" fillId="15" borderId="0" xfId="0" applyNumberFormat="1" applyFont="1" applyFill="1" applyBorder="1" applyAlignment="1">
      <alignment horizontal="center" vertical="center" wrapText="1"/>
    </xf>
    <xf numFmtId="43" fontId="77" fillId="3" borderId="0" xfId="0" applyNumberFormat="1" applyFont="1" applyFill="1" applyBorder="1" applyAlignment="1">
      <alignment horizontal="left" wrapText="1"/>
    </xf>
    <xf numFmtId="0" fontId="69" fillId="3" borderId="0" xfId="0" applyFont="1" applyFill="1" applyBorder="1" applyAlignment="1">
      <alignment horizontal="right" wrapText="1"/>
    </xf>
    <xf numFmtId="0" fontId="75" fillId="6" borderId="0" xfId="0" applyNumberFormat="1" applyFont="1" applyFill="1" applyBorder="1" applyAlignment="1">
      <alignment horizontal="right" vertical="center"/>
    </xf>
    <xf numFmtId="43" fontId="69" fillId="6" borderId="0" xfId="0" applyNumberFormat="1" applyFont="1" applyFill="1" applyBorder="1" applyAlignment="1">
      <alignment horizontal="center" vertical="center" wrapText="1"/>
    </xf>
    <xf numFmtId="0" fontId="58" fillId="3" borderId="0" xfId="0" applyFont="1" applyFill="1" applyBorder="1" applyAlignment="1">
      <alignment horizontal="left" wrapText="1"/>
    </xf>
    <xf numFmtId="0" fontId="74" fillId="3" borderId="0" xfId="0" applyFont="1" applyFill="1" applyBorder="1" applyAlignment="1">
      <alignment horizontal="left" vertical="center" wrapText="1"/>
    </xf>
    <xf numFmtId="0" fontId="76" fillId="3" borderId="0" xfId="0" applyFont="1" applyFill="1" applyBorder="1" applyAlignment="1">
      <alignment horizontal="center" vertical="center" wrapText="1"/>
    </xf>
    <xf numFmtId="0" fontId="68" fillId="3" borderId="0" xfId="0" applyFont="1" applyFill="1" applyBorder="1" applyAlignment="1">
      <alignment horizontal="right" vertical="center"/>
    </xf>
    <xf numFmtId="1" fontId="69" fillId="3" borderId="0" xfId="0" applyNumberFormat="1" applyFont="1" applyFill="1" applyBorder="1" applyAlignment="1">
      <alignment horizontal="left" vertical="center" shrinkToFit="1"/>
    </xf>
    <xf numFmtId="1" fontId="69" fillId="3" borderId="0" xfId="0" applyNumberFormat="1" applyFont="1" applyFill="1" applyBorder="1" applyAlignment="1">
      <alignment horizontal="center" vertical="center" shrinkToFit="1"/>
    </xf>
    <xf numFmtId="43" fontId="75" fillId="6" borderId="0" xfId="0" applyNumberFormat="1" applyFont="1" applyFill="1" applyBorder="1" applyAlignment="1">
      <alignment horizontal="right" vertical="center" wrapText="1"/>
    </xf>
    <xf numFmtId="173" fontId="80" fillId="9" borderId="0" xfId="0" applyNumberFormat="1" applyFont="1" applyFill="1" applyBorder="1" applyAlignment="1">
      <alignment horizontal="left" wrapText="1"/>
    </xf>
    <xf numFmtId="1" fontId="68" fillId="3" borderId="0" xfId="0" applyNumberFormat="1" applyFont="1" applyFill="1" applyBorder="1" applyAlignment="1">
      <alignment vertical="top" wrapText="1"/>
    </xf>
    <xf numFmtId="0" fontId="68" fillId="3" borderId="0" xfId="0" applyFont="1" applyFill="1" applyBorder="1" applyAlignment="1">
      <alignment vertical="top" wrapText="1"/>
    </xf>
    <xf numFmtId="0" fontId="58" fillId="2" borderId="0" xfId="0" applyFont="1" applyFill="1" applyBorder="1" applyAlignment="1">
      <alignment horizontal="center" vertical="top" wrapText="1"/>
    </xf>
    <xf numFmtId="0" fontId="58" fillId="3" borderId="0" xfId="0" applyFont="1" applyFill="1" applyBorder="1" applyAlignment="1">
      <alignment horizontal="center" vertical="top" wrapText="1"/>
    </xf>
    <xf numFmtId="1" fontId="58" fillId="6" borderId="0" xfId="0" applyNumberFormat="1" applyFont="1" applyFill="1" applyBorder="1" applyAlignment="1">
      <alignment horizontal="center" vertical="top" wrapText="1" shrinkToFit="1"/>
    </xf>
    <xf numFmtId="1" fontId="58" fillId="6" borderId="0" xfId="0" applyNumberFormat="1" applyFont="1" applyFill="1" applyBorder="1" applyAlignment="1">
      <alignment horizontal="right" vertical="top" wrapText="1" shrinkToFit="1"/>
    </xf>
    <xf numFmtId="0" fontId="65" fillId="2" borderId="0" xfId="0" applyFont="1" applyFill="1" applyBorder="1" applyAlignment="1">
      <alignment vertical="center"/>
    </xf>
    <xf numFmtId="43" fontId="75" fillId="0" borderId="0" xfId="1" applyFont="1" applyFill="1" applyBorder="1" applyAlignment="1">
      <alignment horizontal="center" vertical="top"/>
    </xf>
    <xf numFmtId="43" fontId="75" fillId="0" borderId="0" xfId="1" applyFont="1" applyFill="1" applyBorder="1" applyAlignment="1">
      <alignment horizontal="center" vertical="top" wrapText="1"/>
    </xf>
    <xf numFmtId="2" fontId="75" fillId="6" borderId="0" xfId="0" applyNumberFormat="1" applyFont="1" applyFill="1" applyBorder="1" applyAlignment="1">
      <alignment horizontal="right" vertical="center"/>
    </xf>
    <xf numFmtId="0" fontId="58" fillId="6" borderId="0" xfId="0" applyFont="1" applyFill="1" applyBorder="1" applyAlignment="1">
      <alignment horizontal="center" vertical="center"/>
    </xf>
    <xf numFmtId="43" fontId="74" fillId="6" borderId="0" xfId="0" applyNumberFormat="1" applyFont="1" applyFill="1" applyBorder="1" applyAlignment="1">
      <alignment horizontal="center" vertical="center" wrapText="1"/>
    </xf>
    <xf numFmtId="2" fontId="75" fillId="6" borderId="0" xfId="0" applyNumberFormat="1" applyFont="1" applyFill="1" applyBorder="1" applyAlignment="1">
      <alignment horizontal="left" vertical="center"/>
    </xf>
    <xf numFmtId="43" fontId="78" fillId="6" borderId="0" xfId="1" applyNumberFormat="1" applyFont="1" applyFill="1" applyBorder="1" applyAlignment="1">
      <alignment horizontal="center" vertical="top" shrinkToFit="1"/>
    </xf>
    <xf numFmtId="0" fontId="69" fillId="6" borderId="0" xfId="0" applyFont="1" applyFill="1" applyBorder="1" applyAlignment="1">
      <alignment horizontal="center" vertical="center"/>
    </xf>
    <xf numFmtId="43" fontId="84" fillId="3" borderId="0" xfId="0" applyNumberFormat="1" applyFont="1" applyFill="1" applyBorder="1" applyAlignment="1">
      <alignment horizontal="left" wrapText="1"/>
    </xf>
    <xf numFmtId="43" fontId="66" fillId="3" borderId="0" xfId="0" applyNumberFormat="1" applyFont="1" applyFill="1" applyBorder="1" applyAlignment="1">
      <alignment vertical="top" wrapText="1"/>
    </xf>
    <xf numFmtId="0" fontId="76" fillId="3" borderId="0" xfId="0" applyFont="1" applyFill="1" applyBorder="1" applyAlignment="1">
      <alignment horizontal="right" vertical="top" wrapText="1"/>
    </xf>
    <xf numFmtId="43" fontId="63" fillId="25" borderId="0" xfId="0" applyNumberFormat="1" applyFont="1" applyFill="1" applyBorder="1" applyAlignment="1">
      <alignment vertical="top" wrapText="1"/>
    </xf>
    <xf numFmtId="0" fontId="92" fillId="3" borderId="0" xfId="0" applyFont="1" applyFill="1" applyBorder="1" applyAlignment="1">
      <alignment horizontal="left" vertical="top"/>
    </xf>
    <xf numFmtId="166" fontId="69" fillId="0" borderId="0" xfId="0" applyNumberFormat="1" applyFont="1" applyFill="1" applyBorder="1" applyAlignment="1">
      <alignment horizontal="center" wrapText="1"/>
    </xf>
    <xf numFmtId="2" fontId="69" fillId="3" borderId="0" xfId="0" applyNumberFormat="1" applyFont="1" applyFill="1" applyBorder="1" applyAlignment="1">
      <alignment horizontal="center" vertical="center" shrinkToFit="1"/>
    </xf>
    <xf numFmtId="0" fontId="86" fillId="3" borderId="0" xfId="1" applyNumberFormat="1" applyFont="1" applyFill="1" applyBorder="1" applyAlignment="1">
      <alignment horizontal="center" vertical="center" wrapText="1"/>
    </xf>
    <xf numFmtId="166" fontId="69" fillId="0" borderId="0" xfId="0" applyNumberFormat="1" applyFont="1" applyFill="1" applyBorder="1" applyAlignment="1">
      <alignment horizontal="center" vertical="center" shrinkToFit="1"/>
    </xf>
    <xf numFmtId="172" fontId="69" fillId="0" borderId="0" xfId="0" applyNumberFormat="1" applyFont="1" applyFill="1" applyBorder="1" applyAlignment="1">
      <alignment horizontal="left" wrapText="1"/>
    </xf>
    <xf numFmtId="0" fontId="39" fillId="0" borderId="0" xfId="3" applyFill="1" applyBorder="1" applyAlignment="1">
      <alignment horizontal="left" vertical="top"/>
    </xf>
    <xf numFmtId="171" fontId="69" fillId="6" borderId="0" xfId="0" applyNumberFormat="1" applyFont="1" applyFill="1" applyBorder="1" applyAlignment="1">
      <alignment horizontal="center" vertical="center" shrinkToFit="1"/>
    </xf>
    <xf numFmtId="1" fontId="99" fillId="6" borderId="0" xfId="0" applyNumberFormat="1" applyFont="1" applyFill="1" applyBorder="1" applyAlignment="1">
      <alignment horizontal="left" vertical="center" indent="1" shrinkToFit="1"/>
    </xf>
    <xf numFmtId="0" fontId="74" fillId="3" borderId="0" xfId="0" applyFont="1" applyFill="1" applyBorder="1" applyAlignment="1">
      <alignment horizontal="left" vertical="center" wrapText="1"/>
    </xf>
    <xf numFmtId="0" fontId="69" fillId="3" borderId="0" xfId="0" applyFont="1" applyFill="1" applyBorder="1" applyAlignment="1">
      <alignment horizontal="left" wrapText="1"/>
    </xf>
    <xf numFmtId="0" fontId="65" fillId="2" borderId="0" xfId="0" applyFont="1" applyFill="1" applyBorder="1" applyAlignment="1">
      <alignment horizontal="left" wrapText="1"/>
    </xf>
    <xf numFmtId="0" fontId="74" fillId="5" borderId="0" xfId="0" applyFont="1" applyFill="1" applyBorder="1" applyAlignment="1">
      <alignment vertical="center"/>
    </xf>
    <xf numFmtId="0" fontId="74" fillId="5" borderId="30" xfId="0" applyFont="1" applyFill="1" applyBorder="1" applyAlignment="1">
      <alignment vertical="center"/>
    </xf>
    <xf numFmtId="0" fontId="74" fillId="5" borderId="29" xfId="0" applyFont="1" applyFill="1" applyBorder="1" applyAlignment="1">
      <alignment vertical="center"/>
    </xf>
    <xf numFmtId="0" fontId="74" fillId="5" borderId="31" xfId="0" applyFont="1" applyFill="1" applyBorder="1" applyAlignment="1">
      <alignment vertical="center"/>
    </xf>
    <xf numFmtId="0" fontId="74" fillId="5" borderId="18" xfId="0" applyFont="1" applyFill="1" applyBorder="1" applyAlignment="1">
      <alignment vertical="center"/>
    </xf>
    <xf numFmtId="0" fontId="74" fillId="5" borderId="7" xfId="0" applyFont="1" applyFill="1" applyBorder="1" applyAlignment="1">
      <alignment vertical="center"/>
    </xf>
    <xf numFmtId="0" fontId="74" fillId="5" borderId="19" xfId="0" applyFont="1" applyFill="1" applyBorder="1" applyAlignment="1">
      <alignment vertical="center"/>
    </xf>
    <xf numFmtId="0" fontId="58" fillId="5" borderId="21" xfId="0" applyFont="1" applyFill="1" applyBorder="1" applyAlignment="1">
      <alignment horizontal="center" vertical="center"/>
    </xf>
    <xf numFmtId="0" fontId="74" fillId="5" borderId="16" xfId="0" applyFont="1" applyFill="1" applyBorder="1" applyAlignment="1">
      <alignment vertical="center"/>
    </xf>
    <xf numFmtId="0" fontId="74" fillId="5" borderId="22" xfId="0" applyFont="1" applyFill="1" applyBorder="1" applyAlignment="1">
      <alignment vertical="center"/>
    </xf>
    <xf numFmtId="0" fontId="58" fillId="5" borderId="5" xfId="0" applyFont="1" applyFill="1" applyBorder="1" applyAlignment="1">
      <alignment horizontal="center" vertical="center"/>
    </xf>
    <xf numFmtId="0" fontId="74" fillId="5" borderId="20" xfId="0" applyFont="1" applyFill="1" applyBorder="1" applyAlignment="1">
      <alignment vertical="center"/>
    </xf>
    <xf numFmtId="0" fontId="74" fillId="5" borderId="21" xfId="0" applyFont="1" applyFill="1" applyBorder="1" applyAlignment="1">
      <alignment vertical="center"/>
    </xf>
    <xf numFmtId="43" fontId="84" fillId="3" borderId="0" xfId="0" applyNumberFormat="1" applyFont="1" applyFill="1" applyBorder="1" applyAlignment="1">
      <alignment horizontal="center" vertical="center" shrinkToFit="1"/>
    </xf>
    <xf numFmtId="0" fontId="69" fillId="3" borderId="0" xfId="0" applyFont="1" applyFill="1" applyBorder="1" applyAlignment="1">
      <alignment horizontal="left" wrapText="1"/>
    </xf>
    <xf numFmtId="43" fontId="80" fillId="34" borderId="0" xfId="0" applyNumberFormat="1" applyFont="1" applyFill="1" applyBorder="1" applyAlignment="1">
      <alignment horizontal="center" vertical="center" wrapText="1"/>
    </xf>
    <xf numFmtId="0" fontId="69" fillId="3" borderId="0" xfId="0" applyFont="1" applyFill="1" applyBorder="1" applyAlignment="1">
      <alignment horizontal="left" wrapText="1"/>
    </xf>
    <xf numFmtId="43" fontId="69" fillId="0" borderId="0" xfId="0" applyNumberFormat="1" applyFont="1" applyAlignment="1">
      <alignment horizontal="right" wrapText="1"/>
    </xf>
    <xf numFmtId="1" fontId="69" fillId="6" borderId="0" xfId="0" applyNumberFormat="1" applyFont="1" applyFill="1" applyBorder="1" applyAlignment="1">
      <alignment vertical="center" shrinkToFit="1"/>
    </xf>
    <xf numFmtId="0" fontId="58" fillId="2" borderId="0" xfId="0" applyFont="1" applyFill="1" applyBorder="1" applyAlignment="1">
      <alignment horizontal="left" vertical="top" wrapText="1"/>
    </xf>
    <xf numFmtId="0" fontId="58" fillId="2" borderId="0" xfId="0" applyFont="1" applyFill="1" applyBorder="1" applyAlignment="1">
      <alignment horizontal="left" wrapText="1"/>
    </xf>
    <xf numFmtId="0" fontId="58" fillId="3" borderId="0" xfId="0" applyFont="1" applyFill="1" applyBorder="1" applyAlignment="1">
      <alignment horizontal="left" wrapText="1"/>
    </xf>
    <xf numFmtId="43" fontId="64" fillId="2" borderId="0" xfId="0" applyNumberFormat="1" applyFont="1" applyFill="1" applyBorder="1" applyAlignment="1">
      <alignment vertical="top" wrapText="1"/>
    </xf>
    <xf numFmtId="172" fontId="78" fillId="0" borderId="0" xfId="1" applyNumberFormat="1" applyFont="1" applyFill="1" applyBorder="1" applyAlignment="1">
      <alignment horizontal="right" vertical="center" shrinkToFit="1"/>
    </xf>
    <xf numFmtId="172" fontId="69" fillId="0" borderId="0" xfId="1" applyNumberFormat="1" applyFont="1" applyFill="1" applyBorder="1" applyAlignment="1">
      <alignment horizontal="center" vertical="center" shrinkToFit="1"/>
    </xf>
    <xf numFmtId="43" fontId="74" fillId="3" borderId="0" xfId="0" applyNumberFormat="1" applyFont="1" applyFill="1" applyBorder="1" applyAlignment="1">
      <alignment horizontal="left" vertical="center" wrapText="1"/>
    </xf>
    <xf numFmtId="0" fontId="80" fillId="5" borderId="0" xfId="0" applyFont="1" applyFill="1" applyBorder="1" applyAlignment="1">
      <alignment horizontal="left" vertical="top"/>
    </xf>
    <xf numFmtId="0" fontId="95" fillId="5" borderId="0" xfId="0" applyFont="1" applyFill="1" applyBorder="1" applyAlignment="1">
      <alignment horizontal="left" vertical="top"/>
    </xf>
    <xf numFmtId="0" fontId="95" fillId="5" borderId="0" xfId="0" applyFont="1" applyFill="1" applyBorder="1" applyAlignment="1">
      <alignment horizontal="center" vertical="top"/>
    </xf>
    <xf numFmtId="2" fontId="95" fillId="5" borderId="0" xfId="0" applyNumberFormat="1" applyFont="1" applyFill="1" applyBorder="1" applyAlignment="1">
      <alignment horizontal="left" vertical="top"/>
    </xf>
    <xf numFmtId="43" fontId="80" fillId="5" borderId="0" xfId="0" applyNumberFormat="1" applyFont="1" applyFill="1" applyBorder="1" applyAlignment="1">
      <alignment horizontal="left" vertical="top"/>
    </xf>
    <xf numFmtId="43" fontId="95" fillId="5" borderId="0" xfId="0" applyNumberFormat="1" applyFont="1" applyFill="1" applyBorder="1" applyAlignment="1">
      <alignment horizontal="left" vertical="top"/>
    </xf>
    <xf numFmtId="0" fontId="80" fillId="5" borderId="0" xfId="0" applyFont="1" applyFill="1" applyBorder="1" applyAlignment="1">
      <alignment horizontal="center" vertical="top"/>
    </xf>
    <xf numFmtId="0" fontId="75" fillId="3" borderId="0" xfId="0" applyFont="1" applyFill="1" applyBorder="1" applyAlignment="1">
      <alignment horizontal="right" vertical="top" wrapText="1"/>
    </xf>
    <xf numFmtId="0" fontId="54" fillId="0" borderId="0" xfId="0" applyFont="1" applyFill="1" applyBorder="1" applyAlignment="1">
      <alignment horizontal="left" vertical="top"/>
    </xf>
    <xf numFmtId="0" fontId="54" fillId="0" borderId="0" xfId="0" applyFont="1" applyFill="1" applyBorder="1" applyAlignment="1">
      <alignment horizontal="right" vertical="top"/>
    </xf>
    <xf numFmtId="0" fontId="54" fillId="0" borderId="0" xfId="0" applyFont="1" applyFill="1" applyBorder="1" applyAlignment="1">
      <alignment horizontal="center" vertical="top"/>
    </xf>
    <xf numFmtId="0" fontId="105" fillId="32" borderId="0" xfId="0" applyFont="1" applyFill="1" applyBorder="1" applyAlignment="1">
      <alignment horizontal="center" vertical="top"/>
    </xf>
    <xf numFmtId="0" fontId="54" fillId="32" borderId="0" xfId="0" applyFont="1" applyFill="1" applyBorder="1" applyAlignment="1">
      <alignment horizontal="center" vertical="top"/>
    </xf>
    <xf numFmtId="0" fontId="106" fillId="32" borderId="0" xfId="0" applyFont="1" applyFill="1" applyBorder="1" applyAlignment="1">
      <alignment horizontal="center" vertical="top"/>
    </xf>
    <xf numFmtId="0" fontId="55" fillId="32" borderId="0" xfId="0" applyFont="1" applyFill="1" applyBorder="1" applyAlignment="1">
      <alignment horizontal="center" vertical="top"/>
    </xf>
    <xf numFmtId="0" fontId="105" fillId="32" borderId="11" xfId="0" applyFont="1" applyFill="1" applyBorder="1" applyAlignment="1">
      <alignment horizontal="left" vertical="top"/>
    </xf>
    <xf numFmtId="0" fontId="54" fillId="0" borderId="12" xfId="0" applyFont="1" applyFill="1" applyBorder="1" applyAlignment="1">
      <alignment horizontal="center" vertical="top"/>
    </xf>
    <xf numFmtId="0" fontId="106" fillId="32" borderId="11" xfId="0" applyFont="1" applyFill="1" applyBorder="1" applyAlignment="1">
      <alignment horizontal="left" vertical="top"/>
    </xf>
    <xf numFmtId="0" fontId="54" fillId="32" borderId="11" xfId="0" applyFont="1" applyFill="1" applyBorder="1" applyAlignment="1">
      <alignment horizontal="left" vertical="top"/>
    </xf>
    <xf numFmtId="0" fontId="54" fillId="0" borderId="11" xfId="0" applyFont="1" applyFill="1" applyBorder="1" applyAlignment="1">
      <alignment horizontal="left" vertical="top"/>
    </xf>
    <xf numFmtId="0" fontId="105" fillId="0" borderId="11" xfId="0" applyFont="1" applyFill="1" applyBorder="1" applyAlignment="1">
      <alignment horizontal="left" vertical="top"/>
    </xf>
    <xf numFmtId="0" fontId="54" fillId="32" borderId="12" xfId="0" applyFont="1" applyFill="1" applyBorder="1" applyAlignment="1">
      <alignment horizontal="center" vertical="top"/>
    </xf>
    <xf numFmtId="0" fontId="55" fillId="32" borderId="11" xfId="0" applyFont="1" applyFill="1" applyBorder="1" applyAlignment="1">
      <alignment horizontal="left" vertical="top"/>
    </xf>
    <xf numFmtId="0" fontId="54" fillId="0" borderId="23" xfId="0" applyFont="1" applyFill="1" applyBorder="1" applyAlignment="1">
      <alignment horizontal="left" vertical="top"/>
    </xf>
    <xf numFmtId="0" fontId="54" fillId="0" borderId="24" xfId="0" applyFont="1" applyFill="1" applyBorder="1" applyAlignment="1">
      <alignment horizontal="center" vertical="top"/>
    </xf>
    <xf numFmtId="0" fontId="54" fillId="0" borderId="25" xfId="0" applyFont="1" applyFill="1" applyBorder="1" applyAlignment="1">
      <alignment horizontal="center" vertical="top"/>
    </xf>
    <xf numFmtId="0" fontId="105" fillId="0" borderId="36" xfId="0" applyFont="1" applyFill="1" applyBorder="1" applyAlignment="1">
      <alignment horizontal="left" vertical="top"/>
    </xf>
    <xf numFmtId="0" fontId="105" fillId="0" borderId="37" xfId="0" applyFont="1" applyFill="1" applyBorder="1" applyAlignment="1">
      <alignment horizontal="center" vertical="top"/>
    </xf>
    <xf numFmtId="0" fontId="105" fillId="0" borderId="38" xfId="0" applyFont="1" applyFill="1" applyBorder="1" applyAlignment="1">
      <alignment horizontal="center" vertical="top"/>
    </xf>
    <xf numFmtId="165" fontId="54" fillId="0" borderId="0" xfId="0" applyNumberFormat="1" applyFont="1" applyFill="1" applyBorder="1" applyAlignment="1">
      <alignment horizontal="center" vertical="top"/>
    </xf>
    <xf numFmtId="11" fontId="54" fillId="0" borderId="0" xfId="0" applyNumberFormat="1" applyFont="1" applyFill="1" applyBorder="1" applyAlignment="1">
      <alignment horizontal="left" vertical="top"/>
    </xf>
    <xf numFmtId="43" fontId="93" fillId="6" borderId="0" xfId="0" applyNumberFormat="1" applyFont="1" applyFill="1" applyBorder="1" applyAlignment="1">
      <alignment horizontal="center" vertical="center"/>
    </xf>
    <xf numFmtId="0" fontId="74" fillId="3" borderId="0" xfId="0" applyFont="1" applyFill="1" applyBorder="1" applyAlignment="1">
      <alignment horizontal="left" vertical="center" wrapText="1"/>
    </xf>
    <xf numFmtId="43" fontId="75" fillId="3" borderId="0" xfId="0" applyNumberFormat="1" applyFont="1" applyFill="1" applyBorder="1" applyAlignment="1">
      <alignment horizontal="left" wrapText="1"/>
    </xf>
    <xf numFmtId="43" fontId="69" fillId="0" borderId="0" xfId="0" applyNumberFormat="1" applyFont="1" applyFill="1" applyBorder="1" applyAlignment="1">
      <alignment horizontal="right" vertical="center" shrinkToFit="1"/>
    </xf>
    <xf numFmtId="0" fontId="58" fillId="2" borderId="0" xfId="0" applyFont="1" applyFill="1" applyBorder="1" applyAlignment="1">
      <alignment horizontal="center" vertical="center" wrapText="1"/>
    </xf>
    <xf numFmtId="0" fontId="58" fillId="2" borderId="0" xfId="0" applyFont="1" applyFill="1" applyBorder="1" applyAlignment="1">
      <alignment horizontal="left" vertical="top" wrapText="1"/>
    </xf>
    <xf numFmtId="0" fontId="60" fillId="6" borderId="0" xfId="0" applyFont="1" applyFill="1" applyBorder="1" applyAlignment="1">
      <alignment horizontal="center" vertical="top" wrapText="1"/>
    </xf>
    <xf numFmtId="0" fontId="74" fillId="3" borderId="0" xfId="0" applyFont="1" applyFill="1" applyBorder="1" applyAlignment="1">
      <alignment vertical="top"/>
    </xf>
    <xf numFmtId="0" fontId="75" fillId="3" borderId="0" xfId="0" applyFont="1" applyFill="1" applyBorder="1" applyAlignment="1">
      <alignment horizontal="right" vertical="top"/>
    </xf>
    <xf numFmtId="0" fontId="82" fillId="3" borderId="0" xfId="0" applyFont="1" applyFill="1" applyBorder="1" applyAlignment="1">
      <alignment horizontal="left"/>
    </xf>
    <xf numFmtId="0" fontId="74" fillId="3" borderId="0" xfId="0" applyFont="1" applyFill="1" applyBorder="1" applyAlignment="1">
      <alignment horizontal="right" vertical="top"/>
    </xf>
    <xf numFmtId="0" fontId="53" fillId="5" borderId="0" xfId="0" applyFont="1" applyFill="1"/>
    <xf numFmtId="0" fontId="53" fillId="5" borderId="0" xfId="0" applyFont="1" applyFill="1" applyBorder="1" applyAlignment="1">
      <alignment horizontal="left" vertical="top"/>
    </xf>
    <xf numFmtId="0" fontId="53" fillId="5" borderId="0" xfId="0" applyFont="1" applyFill="1" applyBorder="1" applyAlignment="1">
      <alignment horizontal="center" vertical="top"/>
    </xf>
    <xf numFmtId="0" fontId="100" fillId="5" borderId="0" xfId="0" applyFont="1" applyFill="1" applyBorder="1" applyAlignment="1">
      <alignment horizontal="left" vertical="top"/>
    </xf>
    <xf numFmtId="43" fontId="53" fillId="5" borderId="0" xfId="0" applyNumberFormat="1" applyFont="1" applyFill="1" applyBorder="1" applyAlignment="1">
      <alignment horizontal="left" vertical="top"/>
    </xf>
    <xf numFmtId="166" fontId="53" fillId="5" borderId="0" xfId="0" applyNumberFormat="1" applyFont="1" applyFill="1" applyBorder="1" applyAlignment="1">
      <alignment horizontal="left" vertical="top"/>
    </xf>
    <xf numFmtId="43" fontId="69" fillId="6" borderId="0" xfId="4" applyNumberFormat="1" applyFont="1" applyFill="1" applyBorder="1" applyAlignment="1">
      <alignment horizontal="center" wrapText="1"/>
    </xf>
    <xf numFmtId="0" fontId="115" fillId="5" borderId="0" xfId="0" applyFont="1" applyFill="1" applyBorder="1" applyAlignment="1">
      <alignment horizontal="left"/>
    </xf>
    <xf numFmtId="172" fontId="75" fillId="6" borderId="0" xfId="0" applyNumberFormat="1" applyFont="1" applyFill="1" applyBorder="1" applyAlignment="1">
      <alignment horizontal="left" vertical="top" wrapText="1"/>
    </xf>
    <xf numFmtId="171" fontId="75" fillId="6" borderId="0" xfId="0" applyNumberFormat="1" applyFont="1" applyFill="1" applyBorder="1" applyAlignment="1">
      <alignment horizontal="left" vertical="top" wrapText="1"/>
    </xf>
    <xf numFmtId="43" fontId="58" fillId="5" borderId="0" xfId="0" applyNumberFormat="1" applyFont="1" applyFill="1" applyBorder="1" applyAlignment="1">
      <alignment horizontal="left" vertical="top"/>
    </xf>
    <xf numFmtId="2" fontId="69" fillId="3" borderId="0" xfId="0" applyNumberFormat="1" applyFont="1" applyFill="1" applyBorder="1" applyAlignment="1">
      <alignment horizontal="left" wrapText="1"/>
    </xf>
    <xf numFmtId="0" fontId="69" fillId="3" borderId="0" xfId="0" applyFont="1" applyFill="1" applyBorder="1" applyAlignment="1">
      <alignment horizontal="left" wrapText="1"/>
    </xf>
    <xf numFmtId="0" fontId="69" fillId="3" borderId="0" xfId="0" applyFont="1" applyFill="1" applyBorder="1" applyAlignment="1">
      <alignment horizontal="center" wrapText="1"/>
    </xf>
    <xf numFmtId="43" fontId="75" fillId="3" borderId="0" xfId="0" applyNumberFormat="1" applyFont="1" applyFill="1" applyBorder="1" applyAlignment="1">
      <alignment horizontal="right" wrapText="1"/>
    </xf>
    <xf numFmtId="11" fontId="69" fillId="5" borderId="0" xfId="0" applyNumberFormat="1" applyFont="1" applyFill="1" applyBorder="1" applyAlignment="1">
      <alignment horizontal="left"/>
    </xf>
    <xf numFmtId="0" fontId="103" fillId="5" borderId="0" xfId="0" applyFont="1" applyFill="1" applyBorder="1" applyAlignment="1">
      <alignment horizontal="right" vertical="top"/>
    </xf>
    <xf numFmtId="2" fontId="103" fillId="5" borderId="0" xfId="0" applyNumberFormat="1" applyFont="1" applyFill="1" applyBorder="1" applyAlignment="1">
      <alignment horizontal="right" vertical="top"/>
    </xf>
    <xf numFmtId="0" fontId="103" fillId="5" borderId="0" xfId="0" applyFont="1" applyFill="1" applyBorder="1" applyAlignment="1">
      <alignment horizontal="left" vertical="top"/>
    </xf>
    <xf numFmtId="2" fontId="103" fillId="5" borderId="0" xfId="0" applyNumberFormat="1" applyFont="1" applyFill="1" applyBorder="1" applyAlignment="1">
      <alignment horizontal="left" vertical="top"/>
    </xf>
    <xf numFmtId="0" fontId="111" fillId="5" borderId="0" xfId="0" applyFont="1" applyFill="1" applyBorder="1" applyAlignment="1">
      <alignment horizontal="right" vertical="top"/>
    </xf>
    <xf numFmtId="0" fontId="53" fillId="5" borderId="0" xfId="0" applyFont="1" applyFill="1" applyBorder="1" applyAlignment="1">
      <alignment horizontal="right" vertical="top"/>
    </xf>
    <xf numFmtId="0" fontId="53" fillId="5" borderId="0" xfId="0" applyFont="1" applyFill="1" applyBorder="1" applyAlignment="1">
      <alignment horizontal="left" vertical="center"/>
    </xf>
    <xf numFmtId="11" fontId="103" fillId="5" borderId="0" xfId="0" applyNumberFormat="1" applyFont="1" applyFill="1" applyBorder="1" applyAlignment="1">
      <alignment horizontal="right" vertical="top"/>
    </xf>
    <xf numFmtId="11" fontId="100" fillId="5" borderId="0" xfId="0" applyNumberFormat="1" applyFont="1" applyFill="1" applyBorder="1" applyAlignment="1">
      <alignment horizontal="right" vertical="top"/>
    </xf>
    <xf numFmtId="11" fontId="103" fillId="5" borderId="0" xfId="0" applyNumberFormat="1" applyFont="1" applyFill="1" applyBorder="1" applyAlignment="1">
      <alignment horizontal="left" vertical="top"/>
    </xf>
    <xf numFmtId="165" fontId="103" fillId="5" borderId="0" xfId="0" applyNumberFormat="1" applyFont="1" applyFill="1" applyBorder="1" applyAlignment="1">
      <alignment horizontal="right" vertical="top"/>
    </xf>
    <xf numFmtId="0" fontId="69" fillId="3" borderId="0" xfId="0" applyFont="1" applyFill="1" applyBorder="1" applyAlignment="1">
      <alignment horizontal="left" wrapText="1"/>
    </xf>
    <xf numFmtId="43" fontId="81" fillId="25" borderId="0" xfId="4" applyNumberFormat="1" applyFont="1" applyFill="1" applyBorder="1" applyAlignment="1">
      <alignment vertical="top" wrapText="1"/>
    </xf>
    <xf numFmtId="175" fontId="69" fillId="3" borderId="0" xfId="6" applyNumberFormat="1" applyFont="1" applyFill="1" applyBorder="1" applyAlignment="1">
      <alignment horizontal="left" wrapText="1"/>
    </xf>
    <xf numFmtId="43" fontId="75" fillId="7" borderId="0" xfId="0" applyNumberFormat="1" applyFont="1" applyFill="1" applyBorder="1" applyAlignment="1">
      <alignment horizontal="center" vertical="center" wrapText="1"/>
    </xf>
    <xf numFmtId="43" fontId="74" fillId="7" borderId="0" xfId="0" applyNumberFormat="1" applyFont="1" applyFill="1" applyBorder="1" applyAlignment="1">
      <alignment horizontal="center" vertical="center" wrapText="1"/>
    </xf>
    <xf numFmtId="43" fontId="69" fillId="7" borderId="0" xfId="0" applyNumberFormat="1" applyFont="1" applyFill="1" applyBorder="1" applyAlignment="1">
      <alignment horizontal="center" wrapText="1"/>
    </xf>
    <xf numFmtId="166" fontId="69" fillId="7" borderId="0" xfId="0" applyNumberFormat="1" applyFont="1" applyFill="1" applyBorder="1" applyAlignment="1">
      <alignment horizontal="center" wrapText="1"/>
    </xf>
    <xf numFmtId="43" fontId="75" fillId="0" borderId="0" xfId="4" applyNumberFormat="1" applyFont="1" applyFill="1" applyBorder="1" applyAlignment="1">
      <alignment horizontal="center" vertical="top" wrapText="1"/>
    </xf>
    <xf numFmtId="43" fontId="74" fillId="0" borderId="0" xfId="4" applyNumberFormat="1" applyFont="1" applyFill="1" applyBorder="1" applyAlignment="1">
      <alignment horizontal="center" vertical="top" wrapText="1"/>
    </xf>
    <xf numFmtId="43" fontId="117" fillId="6" borderId="0" xfId="0" applyNumberFormat="1" applyFont="1" applyFill="1" applyBorder="1" applyAlignment="1">
      <alignment vertical="center" wrapText="1"/>
    </xf>
    <xf numFmtId="43" fontId="69" fillId="0" borderId="0" xfId="0" applyNumberFormat="1" applyFont="1" applyFill="1" applyBorder="1" applyAlignment="1">
      <alignment horizontal="left" vertical="center" wrapText="1"/>
    </xf>
    <xf numFmtId="172" fontId="69" fillId="0" borderId="0" xfId="0" applyNumberFormat="1" applyFont="1" applyFill="1" applyBorder="1" applyAlignment="1">
      <alignment horizontal="center" vertical="center" wrapText="1"/>
    </xf>
    <xf numFmtId="43" fontId="78" fillId="7" borderId="0" xfId="1" applyFont="1" applyFill="1" applyBorder="1" applyAlignment="1">
      <alignment horizontal="right" vertical="top" wrapText="1" indent="2"/>
    </xf>
    <xf numFmtId="172" fontId="58" fillId="6" borderId="0" xfId="0" applyNumberFormat="1" applyFont="1" applyFill="1" applyBorder="1" applyAlignment="1">
      <alignment horizontal="center" vertical="center"/>
    </xf>
    <xf numFmtId="9" fontId="53" fillId="5" borderId="0" xfId="6" applyFont="1" applyFill="1" applyBorder="1" applyAlignment="1">
      <alignment horizontal="left" vertical="top"/>
    </xf>
    <xf numFmtId="0" fontId="47" fillId="5" borderId="23" xfId="0" applyFont="1" applyFill="1" applyBorder="1" applyAlignment="1">
      <alignment horizontal="left"/>
    </xf>
    <xf numFmtId="0" fontId="47" fillId="5" borderId="24" xfId="0" applyFont="1" applyFill="1" applyBorder="1"/>
    <xf numFmtId="0" fontId="49" fillId="5" borderId="24" xfId="0" applyFont="1" applyFill="1" applyBorder="1"/>
    <xf numFmtId="0" fontId="53" fillId="5" borderId="24" xfId="0" applyFont="1" applyFill="1" applyBorder="1" applyAlignment="1">
      <alignment horizontal="left" vertical="top"/>
    </xf>
    <xf numFmtId="0" fontId="53" fillId="5" borderId="24" xfId="0" applyFont="1" applyFill="1" applyBorder="1" applyAlignment="1">
      <alignment horizontal="center" vertical="top"/>
    </xf>
    <xf numFmtId="0" fontId="97" fillId="5" borderId="0" xfId="0" applyFont="1" applyFill="1" applyBorder="1" applyAlignment="1">
      <alignment horizontal="left" vertical="top"/>
    </xf>
    <xf numFmtId="0" fontId="97" fillId="5" borderId="0" xfId="0" applyFont="1" applyFill="1" applyBorder="1" applyAlignment="1">
      <alignment horizontal="center"/>
    </xf>
    <xf numFmtId="0" fontId="114" fillId="5" borderId="0" xfId="0" applyFont="1" applyFill="1" applyBorder="1" applyAlignment="1">
      <alignment horizontal="right" vertical="top"/>
    </xf>
    <xf numFmtId="2" fontId="114" fillId="5" borderId="0" xfId="0" applyNumberFormat="1" applyFont="1" applyFill="1" applyBorder="1" applyAlignment="1">
      <alignment horizontal="right" vertical="top"/>
    </xf>
    <xf numFmtId="0" fontId="114" fillId="5" borderId="0" xfId="0" applyFont="1" applyFill="1" applyBorder="1" applyAlignment="1">
      <alignment horizontal="left" vertical="top"/>
    </xf>
    <xf numFmtId="171" fontId="69" fillId="31" borderId="0" xfId="0" applyNumberFormat="1" applyFont="1" applyFill="1" applyBorder="1" applyAlignment="1">
      <alignment horizontal="center" vertical="center" shrinkToFit="1"/>
    </xf>
    <xf numFmtId="171" fontId="74" fillId="7" borderId="0" xfId="0" applyNumberFormat="1" applyFont="1" applyFill="1" applyBorder="1" applyAlignment="1">
      <alignment horizontal="right" vertical="center" wrapText="1"/>
    </xf>
    <xf numFmtId="43" fontId="75" fillId="7" borderId="0" xfId="0" applyNumberFormat="1" applyFont="1" applyFill="1" applyBorder="1" applyAlignment="1">
      <alignment horizontal="left" vertical="top" wrapText="1"/>
    </xf>
    <xf numFmtId="43" fontId="74" fillId="7" borderId="0" xfId="0" applyNumberFormat="1" applyFont="1" applyFill="1" applyBorder="1" applyAlignment="1">
      <alignment vertical="top" wrapText="1"/>
    </xf>
    <xf numFmtId="43" fontId="67" fillId="7" borderId="0" xfId="0" applyNumberFormat="1" applyFont="1" applyFill="1" applyBorder="1" applyAlignment="1">
      <alignment horizontal="center" vertical="top" wrapText="1"/>
    </xf>
    <xf numFmtId="0" fontId="100" fillId="5" borderId="0" xfId="0" applyFont="1" applyFill="1" applyBorder="1" applyAlignment="1">
      <alignment horizontal="center" vertical="top"/>
    </xf>
    <xf numFmtId="2" fontId="74" fillId="3" borderId="0" xfId="0" applyNumberFormat="1" applyFont="1" applyFill="1" applyBorder="1" applyAlignment="1">
      <alignment horizontal="right" wrapText="1"/>
    </xf>
    <xf numFmtId="0" fontId="47" fillId="5" borderId="36" xfId="0" applyFont="1" applyFill="1" applyBorder="1"/>
    <xf numFmtId="0" fontId="97" fillId="5" borderId="36" xfId="0" applyFont="1" applyFill="1" applyBorder="1" applyAlignment="1">
      <alignment horizontal="right"/>
    </xf>
    <xf numFmtId="0" fontId="53" fillId="5" borderId="37" xfId="0" applyFont="1" applyFill="1" applyBorder="1"/>
    <xf numFmtId="0" fontId="53" fillId="5" borderId="37" xfId="0" applyFont="1" applyFill="1" applyBorder="1" applyAlignment="1">
      <alignment horizontal="right" vertical="top"/>
    </xf>
    <xf numFmtId="0" fontId="100" fillId="5" borderId="37" xfId="0" applyFont="1" applyFill="1" applyBorder="1" applyAlignment="1">
      <alignment horizontal="left" vertical="top"/>
    </xf>
    <xf numFmtId="0" fontId="53" fillId="5" borderId="38" xfId="0" applyFont="1" applyFill="1" applyBorder="1" applyAlignment="1">
      <alignment horizontal="right" vertical="top"/>
    </xf>
    <xf numFmtId="0" fontId="47" fillId="5" borderId="11" xfId="0" applyFont="1" applyFill="1" applyBorder="1"/>
    <xf numFmtId="0" fontId="97" fillId="5" borderId="0" xfId="0" applyFont="1" applyFill="1" applyBorder="1" applyAlignment="1">
      <alignment horizontal="right"/>
    </xf>
    <xf numFmtId="0" fontId="53" fillId="5" borderId="0" xfId="0" applyFont="1" applyFill="1" applyBorder="1"/>
    <xf numFmtId="11" fontId="53" fillId="5" borderId="7" xfId="0" applyNumberFormat="1" applyFont="1" applyFill="1" applyBorder="1" applyAlignment="1">
      <alignment horizontal="right"/>
    </xf>
    <xf numFmtId="0" fontId="53" fillId="5" borderId="7" xfId="0" applyFont="1" applyFill="1" applyBorder="1"/>
    <xf numFmtId="0" fontId="53" fillId="5" borderId="12" xfId="0" applyFont="1" applyFill="1" applyBorder="1" applyAlignment="1">
      <alignment horizontal="right" vertical="top"/>
    </xf>
    <xf numFmtId="11" fontId="53" fillId="5" borderId="0" xfId="0" applyNumberFormat="1" applyFont="1" applyFill="1" applyBorder="1" applyAlignment="1">
      <alignment horizontal="left"/>
    </xf>
    <xf numFmtId="11" fontId="53" fillId="5" borderId="0" xfId="0" applyNumberFormat="1" applyFont="1" applyFill="1" applyBorder="1" applyAlignment="1">
      <alignment horizontal="right"/>
    </xf>
    <xf numFmtId="0" fontId="53" fillId="5" borderId="15" xfId="0" applyFont="1" applyFill="1" applyBorder="1"/>
    <xf numFmtId="0" fontId="53" fillId="5" borderId="16" xfId="0" applyFont="1" applyFill="1" applyBorder="1"/>
    <xf numFmtId="2" fontId="53" fillId="5" borderId="16" xfId="0" applyNumberFormat="1" applyFont="1" applyFill="1" applyBorder="1" applyAlignment="1">
      <alignment horizontal="right"/>
    </xf>
    <xf numFmtId="0" fontId="53" fillId="5" borderId="16" xfId="0" applyFont="1" applyFill="1" applyBorder="1" applyAlignment="1">
      <alignment horizontal="left"/>
    </xf>
    <xf numFmtId="0" fontId="53" fillId="5" borderId="16" xfId="0" applyFont="1" applyFill="1" applyBorder="1" applyAlignment="1">
      <alignment horizontal="left" vertical="top"/>
    </xf>
    <xf numFmtId="0" fontId="53" fillId="5" borderId="16" xfId="0" applyFont="1" applyFill="1" applyBorder="1" applyAlignment="1">
      <alignment horizontal="right" vertical="top"/>
    </xf>
    <xf numFmtId="0" fontId="100" fillId="5" borderId="16" xfId="0" applyFont="1" applyFill="1" applyBorder="1" applyAlignment="1">
      <alignment horizontal="left" vertical="top"/>
    </xf>
    <xf numFmtId="0" fontId="53" fillId="5" borderId="17" xfId="0" applyFont="1" applyFill="1" applyBorder="1" applyAlignment="1">
      <alignment horizontal="right" vertical="top"/>
    </xf>
    <xf numFmtId="0" fontId="53" fillId="5" borderId="11" xfId="0" applyFont="1" applyFill="1" applyBorder="1"/>
    <xf numFmtId="0" fontId="53" fillId="5" borderId="0" xfId="0" applyFont="1" applyFill="1" applyBorder="1" applyAlignment="1">
      <alignment horizontal="left"/>
    </xf>
    <xf numFmtId="0" fontId="53" fillId="5" borderId="0" xfId="0" applyFont="1" applyFill="1" applyBorder="1" applyAlignment="1">
      <alignment horizontal="center"/>
    </xf>
    <xf numFmtId="0" fontId="53" fillId="5" borderId="0" xfId="0" applyFont="1" applyFill="1" applyBorder="1" applyAlignment="1">
      <alignment horizontal="right"/>
    </xf>
    <xf numFmtId="0" fontId="53" fillId="5" borderId="11" xfId="0" applyFont="1" applyFill="1" applyBorder="1" applyAlignment="1">
      <alignment horizontal="left"/>
    </xf>
    <xf numFmtId="0" fontId="53" fillId="5" borderId="16" xfId="0" applyFont="1" applyFill="1" applyBorder="1" applyAlignment="1">
      <alignment horizontal="center"/>
    </xf>
    <xf numFmtId="0" fontId="53" fillId="5" borderId="16" xfId="0" applyFont="1" applyFill="1" applyBorder="1" applyAlignment="1">
      <alignment horizontal="right"/>
    </xf>
    <xf numFmtId="1" fontId="53" fillId="5" borderId="16" xfId="0" applyNumberFormat="1" applyFont="1" applyFill="1" applyBorder="1" applyAlignment="1">
      <alignment horizontal="right"/>
    </xf>
    <xf numFmtId="0" fontId="53" fillId="5" borderId="17" xfId="0" applyFont="1" applyFill="1" applyBorder="1" applyAlignment="1">
      <alignment horizontal="right"/>
    </xf>
    <xf numFmtId="0" fontId="53" fillId="5" borderId="28" xfId="0" applyFont="1" applyFill="1" applyBorder="1" applyAlignment="1">
      <alignment horizontal="left"/>
    </xf>
    <xf numFmtId="0" fontId="53" fillId="5" borderId="29" xfId="0" applyFont="1" applyFill="1" applyBorder="1" applyAlignment="1">
      <alignment horizontal="center"/>
    </xf>
    <xf numFmtId="0" fontId="53" fillId="5" borderId="29" xfId="0" applyFont="1" applyFill="1" applyBorder="1" applyAlignment="1">
      <alignment horizontal="left"/>
    </xf>
    <xf numFmtId="0" fontId="53" fillId="5" borderId="29" xfId="0" applyFont="1" applyFill="1" applyBorder="1" applyAlignment="1">
      <alignment horizontal="right"/>
    </xf>
    <xf numFmtId="2" fontId="102" fillId="5" borderId="29" xfId="0" applyNumberFormat="1" applyFont="1" applyFill="1" applyBorder="1" applyAlignment="1">
      <alignment horizontal="right" vertical="top"/>
    </xf>
    <xf numFmtId="0" fontId="53" fillId="5" borderId="29" xfId="0" applyFont="1" applyFill="1" applyBorder="1" applyAlignment="1">
      <alignment horizontal="left" vertical="top"/>
    </xf>
    <xf numFmtId="2" fontId="53" fillId="5" borderId="29" xfId="0" applyNumberFormat="1" applyFont="1" applyFill="1" applyBorder="1" applyAlignment="1">
      <alignment horizontal="right" vertical="top"/>
    </xf>
    <xf numFmtId="0" fontId="53" fillId="5" borderId="29" xfId="0" applyFont="1" applyFill="1" applyBorder="1" applyAlignment="1">
      <alignment horizontal="right" vertical="top"/>
    </xf>
    <xf numFmtId="0" fontId="100" fillId="5" borderId="34" xfId="0" applyFont="1" applyFill="1" applyBorder="1" applyAlignment="1">
      <alignment horizontal="left" vertical="top"/>
    </xf>
    <xf numFmtId="0" fontId="47" fillId="5" borderId="28" xfId="0" applyFont="1" applyFill="1" applyBorder="1" applyAlignment="1">
      <alignment horizontal="left"/>
    </xf>
    <xf numFmtId="0" fontId="49" fillId="5" borderId="29" xfId="0" applyFont="1" applyFill="1" applyBorder="1" applyAlignment="1">
      <alignment horizontal="left"/>
    </xf>
    <xf numFmtId="0" fontId="49" fillId="5" borderId="29" xfId="0" applyFont="1" applyFill="1" applyBorder="1" applyAlignment="1">
      <alignment horizontal="center"/>
    </xf>
    <xf numFmtId="2" fontId="113" fillId="5" borderId="29" xfId="0" applyNumberFormat="1" applyFont="1" applyFill="1" applyBorder="1" applyAlignment="1">
      <alignment horizontal="right"/>
    </xf>
    <xf numFmtId="2" fontId="113" fillId="5" borderId="29" xfId="6" applyNumberFormat="1" applyFont="1" applyFill="1" applyBorder="1" applyAlignment="1">
      <alignment horizontal="right" vertical="top"/>
    </xf>
    <xf numFmtId="2" fontId="108" fillId="5" borderId="29" xfId="0" applyNumberFormat="1" applyFont="1" applyFill="1" applyBorder="1" applyAlignment="1">
      <alignment horizontal="right" vertical="top"/>
    </xf>
    <xf numFmtId="0" fontId="113" fillId="5" borderId="29" xfId="0" applyFont="1" applyFill="1" applyBorder="1" applyAlignment="1">
      <alignment horizontal="right" vertical="top"/>
    </xf>
    <xf numFmtId="0" fontId="118" fillId="5" borderId="34" xfId="0" applyFont="1" applyFill="1" applyBorder="1" applyAlignment="1">
      <alignment horizontal="left" vertical="top"/>
    </xf>
    <xf numFmtId="0" fontId="49" fillId="5" borderId="0" xfId="0" applyFont="1" applyFill="1"/>
    <xf numFmtId="0" fontId="49" fillId="5" borderId="0" xfId="0" applyFont="1" applyFill="1" applyBorder="1" applyAlignment="1">
      <alignment horizontal="left" vertical="center"/>
    </xf>
    <xf numFmtId="11" fontId="49" fillId="5" borderId="0" xfId="0" applyNumberFormat="1" applyFont="1" applyFill="1" applyBorder="1" applyAlignment="1">
      <alignment horizontal="center" vertical="center"/>
    </xf>
    <xf numFmtId="1" fontId="49" fillId="5" borderId="0" xfId="0" applyNumberFormat="1" applyFont="1" applyFill="1" applyBorder="1" applyAlignment="1">
      <alignment horizontal="center" vertical="center"/>
    </xf>
    <xf numFmtId="2" fontId="49" fillId="5" borderId="0" xfId="0" applyNumberFormat="1" applyFont="1" applyFill="1" applyBorder="1" applyAlignment="1">
      <alignment horizontal="right" vertical="center"/>
    </xf>
    <xf numFmtId="2" fontId="49" fillId="5" borderId="0" xfId="6" applyNumberFormat="1" applyFont="1" applyFill="1" applyBorder="1" applyAlignment="1">
      <alignment horizontal="right" vertical="center"/>
    </xf>
    <xf numFmtId="2" fontId="53" fillId="5" borderId="0" xfId="0" applyNumberFormat="1" applyFont="1" applyFill="1" applyBorder="1" applyAlignment="1">
      <alignment horizontal="right" vertical="top"/>
    </xf>
    <xf numFmtId="165" fontId="49" fillId="5" borderId="0" xfId="0" applyNumberFormat="1" applyFont="1" applyFill="1" applyBorder="1" applyAlignment="1">
      <alignment vertical="center"/>
    </xf>
    <xf numFmtId="2" fontId="49" fillId="5" borderId="0" xfId="0" applyNumberFormat="1" applyFont="1" applyFill="1" applyBorder="1" applyAlignment="1">
      <alignment vertical="center"/>
    </xf>
    <xf numFmtId="2" fontId="49" fillId="5" borderId="12" xfId="0" applyNumberFormat="1" applyFont="1" applyFill="1" applyBorder="1" applyAlignment="1">
      <alignment vertical="center"/>
    </xf>
    <xf numFmtId="0" fontId="53" fillId="5" borderId="11" xfId="0" applyFont="1" applyFill="1" applyBorder="1" applyAlignment="1">
      <alignment horizontal="left" vertical="center"/>
    </xf>
    <xf numFmtId="0" fontId="53" fillId="5" borderId="11" xfId="0" applyFont="1" applyFill="1" applyBorder="1" applyAlignment="1">
      <alignment horizontal="left" indent="1"/>
    </xf>
    <xf numFmtId="0" fontId="49" fillId="5" borderId="0" xfId="3" applyFont="1" applyFill="1" applyBorder="1" applyAlignment="1">
      <alignment horizontal="left" vertical="center" indent="3"/>
    </xf>
    <xf numFmtId="11" fontId="49" fillId="5" borderId="29" xfId="0" applyNumberFormat="1" applyFont="1" applyFill="1" applyBorder="1" applyAlignment="1">
      <alignment horizontal="center"/>
    </xf>
    <xf numFmtId="165" fontId="113" fillId="5" borderId="29" xfId="0" applyNumberFormat="1" applyFont="1" applyFill="1" applyBorder="1" applyAlignment="1">
      <alignment vertical="top"/>
    </xf>
    <xf numFmtId="2" fontId="113" fillId="5" borderId="29" xfId="0" applyNumberFormat="1" applyFont="1" applyFill="1" applyBorder="1" applyAlignment="1">
      <alignment vertical="top"/>
    </xf>
    <xf numFmtId="2" fontId="113" fillId="5" borderId="34" xfId="0" applyNumberFormat="1" applyFont="1" applyFill="1" applyBorder="1" applyAlignment="1">
      <alignment vertical="top"/>
    </xf>
    <xf numFmtId="0" fontId="119" fillId="5" borderId="0" xfId="3" applyFont="1" applyFill="1" applyBorder="1" applyAlignment="1">
      <alignment horizontal="left" vertical="center"/>
    </xf>
    <xf numFmtId="0" fontId="49" fillId="5" borderId="0" xfId="3" applyFont="1" applyFill="1" applyBorder="1" applyAlignment="1">
      <alignment horizontal="left" vertical="center"/>
    </xf>
    <xf numFmtId="0" fontId="49" fillId="5" borderId="16" xfId="3" applyFont="1" applyFill="1" applyBorder="1" applyAlignment="1">
      <alignment horizontal="left" vertical="center"/>
    </xf>
    <xf numFmtId="0" fontId="49" fillId="5" borderId="16" xfId="0" applyFont="1" applyFill="1" applyBorder="1" applyAlignment="1">
      <alignment horizontal="left" vertical="center"/>
    </xf>
    <xf numFmtId="11" fontId="49" fillId="5" borderId="16" xfId="0" applyNumberFormat="1" applyFont="1" applyFill="1" applyBorder="1" applyAlignment="1">
      <alignment horizontal="center" vertical="center"/>
    </xf>
    <xf numFmtId="2" fontId="49" fillId="5" borderId="16" xfId="0" applyNumberFormat="1" applyFont="1" applyFill="1" applyBorder="1" applyAlignment="1">
      <alignment horizontal="right" vertical="center"/>
    </xf>
    <xf numFmtId="2" fontId="49" fillId="5" borderId="16" xfId="6" applyNumberFormat="1" applyFont="1" applyFill="1" applyBorder="1" applyAlignment="1">
      <alignment horizontal="right" vertical="center"/>
    </xf>
    <xf numFmtId="165" fontId="49" fillId="5" borderId="16" xfId="0" applyNumberFormat="1" applyFont="1" applyFill="1" applyBorder="1" applyAlignment="1">
      <alignment vertical="center"/>
    </xf>
    <xf numFmtId="2" fontId="49" fillId="5" borderId="16" xfId="0" applyNumberFormat="1" applyFont="1" applyFill="1" applyBorder="1" applyAlignment="1">
      <alignment vertical="center"/>
    </xf>
    <xf numFmtId="2" fontId="49" fillId="5" borderId="17" xfId="0" applyNumberFormat="1" applyFont="1" applyFill="1" applyBorder="1" applyAlignment="1">
      <alignment vertical="center"/>
    </xf>
    <xf numFmtId="0" fontId="47" fillId="5" borderId="16" xfId="0" applyFont="1" applyFill="1" applyBorder="1"/>
    <xf numFmtId="0" fontId="49" fillId="5" borderId="16" xfId="0" applyFont="1" applyFill="1" applyBorder="1"/>
    <xf numFmtId="2" fontId="113" fillId="5" borderId="16" xfId="0" applyNumberFormat="1" applyFont="1" applyFill="1" applyBorder="1" applyAlignment="1">
      <alignment horizontal="right"/>
    </xf>
    <xf numFmtId="2" fontId="113" fillId="5" borderId="0" xfId="6" applyNumberFormat="1" applyFont="1" applyFill="1" applyBorder="1" applyAlignment="1">
      <alignment horizontal="right" vertical="top"/>
    </xf>
    <xf numFmtId="0" fontId="108" fillId="5" borderId="29" xfId="0" applyFont="1" applyFill="1" applyBorder="1" applyAlignment="1">
      <alignment horizontal="right" vertical="top"/>
    </xf>
    <xf numFmtId="165" fontId="113" fillId="5" borderId="16" xfId="0" applyNumberFormat="1" applyFont="1" applyFill="1" applyBorder="1" applyAlignment="1">
      <alignment vertical="top"/>
    </xf>
    <xf numFmtId="2" fontId="113" fillId="5" borderId="16" xfId="0" applyNumberFormat="1" applyFont="1" applyFill="1" applyBorder="1" applyAlignment="1">
      <alignment vertical="top"/>
    </xf>
    <xf numFmtId="2" fontId="113" fillId="5" borderId="17" xfId="0" applyNumberFormat="1" applyFont="1" applyFill="1" applyBorder="1" applyAlignment="1">
      <alignment vertical="top"/>
    </xf>
    <xf numFmtId="0" fontId="49" fillId="5" borderId="0" xfId="0" applyFont="1" applyFill="1" applyBorder="1" applyAlignment="1">
      <alignment horizontal="left"/>
    </xf>
    <xf numFmtId="11" fontId="49" fillId="5" borderId="0" xfId="0" applyNumberFormat="1" applyFont="1" applyFill="1" applyBorder="1" applyAlignment="1">
      <alignment horizontal="center"/>
    </xf>
    <xf numFmtId="2" fontId="49" fillId="5" borderId="0" xfId="0" applyNumberFormat="1" applyFont="1" applyFill="1" applyBorder="1" applyAlignment="1">
      <alignment horizontal="right"/>
    </xf>
    <xf numFmtId="1" fontId="49" fillId="5" borderId="0" xfId="0" applyNumberFormat="1" applyFont="1" applyFill="1" applyBorder="1" applyAlignment="1">
      <alignment horizontal="right"/>
    </xf>
    <xf numFmtId="2" fontId="49" fillId="5" borderId="7" xfId="0" applyNumberFormat="1" applyFont="1" applyFill="1" applyBorder="1" applyAlignment="1">
      <alignment horizontal="right" vertical="top"/>
    </xf>
    <xf numFmtId="165" fontId="49" fillId="5" borderId="0" xfId="0" applyNumberFormat="1" applyFont="1" applyFill="1" applyBorder="1" applyAlignment="1">
      <alignment vertical="top"/>
    </xf>
    <xf numFmtId="2" fontId="49" fillId="5" borderId="0" xfId="0" applyNumberFormat="1" applyFont="1" applyFill="1" applyBorder="1" applyAlignment="1">
      <alignment vertical="top"/>
    </xf>
    <xf numFmtId="2" fontId="49" fillId="5" borderId="12" xfId="0" applyNumberFormat="1" applyFont="1" applyFill="1" applyBorder="1" applyAlignment="1">
      <alignment vertical="top"/>
    </xf>
    <xf numFmtId="0" fontId="47" fillId="5" borderId="28" xfId="0" applyFont="1" applyFill="1" applyBorder="1" applyAlignment="1">
      <alignment horizontal="left" vertical="center"/>
    </xf>
    <xf numFmtId="0" fontId="53" fillId="5" borderId="29" xfId="0" applyFont="1" applyFill="1" applyBorder="1" applyAlignment="1">
      <alignment horizontal="left" vertical="center"/>
    </xf>
    <xf numFmtId="0" fontId="49" fillId="5" borderId="29" xfId="0" applyFont="1" applyFill="1" applyBorder="1" applyAlignment="1">
      <alignment horizontal="left" vertical="center"/>
    </xf>
    <xf numFmtId="11" fontId="49" fillId="5" borderId="29" xfId="0" applyNumberFormat="1" applyFont="1" applyFill="1" applyBorder="1" applyAlignment="1">
      <alignment horizontal="center" vertical="center"/>
    </xf>
    <xf numFmtId="2" fontId="113" fillId="5" borderId="29" xfId="0" applyNumberFormat="1" applyFont="1" applyFill="1" applyBorder="1" applyAlignment="1">
      <alignment horizontal="right" vertical="center"/>
    </xf>
    <xf numFmtId="2" fontId="113" fillId="5" borderId="29" xfId="6" applyNumberFormat="1" applyFont="1" applyFill="1" applyBorder="1" applyAlignment="1">
      <alignment horizontal="right" vertical="center"/>
    </xf>
    <xf numFmtId="165" fontId="113" fillId="5" borderId="29" xfId="0" applyNumberFormat="1" applyFont="1" applyFill="1" applyBorder="1" applyAlignment="1">
      <alignment vertical="center"/>
    </xf>
    <xf numFmtId="2" fontId="113" fillId="5" borderId="29" xfId="0" applyNumberFormat="1" applyFont="1" applyFill="1" applyBorder="1" applyAlignment="1">
      <alignment vertical="center"/>
    </xf>
    <xf numFmtId="2" fontId="113" fillId="5" borderId="34" xfId="0" applyNumberFormat="1" applyFont="1" applyFill="1" applyBorder="1" applyAlignment="1">
      <alignment vertical="center"/>
    </xf>
    <xf numFmtId="0" fontId="47" fillId="5" borderId="11" xfId="0" applyFont="1" applyFill="1" applyBorder="1" applyAlignment="1">
      <alignment horizontal="left"/>
    </xf>
    <xf numFmtId="0" fontId="47" fillId="5" borderId="0" xfId="3" applyFont="1" applyFill="1" applyBorder="1" applyAlignment="1">
      <alignment horizontal="left" vertical="center"/>
    </xf>
    <xf numFmtId="0" fontId="97" fillId="5" borderId="0" xfId="0" applyFont="1" applyFill="1" applyBorder="1" applyAlignment="1">
      <alignment horizontal="left" vertical="center"/>
    </xf>
    <xf numFmtId="11" fontId="97" fillId="5" borderId="0" xfId="0" applyNumberFormat="1" applyFont="1" applyFill="1" applyBorder="1" applyAlignment="1">
      <alignment horizontal="center" vertical="center"/>
    </xf>
    <xf numFmtId="2" fontId="108" fillId="5" borderId="0" xfId="0" applyNumberFormat="1" applyFont="1" applyFill="1" applyBorder="1" applyAlignment="1">
      <alignment horizontal="right" vertical="center"/>
    </xf>
    <xf numFmtId="2" fontId="108" fillId="5" borderId="0" xfId="6" applyNumberFormat="1" applyFont="1" applyFill="1" applyBorder="1" applyAlignment="1">
      <alignment horizontal="right" vertical="center"/>
    </xf>
    <xf numFmtId="2" fontId="97" fillId="5" borderId="0" xfId="0" applyNumberFormat="1" applyFont="1" applyFill="1" applyBorder="1" applyAlignment="1">
      <alignment horizontal="right" vertical="top"/>
    </xf>
    <xf numFmtId="165" fontId="108" fillId="5" borderId="0" xfId="0" applyNumberFormat="1" applyFont="1" applyFill="1" applyBorder="1" applyAlignment="1">
      <alignment horizontal="right" vertical="center"/>
    </xf>
    <xf numFmtId="2" fontId="108" fillId="5" borderId="0" xfId="0" applyNumberFormat="1" applyFont="1" applyFill="1" applyBorder="1" applyAlignment="1">
      <alignment vertical="center"/>
    </xf>
    <xf numFmtId="2" fontId="108" fillId="5" borderId="12" xfId="0" applyNumberFormat="1" applyFont="1" applyFill="1" applyBorder="1" applyAlignment="1">
      <alignment vertical="center"/>
    </xf>
    <xf numFmtId="0" fontId="49" fillId="5" borderId="11" xfId="0" applyFont="1" applyFill="1" applyBorder="1" applyAlignment="1">
      <alignment horizontal="left" indent="1"/>
    </xf>
    <xf numFmtId="0" fontId="49" fillId="5" borderId="0" xfId="3" applyFont="1" applyFill="1" applyBorder="1" applyAlignment="1">
      <alignment horizontal="left" vertical="center" indent="2"/>
    </xf>
    <xf numFmtId="11" fontId="53" fillId="5" borderId="0" xfId="0" applyNumberFormat="1" applyFont="1" applyFill="1" applyBorder="1" applyAlignment="1">
      <alignment horizontal="center" vertical="center"/>
    </xf>
    <xf numFmtId="2" fontId="53" fillId="5" borderId="0" xfId="0" applyNumberFormat="1" applyFont="1" applyFill="1" applyBorder="1" applyAlignment="1">
      <alignment horizontal="right" vertical="center"/>
    </xf>
    <xf numFmtId="2" fontId="53" fillId="5" borderId="0" xfId="6" applyNumberFormat="1" applyFont="1" applyFill="1" applyBorder="1" applyAlignment="1">
      <alignment horizontal="right" vertical="center"/>
    </xf>
    <xf numFmtId="165" fontId="53" fillId="5" borderId="0" xfId="0" applyNumberFormat="1" applyFont="1" applyFill="1" applyBorder="1" applyAlignment="1">
      <alignment horizontal="right" vertical="center"/>
    </xf>
    <xf numFmtId="2" fontId="53" fillId="5" borderId="0" xfId="0" applyNumberFormat="1" applyFont="1" applyFill="1" applyBorder="1" applyAlignment="1">
      <alignment vertical="center"/>
    </xf>
    <xf numFmtId="2" fontId="53" fillId="5" borderId="12" xfId="0" applyNumberFormat="1" applyFont="1" applyFill="1" applyBorder="1" applyAlignment="1">
      <alignment vertical="center"/>
    </xf>
    <xf numFmtId="0" fontId="47" fillId="5" borderId="0" xfId="0" applyFont="1" applyFill="1"/>
    <xf numFmtId="2" fontId="97" fillId="5" borderId="0" xfId="6" applyNumberFormat="1" applyFont="1" applyFill="1" applyBorder="1" applyAlignment="1">
      <alignment horizontal="right" vertical="center"/>
    </xf>
    <xf numFmtId="165" fontId="97" fillId="5" borderId="0" xfId="0" applyNumberFormat="1" applyFont="1" applyFill="1" applyBorder="1" applyAlignment="1">
      <alignment horizontal="right" vertical="center"/>
    </xf>
    <xf numFmtId="0" fontId="49" fillId="5" borderId="0" xfId="0" applyFont="1" applyFill="1" applyAlignment="1">
      <alignment horizontal="left" indent="2"/>
    </xf>
    <xf numFmtId="0" fontId="49" fillId="5" borderId="11" xfId="0" applyFont="1" applyFill="1" applyBorder="1" applyAlignment="1">
      <alignment horizontal="left"/>
    </xf>
    <xf numFmtId="2" fontId="113" fillId="5" borderId="0" xfId="0" applyNumberFormat="1" applyFont="1" applyFill="1" applyBorder="1" applyAlignment="1">
      <alignment horizontal="right" vertical="center"/>
    </xf>
    <xf numFmtId="165" fontId="49" fillId="5" borderId="0" xfId="0" applyNumberFormat="1" applyFont="1" applyFill="1" applyBorder="1" applyAlignment="1">
      <alignment horizontal="right" vertical="center"/>
    </xf>
    <xf numFmtId="2" fontId="113" fillId="5" borderId="0" xfId="0" applyNumberFormat="1" applyFont="1" applyFill="1" applyBorder="1" applyAlignment="1">
      <alignment vertical="center"/>
    </xf>
    <xf numFmtId="2" fontId="113" fillId="5" borderId="12" xfId="0" applyNumberFormat="1" applyFont="1" applyFill="1" applyBorder="1" applyAlignment="1">
      <alignment vertical="center"/>
    </xf>
    <xf numFmtId="0" fontId="47" fillId="5" borderId="0" xfId="0" applyFont="1" applyFill="1" applyBorder="1" applyAlignment="1">
      <alignment horizontal="left" vertical="center"/>
    </xf>
    <xf numFmtId="11" fontId="47" fillId="5" borderId="0" xfId="0" applyNumberFormat="1" applyFont="1" applyFill="1" applyBorder="1" applyAlignment="1">
      <alignment horizontal="center" vertical="center"/>
    </xf>
    <xf numFmtId="2" fontId="108" fillId="5" borderId="0" xfId="0" applyNumberFormat="1" applyFont="1" applyFill="1" applyBorder="1" applyAlignment="1">
      <alignment horizontal="right" vertical="top"/>
    </xf>
    <xf numFmtId="165" fontId="113" fillId="5" borderId="0" xfId="0" applyNumberFormat="1" applyFont="1" applyFill="1" applyBorder="1" applyAlignment="1">
      <alignment horizontal="right" vertical="center"/>
    </xf>
    <xf numFmtId="1" fontId="53" fillId="5" borderId="0" xfId="0" applyNumberFormat="1" applyFont="1" applyFill="1" applyBorder="1" applyAlignment="1">
      <alignment horizontal="right" vertical="center"/>
    </xf>
    <xf numFmtId="165" fontId="53" fillId="5" borderId="0" xfId="0" applyNumberFormat="1" applyFont="1" applyFill="1" applyBorder="1" applyAlignment="1">
      <alignment vertical="center"/>
    </xf>
    <xf numFmtId="49" fontId="49" fillId="5" borderId="11" xfId="0" applyNumberFormat="1" applyFont="1" applyFill="1" applyBorder="1" applyAlignment="1">
      <alignment horizontal="left" indent="1"/>
    </xf>
    <xf numFmtId="11" fontId="96" fillId="5" borderId="0" xfId="0" applyNumberFormat="1" applyFont="1" applyFill="1" applyBorder="1" applyAlignment="1">
      <alignment horizontal="center" vertical="center"/>
    </xf>
    <xf numFmtId="0" fontId="47" fillId="5" borderId="29" xfId="0" applyFont="1" applyFill="1" applyBorder="1" applyAlignment="1">
      <alignment horizontal="left"/>
    </xf>
    <xf numFmtId="11" fontId="53" fillId="5" borderId="29" xfId="0" applyNumberFormat="1" applyFont="1" applyFill="1" applyBorder="1" applyAlignment="1">
      <alignment horizontal="center"/>
    </xf>
    <xf numFmtId="11" fontId="96" fillId="5" borderId="29" xfId="0" applyNumberFormat="1" applyFont="1" applyFill="1" applyBorder="1" applyAlignment="1">
      <alignment horizontal="right"/>
    </xf>
    <xf numFmtId="1" fontId="96" fillId="5" borderId="29" xfId="0" applyNumberFormat="1" applyFont="1" applyFill="1" applyBorder="1" applyAlignment="1">
      <alignment horizontal="left"/>
    </xf>
    <xf numFmtId="1" fontId="97" fillId="5" borderId="29" xfId="0" applyNumberFormat="1" applyFont="1" applyFill="1" applyBorder="1" applyAlignment="1">
      <alignment horizontal="right"/>
    </xf>
    <xf numFmtId="1" fontId="97" fillId="5" borderId="29" xfId="0" applyNumberFormat="1" applyFont="1" applyFill="1" applyBorder="1" applyAlignment="1">
      <alignment horizontal="right" vertical="top"/>
    </xf>
    <xf numFmtId="2" fontId="97" fillId="5" borderId="29" xfId="0" applyNumberFormat="1" applyFont="1" applyFill="1" applyBorder="1" applyAlignment="1">
      <alignment horizontal="right" vertical="top"/>
    </xf>
    <xf numFmtId="0" fontId="53" fillId="5" borderId="29" xfId="0" applyFont="1" applyFill="1" applyBorder="1" applyAlignment="1">
      <alignment vertical="top"/>
    </xf>
    <xf numFmtId="0" fontId="53" fillId="5" borderId="34" xfId="0" applyFont="1" applyFill="1" applyBorder="1" applyAlignment="1">
      <alignment vertical="top"/>
    </xf>
    <xf numFmtId="0" fontId="97" fillId="5" borderId="29" xfId="0" applyFont="1" applyFill="1" applyBorder="1" applyAlignment="1">
      <alignment horizontal="left"/>
    </xf>
    <xf numFmtId="1" fontId="53" fillId="5" borderId="29" xfId="0" applyNumberFormat="1" applyFont="1" applyFill="1" applyBorder="1" applyAlignment="1">
      <alignment horizontal="right"/>
    </xf>
    <xf numFmtId="0" fontId="53" fillId="5" borderId="34" xfId="0" applyFont="1" applyFill="1" applyBorder="1" applyAlignment="1">
      <alignment horizontal="right" vertical="top"/>
    </xf>
    <xf numFmtId="11" fontId="53" fillId="5" borderId="0" xfId="0" applyNumberFormat="1" applyFont="1" applyFill="1" applyBorder="1" applyAlignment="1">
      <alignment horizontal="center"/>
    </xf>
    <xf numFmtId="11" fontId="50" fillId="5" borderId="0" xfId="0" applyNumberFormat="1" applyFont="1" applyFill="1" applyBorder="1" applyAlignment="1">
      <alignment horizontal="center"/>
    </xf>
    <xf numFmtId="1" fontId="53" fillId="5" borderId="0" xfId="0" applyNumberFormat="1" applyFont="1" applyFill="1" applyBorder="1" applyAlignment="1">
      <alignment horizontal="right"/>
    </xf>
    <xf numFmtId="2" fontId="53" fillId="5" borderId="0" xfId="0" applyNumberFormat="1" applyFont="1" applyFill="1" applyBorder="1" applyAlignment="1">
      <alignment horizontal="center"/>
    </xf>
    <xf numFmtId="0" fontId="97" fillId="5" borderId="28" xfId="0" applyFont="1" applyFill="1" applyBorder="1" applyAlignment="1">
      <alignment horizontal="left"/>
    </xf>
    <xf numFmtId="0" fontId="53" fillId="5" borderId="29" xfId="0" applyFont="1" applyFill="1" applyBorder="1"/>
    <xf numFmtId="0" fontId="47" fillId="5" borderId="29" xfId="0" applyFont="1" applyFill="1" applyBorder="1" applyAlignment="1">
      <alignment horizontal="center"/>
    </xf>
    <xf numFmtId="0" fontId="97" fillId="5" borderId="29" xfId="0" applyFont="1" applyFill="1" applyBorder="1" applyAlignment="1">
      <alignment horizontal="center"/>
    </xf>
    <xf numFmtId="0" fontId="53" fillId="5" borderId="7" xfId="0" applyFont="1" applyFill="1" applyBorder="1" applyAlignment="1">
      <alignment horizontal="right" vertical="top"/>
    </xf>
    <xf numFmtId="0" fontId="97" fillId="5" borderId="29" xfId="0" applyFont="1" applyFill="1" applyBorder="1" applyAlignment="1">
      <alignment horizontal="center" vertical="top"/>
    </xf>
    <xf numFmtId="0" fontId="53" fillId="5" borderId="34" xfId="0" applyFont="1" applyFill="1" applyBorder="1" applyAlignment="1">
      <alignment horizontal="left" vertical="top"/>
    </xf>
    <xf numFmtId="0" fontId="47" fillId="5" borderId="0" xfId="0" applyFont="1" applyFill="1" applyBorder="1" applyAlignment="1">
      <alignment horizontal="left"/>
    </xf>
    <xf numFmtId="0" fontId="47" fillId="5" borderId="0" xfId="0" applyFont="1" applyFill="1" applyBorder="1" applyAlignment="1">
      <alignment horizontal="right" indent="2"/>
    </xf>
    <xf numFmtId="0" fontId="47" fillId="5" borderId="0" xfId="0" applyFont="1" applyFill="1" applyBorder="1"/>
    <xf numFmtId="0" fontId="47" fillId="5" borderId="0" xfId="0" applyFont="1" applyFill="1" applyBorder="1" applyAlignment="1">
      <alignment horizontal="center"/>
    </xf>
    <xf numFmtId="0" fontId="97" fillId="5" borderId="0" xfId="0" applyFont="1" applyFill="1" applyBorder="1" applyAlignment="1">
      <alignment horizontal="center" vertical="top"/>
    </xf>
    <xf numFmtId="0" fontId="53" fillId="5" borderId="12" xfId="0" applyFont="1" applyFill="1" applyBorder="1" applyAlignment="1">
      <alignment horizontal="left" vertical="top"/>
    </xf>
    <xf numFmtId="0" fontId="47" fillId="5" borderId="29" xfId="0" applyFont="1" applyFill="1" applyBorder="1" applyAlignment="1">
      <alignment horizontal="right" indent="2"/>
    </xf>
    <xf numFmtId="0" fontId="47" fillId="5" borderId="29" xfId="0" applyFont="1" applyFill="1" applyBorder="1" applyAlignment="1">
      <alignment horizontal="center" vertical="top"/>
    </xf>
    <xf numFmtId="0" fontId="47" fillId="5" borderId="34" xfId="0" applyFont="1" applyFill="1" applyBorder="1" applyAlignment="1">
      <alignment horizontal="center" vertical="top"/>
    </xf>
    <xf numFmtId="0" fontId="49" fillId="5" borderId="0" xfId="0" applyFont="1" applyFill="1" applyBorder="1" applyAlignment="1">
      <alignment horizontal="right" indent="2"/>
    </xf>
    <xf numFmtId="11" fontId="49" fillId="5" borderId="0" xfId="0" applyNumberFormat="1" applyFont="1" applyFill="1" applyBorder="1" applyAlignment="1">
      <alignment horizontal="center" vertical="top"/>
    </xf>
    <xf numFmtId="11" fontId="49" fillId="5" borderId="12" xfId="0" applyNumberFormat="1" applyFont="1" applyFill="1" applyBorder="1" applyAlignment="1">
      <alignment horizontal="center" vertical="top"/>
    </xf>
    <xf numFmtId="0" fontId="49" fillId="5" borderId="0" xfId="0" applyFont="1" applyFill="1" applyBorder="1" applyAlignment="1"/>
    <xf numFmtId="0" fontId="49" fillId="5" borderId="0" xfId="0" applyFont="1" applyFill="1" applyBorder="1" applyAlignment="1">
      <alignment horizontal="right"/>
    </xf>
    <xf numFmtId="2" fontId="49" fillId="5" borderId="0" xfId="0" applyNumberFormat="1" applyFont="1" applyFill="1" applyBorder="1" applyAlignment="1">
      <alignment horizontal="center"/>
    </xf>
    <xf numFmtId="11" fontId="49" fillId="5" borderId="12" xfId="0" applyNumberFormat="1" applyFont="1" applyFill="1" applyBorder="1" applyAlignment="1">
      <alignment horizontal="center"/>
    </xf>
    <xf numFmtId="11" fontId="49" fillId="5" borderId="0" xfId="0" applyNumberFormat="1" applyFont="1" applyFill="1" applyBorder="1" applyAlignment="1">
      <alignment horizontal="left"/>
    </xf>
    <xf numFmtId="0" fontId="49" fillId="5" borderId="0" xfId="0" applyFont="1" applyFill="1" applyBorder="1"/>
    <xf numFmtId="0" fontId="56" fillId="5" borderId="0" xfId="0" applyFont="1" applyFill="1" applyBorder="1" applyAlignment="1">
      <alignment horizontal="left"/>
    </xf>
    <xf numFmtId="11" fontId="56" fillId="5" borderId="0" xfId="0" applyNumberFormat="1" applyFont="1" applyFill="1" applyBorder="1" applyAlignment="1">
      <alignment horizontal="center"/>
    </xf>
    <xf numFmtId="11" fontId="56" fillId="5" borderId="12" xfId="0" applyNumberFormat="1" applyFont="1" applyFill="1" applyBorder="1" applyAlignment="1">
      <alignment horizontal="center"/>
    </xf>
    <xf numFmtId="168" fontId="47" fillId="5" borderId="0" xfId="0" applyNumberFormat="1" applyFont="1" applyFill="1" applyBorder="1" applyAlignment="1">
      <alignment horizontal="left"/>
    </xf>
    <xf numFmtId="11" fontId="47" fillId="5" borderId="0" xfId="0" applyNumberFormat="1" applyFont="1" applyFill="1" applyBorder="1" applyAlignment="1">
      <alignment horizontal="left"/>
    </xf>
    <xf numFmtId="9" fontId="49" fillId="5" borderId="0" xfId="6" applyFont="1" applyFill="1" applyBorder="1" applyAlignment="1">
      <alignment horizontal="center"/>
    </xf>
    <xf numFmtId="9" fontId="49" fillId="5" borderId="12" xfId="6" applyFont="1" applyFill="1" applyBorder="1" applyAlignment="1">
      <alignment horizontal="center"/>
    </xf>
    <xf numFmtId="2" fontId="49" fillId="5" borderId="12" xfId="0" applyNumberFormat="1" applyFont="1" applyFill="1" applyBorder="1" applyAlignment="1">
      <alignment horizontal="center"/>
    </xf>
    <xf numFmtId="0" fontId="49" fillId="5" borderId="0" xfId="0" applyNumberFormat="1" applyFont="1" applyFill="1" applyBorder="1" applyAlignment="1">
      <alignment horizontal="center"/>
    </xf>
    <xf numFmtId="2" fontId="49" fillId="5" borderId="0" xfId="0" applyNumberFormat="1" applyFont="1" applyFill="1" applyBorder="1" applyAlignment="1">
      <alignment horizontal="center" vertical="top"/>
    </xf>
    <xf numFmtId="2" fontId="49" fillId="5" borderId="12" xfId="0" applyNumberFormat="1" applyFont="1" applyFill="1" applyBorder="1" applyAlignment="1">
      <alignment horizontal="center" vertical="top"/>
    </xf>
    <xf numFmtId="11" fontId="53" fillId="5" borderId="0" xfId="0" applyNumberFormat="1" applyFont="1" applyFill="1" applyBorder="1" applyAlignment="1">
      <alignment horizontal="left" vertical="top"/>
    </xf>
    <xf numFmtId="0" fontId="49" fillId="5" borderId="0" xfId="0" applyFont="1" applyFill="1" applyBorder="1" applyAlignment="1">
      <alignment horizontal="center"/>
    </xf>
    <xf numFmtId="2" fontId="49" fillId="5" borderId="0" xfId="0" applyNumberFormat="1" applyFont="1" applyFill="1" applyBorder="1" applyAlignment="1">
      <alignment horizontal="center" vertical="center"/>
    </xf>
    <xf numFmtId="2" fontId="53" fillId="5" borderId="0" xfId="0" applyNumberFormat="1" applyFont="1" applyFill="1" applyBorder="1" applyAlignment="1">
      <alignment horizontal="center" vertical="top"/>
    </xf>
    <xf numFmtId="0" fontId="49" fillId="5" borderId="23" xfId="0" applyFont="1" applyFill="1" applyBorder="1" applyAlignment="1">
      <alignment horizontal="left"/>
    </xf>
    <xf numFmtId="0" fontId="53" fillId="5" borderId="24" xfId="0" applyFont="1" applyFill="1" applyBorder="1" applyAlignment="1">
      <alignment horizontal="left"/>
    </xf>
    <xf numFmtId="0" fontId="49" fillId="5" borderId="24" xfId="0" applyFont="1" applyFill="1" applyBorder="1" applyAlignment="1">
      <alignment horizontal="right" indent="2"/>
    </xf>
    <xf numFmtId="0" fontId="49" fillId="5" borderId="24" xfId="0" applyFont="1" applyFill="1" applyBorder="1" applyAlignment="1">
      <alignment horizontal="center"/>
    </xf>
    <xf numFmtId="2" fontId="49" fillId="5" borderId="24" xfId="0" applyNumberFormat="1" applyFont="1" applyFill="1" applyBorder="1" applyAlignment="1">
      <alignment horizontal="center"/>
    </xf>
    <xf numFmtId="2" fontId="49" fillId="5" borderId="24" xfId="0" applyNumberFormat="1" applyFont="1" applyFill="1" applyBorder="1" applyAlignment="1">
      <alignment horizontal="right"/>
    </xf>
    <xf numFmtId="0" fontId="52" fillId="5" borderId="24" xfId="0" applyFont="1" applyFill="1" applyBorder="1" applyAlignment="1">
      <alignment horizontal="center"/>
    </xf>
    <xf numFmtId="2" fontId="49" fillId="5" borderId="25" xfId="0" applyNumberFormat="1" applyFont="1" applyFill="1" applyBorder="1" applyAlignment="1">
      <alignment horizontal="center" vertical="center"/>
    </xf>
    <xf numFmtId="0" fontId="53" fillId="5" borderId="36" xfId="0" applyFont="1" applyFill="1" applyBorder="1" applyAlignment="1">
      <alignment horizontal="left"/>
    </xf>
    <xf numFmtId="0" fontId="53" fillId="5" borderId="37" xfId="0" applyFont="1" applyFill="1" applyBorder="1" applyAlignment="1">
      <alignment horizontal="left" vertical="top"/>
    </xf>
    <xf numFmtId="0" fontId="53" fillId="5" borderId="24" xfId="0" applyFont="1" applyFill="1" applyBorder="1" applyAlignment="1">
      <alignment horizontal="right" vertical="top"/>
    </xf>
    <xf numFmtId="0" fontId="120" fillId="5" borderId="0" xfId="3" applyFont="1" applyFill="1" applyBorder="1"/>
    <xf numFmtId="0" fontId="97" fillId="5" borderId="35" xfId="0" applyFont="1" applyFill="1" applyBorder="1" applyAlignment="1">
      <alignment horizontal="center" vertical="top"/>
    </xf>
    <xf numFmtId="0" fontId="97" fillId="5" borderId="32" xfId="0" applyFont="1" applyFill="1" applyBorder="1" applyAlignment="1">
      <alignment horizontal="center" vertical="top"/>
    </xf>
    <xf numFmtId="2" fontId="97" fillId="5" borderId="32" xfId="0" applyNumberFormat="1" applyFont="1" applyFill="1" applyBorder="1" applyAlignment="1">
      <alignment horizontal="center" vertical="top"/>
    </xf>
    <xf numFmtId="0" fontId="101" fillId="5" borderId="35" xfId="0" applyFont="1" applyFill="1" applyBorder="1" applyAlignment="1">
      <alignment horizontal="center" vertical="top"/>
    </xf>
    <xf numFmtId="0" fontId="97" fillId="5" borderId="9" xfId="0" applyFont="1" applyFill="1" applyBorder="1"/>
    <xf numFmtId="0" fontId="53" fillId="5" borderId="9" xfId="0" applyFont="1" applyFill="1" applyBorder="1" applyAlignment="1">
      <alignment horizontal="left" vertical="top"/>
    </xf>
    <xf numFmtId="0" fontId="53" fillId="5" borderId="10" xfId="0" applyFont="1" applyFill="1" applyBorder="1" applyAlignment="1">
      <alignment horizontal="left" vertical="top"/>
    </xf>
    <xf numFmtId="1" fontId="49" fillId="5" borderId="0" xfId="0" applyNumberFormat="1" applyFont="1" applyFill="1" applyBorder="1" applyProtection="1">
      <protection locked="0"/>
    </xf>
    <xf numFmtId="0" fontId="49" fillId="5" borderId="0" xfId="0" applyFont="1" applyFill="1" applyBorder="1" applyAlignment="1" applyProtection="1">
      <alignment shrinkToFit="1"/>
      <protection locked="0"/>
    </xf>
    <xf numFmtId="11" fontId="53" fillId="5" borderId="32" xfId="0" applyNumberFormat="1" applyFont="1" applyFill="1" applyBorder="1" applyAlignment="1">
      <alignment horizontal="left" vertical="top"/>
    </xf>
    <xf numFmtId="2" fontId="53" fillId="5" borderId="32" xfId="0" applyNumberFormat="1" applyFont="1" applyFill="1" applyBorder="1" applyAlignment="1">
      <alignment horizontal="center" vertical="top"/>
    </xf>
    <xf numFmtId="0" fontId="100" fillId="5" borderId="32" xfId="0" applyFont="1" applyFill="1" applyBorder="1" applyAlignment="1">
      <alignment horizontal="center" vertical="top"/>
    </xf>
    <xf numFmtId="0" fontId="0" fillId="5" borderId="11" xfId="0" applyFill="1" applyBorder="1" applyAlignment="1">
      <alignment horizontal="left" vertical="top"/>
    </xf>
    <xf numFmtId="11" fontId="49" fillId="5" borderId="0" xfId="0" applyNumberFormat="1" applyFont="1" applyFill="1" applyBorder="1" applyProtection="1"/>
    <xf numFmtId="2" fontId="49" fillId="5" borderId="0" xfId="0" applyNumberFormat="1" applyFont="1" applyFill="1" applyBorder="1" applyAlignment="1" applyProtection="1">
      <alignment vertical="top" shrinkToFit="1"/>
      <protection locked="0"/>
    </xf>
    <xf numFmtId="0" fontId="52" fillId="5" borderId="0" xfId="0" applyFont="1" applyFill="1" applyBorder="1" applyAlignment="1">
      <alignment horizontal="left" vertical="top"/>
    </xf>
    <xf numFmtId="2" fontId="49" fillId="5" borderId="0" xfId="0" applyNumberFormat="1" applyFont="1" applyFill="1" applyBorder="1" applyProtection="1"/>
    <xf numFmtId="11" fontId="49" fillId="5" borderId="0" xfId="0" applyNumberFormat="1" applyFont="1" applyFill="1" applyBorder="1"/>
    <xf numFmtId="1" fontId="49" fillId="5" borderId="0" xfId="0" applyNumberFormat="1" applyFont="1" applyFill="1" applyBorder="1"/>
    <xf numFmtId="2" fontId="49" fillId="5" borderId="0" xfId="0" applyNumberFormat="1" applyFont="1" applyFill="1" applyBorder="1" applyAlignment="1" applyProtection="1">
      <alignment vertical="top" shrinkToFit="1"/>
    </xf>
    <xf numFmtId="0" fontId="52" fillId="5" borderId="0" xfId="0" applyFont="1" applyFill="1" applyBorder="1" applyAlignment="1" applyProtection="1">
      <alignment shrinkToFit="1"/>
      <protection locked="0"/>
    </xf>
    <xf numFmtId="0" fontId="120" fillId="5" borderId="0" xfId="3" applyFont="1" applyFill="1" applyBorder="1" applyAlignment="1">
      <alignment horizontal="left"/>
    </xf>
    <xf numFmtId="0" fontId="52" fillId="5" borderId="0" xfId="0" applyFont="1" applyFill="1" applyBorder="1"/>
    <xf numFmtId="0" fontId="49" fillId="5" borderId="0" xfId="0" applyFont="1" applyFill="1" applyAlignment="1">
      <alignment horizontal="right"/>
    </xf>
    <xf numFmtId="11" fontId="49" fillId="5" borderId="0" xfId="0" applyNumberFormat="1" applyFont="1" applyFill="1"/>
    <xf numFmtId="0" fontId="49" fillId="5" borderId="0" xfId="0" applyFont="1" applyFill="1" applyAlignment="1">
      <alignment horizontal="left"/>
    </xf>
    <xf numFmtId="0" fontId="40" fillId="5" borderId="0" xfId="3" applyFont="1" applyFill="1" applyBorder="1" applyAlignment="1">
      <alignment horizontal="left" vertical="top"/>
    </xf>
    <xf numFmtId="2" fontId="49" fillId="5" borderId="0" xfId="0" applyNumberFormat="1" applyFont="1" applyFill="1"/>
    <xf numFmtId="0" fontId="49" fillId="5" borderId="0" xfId="0" applyFont="1" applyFill="1" applyBorder="1" applyAlignment="1" applyProtection="1">
      <alignment vertical="top" shrinkToFit="1"/>
    </xf>
    <xf numFmtId="11" fontId="49" fillId="5" borderId="0" xfId="0" applyNumberFormat="1" applyFont="1" applyFill="1" applyAlignment="1">
      <alignment horizontal="left"/>
    </xf>
    <xf numFmtId="11" fontId="49" fillId="5" borderId="0" xfId="0" applyNumberFormat="1" applyFont="1" applyFill="1" applyAlignment="1" applyProtection="1">
      <alignment horizontal="right"/>
      <protection locked="0"/>
    </xf>
    <xf numFmtId="11" fontId="52" fillId="5" borderId="0" xfId="0" applyNumberFormat="1" applyFont="1" applyFill="1" applyBorder="1"/>
    <xf numFmtId="0" fontId="52" fillId="5" borderId="0" xfId="0" applyFont="1" applyFill="1"/>
    <xf numFmtId="0" fontId="52" fillId="5" borderId="11" xfId="0" applyFont="1" applyFill="1" applyBorder="1" applyAlignment="1">
      <alignment horizontal="left"/>
    </xf>
    <xf numFmtId="0" fontId="39" fillId="5" borderId="0" xfId="3" applyFill="1" applyBorder="1" applyAlignment="1">
      <alignment horizontal="left" vertical="top"/>
    </xf>
    <xf numFmtId="11" fontId="49" fillId="5" borderId="0" xfId="0" applyNumberFormat="1" applyFont="1" applyFill="1" applyProtection="1">
      <protection locked="0"/>
    </xf>
    <xf numFmtId="11" fontId="49" fillId="5" borderId="32" xfId="0" applyNumberFormat="1" applyFont="1" applyFill="1" applyBorder="1"/>
    <xf numFmtId="11" fontId="53" fillId="5" borderId="32" xfId="0" applyNumberFormat="1" applyFont="1" applyFill="1" applyBorder="1"/>
    <xf numFmtId="2" fontId="49" fillId="5" borderId="32" xfId="0" applyNumberFormat="1" applyFont="1" applyFill="1" applyBorder="1" applyAlignment="1">
      <alignment horizontal="center"/>
    </xf>
    <xf numFmtId="0" fontId="53" fillId="5" borderId="32" xfId="0" applyFont="1" applyFill="1" applyBorder="1" applyAlignment="1">
      <alignment horizontal="center"/>
    </xf>
    <xf numFmtId="0" fontId="53" fillId="5" borderId="12" xfId="0" applyFont="1" applyFill="1" applyBorder="1"/>
    <xf numFmtId="0" fontId="49" fillId="5" borderId="11" xfId="0" applyFont="1" applyFill="1" applyBorder="1" applyAlignment="1">
      <alignment horizontal="right"/>
    </xf>
    <xf numFmtId="2" fontId="53" fillId="5" borderId="32" xfId="0" applyNumberFormat="1" applyFont="1" applyFill="1" applyBorder="1" applyAlignment="1">
      <alignment horizontal="center"/>
    </xf>
    <xf numFmtId="0" fontId="53" fillId="5" borderId="0" xfId="0" applyFont="1" applyFill="1" applyAlignment="1">
      <alignment horizontal="right"/>
    </xf>
    <xf numFmtId="2" fontId="49" fillId="5" borderId="0" xfId="0" applyNumberFormat="1" applyFont="1" applyFill="1" applyBorder="1"/>
    <xf numFmtId="166" fontId="49" fillId="5" borderId="0" xfId="0" applyNumberFormat="1" applyFont="1" applyFill="1" applyBorder="1"/>
    <xf numFmtId="2" fontId="53" fillId="5" borderId="0" xfId="0" applyNumberFormat="1" applyFont="1" applyFill="1" applyBorder="1" applyAlignment="1">
      <alignment horizontal="left" vertical="top"/>
    </xf>
    <xf numFmtId="11" fontId="53" fillId="5" borderId="0" xfId="0" applyNumberFormat="1" applyFont="1" applyFill="1" applyBorder="1" applyAlignment="1">
      <alignment horizontal="right" vertical="top"/>
    </xf>
    <xf numFmtId="0" fontId="56" fillId="5" borderId="0" xfId="0" applyFont="1" applyFill="1" applyBorder="1" applyAlignment="1">
      <alignment horizontal="right"/>
    </xf>
    <xf numFmtId="0" fontId="57" fillId="5" borderId="0" xfId="0" applyFont="1" applyFill="1" applyBorder="1" applyAlignment="1">
      <alignment horizontal="left"/>
    </xf>
    <xf numFmtId="2" fontId="50" fillId="5" borderId="0" xfId="0" applyNumberFormat="1" applyFont="1" applyFill="1" applyBorder="1" applyAlignment="1">
      <alignment horizontal="left"/>
    </xf>
    <xf numFmtId="11" fontId="50" fillId="5" borderId="0" xfId="0" applyNumberFormat="1" applyFont="1" applyFill="1" applyBorder="1" applyAlignment="1">
      <alignment horizontal="left"/>
    </xf>
    <xf numFmtId="11" fontId="53" fillId="5" borderId="0" xfId="0" applyNumberFormat="1" applyFont="1" applyFill="1"/>
    <xf numFmtId="0" fontId="53" fillId="5" borderId="0" xfId="0" applyFont="1" applyFill="1" applyBorder="1" applyAlignment="1"/>
    <xf numFmtId="11" fontId="49" fillId="5" borderId="32" xfId="0" applyNumberFormat="1" applyFont="1" applyFill="1" applyBorder="1" applyAlignment="1" applyProtection="1">
      <alignment shrinkToFit="1"/>
      <protection locked="0"/>
    </xf>
    <xf numFmtId="11" fontId="50" fillId="5" borderId="0" xfId="0" applyNumberFormat="1" applyFont="1" applyFill="1" applyBorder="1" applyAlignment="1"/>
    <xf numFmtId="11" fontId="49" fillId="5" borderId="0" xfId="0" applyNumberFormat="1" applyFont="1" applyFill="1" applyBorder="1" applyProtection="1">
      <protection locked="0"/>
    </xf>
    <xf numFmtId="41" fontId="53" fillId="5" borderId="0" xfId="0" applyNumberFormat="1" applyFont="1" applyFill="1"/>
    <xf numFmtId="43" fontId="49" fillId="5" borderId="0" xfId="0" applyNumberFormat="1" applyFont="1" applyFill="1" applyBorder="1"/>
    <xf numFmtId="0" fontId="120" fillId="5" borderId="0" xfId="0" applyFont="1" applyFill="1" applyBorder="1" applyAlignment="1">
      <alignment horizontal="left"/>
    </xf>
    <xf numFmtId="0" fontId="39" fillId="5" borderId="0" xfId="3" applyFill="1" applyBorder="1" applyAlignment="1">
      <alignment horizontal="left"/>
    </xf>
    <xf numFmtId="11" fontId="49" fillId="5" borderId="0" xfId="0" applyNumberFormat="1" applyFont="1" applyFill="1" applyBorder="1" applyAlignment="1">
      <alignment horizontal="right"/>
    </xf>
    <xf numFmtId="0" fontId="109" fillId="5" borderId="0" xfId="0" applyFont="1" applyFill="1" applyBorder="1" applyAlignment="1">
      <alignment horizontal="left" vertical="top"/>
    </xf>
    <xf numFmtId="11" fontId="11" fillId="5" borderId="0" xfId="0" applyNumberFormat="1" applyFont="1" applyFill="1" applyBorder="1" applyAlignment="1">
      <alignment horizontal="left" vertical="top"/>
    </xf>
    <xf numFmtId="41" fontId="49" fillId="5" borderId="0" xfId="0" applyNumberFormat="1" applyFont="1" applyFill="1" applyBorder="1"/>
    <xf numFmtId="11" fontId="49" fillId="5" borderId="0" xfId="0" applyNumberFormat="1" applyFont="1" applyFill="1" applyBorder="1" applyAlignment="1" applyProtection="1">
      <alignment shrinkToFit="1"/>
      <protection locked="0"/>
    </xf>
    <xf numFmtId="1" fontId="53" fillId="5" borderId="32" xfId="0" applyNumberFormat="1" applyFont="1" applyFill="1" applyBorder="1" applyAlignment="1">
      <alignment horizontal="center" vertical="top"/>
    </xf>
    <xf numFmtId="0" fontId="11" fillId="5" borderId="11" xfId="0" applyFont="1" applyFill="1" applyBorder="1" applyAlignment="1">
      <alignment horizontal="left" vertical="top"/>
    </xf>
    <xf numFmtId="0" fontId="39" fillId="5" borderId="0" xfId="3" applyFill="1" applyBorder="1"/>
    <xf numFmtId="0" fontId="49" fillId="5" borderId="18" xfId="0" applyFont="1" applyFill="1" applyBorder="1" applyAlignment="1">
      <alignment horizontal="right"/>
    </xf>
    <xf numFmtId="11" fontId="49" fillId="5" borderId="7" xfId="0" applyNumberFormat="1" applyFont="1" applyFill="1" applyBorder="1"/>
    <xf numFmtId="0" fontId="49" fillId="5" borderId="7" xfId="0" applyFont="1" applyFill="1" applyBorder="1"/>
    <xf numFmtId="0" fontId="49" fillId="5" borderId="19" xfId="0" applyFont="1" applyFill="1" applyBorder="1"/>
    <xf numFmtId="0" fontId="49" fillId="5" borderId="21" xfId="0" applyFont="1" applyFill="1" applyBorder="1" applyAlignment="1">
      <alignment horizontal="right"/>
    </xf>
    <xf numFmtId="11" fontId="49" fillId="5" borderId="16" xfId="0" applyNumberFormat="1" applyFont="1" applyFill="1" applyBorder="1"/>
    <xf numFmtId="0" fontId="49" fillId="5" borderId="22" xfId="0" applyFont="1" applyFill="1" applyBorder="1"/>
    <xf numFmtId="1" fontId="100" fillId="5" borderId="32" xfId="0" applyNumberFormat="1" applyFont="1" applyFill="1" applyBorder="1" applyAlignment="1">
      <alignment horizontal="center" vertical="top"/>
    </xf>
    <xf numFmtId="43" fontId="49" fillId="5" borderId="0" xfId="0" applyNumberFormat="1" applyFont="1" applyFill="1" applyBorder="1" applyProtection="1">
      <protection locked="0"/>
    </xf>
    <xf numFmtId="0" fontId="53" fillId="5" borderId="0" xfId="0" applyFont="1" applyFill="1" applyBorder="1" applyAlignment="1" applyProtection="1">
      <alignment shrinkToFit="1"/>
      <protection locked="0"/>
    </xf>
    <xf numFmtId="0" fontId="49" fillId="5" borderId="0" xfId="0" applyFont="1" applyFill="1" applyBorder="1" applyAlignment="1" applyProtection="1">
      <alignment shrinkToFit="1"/>
    </xf>
    <xf numFmtId="0" fontId="11" fillId="5" borderId="0" xfId="0" applyFont="1" applyFill="1" applyBorder="1" applyAlignment="1">
      <alignment horizontal="left" vertical="top"/>
    </xf>
    <xf numFmtId="164" fontId="49" fillId="5" borderId="0" xfId="0" applyNumberFormat="1" applyFont="1" applyFill="1" applyBorder="1"/>
    <xf numFmtId="174" fontId="49" fillId="5" borderId="0" xfId="0" applyNumberFormat="1" applyFont="1" applyFill="1" applyBorder="1"/>
    <xf numFmtId="11" fontId="53" fillId="5" borderId="0" xfId="0" applyNumberFormat="1" applyFont="1" applyFill="1" applyBorder="1"/>
    <xf numFmtId="43" fontId="53" fillId="5" borderId="0" xfId="0" applyNumberFormat="1" applyFont="1" applyFill="1" applyBorder="1" applyAlignment="1">
      <alignment horizontal="right" vertical="top"/>
    </xf>
    <xf numFmtId="43" fontId="49" fillId="5" borderId="0" xfId="0" applyNumberFormat="1" applyFont="1" applyFill="1" applyBorder="1" applyAlignment="1" applyProtection="1">
      <alignment shrinkToFit="1"/>
      <protection locked="0"/>
    </xf>
    <xf numFmtId="0" fontId="49" fillId="5" borderId="18" xfId="0" applyFont="1" applyFill="1" applyBorder="1" applyAlignment="1">
      <alignment horizontal="left"/>
    </xf>
    <xf numFmtId="0" fontId="49" fillId="5" borderId="7" xfId="0" applyFont="1" applyFill="1" applyBorder="1" applyAlignment="1">
      <alignment horizontal="right"/>
    </xf>
    <xf numFmtId="0" fontId="49" fillId="5" borderId="7" xfId="0" applyFont="1" applyFill="1" applyBorder="1" applyAlignment="1" applyProtection="1">
      <alignment shrinkToFit="1"/>
      <protection locked="0"/>
    </xf>
    <xf numFmtId="0" fontId="49" fillId="5" borderId="5" xfId="0" applyFont="1" applyFill="1" applyBorder="1" applyAlignment="1">
      <alignment horizontal="left"/>
    </xf>
    <xf numFmtId="0" fontId="49" fillId="5" borderId="21" xfId="0" applyFont="1" applyFill="1" applyBorder="1" applyAlignment="1">
      <alignment horizontal="left"/>
    </xf>
    <xf numFmtId="0" fontId="49" fillId="5" borderId="16" xfId="0" applyFont="1" applyFill="1" applyBorder="1" applyAlignment="1">
      <alignment horizontal="right"/>
    </xf>
    <xf numFmtId="0" fontId="49" fillId="5" borderId="17" xfId="0" applyFont="1" applyFill="1" applyBorder="1" applyAlignment="1" applyProtection="1">
      <alignment shrinkToFit="1"/>
      <protection locked="0"/>
    </xf>
    <xf numFmtId="0" fontId="52" fillId="5" borderId="0" xfId="0" applyFont="1" applyFill="1" applyBorder="1" applyAlignment="1">
      <alignment horizontal="right"/>
    </xf>
    <xf numFmtId="11" fontId="53" fillId="5" borderId="33" xfId="0" applyNumberFormat="1" applyFont="1" applyFill="1" applyBorder="1" applyAlignment="1">
      <alignment horizontal="left" vertical="top"/>
    </xf>
    <xf numFmtId="0" fontId="49" fillId="5" borderId="36" xfId="0" applyFont="1" applyFill="1" applyBorder="1" applyAlignment="1">
      <alignment horizontal="left"/>
    </xf>
    <xf numFmtId="0" fontId="39" fillId="5" borderId="37" xfId="3" applyFill="1" applyBorder="1"/>
    <xf numFmtId="0" fontId="49" fillId="5" borderId="37" xfId="0" applyFont="1" applyFill="1" applyBorder="1"/>
    <xf numFmtId="0" fontId="49" fillId="5" borderId="37" xfId="0" applyFont="1" applyFill="1" applyBorder="1" applyAlignment="1" applyProtection="1">
      <alignment shrinkToFit="1"/>
      <protection locked="0"/>
    </xf>
    <xf numFmtId="11" fontId="53" fillId="5" borderId="39" xfId="0" applyNumberFormat="1" applyFont="1" applyFill="1" applyBorder="1" applyAlignment="1">
      <alignment horizontal="left" vertical="top"/>
    </xf>
    <xf numFmtId="2" fontId="53" fillId="5" borderId="39" xfId="0" applyNumberFormat="1" applyFont="1" applyFill="1" applyBorder="1" applyAlignment="1">
      <alignment horizontal="center" vertical="top"/>
    </xf>
    <xf numFmtId="0" fontId="100" fillId="5" borderId="39" xfId="0" applyFont="1" applyFill="1" applyBorder="1" applyAlignment="1">
      <alignment horizontal="center" vertical="top"/>
    </xf>
    <xf numFmtId="0" fontId="49" fillId="5" borderId="0" xfId="0" applyFont="1" applyFill="1" applyBorder="1" applyAlignment="1">
      <alignment horizontal="left" vertical="top"/>
    </xf>
    <xf numFmtId="11" fontId="53" fillId="5" borderId="0" xfId="0" applyNumberFormat="1" applyFont="1" applyFill="1" applyBorder="1" applyProtection="1"/>
    <xf numFmtId="0" fontId="49" fillId="5" borderId="13" xfId="0" applyFont="1" applyFill="1" applyBorder="1" applyAlignment="1">
      <alignment horizontal="left"/>
    </xf>
    <xf numFmtId="0" fontId="53" fillId="5" borderId="7" xfId="0" applyFont="1" applyFill="1" applyBorder="1" applyAlignment="1">
      <alignment horizontal="right"/>
    </xf>
    <xf numFmtId="0" fontId="53" fillId="5" borderId="7" xfId="0" applyFont="1" applyFill="1" applyBorder="1" applyProtection="1">
      <protection locked="0"/>
    </xf>
    <xf numFmtId="0" fontId="49" fillId="5" borderId="14" xfId="0" applyFont="1" applyFill="1" applyBorder="1" applyAlignment="1" applyProtection="1">
      <alignment shrinkToFit="1"/>
      <protection locked="0"/>
    </xf>
    <xf numFmtId="0" fontId="53" fillId="5" borderId="0" xfId="0" applyFont="1" applyFill="1" applyBorder="1" applyProtection="1">
      <protection locked="0"/>
    </xf>
    <xf numFmtId="0" fontId="49" fillId="5" borderId="12" xfId="0" applyFont="1" applyFill="1" applyBorder="1" applyAlignment="1" applyProtection="1">
      <alignment shrinkToFit="1"/>
      <protection locked="0"/>
    </xf>
    <xf numFmtId="0" fontId="49" fillId="5" borderId="15" xfId="0" applyFont="1" applyFill="1" applyBorder="1" applyAlignment="1">
      <alignment horizontal="left"/>
    </xf>
    <xf numFmtId="0" fontId="53" fillId="5" borderId="16" xfId="0" applyFont="1" applyFill="1" applyBorder="1" applyProtection="1">
      <protection locked="0"/>
    </xf>
    <xf numFmtId="0" fontId="53" fillId="5" borderId="24" xfId="0" applyFont="1" applyFill="1" applyBorder="1"/>
    <xf numFmtId="0" fontId="49" fillId="5" borderId="24" xfId="0" applyFont="1" applyFill="1" applyBorder="1" applyAlignment="1" applyProtection="1">
      <alignment shrinkToFit="1"/>
      <protection locked="0"/>
    </xf>
    <xf numFmtId="2" fontId="53" fillId="5" borderId="33" xfId="0" applyNumberFormat="1" applyFont="1" applyFill="1" applyBorder="1" applyAlignment="1">
      <alignment horizontal="center" vertical="top"/>
    </xf>
    <xf numFmtId="0" fontId="100" fillId="5" borderId="33" xfId="0" applyFont="1" applyFill="1" applyBorder="1" applyAlignment="1">
      <alignment horizontal="center" vertical="top"/>
    </xf>
    <xf numFmtId="0" fontId="0" fillId="5" borderId="23" xfId="0" applyFill="1" applyBorder="1" applyAlignment="1">
      <alignment horizontal="left" vertical="top"/>
    </xf>
    <xf numFmtId="0" fontId="53" fillId="5" borderId="25" xfId="0" applyFont="1" applyFill="1" applyBorder="1" applyAlignment="1">
      <alignment horizontal="left" vertical="top"/>
    </xf>
    <xf numFmtId="49" fontId="121" fillId="0" borderId="0" xfId="0" applyNumberFormat="1" applyFont="1" applyFill="1" applyBorder="1" applyAlignment="1">
      <alignment vertical="top"/>
    </xf>
    <xf numFmtId="49" fontId="121" fillId="5" borderId="0" xfId="0" applyNumberFormat="1" applyFont="1" applyFill="1" applyBorder="1" applyAlignment="1">
      <alignment vertical="top"/>
    </xf>
    <xf numFmtId="49" fontId="122" fillId="0" borderId="0" xfId="0" applyNumberFormat="1" applyFont="1" applyFill="1" applyBorder="1" applyAlignment="1">
      <alignment vertical="top"/>
    </xf>
    <xf numFmtId="1" fontId="69" fillId="6" borderId="0" xfId="0" applyNumberFormat="1" applyFont="1" applyFill="1" applyBorder="1" applyAlignment="1">
      <alignment horizontal="left" vertical="center" shrinkToFit="1"/>
    </xf>
    <xf numFmtId="0" fontId="63" fillId="2" borderId="0" xfId="0" applyFont="1" applyFill="1" applyBorder="1" applyAlignment="1">
      <alignment horizontal="left" vertical="top" wrapText="1"/>
    </xf>
    <xf numFmtId="0" fontId="62" fillId="2" borderId="0" xfId="0" applyFont="1" applyFill="1" applyBorder="1" applyAlignment="1">
      <alignment horizontal="left" vertical="top" wrapText="1"/>
    </xf>
    <xf numFmtId="0" fontId="74" fillId="6" borderId="0" xfId="0" applyFont="1" applyFill="1" applyBorder="1" applyAlignment="1">
      <alignment horizontal="center" vertical="center" wrapText="1"/>
    </xf>
    <xf numFmtId="1" fontId="112" fillId="6" borderId="0" xfId="0" applyNumberFormat="1" applyFont="1" applyFill="1" applyBorder="1" applyAlignment="1">
      <alignment horizontal="left" vertical="center" shrinkToFit="1"/>
    </xf>
    <xf numFmtId="1" fontId="77" fillId="3" borderId="0" xfId="0" applyNumberFormat="1" applyFont="1" applyFill="1" applyBorder="1" applyAlignment="1">
      <alignment horizontal="center" vertical="center" shrinkToFit="1"/>
    </xf>
    <xf numFmtId="1" fontId="39" fillId="3" borderId="0" xfId="3" applyNumberFormat="1" applyFill="1" applyBorder="1" applyAlignment="1">
      <alignment horizontal="left" vertical="center" shrinkToFit="1"/>
    </xf>
    <xf numFmtId="1" fontId="69" fillId="3" borderId="0" xfId="0" applyNumberFormat="1" applyFont="1" applyFill="1" applyBorder="1" applyAlignment="1">
      <alignment horizontal="left" vertical="center" shrinkToFit="1"/>
    </xf>
    <xf numFmtId="0" fontId="58" fillId="2" borderId="0" xfId="0" applyFont="1" applyFill="1" applyBorder="1" applyAlignment="1">
      <alignment horizontal="center" vertical="center" wrapText="1"/>
    </xf>
    <xf numFmtId="0" fontId="65" fillId="4" borderId="0" xfId="0" applyFont="1" applyFill="1" applyBorder="1" applyAlignment="1">
      <alignment horizontal="center" vertical="center" wrapText="1"/>
    </xf>
    <xf numFmtId="0" fontId="64" fillId="2" borderId="0" xfId="0" applyFont="1" applyFill="1" applyBorder="1" applyAlignment="1">
      <alignment horizontal="left" vertical="top" wrapText="1"/>
    </xf>
    <xf numFmtId="0" fontId="68" fillId="3" borderId="0" xfId="0" applyFont="1" applyFill="1" applyBorder="1" applyAlignment="1">
      <alignment horizontal="right" vertical="center" wrapText="1"/>
    </xf>
    <xf numFmtId="0" fontId="64" fillId="4" borderId="0" xfId="0" applyFont="1" applyFill="1" applyBorder="1" applyAlignment="1">
      <alignment horizontal="left" vertical="center" wrapText="1"/>
    </xf>
    <xf numFmtId="0" fontId="70" fillId="3" borderId="0" xfId="0" applyFont="1" applyFill="1" applyBorder="1" applyAlignment="1">
      <alignment horizontal="right"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91" fillId="0" borderId="0" xfId="0" applyFont="1" applyFill="1" applyBorder="1" applyAlignment="1">
      <alignment horizontal="left" vertical="center" wrapText="1"/>
    </xf>
    <xf numFmtId="0" fontId="68" fillId="3" borderId="0" xfId="0" applyFont="1" applyFill="1" applyBorder="1" applyAlignment="1">
      <alignment horizontal="right" vertical="center"/>
    </xf>
    <xf numFmtId="0" fontId="76" fillId="3" borderId="0" xfId="0" applyFont="1" applyFill="1" applyBorder="1" applyAlignment="1">
      <alignment horizontal="center" vertical="center" wrapText="1"/>
    </xf>
    <xf numFmtId="0" fontId="74" fillId="5" borderId="18" xfId="0" applyFont="1" applyFill="1" applyBorder="1" applyAlignment="1">
      <alignment horizontal="left" vertical="center" wrapText="1"/>
    </xf>
    <xf numFmtId="0" fontId="74" fillId="5" borderId="7" xfId="0" applyFont="1" applyFill="1" applyBorder="1" applyAlignment="1">
      <alignment horizontal="left" vertical="center" wrapText="1"/>
    </xf>
    <xf numFmtId="0" fontId="74" fillId="5" borderId="19" xfId="0" applyFont="1" applyFill="1" applyBorder="1" applyAlignment="1">
      <alignment horizontal="left" vertical="center" wrapText="1"/>
    </xf>
    <xf numFmtId="0" fontId="74" fillId="5" borderId="5" xfId="0" applyFont="1" applyFill="1" applyBorder="1" applyAlignment="1">
      <alignment horizontal="left" vertical="center" wrapText="1"/>
    </xf>
    <xf numFmtId="0" fontId="74" fillId="5" borderId="0" xfId="0" applyFont="1" applyFill="1" applyBorder="1" applyAlignment="1">
      <alignment horizontal="left" vertical="center" wrapText="1"/>
    </xf>
    <xf numFmtId="0" fontId="74" fillId="5" borderId="20" xfId="0" applyFont="1" applyFill="1" applyBorder="1" applyAlignment="1">
      <alignment horizontal="left" vertical="center" wrapText="1"/>
    </xf>
    <xf numFmtId="0" fontId="74" fillId="5" borderId="16" xfId="0" applyFont="1" applyFill="1" applyBorder="1" applyAlignment="1">
      <alignment horizontal="left" vertical="center" wrapText="1"/>
    </xf>
    <xf numFmtId="0" fontId="74" fillId="5" borderId="22" xfId="0" applyFont="1" applyFill="1" applyBorder="1" applyAlignment="1">
      <alignment horizontal="left" vertical="center" wrapText="1"/>
    </xf>
    <xf numFmtId="43" fontId="75" fillId="6" borderId="0" xfId="0" applyNumberFormat="1" applyFont="1" applyFill="1" applyBorder="1" applyAlignment="1">
      <alignment horizontal="left" vertical="center" wrapText="1"/>
    </xf>
    <xf numFmtId="1" fontId="69" fillId="3" borderId="0" xfId="0" applyNumberFormat="1" applyFont="1" applyFill="1" applyBorder="1" applyAlignment="1">
      <alignment horizontal="center" vertical="center" shrinkToFit="1"/>
    </xf>
    <xf numFmtId="0" fontId="88" fillId="5" borderId="10" xfId="0" applyFont="1" applyFill="1" applyBorder="1" applyAlignment="1">
      <alignment horizontal="left" vertical="center"/>
    </xf>
    <xf numFmtId="0" fontId="88" fillId="5" borderId="25" xfId="0" applyFont="1" applyFill="1" applyBorder="1" applyAlignment="1">
      <alignment horizontal="left" vertical="center"/>
    </xf>
    <xf numFmtId="0" fontId="74" fillId="0" borderId="0" xfId="0" applyFont="1" applyFill="1" applyBorder="1" applyAlignment="1">
      <alignment horizontal="left" vertical="center" wrapText="1"/>
    </xf>
    <xf numFmtId="0" fontId="74" fillId="3" borderId="0" xfId="0" applyFont="1" applyFill="1" applyBorder="1" applyAlignment="1">
      <alignment horizontal="left" vertical="center" wrapText="1"/>
    </xf>
    <xf numFmtId="0" fontId="83" fillId="0" borderId="8" xfId="0" applyFont="1" applyFill="1" applyBorder="1" applyAlignment="1">
      <alignment horizontal="right" vertical="center"/>
    </xf>
    <xf numFmtId="0" fontId="83" fillId="0" borderId="23" xfId="0" applyFont="1" applyFill="1" applyBorder="1" applyAlignment="1">
      <alignment horizontal="right" vertical="center"/>
    </xf>
    <xf numFmtId="0" fontId="65" fillId="2" borderId="0" xfId="0" applyFont="1" applyFill="1" applyBorder="1" applyAlignment="1">
      <alignment horizontal="left" vertical="center" wrapText="1"/>
    </xf>
    <xf numFmtId="0" fontId="65" fillId="2" borderId="0" xfId="0" applyFont="1" applyFill="1" applyBorder="1" applyAlignment="1">
      <alignment horizontal="left" wrapText="1"/>
    </xf>
    <xf numFmtId="0" fontId="65" fillId="2" borderId="0" xfId="0" applyFont="1" applyFill="1" applyBorder="1" applyAlignment="1">
      <alignment horizontal="left" vertical="top" wrapText="1"/>
    </xf>
    <xf numFmtId="0" fontId="58" fillId="2" borderId="0" xfId="0" applyFont="1" applyFill="1" applyBorder="1" applyAlignment="1">
      <alignment horizontal="left" vertical="top" wrapText="1"/>
    </xf>
    <xf numFmtId="0" fontId="58" fillId="2" borderId="0" xfId="0" applyFont="1" applyFill="1" applyBorder="1" applyAlignment="1">
      <alignment horizontal="left" wrapText="1"/>
    </xf>
    <xf numFmtId="0" fontId="58" fillId="3" borderId="0" xfId="0" applyFont="1" applyFill="1" applyBorder="1" applyAlignment="1">
      <alignment horizontal="left" wrapText="1"/>
    </xf>
    <xf numFmtId="0" fontId="64" fillId="2" borderId="0" xfId="0" applyFont="1" applyFill="1" applyBorder="1" applyAlignment="1">
      <alignment horizontal="right" vertical="top" wrapText="1"/>
    </xf>
    <xf numFmtId="0" fontId="69" fillId="3" borderId="0" xfId="0" applyFont="1" applyFill="1" applyBorder="1" applyAlignment="1">
      <alignment horizontal="left" wrapText="1"/>
    </xf>
    <xf numFmtId="0" fontId="62" fillId="2" borderId="0" xfId="0" applyFont="1" applyFill="1" applyBorder="1" applyAlignment="1">
      <alignment horizontal="right" vertical="top" wrapText="1"/>
    </xf>
    <xf numFmtId="0" fontId="74" fillId="3" borderId="0" xfId="0" applyFont="1" applyFill="1" applyBorder="1" applyAlignment="1">
      <alignment horizontal="right" vertical="top" wrapText="1"/>
    </xf>
    <xf numFmtId="0" fontId="6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vertical="top" wrapText="1"/>
    </xf>
    <xf numFmtId="0" fontId="64" fillId="2" borderId="0" xfId="0" applyFont="1" applyFill="1" applyBorder="1" applyAlignment="1">
      <alignment horizontal="center" vertical="top" wrapText="1"/>
    </xf>
    <xf numFmtId="0" fontId="20" fillId="12" borderId="2" xfId="0" applyFont="1" applyFill="1" applyBorder="1" applyAlignment="1">
      <alignment horizontal="center" vertical="center" wrapText="1"/>
    </xf>
    <xf numFmtId="0" fontId="20" fillId="12" borderId="3" xfId="0" applyFont="1" applyFill="1" applyBorder="1" applyAlignment="1">
      <alignment horizontal="center" vertical="center" wrapText="1"/>
    </xf>
    <xf numFmtId="0" fontId="20" fillId="12" borderId="4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 wrapText="1" indent="7"/>
    </xf>
    <xf numFmtId="0" fontId="4" fillId="3" borderId="0" xfId="0" applyFont="1" applyFill="1" applyBorder="1" applyAlignment="1">
      <alignment horizontal="left" vertical="center" wrapText="1" indent="7"/>
    </xf>
    <xf numFmtId="0" fontId="4" fillId="2" borderId="0" xfId="0" applyFont="1" applyFill="1" applyBorder="1" applyAlignment="1">
      <alignment horizontal="left" vertical="top" wrapText="1" indent="2"/>
    </xf>
    <xf numFmtId="0" fontId="4" fillId="3" borderId="0" xfId="0" applyFont="1" applyFill="1" applyBorder="1" applyAlignment="1">
      <alignment horizontal="left" vertical="top" wrapText="1"/>
    </xf>
    <xf numFmtId="0" fontId="11" fillId="7" borderId="0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wrapText="1"/>
    </xf>
    <xf numFmtId="0" fontId="4" fillId="2" borderId="0" xfId="0" applyFont="1" applyFill="1" applyBorder="1" applyAlignment="1">
      <alignment horizontal="left" vertical="top" wrapText="1" indent="1"/>
    </xf>
    <xf numFmtId="0" fontId="0" fillId="3" borderId="0" xfId="0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horizontal="center" vertical="top" wrapText="1"/>
    </xf>
    <xf numFmtId="0" fontId="8" fillId="7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top" wrapText="1"/>
    </xf>
    <xf numFmtId="0" fontId="75" fillId="5" borderId="0" xfId="0" applyFont="1" applyFill="1" applyBorder="1" applyAlignment="1">
      <alignment horizontal="left" wrapText="1"/>
    </xf>
    <xf numFmtId="0" fontId="69" fillId="5" borderId="0" xfId="0" applyFont="1" applyFill="1" applyBorder="1" applyAlignment="1">
      <alignment horizontal="left" wrapText="1"/>
    </xf>
    <xf numFmtId="0" fontId="81" fillId="2" borderId="0" xfId="0" applyFont="1" applyFill="1" applyBorder="1" applyAlignment="1">
      <alignment horizontal="center" wrapText="1"/>
    </xf>
    <xf numFmtId="0" fontId="81" fillId="5" borderId="0" xfId="0" applyFont="1" applyFill="1" applyBorder="1" applyAlignment="1">
      <alignment horizontal="center" wrapText="1"/>
    </xf>
    <xf numFmtId="0" fontId="74" fillId="5" borderId="0" xfId="0" applyFont="1" applyFill="1" applyBorder="1" applyAlignment="1">
      <alignment horizontal="left" wrapText="1"/>
    </xf>
    <xf numFmtId="0" fontId="69" fillId="5" borderId="0" xfId="0" applyFont="1" applyFill="1" applyBorder="1" applyAlignment="1">
      <alignment horizontal="center" wrapText="1"/>
    </xf>
    <xf numFmtId="0" fontId="75" fillId="2" borderId="0" xfId="0" applyFont="1" applyFill="1" applyBorder="1" applyAlignment="1">
      <alignment horizontal="left" wrapText="1"/>
    </xf>
    <xf numFmtId="43" fontId="74" fillId="3" borderId="0" xfId="0" applyNumberFormat="1" applyFont="1" applyFill="1" applyBorder="1" applyAlignment="1">
      <alignment horizontal="right" wrapText="1"/>
    </xf>
    <xf numFmtId="0" fontId="74" fillId="3" borderId="0" xfId="0" applyFont="1" applyFill="1" applyBorder="1" applyAlignment="1">
      <alignment horizontal="right" wrapText="1"/>
    </xf>
    <xf numFmtId="0" fontId="74" fillId="3" borderId="0" xfId="0" applyFont="1" applyFill="1" applyBorder="1" applyAlignment="1">
      <alignment horizontal="center" wrapText="1"/>
    </xf>
    <xf numFmtId="0" fontId="75" fillId="3" borderId="0" xfId="0" applyFont="1" applyFill="1" applyBorder="1" applyAlignment="1">
      <alignment horizontal="center" wrapText="1"/>
    </xf>
    <xf numFmtId="0" fontId="69" fillId="3" borderId="0" xfId="0" applyFont="1" applyFill="1" applyBorder="1" applyAlignment="1">
      <alignment horizontal="center" wrapText="1"/>
    </xf>
    <xf numFmtId="43" fontId="74" fillId="3" borderId="0" xfId="0" applyNumberFormat="1" applyFont="1" applyFill="1" applyBorder="1" applyAlignment="1">
      <alignment wrapText="1"/>
    </xf>
    <xf numFmtId="0" fontId="74" fillId="3" borderId="0" xfId="0" applyFont="1" applyFill="1" applyBorder="1" applyAlignment="1">
      <alignment wrapText="1"/>
    </xf>
    <xf numFmtId="43" fontId="74" fillId="3" borderId="0" xfId="0" applyNumberFormat="1" applyFont="1" applyFill="1" applyBorder="1" applyAlignment="1">
      <alignment horizontal="center" wrapText="1"/>
    </xf>
    <xf numFmtId="0" fontId="86" fillId="5" borderId="0" xfId="0" applyFont="1" applyFill="1" applyBorder="1" applyAlignment="1">
      <alignment horizontal="center" vertical="top" wrapText="1"/>
    </xf>
    <xf numFmtId="0" fontId="47" fillId="5" borderId="0" xfId="0" applyFont="1" applyFill="1" applyBorder="1" applyAlignment="1" applyProtection="1">
      <alignment horizontal="right"/>
      <protection locked="0"/>
    </xf>
    <xf numFmtId="0" fontId="97" fillId="5" borderId="16" xfId="0" applyFont="1" applyFill="1" applyBorder="1" applyAlignment="1">
      <alignment horizontal="right"/>
    </xf>
    <xf numFmtId="0" fontId="47" fillId="5" borderId="7" xfId="0" applyFont="1" applyFill="1" applyBorder="1" applyAlignment="1" applyProtection="1">
      <alignment horizontal="right"/>
      <protection locked="0"/>
    </xf>
  </cellXfs>
  <cellStyles count="7">
    <cellStyle name="Hiperlink" xfId="3" builtinId="8"/>
    <cellStyle name="Moeda" xfId="4" builtinId="4"/>
    <cellStyle name="Normal" xfId="0" builtinId="0"/>
    <cellStyle name="Normal 2" xfId="2"/>
    <cellStyle name="Normal 3" xfId="5"/>
    <cellStyle name="Porcentagem" xfId="6" builtinId="5"/>
    <cellStyle name="Vírgula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CCFF"/>
      <color rgb="FFCCFFCC"/>
      <color rgb="FF0000FF"/>
      <color rgb="FFCCFFFF"/>
      <color rgb="FFFFFF99"/>
      <color rgb="FF4F81BD"/>
      <color rgb="FF003300"/>
      <color rgb="FF1F442D"/>
      <color rgb="FFAEF2C8"/>
      <color rgb="FFEFD1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Drop" dropStyle="combo" dx="22" fmlaLink="$B$110" fmlaRange="Itens!$D$3:$D$32" noThreeD="1" sel="1" val="0"/>
</file>

<file path=xl/ctrlProps/ctrlProp10.xml><?xml version="1.0" encoding="utf-8"?>
<formControlPr xmlns="http://schemas.microsoft.com/office/spreadsheetml/2009/9/main" objectType="Drop" dropStyle="combo" dx="22" fmlaLink="$C$181" fmlaRange="Itens!$B$3:$B$32" noThreeD="1" sel="1" val="0"/>
</file>

<file path=xl/ctrlProps/ctrlProp100.xml><?xml version="1.0" encoding="utf-8"?>
<formControlPr xmlns="http://schemas.microsoft.com/office/spreadsheetml/2009/9/main" objectType="Drop" dropStyle="combo" dx="22" fmlaLink="$C$142" fmlaRange="ATALHOS!$D$79:$D$84" noThreeD="1" sel="6" val="0"/>
</file>

<file path=xl/ctrlProps/ctrlProp101.xml><?xml version="1.0" encoding="utf-8"?>
<formControlPr xmlns="http://schemas.microsoft.com/office/spreadsheetml/2009/9/main" objectType="Drop" dropStyle="combo" dx="22" fmlaLink="$C$144" fmlaRange="ATALHOS!$D$79:$D$84" noThreeD="1" sel="6" val="0"/>
</file>

<file path=xl/ctrlProps/ctrlProp102.xml><?xml version="1.0" encoding="utf-8"?>
<formControlPr xmlns="http://schemas.microsoft.com/office/spreadsheetml/2009/9/main" objectType="Drop" dropStyle="combo" dx="22" fmlaLink="$C$145" fmlaRange="ATALHOS!$D$79:$D$84" noThreeD="1" sel="6" val="0"/>
</file>

<file path=xl/ctrlProps/ctrlProp103.xml><?xml version="1.0" encoding="utf-8"?>
<formControlPr xmlns="http://schemas.microsoft.com/office/spreadsheetml/2009/9/main" objectType="Drop" dropStyle="combo" dx="22" fmlaLink="$C$146" fmlaRange="ATALHOS!$D$79:$D$84" noThreeD="1" sel="6" val="0"/>
</file>

<file path=xl/ctrlProps/ctrlProp104.xml><?xml version="1.0" encoding="utf-8"?>
<formControlPr xmlns="http://schemas.microsoft.com/office/spreadsheetml/2009/9/main" objectType="Drop" dropStyle="combo" dx="22" fmlaLink="$C$147" fmlaRange="ATALHOS!$D$79:$D$84" noThreeD="1" sel="6" val="0"/>
</file>

<file path=xl/ctrlProps/ctrlProp105.xml><?xml version="1.0" encoding="utf-8"?>
<formControlPr xmlns="http://schemas.microsoft.com/office/spreadsheetml/2009/9/main" objectType="Drop" dropStyle="combo" dx="22" fmlaLink="$C$141" fmlaRange="ATALHOS!$D$79:$D$84" noThreeD="1" sel="6" val="0"/>
</file>

<file path=xl/ctrlProps/ctrlProp11.xml><?xml version="1.0" encoding="utf-8"?>
<formControlPr xmlns="http://schemas.microsoft.com/office/spreadsheetml/2009/9/main" objectType="Drop" dropStyle="combo" dx="22" fmlaLink="$C$182" fmlaRange="Itens!$B$3:$B$32" noThreeD="1" sel="1" val="0"/>
</file>

<file path=xl/ctrlProps/ctrlProp12.xml><?xml version="1.0" encoding="utf-8"?>
<formControlPr xmlns="http://schemas.microsoft.com/office/spreadsheetml/2009/9/main" objectType="Drop" dropStyle="combo" dx="22" fmlaLink="$C$183" fmlaRange="Itens!$B$3:$B$32" noThreeD="1" sel="1" val="0"/>
</file>

<file path=xl/ctrlProps/ctrlProp13.xml><?xml version="1.0" encoding="utf-8"?>
<formControlPr xmlns="http://schemas.microsoft.com/office/spreadsheetml/2009/9/main" objectType="Drop" dropStyle="combo" dx="22" fmlaLink="$C$176" fmlaRange="Itens!$B$3:$B$32" noThreeD="1" sel="19" val="14"/>
</file>

<file path=xl/ctrlProps/ctrlProp14.xml><?xml version="1.0" encoding="utf-8"?>
<formControlPr xmlns="http://schemas.microsoft.com/office/spreadsheetml/2009/9/main" objectType="Drop" dropStyle="combo" dx="22" fmlaLink="$C$175" fmlaRange="Itens!$B$3:$B$32" noThreeD="1" sel="3" val="0"/>
</file>

<file path=xl/ctrlProps/ctrlProp15.xml><?xml version="1.0" encoding="utf-8"?>
<formControlPr xmlns="http://schemas.microsoft.com/office/spreadsheetml/2009/9/main" objectType="Drop" dropStyle="combo" dx="22" fmlaLink="$C$186" fmlaRange="Itens!$B$3:$B$32" noThreeD="1" sel="2" val="0"/>
</file>

<file path=xl/ctrlProps/ctrlProp16.xml><?xml version="1.0" encoding="utf-8"?>
<formControlPr xmlns="http://schemas.microsoft.com/office/spreadsheetml/2009/9/main" objectType="Drop" dropStyle="combo" dx="22" fmlaLink="$C$190" fmlaRange="Itens!$B$3:$B$32" noThreeD="1" sel="1" val="0"/>
</file>

<file path=xl/ctrlProps/ctrlProp17.xml><?xml version="1.0" encoding="utf-8"?>
<formControlPr xmlns="http://schemas.microsoft.com/office/spreadsheetml/2009/9/main" objectType="Drop" dropStyle="combo" dx="22" fmlaLink="$C$189" fmlaRange="Itens!$B$3:$B$32" noThreeD="1" sel="20" val="14"/>
</file>

<file path=xl/ctrlProps/ctrlProp18.xml><?xml version="1.0" encoding="utf-8"?>
<formControlPr xmlns="http://schemas.microsoft.com/office/spreadsheetml/2009/9/main" objectType="Drop" dropStyle="combo" dx="22" fmlaLink="$C$191" fmlaRange="Itens!$B$3:$B$32" noThreeD="1" sel="1" val="0"/>
</file>

<file path=xl/ctrlProps/ctrlProp19.xml><?xml version="1.0" encoding="utf-8"?>
<formControlPr xmlns="http://schemas.microsoft.com/office/spreadsheetml/2009/9/main" objectType="Drop" dropStyle="combo" dx="22" fmlaLink="$C$192" fmlaRange="Itens!$B$3:$B$32" noThreeD="1" sel="1" val="0"/>
</file>

<file path=xl/ctrlProps/ctrlProp2.xml><?xml version="1.0" encoding="utf-8"?>
<formControlPr xmlns="http://schemas.microsoft.com/office/spreadsheetml/2009/9/main" objectType="Drop" dropStyle="combo" dx="22" fmlaLink="$B$111" fmlaRange="Itens!$D$3:$D$32" noThreeD="1" sel="1" val="0"/>
</file>

<file path=xl/ctrlProps/ctrlProp20.xml><?xml version="1.0" encoding="utf-8"?>
<formControlPr xmlns="http://schemas.microsoft.com/office/spreadsheetml/2009/9/main" objectType="Drop" dropStyle="combo" dx="22" fmlaLink="$C$193" fmlaRange="Itens!$B$3:$B$32" noThreeD="1" sel="1" val="0"/>
</file>

<file path=xl/ctrlProps/ctrlProp21.xml><?xml version="1.0" encoding="utf-8"?>
<formControlPr xmlns="http://schemas.microsoft.com/office/spreadsheetml/2009/9/main" objectType="Drop" dropStyle="combo" dx="22" fmlaLink="$C$194" fmlaRange="Itens!$B$3:$B$32" noThreeD="1" sel="1" val="0"/>
</file>

<file path=xl/ctrlProps/ctrlProp22.xml><?xml version="1.0" encoding="utf-8"?>
<formControlPr xmlns="http://schemas.microsoft.com/office/spreadsheetml/2009/9/main" objectType="Drop" dropStyle="combo" dx="22" fmlaLink="$C$195" fmlaRange="Itens!$B$3:$B$32" noThreeD="1" sel="1" val="0"/>
</file>

<file path=xl/ctrlProps/ctrlProp23.xml><?xml version="1.0" encoding="utf-8"?>
<formControlPr xmlns="http://schemas.microsoft.com/office/spreadsheetml/2009/9/main" objectType="Drop" dropStyle="combo" dx="22" fmlaLink="$C$188" fmlaRange="Itens!$B$3:$B$32" noThreeD="1" sel="19" val="13"/>
</file>

<file path=xl/ctrlProps/ctrlProp24.xml><?xml version="1.0" encoding="utf-8"?>
<formControlPr xmlns="http://schemas.microsoft.com/office/spreadsheetml/2009/9/main" objectType="Drop" dropStyle="combo" dx="22" fmlaLink="$C$187" fmlaRange="Itens!$B$3:$B$32" noThreeD="1" sel="3" val="0"/>
</file>

<file path=xl/ctrlProps/ctrlProp25.xml><?xml version="1.0" encoding="utf-8"?>
<formControlPr xmlns="http://schemas.microsoft.com/office/spreadsheetml/2009/9/main" objectType="Drop" dropStyle="combo" dx="22" fmlaLink="$C$198" fmlaRange="Itens!$B$3:$B$32" noThreeD="1" sel="2" val="0"/>
</file>

<file path=xl/ctrlProps/ctrlProp26.xml><?xml version="1.0" encoding="utf-8"?>
<formControlPr xmlns="http://schemas.microsoft.com/office/spreadsheetml/2009/9/main" objectType="Drop" dropStyle="combo" dx="22" fmlaLink="$C$202" fmlaRange="Itens!$B$3:$B$32" noThreeD="1" sel="1" val="0"/>
</file>

<file path=xl/ctrlProps/ctrlProp27.xml><?xml version="1.0" encoding="utf-8"?>
<formControlPr xmlns="http://schemas.microsoft.com/office/spreadsheetml/2009/9/main" objectType="Drop" dropStyle="combo" dx="22" fmlaLink="$C$201" fmlaRange="Itens!$B$3:$B$32" noThreeD="1" sel="20" val="14"/>
</file>

<file path=xl/ctrlProps/ctrlProp28.xml><?xml version="1.0" encoding="utf-8"?>
<formControlPr xmlns="http://schemas.microsoft.com/office/spreadsheetml/2009/9/main" objectType="Drop" dropStyle="combo" dx="22" fmlaLink="$C$203" fmlaRange="Itens!$B$3:$B$32" noThreeD="1" sel="1" val="0"/>
</file>

<file path=xl/ctrlProps/ctrlProp29.xml><?xml version="1.0" encoding="utf-8"?>
<formControlPr xmlns="http://schemas.microsoft.com/office/spreadsheetml/2009/9/main" objectType="Drop" dropStyle="combo" dx="22" fmlaLink="$C$204" fmlaRange="Itens!$B$3:$B$32" noThreeD="1" sel="1" val="0"/>
</file>

<file path=xl/ctrlProps/ctrlProp3.xml><?xml version="1.0" encoding="utf-8"?>
<formControlPr xmlns="http://schemas.microsoft.com/office/spreadsheetml/2009/9/main" objectType="Drop" dropStyle="combo" dx="22" fmlaLink="$B$112" fmlaRange="Itens!$D$3:$D$32" noThreeD="1" sel="1" val="0"/>
</file>

<file path=xl/ctrlProps/ctrlProp30.xml><?xml version="1.0" encoding="utf-8"?>
<formControlPr xmlns="http://schemas.microsoft.com/office/spreadsheetml/2009/9/main" objectType="Drop" dropStyle="combo" dx="22" fmlaLink="$C$205" fmlaRange="Itens!$B$3:$B$32" noThreeD="1" sel="1" val="0"/>
</file>

<file path=xl/ctrlProps/ctrlProp31.xml><?xml version="1.0" encoding="utf-8"?>
<formControlPr xmlns="http://schemas.microsoft.com/office/spreadsheetml/2009/9/main" objectType="Drop" dropStyle="combo" dx="22" fmlaLink="$C$206" fmlaRange="Itens!$B$3:$B$32" noThreeD="1" sel="1" val="0"/>
</file>

<file path=xl/ctrlProps/ctrlProp32.xml><?xml version="1.0" encoding="utf-8"?>
<formControlPr xmlns="http://schemas.microsoft.com/office/spreadsheetml/2009/9/main" objectType="Drop" dropStyle="combo" dx="22" fmlaLink="$C$207" fmlaRange="Itens!$B$3:$B$32" noThreeD="1" sel="1" val="0"/>
</file>

<file path=xl/ctrlProps/ctrlProp33.xml><?xml version="1.0" encoding="utf-8"?>
<formControlPr xmlns="http://schemas.microsoft.com/office/spreadsheetml/2009/9/main" objectType="Drop" dropStyle="combo" dx="22" fmlaLink="$C$200" fmlaRange="Itens!$B$3:$B$32" noThreeD="1" sel="19" val="14"/>
</file>

<file path=xl/ctrlProps/ctrlProp34.xml><?xml version="1.0" encoding="utf-8"?>
<formControlPr xmlns="http://schemas.microsoft.com/office/spreadsheetml/2009/9/main" objectType="Drop" dropStyle="combo" dx="22" fmlaLink="$C$199" fmlaRange="Itens!$B$3:$B$32" noThreeD="1" sel="3" val="0"/>
</file>

<file path=xl/ctrlProps/ctrlProp35.xml><?xml version="1.0" encoding="utf-8"?>
<formControlPr xmlns="http://schemas.microsoft.com/office/spreadsheetml/2009/9/main" objectType="Drop" dropStyle="combo" dx="22" fmlaLink="$B$117" fmlaRange="Itens!$F$3:$F$32" noThreeD="1" sel="1" val="0"/>
</file>

<file path=xl/ctrlProps/ctrlProp36.xml><?xml version="1.0" encoding="utf-8"?>
<formControlPr xmlns="http://schemas.microsoft.com/office/spreadsheetml/2009/9/main" objectType="Drop" dropStyle="combo" dx="22" fmlaLink="$B$118" fmlaRange="Itens!$F$3:$F$32" noThreeD="1" sel="1" val="0"/>
</file>

<file path=xl/ctrlProps/ctrlProp37.xml><?xml version="1.0" encoding="utf-8"?>
<formControlPr xmlns="http://schemas.microsoft.com/office/spreadsheetml/2009/9/main" objectType="Drop" dropStyle="combo" dx="22" fmlaLink="$B$119" fmlaRange="Itens!$F$3:$F$32" noThreeD="1" sel="17" val="12"/>
</file>

<file path=xl/ctrlProps/ctrlProp38.xml><?xml version="1.0" encoding="utf-8"?>
<formControlPr xmlns="http://schemas.microsoft.com/office/spreadsheetml/2009/9/main" objectType="Drop" dropStyle="combo" dx="22" fmlaLink="$B$120" fmlaRange="Itens!$F$3:$F$32" noThreeD="1" sel="1" val="0"/>
</file>

<file path=xl/ctrlProps/ctrlProp39.xml><?xml version="1.0" encoding="utf-8"?>
<formControlPr xmlns="http://schemas.microsoft.com/office/spreadsheetml/2009/9/main" objectType="Drop" dropStyle="combo" dx="22" fmlaLink="$B$121" fmlaRange="Itens!$F$3:$F$32" noThreeD="1" sel="18" val="17"/>
</file>

<file path=xl/ctrlProps/ctrlProp4.xml><?xml version="1.0" encoding="utf-8"?>
<formControlPr xmlns="http://schemas.microsoft.com/office/spreadsheetml/2009/9/main" objectType="Drop" dropStyle="combo" dx="22" fmlaLink="$B$113" fmlaRange="Itens!$D$3:$D$32" noThreeD="1" sel="1" val="0"/>
</file>

<file path=xl/ctrlProps/ctrlProp40.xml><?xml version="1.0" encoding="utf-8"?>
<formControlPr xmlns="http://schemas.microsoft.com/office/spreadsheetml/2009/9/main" objectType="Drop" dropStyle="combo" dx="22" fmlaLink="$B$122" fmlaRange="Itens!$F$3:$F$32" noThreeD="1" sel="1" val="0"/>
</file>

<file path=xl/ctrlProps/ctrlProp41.xml><?xml version="1.0" encoding="utf-8"?>
<formControlPr xmlns="http://schemas.microsoft.com/office/spreadsheetml/2009/9/main" objectType="Drop" dropStyle="combo" dx="22" fmlaLink="$B$129" fmlaRange="Itens!$F$3:$F$32" noThreeD="1" sel="1" val="0"/>
</file>

<file path=xl/ctrlProps/ctrlProp42.xml><?xml version="1.0" encoding="utf-8"?>
<formControlPr xmlns="http://schemas.microsoft.com/office/spreadsheetml/2009/9/main" objectType="Drop" dropStyle="combo" dx="22" fmlaLink="$B$123" fmlaRange="Itens!$F$3:$F$32" noThreeD="1" sel="1" val="0"/>
</file>

<file path=xl/ctrlProps/ctrlProp43.xml><?xml version="1.0" encoding="utf-8"?>
<formControlPr xmlns="http://schemas.microsoft.com/office/spreadsheetml/2009/9/main" objectType="Drop" dropStyle="combo" dx="22" fmlaLink="$B$124" fmlaRange="Itens!$F$3:$F$32" noThreeD="1" sel="1" val="0"/>
</file>

<file path=xl/ctrlProps/ctrlProp44.xml><?xml version="1.0" encoding="utf-8"?>
<formControlPr xmlns="http://schemas.microsoft.com/office/spreadsheetml/2009/9/main" objectType="Drop" dropStyle="combo" dx="22" fmlaLink="$B$125" fmlaRange="Itens!$F$3:$F$32" noThreeD="1" sel="1" val="0"/>
</file>

<file path=xl/ctrlProps/ctrlProp45.xml><?xml version="1.0" encoding="utf-8"?>
<formControlPr xmlns="http://schemas.microsoft.com/office/spreadsheetml/2009/9/main" objectType="Drop" dropStyle="combo" dx="22" fmlaLink="$B$126" fmlaRange="Itens!$F$3:$F$32" noThreeD="1" sel="1" val="0"/>
</file>

<file path=xl/ctrlProps/ctrlProp46.xml><?xml version="1.0" encoding="utf-8"?>
<formControlPr xmlns="http://schemas.microsoft.com/office/spreadsheetml/2009/9/main" objectType="Drop" dropStyle="combo" dx="22" fmlaLink="$B$127" fmlaRange="Itens!$F$3:$F$32" noThreeD="1" sel="1" val="0"/>
</file>

<file path=xl/ctrlProps/ctrlProp47.xml><?xml version="1.0" encoding="utf-8"?>
<formControlPr xmlns="http://schemas.microsoft.com/office/spreadsheetml/2009/9/main" objectType="Drop" dropStyle="combo" dx="22" fmlaLink="$B$128" fmlaRange="Itens!$F$3:$F$32" noThreeD="1" sel="1" val="0"/>
</file>

<file path=xl/ctrlProps/ctrlProp48.xml><?xml version="1.0" encoding="utf-8"?>
<formControlPr xmlns="http://schemas.microsoft.com/office/spreadsheetml/2009/9/main" objectType="Drop" dropStyle="combo" dx="22" fmlaLink="$B$222" fmlaRange="Itens!$H$3:$H$32" noThreeD="1" sel="1" val="0"/>
</file>

<file path=xl/ctrlProps/ctrlProp49.xml><?xml version="1.0" encoding="utf-8"?>
<formControlPr xmlns="http://schemas.microsoft.com/office/spreadsheetml/2009/9/main" objectType="Drop" dropStyle="combo" dx="22" fmlaLink="$B$226" fmlaRange="Itens!$H$3:$H$32" noThreeD="1" sel="1" val="0"/>
</file>

<file path=xl/ctrlProps/ctrlProp5.xml><?xml version="1.0" encoding="utf-8"?>
<formControlPr xmlns="http://schemas.microsoft.com/office/spreadsheetml/2009/9/main" objectType="Drop" dropStyle="combo" dx="22" fmlaLink="$C$174" fmlaRange="Itens!$B$3:$B$32" noThreeD="1" sel="2" val="0"/>
</file>

<file path=xl/ctrlProps/ctrlProp50.xml><?xml version="1.0" encoding="utf-8"?>
<formControlPr xmlns="http://schemas.microsoft.com/office/spreadsheetml/2009/9/main" objectType="Drop" dropStyle="combo" dx="22" fmlaLink="$B$225" fmlaRange="Itens!$H$3:$H$32" noThreeD="1" sel="1" val="0"/>
</file>

<file path=xl/ctrlProps/ctrlProp51.xml><?xml version="1.0" encoding="utf-8"?>
<formControlPr xmlns="http://schemas.microsoft.com/office/spreadsheetml/2009/9/main" objectType="Drop" dropStyle="combo" dx="22" fmlaLink="$B$227" fmlaRange="Itens!$H$3:$H$32" noThreeD="1" sel="1" val="0"/>
</file>

<file path=xl/ctrlProps/ctrlProp52.xml><?xml version="1.0" encoding="utf-8"?>
<formControlPr xmlns="http://schemas.microsoft.com/office/spreadsheetml/2009/9/main" objectType="Drop" dropStyle="combo" dx="22" fmlaLink="$B$228" fmlaRange="Itens!$H$3:$H$32" noThreeD="1" sel="1" val="0"/>
</file>

<file path=xl/ctrlProps/ctrlProp53.xml><?xml version="1.0" encoding="utf-8"?>
<formControlPr xmlns="http://schemas.microsoft.com/office/spreadsheetml/2009/9/main" objectType="Drop" dropStyle="combo" dx="22" fmlaLink="$B$229" fmlaRange="Itens!$H$3:$H$32" noThreeD="1" sel="1" val="0"/>
</file>

<file path=xl/ctrlProps/ctrlProp54.xml><?xml version="1.0" encoding="utf-8"?>
<formControlPr xmlns="http://schemas.microsoft.com/office/spreadsheetml/2009/9/main" objectType="Drop" dropStyle="combo" dx="22" fmlaLink="$B$230" fmlaRange="Itens!$H$3:$H$32" noThreeD="1" sel="1" val="0"/>
</file>

<file path=xl/ctrlProps/ctrlProp55.xml><?xml version="1.0" encoding="utf-8"?>
<formControlPr xmlns="http://schemas.microsoft.com/office/spreadsheetml/2009/9/main" objectType="Drop" dropStyle="combo" dx="22" fmlaLink="$B$231" fmlaRange="Itens!$H$3:$H$32" noThreeD="1" sel="1" val="0"/>
</file>

<file path=xl/ctrlProps/ctrlProp56.xml><?xml version="1.0" encoding="utf-8"?>
<formControlPr xmlns="http://schemas.microsoft.com/office/spreadsheetml/2009/9/main" objectType="Drop" dropStyle="combo" dx="22" fmlaLink="$B$224" fmlaRange="Itens!$H$3:$H$32" noThreeD="1" sel="1" val="0"/>
</file>

<file path=xl/ctrlProps/ctrlProp57.xml><?xml version="1.0" encoding="utf-8"?>
<formControlPr xmlns="http://schemas.microsoft.com/office/spreadsheetml/2009/9/main" objectType="Drop" dropStyle="combo" dx="22" fmlaLink="$B$223" fmlaRange="Itens!$H$3:$H$32" noThreeD="1" sel="1" val="0"/>
</file>

<file path=xl/ctrlProps/ctrlProp58.xml><?xml version="1.0" encoding="utf-8"?>
<formControlPr xmlns="http://schemas.microsoft.com/office/spreadsheetml/2009/9/main" objectType="Drop" dropStyle="combo" dx="22" fmlaLink="$G$42" fmlaRange="ATALHOS!$B$35:$B$36" noThreeD="1" sel="2" val="0"/>
</file>

<file path=xl/ctrlProps/ctrlProp59.xml><?xml version="1.0" encoding="utf-8"?>
<formControlPr xmlns="http://schemas.microsoft.com/office/spreadsheetml/2009/9/main" objectType="Drop" dropStyle="combo" dx="22" fmlaLink="$G$47" fmlaRange="ATALHOS!$J$69:$J$71" noThreeD="1" sel="2" val="0"/>
</file>

<file path=xl/ctrlProps/ctrlProp6.xml><?xml version="1.0" encoding="utf-8"?>
<formControlPr xmlns="http://schemas.microsoft.com/office/spreadsheetml/2009/9/main" objectType="Drop" dropStyle="combo" dx="22" fmlaLink="$C$178" fmlaRange="Itens!$B$3:$B$32" noThreeD="1" sel="1" val="0"/>
</file>

<file path=xl/ctrlProps/ctrlProp60.xml><?xml version="1.0" encoding="utf-8"?>
<formControlPr xmlns="http://schemas.microsoft.com/office/spreadsheetml/2009/9/main" objectType="Drop" dropStyle="combo" dx="22" fmlaLink="$G$49" fmlaRange="ATALHOS!$D$50:$D$52" noThreeD="1" sel="3" val="0"/>
</file>

<file path=xl/ctrlProps/ctrlProp61.xml><?xml version="1.0" encoding="utf-8"?>
<formControlPr xmlns="http://schemas.microsoft.com/office/spreadsheetml/2009/9/main" objectType="Drop" dropStyle="combo" dx="22" fmlaLink="$G$50" fmlaRange="ATALHOS!$B$35:$B$36" noThreeD="1" sel="1" val="0"/>
</file>

<file path=xl/ctrlProps/ctrlProp62.xml><?xml version="1.0" encoding="utf-8"?>
<formControlPr xmlns="http://schemas.microsoft.com/office/spreadsheetml/2009/9/main" objectType="Drop" dropStyle="combo" dx="22" fmlaLink="$G$53" fmlaRange="ATALHOS!$J$75:$J$77" noThreeD="1" sel="3" val="0"/>
</file>

<file path=xl/ctrlProps/ctrlProp63.xml><?xml version="1.0" encoding="utf-8"?>
<formControlPr xmlns="http://schemas.microsoft.com/office/spreadsheetml/2009/9/main" objectType="Drop" dropStyle="combo" dx="22" fmlaLink="$G$56" fmlaRange="ATALHOS!$J$75:$J$77" noThreeD="1" sel="3" val="0"/>
</file>

<file path=xl/ctrlProps/ctrlProp64.xml><?xml version="1.0" encoding="utf-8"?>
<formControlPr xmlns="http://schemas.microsoft.com/office/spreadsheetml/2009/9/main" objectType="Drop" dropStyle="combo" dx="22" fmlaLink="$G$58" fmlaRange="ATALHOS!$J$75:$J$77" noThreeD="1" sel="3" val="0"/>
</file>

<file path=xl/ctrlProps/ctrlProp65.xml><?xml version="1.0" encoding="utf-8"?>
<formControlPr xmlns="http://schemas.microsoft.com/office/spreadsheetml/2009/9/main" objectType="Drop" dropStyle="combo" dx="22" fmlaLink="$G$60" fmlaRange="ATALHOS!$B$35:$B$36" noThreeD="1" sel="2" val="0"/>
</file>

<file path=xl/ctrlProps/ctrlProp66.xml><?xml version="1.0" encoding="utf-8"?>
<formControlPr xmlns="http://schemas.microsoft.com/office/spreadsheetml/2009/9/main" objectType="Drop" dropStyle="combo" dx="22" fmlaLink="$G$62" fmlaRange="ATALHOS!$B$35:$B$36" noThreeD="1" sel="2" val="0"/>
</file>

<file path=xl/ctrlProps/ctrlProp67.xml><?xml version="1.0" encoding="utf-8"?>
<formControlPr xmlns="http://schemas.microsoft.com/office/spreadsheetml/2009/9/main" objectType="Drop" dropStyle="combo" dx="22" fmlaLink="$C$154" fmlaRange="Itens!$B$39:$B$40" noThreeD="1" sel="2" val="0"/>
</file>

<file path=xl/ctrlProps/ctrlProp68.xml><?xml version="1.0" encoding="utf-8"?>
<formControlPr xmlns="http://schemas.microsoft.com/office/spreadsheetml/2009/9/main" objectType="Drop" dropStyle="combo" dx="22" fmlaLink="$D$13" fmlaRange="ATALHOS!$D$46:$D$48" noThreeD="1" sel="1" val="0"/>
</file>

<file path=xl/ctrlProps/ctrlProp69.xml><?xml version="1.0" encoding="utf-8"?>
<formControlPr xmlns="http://schemas.microsoft.com/office/spreadsheetml/2009/9/main" objectType="Drop" dropStyle="combo" dx="22" fmlaLink="$D$26" fmlaRange="ATALHOS!$J$49:$J$50" noThreeD="1" sel="2" val="0"/>
</file>

<file path=xl/ctrlProps/ctrlProp7.xml><?xml version="1.0" encoding="utf-8"?>
<formControlPr xmlns="http://schemas.microsoft.com/office/spreadsheetml/2009/9/main" objectType="Drop" dropStyle="combo" dx="22" fmlaLink="$C$177" fmlaRange="Itens!$B$3:$B$32" noThreeD="1" sel="4" val="14"/>
</file>

<file path=xl/ctrlProps/ctrlProp70.xml><?xml version="1.0" encoding="utf-8"?>
<formControlPr xmlns="http://schemas.microsoft.com/office/spreadsheetml/2009/9/main" objectType="Drop" dropStyle="combo" dx="22" fmlaLink="$D$27" fmlaRange="ATALHOS!$J$49:$J$50" noThreeD="1" sel="2" val="0"/>
</file>

<file path=xl/ctrlProps/ctrlProp71.xml><?xml version="1.0" encoding="utf-8"?>
<formControlPr xmlns="http://schemas.microsoft.com/office/spreadsheetml/2009/9/main" objectType="Drop" dropStyle="combo" dx="22" fmlaLink="$D$28" fmlaRange="ATALHOS!$J$49:$J$50" noThreeD="1" sel="1" val="0"/>
</file>

<file path=xl/ctrlProps/ctrlProp72.xml><?xml version="1.0" encoding="utf-8"?>
<formControlPr xmlns="http://schemas.microsoft.com/office/spreadsheetml/2009/9/main" objectType="Drop" dropStyle="combo" dx="22" fmlaLink="$D$29" fmlaRange="ATALHOS!$J$49:$J$50" noThreeD="1" sel="1" val="0"/>
</file>

<file path=xl/ctrlProps/ctrlProp73.xml><?xml version="1.0" encoding="utf-8"?>
<formControlPr xmlns="http://schemas.microsoft.com/office/spreadsheetml/2009/9/main" objectType="Drop" dropStyle="combo" dx="22" fmlaLink="$D$30" fmlaRange="ATALHOS!$J$49:$J$50" noThreeD="1" sel="0" val="0"/>
</file>

<file path=xl/ctrlProps/ctrlProp74.xml><?xml version="1.0" encoding="utf-8"?>
<formControlPr xmlns="http://schemas.microsoft.com/office/spreadsheetml/2009/9/main" objectType="Drop" dropStyle="combo" dx="22" fmlaLink="$D$31" fmlaRange="ATALHOS!$J$49:$J$50" noThreeD="1" sel="2" val="0"/>
</file>

<file path=xl/ctrlProps/ctrlProp75.xml><?xml version="1.0" encoding="utf-8"?>
<formControlPr xmlns="http://schemas.microsoft.com/office/spreadsheetml/2009/9/main" objectType="Drop" dropStyle="combo" dx="22" fmlaLink="$D$32" fmlaRange="ATALHOS!$J$49:$J$50" noThreeD="1" sel="2" val="0"/>
</file>

<file path=xl/ctrlProps/ctrlProp76.xml><?xml version="1.0" encoding="utf-8"?>
<formControlPr xmlns="http://schemas.microsoft.com/office/spreadsheetml/2009/9/main" objectType="Drop" dropStyle="combo" dx="22" fmlaLink="$D$33" fmlaRange="ATALHOS!$J$49:$J$50" noThreeD="1" sel="2" val="0"/>
</file>

<file path=xl/ctrlProps/ctrlProp77.xml><?xml version="1.0" encoding="utf-8"?>
<formControlPr xmlns="http://schemas.microsoft.com/office/spreadsheetml/2009/9/main" objectType="Drop" dropStyle="combo" dx="22" fmlaLink="$D$34" fmlaRange="ATALHOS!$J$49:$J$50" noThreeD="1" sel="2" val="0"/>
</file>

<file path=xl/ctrlProps/ctrlProp78.xml><?xml version="1.0" encoding="utf-8"?>
<formControlPr xmlns="http://schemas.microsoft.com/office/spreadsheetml/2009/9/main" objectType="Drop" dropStyle="combo" dx="22" fmlaLink="$D$35" fmlaRange="ATALHOS!$J$49:$J$50" noThreeD="1" sel="1" val="0"/>
</file>

<file path=xl/ctrlProps/ctrlProp79.xml><?xml version="1.0" encoding="utf-8"?>
<formControlPr xmlns="http://schemas.microsoft.com/office/spreadsheetml/2009/9/main" objectType="Drop" dropStyle="combo" dx="22" fmlaLink="$D$36" fmlaRange="ATALHOS!$J$49:$J$50" noThreeD="1" sel="1" val="0"/>
</file>

<file path=xl/ctrlProps/ctrlProp8.xml><?xml version="1.0" encoding="utf-8"?>
<formControlPr xmlns="http://schemas.microsoft.com/office/spreadsheetml/2009/9/main" objectType="Drop" dropStyle="combo" dx="22" fmlaLink="$C$179" fmlaRange="Itens!$B$3:$B$32" noThreeD="1" sel="1" val="0"/>
</file>

<file path=xl/ctrlProps/ctrlProp80.xml><?xml version="1.0" encoding="utf-8"?>
<formControlPr xmlns="http://schemas.microsoft.com/office/spreadsheetml/2009/9/main" objectType="Drop" dropStyle="combo" dx="22" fmlaLink="$D$37" fmlaRange="ATALHOS!$J$49:$J$50" noThreeD="1" sel="2" val="0"/>
</file>

<file path=xl/ctrlProps/ctrlProp81.xml><?xml version="1.0" encoding="utf-8"?>
<formControlPr xmlns="http://schemas.microsoft.com/office/spreadsheetml/2009/9/main" objectType="Drop" dropStyle="combo" dx="22" fmlaLink="$D$38" fmlaRange="ATALHOS!$J$49:$J$50" noThreeD="1" sel="1" val="0"/>
</file>

<file path=xl/ctrlProps/ctrlProp82.xml><?xml version="1.0" encoding="utf-8"?>
<formControlPr xmlns="http://schemas.microsoft.com/office/spreadsheetml/2009/9/main" objectType="Drop" dropStyle="combo" dx="22" fmlaLink="$G$26" fmlaRange="ATALHOS!$J$49:$J$50" noThreeD="1" sel="2" val="0"/>
</file>

<file path=xl/ctrlProps/ctrlProp83.xml><?xml version="1.0" encoding="utf-8"?>
<formControlPr xmlns="http://schemas.microsoft.com/office/spreadsheetml/2009/9/main" objectType="Drop" dropStyle="combo" dx="22" fmlaLink="$G$27" fmlaRange="ATALHOS!$J$49:$J$50" noThreeD="1" sel="2" val="0"/>
</file>

<file path=xl/ctrlProps/ctrlProp84.xml><?xml version="1.0" encoding="utf-8"?>
<formControlPr xmlns="http://schemas.microsoft.com/office/spreadsheetml/2009/9/main" objectType="Drop" dropStyle="combo" dx="22" fmlaLink="$G$28" fmlaRange="ATALHOS!$J$49:$J$50" noThreeD="1" sel="2" val="0"/>
</file>

<file path=xl/ctrlProps/ctrlProp85.xml><?xml version="1.0" encoding="utf-8"?>
<formControlPr xmlns="http://schemas.microsoft.com/office/spreadsheetml/2009/9/main" objectType="Drop" dropStyle="combo" dx="22" fmlaLink="$D$14" fmlaRange="ATALHOS!$J$52:$J$53" noThreeD="1" sel="1" val="0"/>
</file>

<file path=xl/ctrlProps/ctrlProp86.xml><?xml version="1.0" encoding="utf-8"?>
<formControlPr xmlns="http://schemas.microsoft.com/office/spreadsheetml/2009/9/main" objectType="Drop" dropStyle="combo" dx="22" fmlaLink="$D$84" fmlaRange="ATALHOS!$B$35:$B$36" noThreeD="1" sel="1" val="0"/>
</file>

<file path=xl/ctrlProps/ctrlProp87.xml><?xml version="1.0" encoding="utf-8"?>
<formControlPr xmlns="http://schemas.microsoft.com/office/spreadsheetml/2009/9/main" objectType="Drop" dropStyle="combo" dx="22" fmlaLink="$E$94" fmlaRange="ATALHOS!$B$35:$B$36" noThreeD="1" sel="1" val="0"/>
</file>

<file path=xl/ctrlProps/ctrlProp88.xml><?xml version="1.0" encoding="utf-8"?>
<formControlPr xmlns="http://schemas.microsoft.com/office/spreadsheetml/2009/9/main" objectType="Drop" dropStyle="combo" dx="22" fmlaLink="$D$173" fmlaRange="ATALHOS!$J$58:$J$64" noThreeD="1" sel="7" val="0"/>
</file>

<file path=xl/ctrlProps/ctrlProp89.xml><?xml version="1.0" encoding="utf-8"?>
<formControlPr xmlns="http://schemas.microsoft.com/office/spreadsheetml/2009/9/main" objectType="Drop" dropStyle="combo" dx="22" fmlaLink="$D$185" fmlaRange="ATALHOS!$J$58:$J$64" noThreeD="1" sel="7" val="0"/>
</file>

<file path=xl/ctrlProps/ctrlProp9.xml><?xml version="1.0" encoding="utf-8"?>
<formControlPr xmlns="http://schemas.microsoft.com/office/spreadsheetml/2009/9/main" objectType="Drop" dropStyle="combo" dx="22" fmlaLink="$C$180" fmlaRange="Itens!$B$3:$B$32" noThreeD="1" sel="1" val="0"/>
</file>

<file path=xl/ctrlProps/ctrlProp90.xml><?xml version="1.0" encoding="utf-8"?>
<formControlPr xmlns="http://schemas.microsoft.com/office/spreadsheetml/2009/9/main" objectType="Drop" dropStyle="combo" dx="22" fmlaLink="$D$197" fmlaRange="ATALHOS!$J$58:$J$64" noThreeD="1" sel="7" val="0"/>
</file>

<file path=xl/ctrlProps/ctrlProp91.xml><?xml version="1.0" encoding="utf-8"?>
<formControlPr xmlns="http://schemas.microsoft.com/office/spreadsheetml/2009/9/main" objectType="CheckBox" checked="Checked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checked="Checked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checked="Checked" lockText="1" noThreeD="1"/>
</file>

<file path=xl/ctrlProps/ctrlProp97.xml><?xml version="1.0" encoding="utf-8"?>
<formControlPr xmlns="http://schemas.microsoft.com/office/spreadsheetml/2009/9/main" objectType="CheckBox" checked="Checked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Drop" dropStyle="combo" dx="22" fmlaLink="$C$143" fmlaRange="ATALHOS!$D$79:$D$84" noThreeD="1" sel="6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Itens!A1"/><Relationship Id="rId7" Type="http://schemas.openxmlformats.org/officeDocument/2006/relationships/hyperlink" Target="#Itens!J1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hyperlink" Target="#Itens!H1"/><Relationship Id="rId5" Type="http://schemas.openxmlformats.org/officeDocument/2006/relationships/hyperlink" Target="#Itens!F1"/><Relationship Id="rId4" Type="http://schemas.openxmlformats.org/officeDocument/2006/relationships/hyperlink" Target="#Itens!D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Deprecia&#231;&#245;es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Caracter&#237;sticas da produ&#231;&#227;o'!B111"/><Relationship Id="rId2" Type="http://schemas.openxmlformats.org/officeDocument/2006/relationships/hyperlink" Target="#'Caracter&#237;sticas da produ&#231;&#227;o'!B102"/><Relationship Id="rId1" Type="http://schemas.openxmlformats.org/officeDocument/2006/relationships/hyperlink" Target="#'Caract. produ&#231;&#227;o'!B144"/><Relationship Id="rId5" Type="http://schemas.openxmlformats.org/officeDocument/2006/relationships/hyperlink" Target="#'Caracter&#237;sticas da produ&#231;&#227;o'!B87"/><Relationship Id="rId4" Type="http://schemas.openxmlformats.org/officeDocument/2006/relationships/hyperlink" Target="#'Caracter&#237;sticas da produ&#231;&#227;o'!B173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57151</xdr:colOff>
      <xdr:row>2</xdr:row>
      <xdr:rowOff>28575</xdr:rowOff>
    </xdr:from>
    <xdr:ext cx="8801100" cy="1273175"/>
    <xdr:grpSp>
      <xdr:nvGrpSpPr>
        <xdr:cNvPr id="2" name="Group 3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42876" y="409575"/>
          <a:ext cx="8801100" cy="1273175"/>
          <a:chOff x="0" y="0"/>
          <a:chExt cx="4535805" cy="805180"/>
        </a:xfrm>
      </xdr:grpSpPr>
      <xdr:pic>
        <xdr:nvPicPr>
          <xdr:cNvPr id="3" name="image1.pn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4251"/>
            <a:ext cx="4131691" cy="750709"/>
          </a:xfrm>
          <a:prstGeom prst="rect">
            <a:avLst/>
          </a:prstGeom>
        </xdr:spPr>
      </xdr:pic>
      <xdr:pic>
        <xdr:nvPicPr>
          <xdr:cNvPr id="4" name="image2.pn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71289" y="0"/>
            <a:ext cx="364070" cy="804773"/>
          </a:xfrm>
          <a:prstGeom prst="rect">
            <a:avLst/>
          </a:prstGeom>
        </xdr:spPr>
      </xdr:pic>
    </xdr:grp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737</xdr:colOff>
          <xdr:row>109</xdr:row>
          <xdr:rowOff>0</xdr:rowOff>
        </xdr:from>
        <xdr:to>
          <xdr:col>2</xdr:col>
          <xdr:colOff>0</xdr:colOff>
          <xdr:row>113</xdr:row>
          <xdr:rowOff>9525</xdr:rowOff>
        </xdr:to>
        <xdr:grpSp>
          <xdr:nvGrpSpPr>
            <xdr:cNvPr id="8" name="Grupo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GrpSpPr/>
          </xdr:nvGrpSpPr>
          <xdr:grpSpPr>
            <a:xfrm>
              <a:off x="86462" y="20821650"/>
              <a:ext cx="1399438" cy="771525"/>
              <a:chOff x="190500" y="4130386"/>
              <a:chExt cx="1939636" cy="771525"/>
            </a:xfrm>
          </xdr:grpSpPr>
          <xdr:sp macro="" textlink="">
            <xdr:nvSpPr>
              <xdr:cNvPr id="12588" name="Drop Down 300" hidden="1">
                <a:extLst>
                  <a:ext uri="{63B3BB69-23CF-44E3-9099-C40C66FF867C}">
                    <a14:compatExt spid="_x0000_s12588"/>
                  </a:ext>
                  <a:ext uri="{FF2B5EF4-FFF2-40B4-BE49-F238E27FC236}">
                    <a16:creationId xmlns:a16="http://schemas.microsoft.com/office/drawing/2014/main" id="{00000000-0008-0000-0000-00002C310000}"/>
                  </a:ext>
                </a:extLst>
              </xdr:cNvPr>
              <xdr:cNvSpPr/>
            </xdr:nvSpPr>
            <xdr:spPr bwMode="auto">
              <a:xfrm>
                <a:off x="190500" y="4130386"/>
                <a:ext cx="1939636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589" name="Drop Down 301" hidden="1">
                <a:extLst>
                  <a:ext uri="{63B3BB69-23CF-44E3-9099-C40C66FF867C}">
                    <a14:compatExt spid="_x0000_s12589"/>
                  </a:ext>
                  <a:ext uri="{FF2B5EF4-FFF2-40B4-BE49-F238E27FC236}">
                    <a16:creationId xmlns:a16="http://schemas.microsoft.com/office/drawing/2014/main" id="{00000000-0008-0000-0000-00002D310000}"/>
                  </a:ext>
                </a:extLst>
              </xdr:cNvPr>
              <xdr:cNvSpPr/>
            </xdr:nvSpPr>
            <xdr:spPr bwMode="auto">
              <a:xfrm>
                <a:off x="190500" y="4320886"/>
                <a:ext cx="1939636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590" name="Drop Down 302" hidden="1">
                <a:extLst>
                  <a:ext uri="{63B3BB69-23CF-44E3-9099-C40C66FF867C}">
                    <a14:compatExt spid="_x0000_s12590"/>
                  </a:ext>
                  <a:ext uri="{FF2B5EF4-FFF2-40B4-BE49-F238E27FC236}">
                    <a16:creationId xmlns:a16="http://schemas.microsoft.com/office/drawing/2014/main" id="{00000000-0008-0000-0000-00002E310000}"/>
                  </a:ext>
                </a:extLst>
              </xdr:cNvPr>
              <xdr:cNvSpPr/>
            </xdr:nvSpPr>
            <xdr:spPr bwMode="auto">
              <a:xfrm>
                <a:off x="190500" y="4511386"/>
                <a:ext cx="1939636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591" name="Drop Down 303" hidden="1">
                <a:extLst>
                  <a:ext uri="{63B3BB69-23CF-44E3-9099-C40C66FF867C}">
                    <a14:compatExt spid="_x0000_s12591"/>
                  </a:ext>
                  <a:ext uri="{FF2B5EF4-FFF2-40B4-BE49-F238E27FC236}">
                    <a16:creationId xmlns:a16="http://schemas.microsoft.com/office/drawing/2014/main" id="{00000000-0008-0000-0000-00002F310000}"/>
                  </a:ext>
                </a:extLst>
              </xdr:cNvPr>
              <xdr:cNvSpPr/>
            </xdr:nvSpPr>
            <xdr:spPr bwMode="auto">
              <a:xfrm>
                <a:off x="190500" y="4701886"/>
                <a:ext cx="1939636" cy="20002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</xdr:col>
      <xdr:colOff>16853</xdr:colOff>
      <xdr:row>171</xdr:row>
      <xdr:rowOff>89253</xdr:rowOff>
    </xdr:from>
    <xdr:to>
      <xdr:col>1</xdr:col>
      <xdr:colOff>1377463</xdr:colOff>
      <xdr:row>171</xdr:row>
      <xdr:rowOff>518745</xdr:rowOff>
    </xdr:to>
    <xdr:sp macro="" textlink="">
      <xdr:nvSpPr>
        <xdr:cNvPr id="9" name="Retângulo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04776" y="32415638"/>
          <a:ext cx="1360610" cy="429492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 b="1">
              <a:latin typeface="Lucida Console" panose="020B0609040504020204" pitchFamily="49" charset="0"/>
            </a:rPr>
            <a:t>CADASTRAR</a:t>
          </a:r>
          <a:r>
            <a:rPr lang="pt-BR" sz="1000" b="1" baseline="0">
              <a:latin typeface="Lucida Console" panose="020B0609040504020204" pitchFamily="49" charset="0"/>
            </a:rPr>
            <a:t> INGREDIENTE</a:t>
          </a:r>
          <a:endParaRPr lang="pt-BR" sz="1000" b="1">
            <a:latin typeface="Lucida Console" panose="020B0609040504020204" pitchFamily="49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4965</xdr:colOff>
          <xdr:row>173</xdr:row>
          <xdr:rowOff>8877</xdr:rowOff>
        </xdr:from>
        <xdr:to>
          <xdr:col>2</xdr:col>
          <xdr:colOff>1472712</xdr:colOff>
          <xdr:row>182</xdr:row>
          <xdr:rowOff>174480</xdr:rowOff>
        </xdr:to>
        <xdr:grpSp>
          <xdr:nvGrpSpPr>
            <xdr:cNvPr id="11" name="Grupo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GrpSpPr/>
          </xdr:nvGrpSpPr>
          <xdr:grpSpPr>
            <a:xfrm>
              <a:off x="1490865" y="34394127"/>
              <a:ext cx="1467747" cy="1880103"/>
              <a:chOff x="2138565" y="14696427"/>
              <a:chExt cx="1296000" cy="1880103"/>
            </a:xfrm>
          </xdr:grpSpPr>
          <xdr:sp macro="" textlink="">
            <xdr:nvSpPr>
              <xdr:cNvPr id="12595" name="Drop Down 307" hidden="1">
                <a:extLst>
                  <a:ext uri="{63B3BB69-23CF-44E3-9099-C40C66FF867C}">
                    <a14:compatExt spid="_x0000_s12595"/>
                  </a:ext>
                  <a:ext uri="{FF2B5EF4-FFF2-40B4-BE49-F238E27FC236}">
                    <a16:creationId xmlns:a16="http://schemas.microsoft.com/office/drawing/2014/main" id="{00000000-0008-0000-0000-000033310000}"/>
                  </a:ext>
                </a:extLst>
              </xdr:cNvPr>
              <xdr:cNvSpPr/>
            </xdr:nvSpPr>
            <xdr:spPr bwMode="auto">
              <a:xfrm>
                <a:off x="2138565" y="14696427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596" name="Drop Down 308" hidden="1">
                <a:extLst>
                  <a:ext uri="{63B3BB69-23CF-44E3-9099-C40C66FF867C}">
                    <a14:compatExt spid="_x0000_s12596"/>
                  </a:ext>
                  <a:ext uri="{FF2B5EF4-FFF2-40B4-BE49-F238E27FC236}">
                    <a16:creationId xmlns:a16="http://schemas.microsoft.com/office/drawing/2014/main" id="{00000000-0008-0000-0000-000034310000}"/>
                  </a:ext>
                </a:extLst>
              </xdr:cNvPr>
              <xdr:cNvSpPr/>
            </xdr:nvSpPr>
            <xdr:spPr bwMode="auto">
              <a:xfrm>
                <a:off x="2138565" y="15444247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597" name="Drop Down 309" hidden="1">
                <a:extLst>
                  <a:ext uri="{63B3BB69-23CF-44E3-9099-C40C66FF867C}">
                    <a14:compatExt spid="_x0000_s12597"/>
                  </a:ext>
                  <a:ext uri="{FF2B5EF4-FFF2-40B4-BE49-F238E27FC236}">
                    <a16:creationId xmlns:a16="http://schemas.microsoft.com/office/drawing/2014/main" id="{00000000-0008-0000-0000-000035310000}"/>
                  </a:ext>
                </a:extLst>
              </xdr:cNvPr>
              <xdr:cNvSpPr/>
            </xdr:nvSpPr>
            <xdr:spPr bwMode="auto">
              <a:xfrm>
                <a:off x="2138565" y="15257318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598" name="Drop Down 310" hidden="1">
                <a:extLst>
                  <a:ext uri="{63B3BB69-23CF-44E3-9099-C40C66FF867C}">
                    <a14:compatExt spid="_x0000_s12598"/>
                  </a:ext>
                  <a:ext uri="{FF2B5EF4-FFF2-40B4-BE49-F238E27FC236}">
                    <a16:creationId xmlns:a16="http://schemas.microsoft.com/office/drawing/2014/main" id="{00000000-0008-0000-0000-000036310000}"/>
                  </a:ext>
                </a:extLst>
              </xdr:cNvPr>
              <xdr:cNvSpPr/>
            </xdr:nvSpPr>
            <xdr:spPr bwMode="auto">
              <a:xfrm>
                <a:off x="2138565" y="15633231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599" name="Drop Down 311" hidden="1">
                <a:extLst>
                  <a:ext uri="{63B3BB69-23CF-44E3-9099-C40C66FF867C}">
                    <a14:compatExt spid="_x0000_s12599"/>
                  </a:ext>
                  <a:ext uri="{FF2B5EF4-FFF2-40B4-BE49-F238E27FC236}">
                    <a16:creationId xmlns:a16="http://schemas.microsoft.com/office/drawing/2014/main" id="{00000000-0008-0000-0000-000037310000}"/>
                  </a:ext>
                </a:extLst>
              </xdr:cNvPr>
              <xdr:cNvSpPr/>
            </xdr:nvSpPr>
            <xdr:spPr bwMode="auto">
              <a:xfrm>
                <a:off x="2138565" y="15820808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00" name="Drop Down 312" hidden="1">
                <a:extLst>
                  <a:ext uri="{63B3BB69-23CF-44E3-9099-C40C66FF867C}">
                    <a14:compatExt spid="_x0000_s12600"/>
                  </a:ext>
                  <a:ext uri="{FF2B5EF4-FFF2-40B4-BE49-F238E27FC236}">
                    <a16:creationId xmlns:a16="http://schemas.microsoft.com/office/drawing/2014/main" id="{00000000-0008-0000-0000-000038310000}"/>
                  </a:ext>
                </a:extLst>
              </xdr:cNvPr>
              <xdr:cNvSpPr/>
            </xdr:nvSpPr>
            <xdr:spPr bwMode="auto">
              <a:xfrm>
                <a:off x="2138565" y="16008061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01" name="Drop Down 313" hidden="1">
                <a:extLst>
                  <a:ext uri="{63B3BB69-23CF-44E3-9099-C40C66FF867C}">
                    <a14:compatExt spid="_x0000_s12601"/>
                  </a:ext>
                  <a:ext uri="{FF2B5EF4-FFF2-40B4-BE49-F238E27FC236}">
                    <a16:creationId xmlns:a16="http://schemas.microsoft.com/office/drawing/2014/main" id="{00000000-0008-0000-0000-000039310000}"/>
                  </a:ext>
                </a:extLst>
              </xdr:cNvPr>
              <xdr:cNvSpPr/>
            </xdr:nvSpPr>
            <xdr:spPr bwMode="auto">
              <a:xfrm>
                <a:off x="2138565" y="16204623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02" name="Drop Down 314" hidden="1">
                <a:extLst>
                  <a:ext uri="{63B3BB69-23CF-44E3-9099-C40C66FF867C}">
                    <a14:compatExt spid="_x0000_s12602"/>
                  </a:ext>
                  <a:ext uri="{FF2B5EF4-FFF2-40B4-BE49-F238E27FC236}">
                    <a16:creationId xmlns:a16="http://schemas.microsoft.com/office/drawing/2014/main" id="{00000000-0008-0000-0000-00003A310000}"/>
                  </a:ext>
                </a:extLst>
              </xdr:cNvPr>
              <xdr:cNvSpPr/>
            </xdr:nvSpPr>
            <xdr:spPr bwMode="auto">
              <a:xfrm>
                <a:off x="2138565" y="16396530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03" name="Drop Down 315" hidden="1">
                <a:extLst>
                  <a:ext uri="{63B3BB69-23CF-44E3-9099-C40C66FF867C}">
                    <a14:compatExt spid="_x0000_s12603"/>
                  </a:ext>
                  <a:ext uri="{FF2B5EF4-FFF2-40B4-BE49-F238E27FC236}">
                    <a16:creationId xmlns:a16="http://schemas.microsoft.com/office/drawing/2014/main" id="{00000000-0008-0000-0000-00003B310000}"/>
                  </a:ext>
                </a:extLst>
              </xdr:cNvPr>
              <xdr:cNvSpPr/>
            </xdr:nvSpPr>
            <xdr:spPr bwMode="auto">
              <a:xfrm>
                <a:off x="2138565" y="15070282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04" name="Drop Down 316" hidden="1">
                <a:extLst>
                  <a:ext uri="{63B3BB69-23CF-44E3-9099-C40C66FF867C}">
                    <a14:compatExt spid="_x0000_s12604"/>
                  </a:ext>
                  <a:ext uri="{FF2B5EF4-FFF2-40B4-BE49-F238E27FC236}">
                    <a16:creationId xmlns:a16="http://schemas.microsoft.com/office/drawing/2014/main" id="{00000000-0008-0000-0000-00003C310000}"/>
                  </a:ext>
                </a:extLst>
              </xdr:cNvPr>
              <xdr:cNvSpPr/>
            </xdr:nvSpPr>
            <xdr:spPr bwMode="auto">
              <a:xfrm>
                <a:off x="2138565" y="14881730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4965</xdr:colOff>
          <xdr:row>185</xdr:row>
          <xdr:rowOff>8877</xdr:rowOff>
        </xdr:from>
        <xdr:to>
          <xdr:col>2</xdr:col>
          <xdr:colOff>1472712</xdr:colOff>
          <xdr:row>194</xdr:row>
          <xdr:rowOff>174480</xdr:rowOff>
        </xdr:to>
        <xdr:grpSp>
          <xdr:nvGrpSpPr>
            <xdr:cNvPr id="135" name="Grupo 134">
              <a:extLst>
                <a:ext uri="{FF2B5EF4-FFF2-40B4-BE49-F238E27FC236}">
                  <a16:creationId xmlns:a16="http://schemas.microsoft.com/office/drawing/2014/main" id="{00000000-0008-0000-0000-000087000000}"/>
                </a:ext>
              </a:extLst>
            </xdr:cNvPr>
            <xdr:cNvGrpSpPr/>
          </xdr:nvGrpSpPr>
          <xdr:grpSpPr>
            <a:xfrm>
              <a:off x="1490865" y="37051602"/>
              <a:ext cx="1467747" cy="1880103"/>
              <a:chOff x="2138565" y="14696427"/>
              <a:chExt cx="1296000" cy="1880103"/>
            </a:xfrm>
          </xdr:grpSpPr>
          <xdr:sp macro="" textlink="">
            <xdr:nvSpPr>
              <xdr:cNvPr id="12670" name="Drop Down 382" hidden="1">
                <a:extLst>
                  <a:ext uri="{63B3BB69-23CF-44E3-9099-C40C66FF867C}">
                    <a14:compatExt spid="_x0000_s12670"/>
                  </a:ext>
                  <a:ext uri="{FF2B5EF4-FFF2-40B4-BE49-F238E27FC236}">
                    <a16:creationId xmlns:a16="http://schemas.microsoft.com/office/drawing/2014/main" id="{00000000-0008-0000-0000-00007E310000}"/>
                  </a:ext>
                </a:extLst>
              </xdr:cNvPr>
              <xdr:cNvSpPr/>
            </xdr:nvSpPr>
            <xdr:spPr bwMode="auto">
              <a:xfrm>
                <a:off x="2138565" y="14696427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71" name="Drop Down 383" hidden="1">
                <a:extLst>
                  <a:ext uri="{63B3BB69-23CF-44E3-9099-C40C66FF867C}">
                    <a14:compatExt spid="_x0000_s12671"/>
                  </a:ext>
                  <a:ext uri="{FF2B5EF4-FFF2-40B4-BE49-F238E27FC236}">
                    <a16:creationId xmlns:a16="http://schemas.microsoft.com/office/drawing/2014/main" id="{00000000-0008-0000-0000-00007F310000}"/>
                  </a:ext>
                </a:extLst>
              </xdr:cNvPr>
              <xdr:cNvSpPr/>
            </xdr:nvSpPr>
            <xdr:spPr bwMode="auto">
              <a:xfrm>
                <a:off x="2138565" y="15444247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72" name="Drop Down 384" hidden="1">
                <a:extLst>
                  <a:ext uri="{63B3BB69-23CF-44E3-9099-C40C66FF867C}">
                    <a14:compatExt spid="_x0000_s12672"/>
                  </a:ext>
                  <a:ext uri="{FF2B5EF4-FFF2-40B4-BE49-F238E27FC236}">
                    <a16:creationId xmlns:a16="http://schemas.microsoft.com/office/drawing/2014/main" id="{00000000-0008-0000-0000-000080310000}"/>
                  </a:ext>
                </a:extLst>
              </xdr:cNvPr>
              <xdr:cNvSpPr/>
            </xdr:nvSpPr>
            <xdr:spPr bwMode="auto">
              <a:xfrm>
                <a:off x="2138565" y="15257318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73" name="Drop Down 385" hidden="1">
                <a:extLst>
                  <a:ext uri="{63B3BB69-23CF-44E3-9099-C40C66FF867C}">
                    <a14:compatExt spid="_x0000_s12673"/>
                  </a:ext>
                  <a:ext uri="{FF2B5EF4-FFF2-40B4-BE49-F238E27FC236}">
                    <a16:creationId xmlns:a16="http://schemas.microsoft.com/office/drawing/2014/main" id="{00000000-0008-0000-0000-000081310000}"/>
                  </a:ext>
                </a:extLst>
              </xdr:cNvPr>
              <xdr:cNvSpPr/>
            </xdr:nvSpPr>
            <xdr:spPr bwMode="auto">
              <a:xfrm>
                <a:off x="2138565" y="15633231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74" name="Drop Down 386" hidden="1">
                <a:extLst>
                  <a:ext uri="{63B3BB69-23CF-44E3-9099-C40C66FF867C}">
                    <a14:compatExt spid="_x0000_s12674"/>
                  </a:ext>
                  <a:ext uri="{FF2B5EF4-FFF2-40B4-BE49-F238E27FC236}">
                    <a16:creationId xmlns:a16="http://schemas.microsoft.com/office/drawing/2014/main" id="{00000000-0008-0000-0000-000082310000}"/>
                  </a:ext>
                </a:extLst>
              </xdr:cNvPr>
              <xdr:cNvSpPr/>
            </xdr:nvSpPr>
            <xdr:spPr bwMode="auto">
              <a:xfrm>
                <a:off x="2138565" y="15820808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75" name="Drop Down 387" hidden="1">
                <a:extLst>
                  <a:ext uri="{63B3BB69-23CF-44E3-9099-C40C66FF867C}">
                    <a14:compatExt spid="_x0000_s12675"/>
                  </a:ext>
                  <a:ext uri="{FF2B5EF4-FFF2-40B4-BE49-F238E27FC236}">
                    <a16:creationId xmlns:a16="http://schemas.microsoft.com/office/drawing/2014/main" id="{00000000-0008-0000-0000-000083310000}"/>
                  </a:ext>
                </a:extLst>
              </xdr:cNvPr>
              <xdr:cNvSpPr/>
            </xdr:nvSpPr>
            <xdr:spPr bwMode="auto">
              <a:xfrm>
                <a:off x="2138565" y="16008061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76" name="Drop Down 388" hidden="1">
                <a:extLst>
                  <a:ext uri="{63B3BB69-23CF-44E3-9099-C40C66FF867C}">
                    <a14:compatExt spid="_x0000_s12676"/>
                  </a:ext>
                  <a:ext uri="{FF2B5EF4-FFF2-40B4-BE49-F238E27FC236}">
                    <a16:creationId xmlns:a16="http://schemas.microsoft.com/office/drawing/2014/main" id="{00000000-0008-0000-0000-000084310000}"/>
                  </a:ext>
                </a:extLst>
              </xdr:cNvPr>
              <xdr:cNvSpPr/>
            </xdr:nvSpPr>
            <xdr:spPr bwMode="auto">
              <a:xfrm>
                <a:off x="2138565" y="16204623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77" name="Drop Down 389" hidden="1">
                <a:extLst>
                  <a:ext uri="{63B3BB69-23CF-44E3-9099-C40C66FF867C}">
                    <a14:compatExt spid="_x0000_s12677"/>
                  </a:ext>
                  <a:ext uri="{FF2B5EF4-FFF2-40B4-BE49-F238E27FC236}">
                    <a16:creationId xmlns:a16="http://schemas.microsoft.com/office/drawing/2014/main" id="{00000000-0008-0000-0000-000085310000}"/>
                  </a:ext>
                </a:extLst>
              </xdr:cNvPr>
              <xdr:cNvSpPr/>
            </xdr:nvSpPr>
            <xdr:spPr bwMode="auto">
              <a:xfrm>
                <a:off x="2138565" y="16396530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78" name="Drop Down 390" hidden="1">
                <a:extLst>
                  <a:ext uri="{63B3BB69-23CF-44E3-9099-C40C66FF867C}">
                    <a14:compatExt spid="_x0000_s12678"/>
                  </a:ext>
                  <a:ext uri="{FF2B5EF4-FFF2-40B4-BE49-F238E27FC236}">
                    <a16:creationId xmlns:a16="http://schemas.microsoft.com/office/drawing/2014/main" id="{00000000-0008-0000-0000-000086310000}"/>
                  </a:ext>
                </a:extLst>
              </xdr:cNvPr>
              <xdr:cNvSpPr/>
            </xdr:nvSpPr>
            <xdr:spPr bwMode="auto">
              <a:xfrm>
                <a:off x="2138565" y="15070282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79" name="Drop Down 391" hidden="1">
                <a:extLst>
                  <a:ext uri="{63B3BB69-23CF-44E3-9099-C40C66FF867C}">
                    <a14:compatExt spid="_x0000_s12679"/>
                  </a:ext>
                  <a:ext uri="{FF2B5EF4-FFF2-40B4-BE49-F238E27FC236}">
                    <a16:creationId xmlns:a16="http://schemas.microsoft.com/office/drawing/2014/main" id="{00000000-0008-0000-0000-000087310000}"/>
                  </a:ext>
                </a:extLst>
              </xdr:cNvPr>
              <xdr:cNvSpPr/>
            </xdr:nvSpPr>
            <xdr:spPr bwMode="auto">
              <a:xfrm>
                <a:off x="2138565" y="14881730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4965</xdr:colOff>
          <xdr:row>197</xdr:row>
          <xdr:rowOff>8877</xdr:rowOff>
        </xdr:from>
        <xdr:to>
          <xdr:col>2</xdr:col>
          <xdr:colOff>1472712</xdr:colOff>
          <xdr:row>206</xdr:row>
          <xdr:rowOff>174480</xdr:rowOff>
        </xdr:to>
        <xdr:grpSp>
          <xdr:nvGrpSpPr>
            <xdr:cNvPr id="157" name="Grupo 156">
              <a:extLst>
                <a:ext uri="{FF2B5EF4-FFF2-40B4-BE49-F238E27FC236}">
                  <a16:creationId xmlns:a16="http://schemas.microsoft.com/office/drawing/2014/main" id="{00000000-0008-0000-0000-00009D000000}"/>
                </a:ext>
              </a:extLst>
            </xdr:cNvPr>
            <xdr:cNvGrpSpPr/>
          </xdr:nvGrpSpPr>
          <xdr:grpSpPr>
            <a:xfrm>
              <a:off x="1490865" y="39632877"/>
              <a:ext cx="1467747" cy="1880103"/>
              <a:chOff x="2138565" y="14696427"/>
              <a:chExt cx="1296000" cy="1880103"/>
            </a:xfrm>
          </xdr:grpSpPr>
          <xdr:sp macro="" textlink="">
            <xdr:nvSpPr>
              <xdr:cNvPr id="12690" name="Drop Down 402" hidden="1">
                <a:extLst>
                  <a:ext uri="{63B3BB69-23CF-44E3-9099-C40C66FF867C}">
                    <a14:compatExt spid="_x0000_s12690"/>
                  </a:ext>
                  <a:ext uri="{FF2B5EF4-FFF2-40B4-BE49-F238E27FC236}">
                    <a16:creationId xmlns:a16="http://schemas.microsoft.com/office/drawing/2014/main" id="{00000000-0008-0000-0000-000092310000}"/>
                  </a:ext>
                </a:extLst>
              </xdr:cNvPr>
              <xdr:cNvSpPr/>
            </xdr:nvSpPr>
            <xdr:spPr bwMode="auto">
              <a:xfrm>
                <a:off x="2138565" y="14696427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91" name="Drop Down 403" hidden="1">
                <a:extLst>
                  <a:ext uri="{63B3BB69-23CF-44E3-9099-C40C66FF867C}">
                    <a14:compatExt spid="_x0000_s12691"/>
                  </a:ext>
                  <a:ext uri="{FF2B5EF4-FFF2-40B4-BE49-F238E27FC236}">
                    <a16:creationId xmlns:a16="http://schemas.microsoft.com/office/drawing/2014/main" id="{00000000-0008-0000-0000-000093310000}"/>
                  </a:ext>
                </a:extLst>
              </xdr:cNvPr>
              <xdr:cNvSpPr/>
            </xdr:nvSpPr>
            <xdr:spPr bwMode="auto">
              <a:xfrm>
                <a:off x="2138565" y="15444247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92" name="Drop Down 404" hidden="1">
                <a:extLst>
                  <a:ext uri="{63B3BB69-23CF-44E3-9099-C40C66FF867C}">
                    <a14:compatExt spid="_x0000_s12692"/>
                  </a:ext>
                  <a:ext uri="{FF2B5EF4-FFF2-40B4-BE49-F238E27FC236}">
                    <a16:creationId xmlns:a16="http://schemas.microsoft.com/office/drawing/2014/main" id="{00000000-0008-0000-0000-000094310000}"/>
                  </a:ext>
                </a:extLst>
              </xdr:cNvPr>
              <xdr:cNvSpPr/>
            </xdr:nvSpPr>
            <xdr:spPr bwMode="auto">
              <a:xfrm>
                <a:off x="2138565" y="15257318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93" name="Drop Down 405" hidden="1">
                <a:extLst>
                  <a:ext uri="{63B3BB69-23CF-44E3-9099-C40C66FF867C}">
                    <a14:compatExt spid="_x0000_s12693"/>
                  </a:ext>
                  <a:ext uri="{FF2B5EF4-FFF2-40B4-BE49-F238E27FC236}">
                    <a16:creationId xmlns:a16="http://schemas.microsoft.com/office/drawing/2014/main" id="{00000000-0008-0000-0000-000095310000}"/>
                  </a:ext>
                </a:extLst>
              </xdr:cNvPr>
              <xdr:cNvSpPr/>
            </xdr:nvSpPr>
            <xdr:spPr bwMode="auto">
              <a:xfrm>
                <a:off x="2138565" y="15633231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94" name="Drop Down 406" hidden="1">
                <a:extLst>
                  <a:ext uri="{63B3BB69-23CF-44E3-9099-C40C66FF867C}">
                    <a14:compatExt spid="_x0000_s12694"/>
                  </a:ext>
                  <a:ext uri="{FF2B5EF4-FFF2-40B4-BE49-F238E27FC236}">
                    <a16:creationId xmlns:a16="http://schemas.microsoft.com/office/drawing/2014/main" id="{00000000-0008-0000-0000-000096310000}"/>
                  </a:ext>
                </a:extLst>
              </xdr:cNvPr>
              <xdr:cNvSpPr/>
            </xdr:nvSpPr>
            <xdr:spPr bwMode="auto">
              <a:xfrm>
                <a:off x="2138565" y="15820808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95" name="Drop Down 407" hidden="1">
                <a:extLst>
                  <a:ext uri="{63B3BB69-23CF-44E3-9099-C40C66FF867C}">
                    <a14:compatExt spid="_x0000_s12695"/>
                  </a:ext>
                  <a:ext uri="{FF2B5EF4-FFF2-40B4-BE49-F238E27FC236}">
                    <a16:creationId xmlns:a16="http://schemas.microsoft.com/office/drawing/2014/main" id="{00000000-0008-0000-0000-000097310000}"/>
                  </a:ext>
                </a:extLst>
              </xdr:cNvPr>
              <xdr:cNvSpPr/>
            </xdr:nvSpPr>
            <xdr:spPr bwMode="auto">
              <a:xfrm>
                <a:off x="2138565" y="16008061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96" name="Drop Down 408" hidden="1">
                <a:extLst>
                  <a:ext uri="{63B3BB69-23CF-44E3-9099-C40C66FF867C}">
                    <a14:compatExt spid="_x0000_s12696"/>
                  </a:ext>
                  <a:ext uri="{FF2B5EF4-FFF2-40B4-BE49-F238E27FC236}">
                    <a16:creationId xmlns:a16="http://schemas.microsoft.com/office/drawing/2014/main" id="{00000000-0008-0000-0000-000098310000}"/>
                  </a:ext>
                </a:extLst>
              </xdr:cNvPr>
              <xdr:cNvSpPr/>
            </xdr:nvSpPr>
            <xdr:spPr bwMode="auto">
              <a:xfrm>
                <a:off x="2138565" y="16204623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97" name="Drop Down 409" hidden="1">
                <a:extLst>
                  <a:ext uri="{63B3BB69-23CF-44E3-9099-C40C66FF867C}">
                    <a14:compatExt spid="_x0000_s12697"/>
                  </a:ext>
                  <a:ext uri="{FF2B5EF4-FFF2-40B4-BE49-F238E27FC236}">
                    <a16:creationId xmlns:a16="http://schemas.microsoft.com/office/drawing/2014/main" id="{00000000-0008-0000-0000-000099310000}"/>
                  </a:ext>
                </a:extLst>
              </xdr:cNvPr>
              <xdr:cNvSpPr/>
            </xdr:nvSpPr>
            <xdr:spPr bwMode="auto">
              <a:xfrm>
                <a:off x="2138565" y="16396530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98" name="Drop Down 410" hidden="1">
                <a:extLst>
                  <a:ext uri="{63B3BB69-23CF-44E3-9099-C40C66FF867C}">
                    <a14:compatExt spid="_x0000_s12698"/>
                  </a:ext>
                  <a:ext uri="{FF2B5EF4-FFF2-40B4-BE49-F238E27FC236}">
                    <a16:creationId xmlns:a16="http://schemas.microsoft.com/office/drawing/2014/main" id="{00000000-0008-0000-0000-00009A310000}"/>
                  </a:ext>
                </a:extLst>
              </xdr:cNvPr>
              <xdr:cNvSpPr/>
            </xdr:nvSpPr>
            <xdr:spPr bwMode="auto">
              <a:xfrm>
                <a:off x="2138565" y="15070282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699" name="Drop Down 411" hidden="1">
                <a:extLst>
                  <a:ext uri="{63B3BB69-23CF-44E3-9099-C40C66FF867C}">
                    <a14:compatExt spid="_x0000_s12699"/>
                  </a:ext>
                  <a:ext uri="{FF2B5EF4-FFF2-40B4-BE49-F238E27FC236}">
                    <a16:creationId xmlns:a16="http://schemas.microsoft.com/office/drawing/2014/main" id="{00000000-0008-0000-0000-00009B310000}"/>
                  </a:ext>
                </a:extLst>
              </xdr:cNvPr>
              <xdr:cNvSpPr/>
            </xdr:nvSpPr>
            <xdr:spPr bwMode="auto">
              <a:xfrm>
                <a:off x="2138565" y="14881730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</xdr:col>
      <xdr:colOff>9524</xdr:colOff>
      <xdr:row>106</xdr:row>
      <xdr:rowOff>8658</xdr:rowOff>
    </xdr:from>
    <xdr:to>
      <xdr:col>2</xdr:col>
      <xdr:colOff>10390</xdr:colOff>
      <xdr:row>107</xdr:row>
      <xdr:rowOff>9524</xdr:rowOff>
    </xdr:to>
    <xdr:sp macro="" textlink="">
      <xdr:nvSpPr>
        <xdr:cNvPr id="168" name="Retângulo 16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/>
      </xdr:nvSpPr>
      <xdr:spPr>
        <a:xfrm>
          <a:off x="95249" y="11257683"/>
          <a:ext cx="1220066" cy="543791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latin typeface="Lucida Console" panose="020B0609040504020204" pitchFamily="49" charset="0"/>
            </a:rPr>
            <a:t>CADASTRAR</a:t>
          </a:r>
          <a:r>
            <a:rPr lang="pt-BR" sz="1000" b="1" baseline="0">
              <a:latin typeface="Lucida Console" panose="020B0609040504020204" pitchFamily="49" charset="0"/>
            </a:rPr>
            <a:t> INSTALAÇÃO</a:t>
          </a:r>
          <a:endParaRPr lang="pt-BR" sz="1000" b="1">
            <a:latin typeface="Lucida Console" panose="020B0609040504020204" pitchFamily="49" charset="0"/>
          </a:endParaRPr>
        </a:p>
      </xdr:txBody>
    </xdr:sp>
    <xdr:clientData/>
  </xdr:twoCellAnchor>
  <xdr:twoCellAnchor>
    <xdr:from>
      <xdr:col>1</xdr:col>
      <xdr:colOff>57149</xdr:colOff>
      <xdr:row>115</xdr:row>
      <xdr:rowOff>15393</xdr:rowOff>
    </xdr:from>
    <xdr:to>
      <xdr:col>2</xdr:col>
      <xdr:colOff>0</xdr:colOff>
      <xdr:row>115</xdr:row>
      <xdr:rowOff>542924</xdr:rowOff>
    </xdr:to>
    <xdr:sp macro="" textlink="">
      <xdr:nvSpPr>
        <xdr:cNvPr id="170" name="Retângulo 16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6962774" y="11264418"/>
          <a:ext cx="1047751" cy="527531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900" b="1">
              <a:latin typeface="Lucida Console" panose="020B0609040504020204" pitchFamily="49" charset="0"/>
            </a:rPr>
            <a:t>CADASTRAR</a:t>
          </a:r>
          <a:r>
            <a:rPr lang="pt-BR" sz="900" b="1" baseline="0">
              <a:latin typeface="Lucida Console" panose="020B0609040504020204" pitchFamily="49" charset="0"/>
            </a:rPr>
            <a:t> EQUIPAMENTOS</a:t>
          </a:r>
          <a:endParaRPr lang="pt-BR" sz="900" b="1">
            <a:latin typeface="Lucida Console" panose="020B0609040504020204" pitchFamily="49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116</xdr:row>
          <xdr:rowOff>9525</xdr:rowOff>
        </xdr:from>
        <xdr:to>
          <xdr:col>2</xdr:col>
          <xdr:colOff>0</xdr:colOff>
          <xdr:row>128</xdr:row>
          <xdr:rowOff>180975</xdr:rowOff>
        </xdr:to>
        <xdr:grpSp>
          <xdr:nvGrpSpPr>
            <xdr:cNvPr id="12" name="Grupo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GrpSpPr/>
          </xdr:nvGrpSpPr>
          <xdr:grpSpPr>
            <a:xfrm>
              <a:off x="142875" y="22507575"/>
              <a:ext cx="1343025" cy="2457450"/>
              <a:chOff x="7121236" y="12418906"/>
              <a:chExt cx="1944000" cy="2458715"/>
            </a:xfrm>
          </xdr:grpSpPr>
          <xdr:sp macro="" textlink="">
            <xdr:nvSpPr>
              <xdr:cNvPr id="12700" name="Drop Down 412" hidden="1">
                <a:extLst>
                  <a:ext uri="{63B3BB69-23CF-44E3-9099-C40C66FF867C}">
                    <a14:compatExt spid="_x0000_s12700"/>
                  </a:ext>
                  <a:ext uri="{FF2B5EF4-FFF2-40B4-BE49-F238E27FC236}">
                    <a16:creationId xmlns:a16="http://schemas.microsoft.com/office/drawing/2014/main" id="{00000000-0008-0000-0000-00009C310000}"/>
                  </a:ext>
                </a:extLst>
              </xdr:cNvPr>
              <xdr:cNvSpPr/>
            </xdr:nvSpPr>
            <xdr:spPr bwMode="auto">
              <a:xfrm>
                <a:off x="7121236" y="12418906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01" name="Drop Down 413" hidden="1">
                <a:extLst>
                  <a:ext uri="{63B3BB69-23CF-44E3-9099-C40C66FF867C}">
                    <a14:compatExt spid="_x0000_s12701"/>
                  </a:ext>
                  <a:ext uri="{FF2B5EF4-FFF2-40B4-BE49-F238E27FC236}">
                    <a16:creationId xmlns:a16="http://schemas.microsoft.com/office/drawing/2014/main" id="{00000000-0008-0000-0000-00009D310000}"/>
                  </a:ext>
                </a:extLst>
              </xdr:cNvPr>
              <xdr:cNvSpPr/>
            </xdr:nvSpPr>
            <xdr:spPr bwMode="auto">
              <a:xfrm>
                <a:off x="7121236" y="12609368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02" name="Drop Down 414" hidden="1">
                <a:extLst>
                  <a:ext uri="{63B3BB69-23CF-44E3-9099-C40C66FF867C}">
                    <a14:compatExt spid="_x0000_s12702"/>
                  </a:ext>
                  <a:ext uri="{FF2B5EF4-FFF2-40B4-BE49-F238E27FC236}">
                    <a16:creationId xmlns:a16="http://schemas.microsoft.com/office/drawing/2014/main" id="{00000000-0008-0000-0000-00009E310000}"/>
                  </a:ext>
                </a:extLst>
              </xdr:cNvPr>
              <xdr:cNvSpPr/>
            </xdr:nvSpPr>
            <xdr:spPr bwMode="auto">
              <a:xfrm>
                <a:off x="7121236" y="12799868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03" name="Drop Down 415" hidden="1">
                <a:extLst>
                  <a:ext uri="{63B3BB69-23CF-44E3-9099-C40C66FF867C}">
                    <a14:compatExt spid="_x0000_s12703"/>
                  </a:ext>
                  <a:ext uri="{FF2B5EF4-FFF2-40B4-BE49-F238E27FC236}">
                    <a16:creationId xmlns:a16="http://schemas.microsoft.com/office/drawing/2014/main" id="{00000000-0008-0000-0000-00009F310000}"/>
                  </a:ext>
                </a:extLst>
              </xdr:cNvPr>
              <xdr:cNvSpPr/>
            </xdr:nvSpPr>
            <xdr:spPr bwMode="auto">
              <a:xfrm>
                <a:off x="7121236" y="12990368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04" name="Drop Down 416" hidden="1">
                <a:extLst>
                  <a:ext uri="{63B3BB69-23CF-44E3-9099-C40C66FF867C}">
                    <a14:compatExt spid="_x0000_s12704"/>
                  </a:ext>
                  <a:ext uri="{FF2B5EF4-FFF2-40B4-BE49-F238E27FC236}">
                    <a16:creationId xmlns:a16="http://schemas.microsoft.com/office/drawing/2014/main" id="{00000000-0008-0000-0000-0000A0310000}"/>
                  </a:ext>
                </a:extLst>
              </xdr:cNvPr>
              <xdr:cNvSpPr/>
            </xdr:nvSpPr>
            <xdr:spPr bwMode="auto">
              <a:xfrm>
                <a:off x="7121236" y="13180868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05" name="Drop Down 417" hidden="1">
                <a:extLst>
                  <a:ext uri="{63B3BB69-23CF-44E3-9099-C40C66FF867C}">
                    <a14:compatExt spid="_x0000_s12705"/>
                  </a:ext>
                  <a:ext uri="{FF2B5EF4-FFF2-40B4-BE49-F238E27FC236}">
                    <a16:creationId xmlns:a16="http://schemas.microsoft.com/office/drawing/2014/main" id="{00000000-0008-0000-0000-0000A1310000}"/>
                  </a:ext>
                </a:extLst>
              </xdr:cNvPr>
              <xdr:cNvSpPr/>
            </xdr:nvSpPr>
            <xdr:spPr bwMode="auto">
              <a:xfrm>
                <a:off x="7121236" y="13371368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12" name="Drop Down 424" hidden="1">
                <a:extLst>
                  <a:ext uri="{63B3BB69-23CF-44E3-9099-C40C66FF867C}">
                    <a14:compatExt spid="_x0000_s12712"/>
                  </a:ext>
                  <a:ext uri="{FF2B5EF4-FFF2-40B4-BE49-F238E27FC236}">
                    <a16:creationId xmlns:a16="http://schemas.microsoft.com/office/drawing/2014/main" id="{00000000-0008-0000-0000-0000A8310000}"/>
                  </a:ext>
                </a:extLst>
              </xdr:cNvPr>
              <xdr:cNvSpPr/>
            </xdr:nvSpPr>
            <xdr:spPr bwMode="auto">
              <a:xfrm>
                <a:off x="7121236" y="14697621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13" name="Drop Down 425" hidden="1">
                <a:extLst>
                  <a:ext uri="{63B3BB69-23CF-44E3-9099-C40C66FF867C}">
                    <a14:compatExt spid="_x0000_s12713"/>
                  </a:ext>
                  <a:ext uri="{FF2B5EF4-FFF2-40B4-BE49-F238E27FC236}">
                    <a16:creationId xmlns:a16="http://schemas.microsoft.com/office/drawing/2014/main" id="{00000000-0008-0000-0000-0000A9310000}"/>
                  </a:ext>
                </a:extLst>
              </xdr:cNvPr>
              <xdr:cNvSpPr/>
            </xdr:nvSpPr>
            <xdr:spPr bwMode="auto">
              <a:xfrm>
                <a:off x="7121236" y="13558506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14" name="Drop Down 426" hidden="1">
                <a:extLst>
                  <a:ext uri="{63B3BB69-23CF-44E3-9099-C40C66FF867C}">
                    <a14:compatExt spid="_x0000_s12714"/>
                  </a:ext>
                  <a:ext uri="{FF2B5EF4-FFF2-40B4-BE49-F238E27FC236}">
                    <a16:creationId xmlns:a16="http://schemas.microsoft.com/office/drawing/2014/main" id="{00000000-0008-0000-0000-0000AA310000}"/>
                  </a:ext>
                </a:extLst>
              </xdr:cNvPr>
              <xdr:cNvSpPr/>
            </xdr:nvSpPr>
            <xdr:spPr bwMode="auto">
              <a:xfrm>
                <a:off x="7121236" y="13751248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15" name="Drop Down 427" hidden="1">
                <a:extLst>
                  <a:ext uri="{63B3BB69-23CF-44E3-9099-C40C66FF867C}">
                    <a14:compatExt spid="_x0000_s12715"/>
                  </a:ext>
                  <a:ext uri="{FF2B5EF4-FFF2-40B4-BE49-F238E27FC236}">
                    <a16:creationId xmlns:a16="http://schemas.microsoft.com/office/drawing/2014/main" id="{00000000-0008-0000-0000-0000AB310000}"/>
                  </a:ext>
                </a:extLst>
              </xdr:cNvPr>
              <xdr:cNvSpPr/>
            </xdr:nvSpPr>
            <xdr:spPr bwMode="auto">
              <a:xfrm>
                <a:off x="7121236" y="13927179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16" name="Drop Down 428" hidden="1">
                <a:extLst>
                  <a:ext uri="{63B3BB69-23CF-44E3-9099-C40C66FF867C}">
                    <a14:compatExt spid="_x0000_s12716"/>
                  </a:ext>
                  <a:ext uri="{FF2B5EF4-FFF2-40B4-BE49-F238E27FC236}">
                    <a16:creationId xmlns:a16="http://schemas.microsoft.com/office/drawing/2014/main" id="{00000000-0008-0000-0000-0000AC310000}"/>
                  </a:ext>
                </a:extLst>
              </xdr:cNvPr>
              <xdr:cNvSpPr/>
            </xdr:nvSpPr>
            <xdr:spPr bwMode="auto">
              <a:xfrm>
                <a:off x="7121236" y="14115999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17" name="Drop Down 429" hidden="1">
                <a:extLst>
                  <a:ext uri="{63B3BB69-23CF-44E3-9099-C40C66FF867C}">
                    <a14:compatExt spid="_x0000_s12717"/>
                  </a:ext>
                  <a:ext uri="{FF2B5EF4-FFF2-40B4-BE49-F238E27FC236}">
                    <a16:creationId xmlns:a16="http://schemas.microsoft.com/office/drawing/2014/main" id="{00000000-0008-0000-0000-0000AD310000}"/>
                  </a:ext>
                </a:extLst>
              </xdr:cNvPr>
              <xdr:cNvSpPr/>
            </xdr:nvSpPr>
            <xdr:spPr bwMode="auto">
              <a:xfrm>
                <a:off x="7121236" y="14304818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18" name="Drop Down 430" hidden="1">
                <a:extLst>
                  <a:ext uri="{63B3BB69-23CF-44E3-9099-C40C66FF867C}">
                    <a14:compatExt spid="_x0000_s12718"/>
                  </a:ext>
                  <a:ext uri="{FF2B5EF4-FFF2-40B4-BE49-F238E27FC236}">
                    <a16:creationId xmlns:a16="http://schemas.microsoft.com/office/drawing/2014/main" id="{00000000-0008-0000-0000-0000AE310000}"/>
                  </a:ext>
                </a:extLst>
              </xdr:cNvPr>
              <xdr:cNvSpPr/>
            </xdr:nvSpPr>
            <xdr:spPr bwMode="auto">
              <a:xfrm>
                <a:off x="7121236" y="14499241"/>
                <a:ext cx="1944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221</xdr:row>
          <xdr:rowOff>19050</xdr:rowOff>
        </xdr:from>
        <xdr:to>
          <xdr:col>2</xdr:col>
          <xdr:colOff>600</xdr:colOff>
          <xdr:row>230</xdr:row>
          <xdr:rowOff>184653</xdr:rowOff>
        </xdr:to>
        <xdr:grpSp>
          <xdr:nvGrpSpPr>
            <xdr:cNvPr id="208" name="Grupo 207">
              <a:extLst>
                <a:ext uri="{FF2B5EF4-FFF2-40B4-BE49-F238E27FC236}">
                  <a16:creationId xmlns:a16="http://schemas.microsoft.com/office/drawing/2014/main" id="{00000000-0008-0000-0000-0000D0000000}"/>
                </a:ext>
              </a:extLst>
            </xdr:cNvPr>
            <xdr:cNvGrpSpPr/>
          </xdr:nvGrpSpPr>
          <xdr:grpSpPr>
            <a:xfrm>
              <a:off x="114300" y="44777025"/>
              <a:ext cx="1372200" cy="1880103"/>
              <a:chOff x="2138565" y="14696427"/>
              <a:chExt cx="1296000" cy="1880103"/>
            </a:xfrm>
          </xdr:grpSpPr>
          <xdr:sp macro="" textlink="">
            <xdr:nvSpPr>
              <xdr:cNvPr id="12733" name="Drop Down 445" hidden="1">
                <a:extLst>
                  <a:ext uri="{63B3BB69-23CF-44E3-9099-C40C66FF867C}">
                    <a14:compatExt spid="_x0000_s12733"/>
                  </a:ext>
                  <a:ext uri="{FF2B5EF4-FFF2-40B4-BE49-F238E27FC236}">
                    <a16:creationId xmlns:a16="http://schemas.microsoft.com/office/drawing/2014/main" id="{00000000-0008-0000-0000-0000BD310000}"/>
                  </a:ext>
                </a:extLst>
              </xdr:cNvPr>
              <xdr:cNvSpPr/>
            </xdr:nvSpPr>
            <xdr:spPr bwMode="auto">
              <a:xfrm>
                <a:off x="2138565" y="14696427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34" name="Drop Down 446" hidden="1">
                <a:extLst>
                  <a:ext uri="{63B3BB69-23CF-44E3-9099-C40C66FF867C}">
                    <a14:compatExt spid="_x0000_s12734"/>
                  </a:ext>
                  <a:ext uri="{FF2B5EF4-FFF2-40B4-BE49-F238E27FC236}">
                    <a16:creationId xmlns:a16="http://schemas.microsoft.com/office/drawing/2014/main" id="{00000000-0008-0000-0000-0000BE310000}"/>
                  </a:ext>
                </a:extLst>
              </xdr:cNvPr>
              <xdr:cNvSpPr/>
            </xdr:nvSpPr>
            <xdr:spPr bwMode="auto">
              <a:xfrm>
                <a:off x="2138565" y="15444247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35" name="Drop Down 447" hidden="1">
                <a:extLst>
                  <a:ext uri="{63B3BB69-23CF-44E3-9099-C40C66FF867C}">
                    <a14:compatExt spid="_x0000_s12735"/>
                  </a:ext>
                  <a:ext uri="{FF2B5EF4-FFF2-40B4-BE49-F238E27FC236}">
                    <a16:creationId xmlns:a16="http://schemas.microsoft.com/office/drawing/2014/main" id="{00000000-0008-0000-0000-0000BF310000}"/>
                  </a:ext>
                </a:extLst>
              </xdr:cNvPr>
              <xdr:cNvSpPr/>
            </xdr:nvSpPr>
            <xdr:spPr bwMode="auto">
              <a:xfrm>
                <a:off x="2138565" y="15257318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36" name="Drop Down 448" hidden="1">
                <a:extLst>
                  <a:ext uri="{63B3BB69-23CF-44E3-9099-C40C66FF867C}">
                    <a14:compatExt spid="_x0000_s12736"/>
                  </a:ext>
                  <a:ext uri="{FF2B5EF4-FFF2-40B4-BE49-F238E27FC236}">
                    <a16:creationId xmlns:a16="http://schemas.microsoft.com/office/drawing/2014/main" id="{00000000-0008-0000-0000-0000C0310000}"/>
                  </a:ext>
                </a:extLst>
              </xdr:cNvPr>
              <xdr:cNvSpPr/>
            </xdr:nvSpPr>
            <xdr:spPr bwMode="auto">
              <a:xfrm>
                <a:off x="2138565" y="15633231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37" name="Drop Down 449" hidden="1">
                <a:extLst>
                  <a:ext uri="{63B3BB69-23CF-44E3-9099-C40C66FF867C}">
                    <a14:compatExt spid="_x0000_s12737"/>
                  </a:ext>
                  <a:ext uri="{FF2B5EF4-FFF2-40B4-BE49-F238E27FC236}">
                    <a16:creationId xmlns:a16="http://schemas.microsoft.com/office/drawing/2014/main" id="{00000000-0008-0000-0000-0000C1310000}"/>
                  </a:ext>
                </a:extLst>
              </xdr:cNvPr>
              <xdr:cNvSpPr/>
            </xdr:nvSpPr>
            <xdr:spPr bwMode="auto">
              <a:xfrm>
                <a:off x="2138565" y="15820808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38" name="Drop Down 450" hidden="1">
                <a:extLst>
                  <a:ext uri="{63B3BB69-23CF-44E3-9099-C40C66FF867C}">
                    <a14:compatExt spid="_x0000_s12738"/>
                  </a:ext>
                  <a:ext uri="{FF2B5EF4-FFF2-40B4-BE49-F238E27FC236}">
                    <a16:creationId xmlns:a16="http://schemas.microsoft.com/office/drawing/2014/main" id="{00000000-0008-0000-0000-0000C2310000}"/>
                  </a:ext>
                </a:extLst>
              </xdr:cNvPr>
              <xdr:cNvSpPr/>
            </xdr:nvSpPr>
            <xdr:spPr bwMode="auto">
              <a:xfrm>
                <a:off x="2138565" y="16008061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39" name="Drop Down 451" hidden="1">
                <a:extLst>
                  <a:ext uri="{63B3BB69-23CF-44E3-9099-C40C66FF867C}">
                    <a14:compatExt spid="_x0000_s12739"/>
                  </a:ext>
                  <a:ext uri="{FF2B5EF4-FFF2-40B4-BE49-F238E27FC236}">
                    <a16:creationId xmlns:a16="http://schemas.microsoft.com/office/drawing/2014/main" id="{00000000-0008-0000-0000-0000C3310000}"/>
                  </a:ext>
                </a:extLst>
              </xdr:cNvPr>
              <xdr:cNvSpPr/>
            </xdr:nvSpPr>
            <xdr:spPr bwMode="auto">
              <a:xfrm>
                <a:off x="2138565" y="16204623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40" name="Drop Down 452" hidden="1">
                <a:extLst>
                  <a:ext uri="{63B3BB69-23CF-44E3-9099-C40C66FF867C}">
                    <a14:compatExt spid="_x0000_s12740"/>
                  </a:ext>
                  <a:ext uri="{FF2B5EF4-FFF2-40B4-BE49-F238E27FC236}">
                    <a16:creationId xmlns:a16="http://schemas.microsoft.com/office/drawing/2014/main" id="{00000000-0008-0000-0000-0000C4310000}"/>
                  </a:ext>
                </a:extLst>
              </xdr:cNvPr>
              <xdr:cNvSpPr/>
            </xdr:nvSpPr>
            <xdr:spPr bwMode="auto">
              <a:xfrm>
                <a:off x="2138565" y="16396530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41" name="Drop Down 453" hidden="1">
                <a:extLst>
                  <a:ext uri="{63B3BB69-23CF-44E3-9099-C40C66FF867C}">
                    <a14:compatExt spid="_x0000_s12741"/>
                  </a:ext>
                  <a:ext uri="{FF2B5EF4-FFF2-40B4-BE49-F238E27FC236}">
                    <a16:creationId xmlns:a16="http://schemas.microsoft.com/office/drawing/2014/main" id="{00000000-0008-0000-0000-0000C5310000}"/>
                  </a:ext>
                </a:extLst>
              </xdr:cNvPr>
              <xdr:cNvSpPr/>
            </xdr:nvSpPr>
            <xdr:spPr bwMode="auto">
              <a:xfrm>
                <a:off x="2138565" y="15070282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742" name="Drop Down 454" hidden="1">
                <a:extLst>
                  <a:ext uri="{63B3BB69-23CF-44E3-9099-C40C66FF867C}">
                    <a14:compatExt spid="_x0000_s12742"/>
                  </a:ext>
                  <a:ext uri="{FF2B5EF4-FFF2-40B4-BE49-F238E27FC236}">
                    <a16:creationId xmlns:a16="http://schemas.microsoft.com/office/drawing/2014/main" id="{00000000-0008-0000-0000-0000C6310000}"/>
                  </a:ext>
                </a:extLst>
              </xdr:cNvPr>
              <xdr:cNvSpPr/>
            </xdr:nvSpPr>
            <xdr:spPr bwMode="auto">
              <a:xfrm>
                <a:off x="2138565" y="14881730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</xdr:col>
      <xdr:colOff>19050</xdr:colOff>
      <xdr:row>220</xdr:row>
      <xdr:rowOff>28575</xdr:rowOff>
    </xdr:from>
    <xdr:to>
      <xdr:col>1</xdr:col>
      <xdr:colOff>1333500</xdr:colOff>
      <xdr:row>220</xdr:row>
      <xdr:rowOff>542924</xdr:rowOff>
    </xdr:to>
    <xdr:sp macro="" textlink="">
      <xdr:nvSpPr>
        <xdr:cNvPr id="219" name="Retângulo 21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/>
      </xdr:nvSpPr>
      <xdr:spPr>
        <a:xfrm>
          <a:off x="8029575" y="17364075"/>
          <a:ext cx="1314450" cy="514349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 b="1">
              <a:latin typeface="Lucida Console" panose="020B0609040504020204" pitchFamily="49" charset="0"/>
            </a:rPr>
            <a:t>CADASTRAR VACINAS E MEDICAMENTOS</a:t>
          </a:r>
        </a:p>
      </xdr:txBody>
    </xdr:sp>
    <xdr:clientData/>
  </xdr:twoCellAnchor>
  <xdr:twoCellAnchor>
    <xdr:from>
      <xdr:col>0</xdr:col>
      <xdr:colOff>81654</xdr:colOff>
      <xdr:row>160</xdr:row>
      <xdr:rowOff>60569</xdr:rowOff>
    </xdr:from>
    <xdr:to>
      <xdr:col>1</xdr:col>
      <xdr:colOff>1203406</xdr:colOff>
      <xdr:row>161</xdr:row>
      <xdr:rowOff>104042</xdr:rowOff>
    </xdr:to>
    <xdr:sp macro="" textlink="">
      <xdr:nvSpPr>
        <xdr:cNvPr id="231" name="Retângulo 230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/>
      </xdr:nvSpPr>
      <xdr:spPr>
        <a:xfrm>
          <a:off x="81654" y="30130261"/>
          <a:ext cx="1209675" cy="402493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latin typeface="Lucida Console" panose="020B0609040504020204" pitchFamily="49" charset="0"/>
            </a:rPr>
            <a:t>CADASTRAR ENERGÉTICOS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41</xdr:row>
          <xdr:rowOff>0</xdr:rowOff>
        </xdr:from>
        <xdr:to>
          <xdr:col>8</xdr:col>
          <xdr:colOff>0</xdr:colOff>
          <xdr:row>42</xdr:row>
          <xdr:rowOff>0</xdr:rowOff>
        </xdr:to>
        <xdr:sp macro="" textlink="">
          <xdr:nvSpPr>
            <xdr:cNvPr id="12788" name="Drop Down 500" hidden="1">
              <a:extLst>
                <a:ext uri="{63B3BB69-23CF-44E3-9099-C40C66FF867C}">
                  <a14:compatExt spid="_x0000_s12788"/>
                </a:ext>
                <a:ext uri="{FF2B5EF4-FFF2-40B4-BE49-F238E27FC236}">
                  <a16:creationId xmlns:a16="http://schemas.microsoft.com/office/drawing/2014/main" id="{00000000-0008-0000-0000-0000F4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46</xdr:row>
          <xdr:rowOff>0</xdr:rowOff>
        </xdr:from>
        <xdr:to>
          <xdr:col>8</xdr:col>
          <xdr:colOff>0</xdr:colOff>
          <xdr:row>47</xdr:row>
          <xdr:rowOff>0</xdr:rowOff>
        </xdr:to>
        <xdr:sp macro="" textlink="">
          <xdr:nvSpPr>
            <xdr:cNvPr id="12789" name="Drop Down 501" hidden="1">
              <a:extLst>
                <a:ext uri="{63B3BB69-23CF-44E3-9099-C40C66FF867C}">
                  <a14:compatExt spid="_x0000_s12789"/>
                </a:ext>
                <a:ext uri="{FF2B5EF4-FFF2-40B4-BE49-F238E27FC236}">
                  <a16:creationId xmlns:a16="http://schemas.microsoft.com/office/drawing/2014/main" id="{00000000-0008-0000-0000-0000F5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48</xdr:row>
          <xdr:rowOff>0</xdr:rowOff>
        </xdr:from>
        <xdr:to>
          <xdr:col>8</xdr:col>
          <xdr:colOff>0</xdr:colOff>
          <xdr:row>49</xdr:row>
          <xdr:rowOff>0</xdr:rowOff>
        </xdr:to>
        <xdr:sp macro="" textlink="">
          <xdr:nvSpPr>
            <xdr:cNvPr id="12790" name="Drop Down 502" hidden="1">
              <a:extLst>
                <a:ext uri="{63B3BB69-23CF-44E3-9099-C40C66FF867C}">
                  <a14:compatExt spid="_x0000_s12790"/>
                </a:ext>
                <a:ext uri="{FF2B5EF4-FFF2-40B4-BE49-F238E27FC236}">
                  <a16:creationId xmlns:a16="http://schemas.microsoft.com/office/drawing/2014/main" id="{00000000-0008-0000-0000-0000F6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49</xdr:row>
          <xdr:rowOff>9525</xdr:rowOff>
        </xdr:from>
        <xdr:to>
          <xdr:col>8</xdr:col>
          <xdr:colOff>0</xdr:colOff>
          <xdr:row>50</xdr:row>
          <xdr:rowOff>9525</xdr:rowOff>
        </xdr:to>
        <xdr:sp macro="" textlink="">
          <xdr:nvSpPr>
            <xdr:cNvPr id="12791" name="Drop Down 503" hidden="1">
              <a:extLst>
                <a:ext uri="{63B3BB69-23CF-44E3-9099-C40C66FF867C}">
                  <a14:compatExt spid="_x0000_s12791"/>
                </a:ext>
                <a:ext uri="{FF2B5EF4-FFF2-40B4-BE49-F238E27FC236}">
                  <a16:creationId xmlns:a16="http://schemas.microsoft.com/office/drawing/2014/main" id="{00000000-0008-0000-0000-0000F7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52</xdr:row>
          <xdr:rowOff>0</xdr:rowOff>
        </xdr:from>
        <xdr:to>
          <xdr:col>8</xdr:col>
          <xdr:colOff>0</xdr:colOff>
          <xdr:row>53</xdr:row>
          <xdr:rowOff>0</xdr:rowOff>
        </xdr:to>
        <xdr:sp macro="" textlink="">
          <xdr:nvSpPr>
            <xdr:cNvPr id="12793" name="Drop Down 505" hidden="1">
              <a:extLst>
                <a:ext uri="{63B3BB69-23CF-44E3-9099-C40C66FF867C}">
                  <a14:compatExt spid="_x0000_s12793"/>
                </a:ext>
                <a:ext uri="{FF2B5EF4-FFF2-40B4-BE49-F238E27FC236}">
                  <a16:creationId xmlns:a16="http://schemas.microsoft.com/office/drawing/2014/main" id="{00000000-0008-0000-0000-0000F9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8</xdr:col>
          <xdr:colOff>9525</xdr:colOff>
          <xdr:row>56</xdr:row>
          <xdr:rowOff>0</xdr:rowOff>
        </xdr:to>
        <xdr:sp macro="" textlink="">
          <xdr:nvSpPr>
            <xdr:cNvPr id="12794" name="Drop Down 506" hidden="1">
              <a:extLst>
                <a:ext uri="{63B3BB69-23CF-44E3-9099-C40C66FF867C}">
                  <a14:compatExt spid="_x0000_s12794"/>
                </a:ext>
                <a:ext uri="{FF2B5EF4-FFF2-40B4-BE49-F238E27FC236}">
                  <a16:creationId xmlns:a16="http://schemas.microsoft.com/office/drawing/2014/main" id="{00000000-0008-0000-0000-0000FA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56</xdr:row>
          <xdr:rowOff>190500</xdr:rowOff>
        </xdr:from>
        <xdr:to>
          <xdr:col>8</xdr:col>
          <xdr:colOff>0</xdr:colOff>
          <xdr:row>58</xdr:row>
          <xdr:rowOff>0</xdr:rowOff>
        </xdr:to>
        <xdr:sp macro="" textlink="">
          <xdr:nvSpPr>
            <xdr:cNvPr id="12795" name="Drop Down 507" hidden="1">
              <a:extLst>
                <a:ext uri="{63B3BB69-23CF-44E3-9099-C40C66FF867C}">
                  <a14:compatExt spid="_x0000_s12795"/>
                </a:ext>
                <a:ext uri="{FF2B5EF4-FFF2-40B4-BE49-F238E27FC236}">
                  <a16:creationId xmlns:a16="http://schemas.microsoft.com/office/drawing/2014/main" id="{00000000-0008-0000-0000-0000FB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58</xdr:row>
          <xdr:rowOff>190500</xdr:rowOff>
        </xdr:from>
        <xdr:to>
          <xdr:col>8</xdr:col>
          <xdr:colOff>0</xdr:colOff>
          <xdr:row>60</xdr:row>
          <xdr:rowOff>0</xdr:rowOff>
        </xdr:to>
        <xdr:sp macro="" textlink="">
          <xdr:nvSpPr>
            <xdr:cNvPr id="12801" name="Drop Down 513" hidden="1">
              <a:extLst>
                <a:ext uri="{63B3BB69-23CF-44E3-9099-C40C66FF867C}">
                  <a14:compatExt spid="_x0000_s12801"/>
                </a:ext>
                <a:ext uri="{FF2B5EF4-FFF2-40B4-BE49-F238E27FC236}">
                  <a16:creationId xmlns:a16="http://schemas.microsoft.com/office/drawing/2014/main" id="{00000000-0008-0000-0000-000001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60</xdr:row>
          <xdr:rowOff>190500</xdr:rowOff>
        </xdr:from>
        <xdr:to>
          <xdr:col>8</xdr:col>
          <xdr:colOff>0</xdr:colOff>
          <xdr:row>62</xdr:row>
          <xdr:rowOff>0</xdr:rowOff>
        </xdr:to>
        <xdr:sp macro="" textlink="">
          <xdr:nvSpPr>
            <xdr:cNvPr id="12802" name="Drop Down 514" hidden="1">
              <a:extLst>
                <a:ext uri="{63B3BB69-23CF-44E3-9099-C40C66FF867C}">
                  <a14:compatExt spid="_x0000_s12802"/>
                </a:ext>
                <a:ext uri="{FF2B5EF4-FFF2-40B4-BE49-F238E27FC236}">
                  <a16:creationId xmlns:a16="http://schemas.microsoft.com/office/drawing/2014/main" id="{00000000-0008-0000-0000-000002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1381125</xdr:colOff>
          <xdr:row>153</xdr:row>
          <xdr:rowOff>0</xdr:rowOff>
        </xdr:from>
        <xdr:to>
          <xdr:col>3</xdr:col>
          <xdr:colOff>0</xdr:colOff>
          <xdr:row>154</xdr:row>
          <xdr:rowOff>9525</xdr:rowOff>
        </xdr:to>
        <xdr:sp macro="" textlink="">
          <xdr:nvSpPr>
            <xdr:cNvPr id="12812" name="Drop Down 524" hidden="1">
              <a:extLst>
                <a:ext uri="{63B3BB69-23CF-44E3-9099-C40C66FF867C}">
                  <a14:compatExt spid="_x0000_s12812"/>
                </a:ext>
                <a:ext uri="{FF2B5EF4-FFF2-40B4-BE49-F238E27FC236}">
                  <a16:creationId xmlns:a16="http://schemas.microsoft.com/office/drawing/2014/main" id="{00000000-0008-0000-0000-00000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1476375</xdr:colOff>
          <xdr:row>12</xdr:row>
          <xdr:rowOff>0</xdr:rowOff>
        </xdr:from>
        <xdr:to>
          <xdr:col>4</xdr:col>
          <xdr:colOff>542925</xdr:colOff>
          <xdr:row>12</xdr:row>
          <xdr:rowOff>180975</xdr:rowOff>
        </xdr:to>
        <xdr:sp macro="" textlink="">
          <xdr:nvSpPr>
            <xdr:cNvPr id="12830" name="Drop Down 542" hidden="1">
              <a:extLst>
                <a:ext uri="{63B3BB69-23CF-44E3-9099-C40C66FF867C}">
                  <a14:compatExt spid="_x0000_s12830"/>
                </a:ext>
                <a:ext uri="{FF2B5EF4-FFF2-40B4-BE49-F238E27FC236}">
                  <a16:creationId xmlns:a16="http://schemas.microsoft.com/office/drawing/2014/main" id="{00000000-0008-0000-0000-00001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16669</xdr:colOff>
          <xdr:row>25</xdr:row>
          <xdr:rowOff>0</xdr:rowOff>
        </xdr:from>
        <xdr:to>
          <xdr:col>3</xdr:col>
          <xdr:colOff>1113235</xdr:colOff>
          <xdr:row>37</xdr:row>
          <xdr:rowOff>177403</xdr:rowOff>
        </xdr:to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978944" y="4657725"/>
              <a:ext cx="1096566" cy="2463403"/>
              <a:chOff x="2927747" y="3800474"/>
              <a:chExt cx="1096566" cy="2472929"/>
            </a:xfrm>
          </xdr:grpSpPr>
          <xdr:sp macro="" textlink="">
            <xdr:nvSpPr>
              <xdr:cNvPr id="12844" name="Drop Down 556" hidden="1">
                <a:extLst>
                  <a:ext uri="{63B3BB69-23CF-44E3-9099-C40C66FF867C}">
                    <a14:compatExt spid="_x0000_s12844"/>
                  </a:ext>
                  <a:ext uri="{FF2B5EF4-FFF2-40B4-BE49-F238E27FC236}">
                    <a16:creationId xmlns:a16="http://schemas.microsoft.com/office/drawing/2014/main" id="{00000000-0008-0000-0000-00002C320000}"/>
                  </a:ext>
                </a:extLst>
              </xdr:cNvPr>
              <xdr:cNvSpPr/>
            </xdr:nvSpPr>
            <xdr:spPr bwMode="auto">
              <a:xfrm>
                <a:off x="2927747" y="3800474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45" name="Drop Down 557" hidden="1">
                <a:extLst>
                  <a:ext uri="{63B3BB69-23CF-44E3-9099-C40C66FF867C}">
                    <a14:compatExt spid="_x0000_s12845"/>
                  </a:ext>
                  <a:ext uri="{FF2B5EF4-FFF2-40B4-BE49-F238E27FC236}">
                    <a16:creationId xmlns:a16="http://schemas.microsoft.com/office/drawing/2014/main" id="{00000000-0008-0000-0000-00002D320000}"/>
                  </a:ext>
                </a:extLst>
              </xdr:cNvPr>
              <xdr:cNvSpPr/>
            </xdr:nvSpPr>
            <xdr:spPr bwMode="auto">
              <a:xfrm>
                <a:off x="2927747" y="3990975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46" name="Drop Down 558" hidden="1">
                <a:extLst>
                  <a:ext uri="{63B3BB69-23CF-44E3-9099-C40C66FF867C}">
                    <a14:compatExt spid="_x0000_s12846"/>
                  </a:ext>
                  <a:ext uri="{FF2B5EF4-FFF2-40B4-BE49-F238E27FC236}">
                    <a16:creationId xmlns:a16="http://schemas.microsoft.com/office/drawing/2014/main" id="{00000000-0008-0000-0000-00002E320000}"/>
                  </a:ext>
                </a:extLst>
              </xdr:cNvPr>
              <xdr:cNvSpPr/>
            </xdr:nvSpPr>
            <xdr:spPr bwMode="auto">
              <a:xfrm>
                <a:off x="2927747" y="4193381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47" name="Drop Down 559" hidden="1">
                <a:extLst>
                  <a:ext uri="{63B3BB69-23CF-44E3-9099-C40C66FF867C}">
                    <a14:compatExt spid="_x0000_s12847"/>
                  </a:ext>
                  <a:ext uri="{FF2B5EF4-FFF2-40B4-BE49-F238E27FC236}">
                    <a16:creationId xmlns:a16="http://schemas.microsoft.com/office/drawing/2014/main" id="{00000000-0008-0000-0000-00002F320000}"/>
                  </a:ext>
                </a:extLst>
              </xdr:cNvPr>
              <xdr:cNvSpPr/>
            </xdr:nvSpPr>
            <xdr:spPr bwMode="auto">
              <a:xfrm>
                <a:off x="2927747" y="4389834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48" name="Drop Down 560" hidden="1">
                <a:extLst>
                  <a:ext uri="{63B3BB69-23CF-44E3-9099-C40C66FF867C}">
                    <a14:compatExt spid="_x0000_s12848"/>
                  </a:ext>
                  <a:ext uri="{FF2B5EF4-FFF2-40B4-BE49-F238E27FC236}">
                    <a16:creationId xmlns:a16="http://schemas.microsoft.com/office/drawing/2014/main" id="{00000000-0008-0000-0000-000030320000}"/>
                  </a:ext>
                </a:extLst>
              </xdr:cNvPr>
              <xdr:cNvSpPr/>
            </xdr:nvSpPr>
            <xdr:spPr bwMode="auto">
              <a:xfrm>
                <a:off x="2927747" y="4586287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49" name="Drop Down 561" hidden="1">
                <a:extLst>
                  <a:ext uri="{63B3BB69-23CF-44E3-9099-C40C66FF867C}">
                    <a14:compatExt spid="_x0000_s12849"/>
                  </a:ext>
                  <a:ext uri="{FF2B5EF4-FFF2-40B4-BE49-F238E27FC236}">
                    <a16:creationId xmlns:a16="http://schemas.microsoft.com/office/drawing/2014/main" id="{00000000-0008-0000-0000-000031320000}"/>
                  </a:ext>
                </a:extLst>
              </xdr:cNvPr>
              <xdr:cNvSpPr/>
            </xdr:nvSpPr>
            <xdr:spPr bwMode="auto">
              <a:xfrm>
                <a:off x="2927747" y="4774407"/>
                <a:ext cx="1096566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50" name="Drop Down 562" hidden="1">
                <a:extLst>
                  <a:ext uri="{63B3BB69-23CF-44E3-9099-C40C66FF867C}">
                    <a14:compatExt spid="_x0000_s12850"/>
                  </a:ext>
                  <a:ext uri="{FF2B5EF4-FFF2-40B4-BE49-F238E27FC236}">
                    <a16:creationId xmlns:a16="http://schemas.microsoft.com/office/drawing/2014/main" id="{00000000-0008-0000-0000-000032320000}"/>
                  </a:ext>
                </a:extLst>
              </xdr:cNvPr>
              <xdr:cNvSpPr/>
            </xdr:nvSpPr>
            <xdr:spPr bwMode="auto">
              <a:xfrm>
                <a:off x="2927747" y="4955381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51" name="Drop Down 563" hidden="1">
                <a:extLst>
                  <a:ext uri="{63B3BB69-23CF-44E3-9099-C40C66FF867C}">
                    <a14:compatExt spid="_x0000_s12851"/>
                  </a:ext>
                  <a:ext uri="{FF2B5EF4-FFF2-40B4-BE49-F238E27FC236}">
                    <a16:creationId xmlns:a16="http://schemas.microsoft.com/office/drawing/2014/main" id="{00000000-0008-0000-0000-000033320000}"/>
                  </a:ext>
                </a:extLst>
              </xdr:cNvPr>
              <xdr:cNvSpPr/>
            </xdr:nvSpPr>
            <xdr:spPr bwMode="auto">
              <a:xfrm>
                <a:off x="2927747" y="5139928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52" name="Drop Down 564" hidden="1">
                <a:extLst>
                  <a:ext uri="{63B3BB69-23CF-44E3-9099-C40C66FF867C}">
                    <a14:compatExt spid="_x0000_s12852"/>
                  </a:ext>
                  <a:ext uri="{FF2B5EF4-FFF2-40B4-BE49-F238E27FC236}">
                    <a16:creationId xmlns:a16="http://schemas.microsoft.com/office/drawing/2014/main" id="{00000000-0008-0000-0000-000034320000}"/>
                  </a:ext>
                </a:extLst>
              </xdr:cNvPr>
              <xdr:cNvSpPr/>
            </xdr:nvSpPr>
            <xdr:spPr bwMode="auto">
              <a:xfrm>
                <a:off x="2927747" y="5330428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53" name="Drop Down 565" hidden="1">
                <a:extLst>
                  <a:ext uri="{63B3BB69-23CF-44E3-9099-C40C66FF867C}">
                    <a14:compatExt spid="_x0000_s12853"/>
                  </a:ext>
                  <a:ext uri="{FF2B5EF4-FFF2-40B4-BE49-F238E27FC236}">
                    <a16:creationId xmlns:a16="http://schemas.microsoft.com/office/drawing/2014/main" id="{00000000-0008-0000-0000-000035320000}"/>
                  </a:ext>
                </a:extLst>
              </xdr:cNvPr>
              <xdr:cNvSpPr/>
            </xdr:nvSpPr>
            <xdr:spPr bwMode="auto">
              <a:xfrm>
                <a:off x="2927747" y="5520928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54" name="Drop Down 566" hidden="1">
                <a:extLst>
                  <a:ext uri="{63B3BB69-23CF-44E3-9099-C40C66FF867C}">
                    <a14:compatExt spid="_x0000_s12854"/>
                  </a:ext>
                  <a:ext uri="{FF2B5EF4-FFF2-40B4-BE49-F238E27FC236}">
                    <a16:creationId xmlns:a16="http://schemas.microsoft.com/office/drawing/2014/main" id="{00000000-0008-0000-0000-000036320000}"/>
                  </a:ext>
                </a:extLst>
              </xdr:cNvPr>
              <xdr:cNvSpPr/>
            </xdr:nvSpPr>
            <xdr:spPr bwMode="auto">
              <a:xfrm>
                <a:off x="2927747" y="5711428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55" name="Drop Down 567" hidden="1">
                <a:extLst>
                  <a:ext uri="{63B3BB69-23CF-44E3-9099-C40C66FF867C}">
                    <a14:compatExt spid="_x0000_s12855"/>
                  </a:ext>
                  <a:ext uri="{FF2B5EF4-FFF2-40B4-BE49-F238E27FC236}">
                    <a16:creationId xmlns:a16="http://schemas.microsoft.com/office/drawing/2014/main" id="{00000000-0008-0000-0000-000037320000}"/>
                  </a:ext>
                </a:extLst>
              </xdr:cNvPr>
              <xdr:cNvSpPr/>
            </xdr:nvSpPr>
            <xdr:spPr bwMode="auto">
              <a:xfrm>
                <a:off x="2927747" y="5901928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56" name="Drop Down 568" hidden="1">
                <a:extLst>
                  <a:ext uri="{63B3BB69-23CF-44E3-9099-C40C66FF867C}">
                    <a14:compatExt spid="_x0000_s12856"/>
                  </a:ext>
                  <a:ext uri="{FF2B5EF4-FFF2-40B4-BE49-F238E27FC236}">
                    <a16:creationId xmlns:a16="http://schemas.microsoft.com/office/drawing/2014/main" id="{00000000-0008-0000-0000-000038320000}"/>
                  </a:ext>
                </a:extLst>
              </xdr:cNvPr>
              <xdr:cNvSpPr/>
            </xdr:nvSpPr>
            <xdr:spPr bwMode="auto">
              <a:xfrm>
                <a:off x="2927747" y="6092428"/>
                <a:ext cx="1095375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36453</xdr:colOff>
          <xdr:row>24</xdr:row>
          <xdr:rowOff>280804</xdr:rowOff>
        </xdr:from>
        <xdr:to>
          <xdr:col>7</xdr:col>
          <xdr:colOff>298756</xdr:colOff>
          <xdr:row>27</xdr:row>
          <xdr:rowOff>176028</xdr:rowOff>
        </xdr:to>
        <xdr:grpSp>
          <xdr:nvGrpSpPr>
            <xdr:cNvPr id="7" name="Grupo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GrpSpPr/>
          </xdr:nvGrpSpPr>
          <xdr:grpSpPr>
            <a:xfrm>
              <a:off x="6656328" y="4652779"/>
              <a:ext cx="1443403" cy="561974"/>
              <a:chOff x="5198269" y="3621882"/>
              <a:chExt cx="1092994" cy="561974"/>
            </a:xfrm>
          </xdr:grpSpPr>
          <xdr:sp macro="" textlink="">
            <xdr:nvSpPr>
              <xdr:cNvPr id="12857" name="Drop Down 569" hidden="1">
                <a:extLst>
                  <a:ext uri="{63B3BB69-23CF-44E3-9099-C40C66FF867C}">
                    <a14:compatExt spid="_x0000_s12857"/>
                  </a:ext>
                  <a:ext uri="{FF2B5EF4-FFF2-40B4-BE49-F238E27FC236}">
                    <a16:creationId xmlns:a16="http://schemas.microsoft.com/office/drawing/2014/main" id="{00000000-0008-0000-0000-000039320000}"/>
                  </a:ext>
                </a:extLst>
              </xdr:cNvPr>
              <xdr:cNvSpPr/>
            </xdr:nvSpPr>
            <xdr:spPr bwMode="auto">
              <a:xfrm>
                <a:off x="5198269" y="3621882"/>
                <a:ext cx="1092994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58" name="Drop Down 570" hidden="1">
                <a:extLst>
                  <a:ext uri="{63B3BB69-23CF-44E3-9099-C40C66FF867C}">
                    <a14:compatExt spid="_x0000_s12858"/>
                  </a:ext>
                  <a:ext uri="{FF2B5EF4-FFF2-40B4-BE49-F238E27FC236}">
                    <a16:creationId xmlns:a16="http://schemas.microsoft.com/office/drawing/2014/main" id="{00000000-0008-0000-0000-00003A320000}"/>
                  </a:ext>
                </a:extLst>
              </xdr:cNvPr>
              <xdr:cNvSpPr/>
            </xdr:nvSpPr>
            <xdr:spPr bwMode="auto">
              <a:xfrm>
                <a:off x="5198269" y="3812382"/>
                <a:ext cx="1092994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859" name="Drop Down 571" hidden="1">
                <a:extLst>
                  <a:ext uri="{63B3BB69-23CF-44E3-9099-C40C66FF867C}">
                    <a14:compatExt spid="_x0000_s12859"/>
                  </a:ext>
                  <a:ext uri="{FF2B5EF4-FFF2-40B4-BE49-F238E27FC236}">
                    <a16:creationId xmlns:a16="http://schemas.microsoft.com/office/drawing/2014/main" id="{00000000-0008-0000-0000-00003B320000}"/>
                  </a:ext>
                </a:extLst>
              </xdr:cNvPr>
              <xdr:cNvSpPr/>
            </xdr:nvSpPr>
            <xdr:spPr bwMode="auto">
              <a:xfrm>
                <a:off x="5198269" y="4002881"/>
                <a:ext cx="1092994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</xdr:row>
          <xdr:rowOff>190500</xdr:rowOff>
        </xdr:from>
        <xdr:to>
          <xdr:col>4</xdr:col>
          <xdr:colOff>542925</xdr:colOff>
          <xdr:row>13</xdr:row>
          <xdr:rowOff>180975</xdr:rowOff>
        </xdr:to>
        <xdr:sp macro="" textlink="">
          <xdr:nvSpPr>
            <xdr:cNvPr id="12869" name="Drop Down 581" hidden="1">
              <a:extLst>
                <a:ext uri="{63B3BB69-23CF-44E3-9099-C40C66FF867C}">
                  <a14:compatExt spid="_x0000_s12869"/>
                </a:ext>
                <a:ext uri="{FF2B5EF4-FFF2-40B4-BE49-F238E27FC236}">
                  <a16:creationId xmlns:a16="http://schemas.microsoft.com/office/drawing/2014/main" id="{00000000-0008-0000-0000-00004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83</xdr:row>
          <xdr:rowOff>9525</xdr:rowOff>
        </xdr:from>
        <xdr:to>
          <xdr:col>3</xdr:col>
          <xdr:colOff>657225</xdr:colOff>
          <xdr:row>84</xdr:row>
          <xdr:rowOff>0</xdr:rowOff>
        </xdr:to>
        <xdr:sp macro="" textlink="">
          <xdr:nvSpPr>
            <xdr:cNvPr id="12875" name="Drop Down 587" hidden="1">
              <a:extLst>
                <a:ext uri="{63B3BB69-23CF-44E3-9099-C40C66FF867C}">
                  <a14:compatExt spid="_x0000_s12875"/>
                </a:ext>
                <a:ext uri="{FF2B5EF4-FFF2-40B4-BE49-F238E27FC236}">
                  <a16:creationId xmlns:a16="http://schemas.microsoft.com/office/drawing/2014/main" id="{00000000-0008-0000-0000-00004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93</xdr:row>
          <xdr:rowOff>9525</xdr:rowOff>
        </xdr:from>
        <xdr:to>
          <xdr:col>4</xdr:col>
          <xdr:colOff>666750</xdr:colOff>
          <xdr:row>94</xdr:row>
          <xdr:rowOff>0</xdr:rowOff>
        </xdr:to>
        <xdr:sp macro="" textlink="">
          <xdr:nvSpPr>
            <xdr:cNvPr id="12882" name="Drop Down 594" hidden="1">
              <a:extLst>
                <a:ext uri="{63B3BB69-23CF-44E3-9099-C40C66FF867C}">
                  <a14:compatExt spid="_x0000_s12882"/>
                </a:ext>
                <a:ext uri="{FF2B5EF4-FFF2-40B4-BE49-F238E27FC236}">
                  <a16:creationId xmlns:a16="http://schemas.microsoft.com/office/drawing/2014/main" id="{00000000-0008-0000-0000-000052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1476375</xdr:colOff>
          <xdr:row>171</xdr:row>
          <xdr:rowOff>647700</xdr:rowOff>
        </xdr:from>
        <xdr:to>
          <xdr:col>4</xdr:col>
          <xdr:colOff>9525</xdr:colOff>
          <xdr:row>173</xdr:row>
          <xdr:rowOff>0</xdr:rowOff>
        </xdr:to>
        <xdr:sp macro="" textlink="">
          <xdr:nvSpPr>
            <xdr:cNvPr id="12887" name="Drop Down 599" hidden="1">
              <a:extLst>
                <a:ext uri="{63B3BB69-23CF-44E3-9099-C40C66FF867C}">
                  <a14:compatExt spid="_x0000_s12887"/>
                </a:ext>
                <a:ext uri="{FF2B5EF4-FFF2-40B4-BE49-F238E27FC236}">
                  <a16:creationId xmlns:a16="http://schemas.microsoft.com/office/drawing/2014/main" id="{00000000-0008-0000-0000-000057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184</xdr:row>
          <xdr:rowOff>0</xdr:rowOff>
        </xdr:from>
        <xdr:to>
          <xdr:col>4</xdr:col>
          <xdr:colOff>0</xdr:colOff>
          <xdr:row>184</xdr:row>
          <xdr:rowOff>209550</xdr:rowOff>
        </xdr:to>
        <xdr:sp macro="" textlink="">
          <xdr:nvSpPr>
            <xdr:cNvPr id="12889" name="Drop Down 601" hidden="1">
              <a:extLst>
                <a:ext uri="{63B3BB69-23CF-44E3-9099-C40C66FF867C}">
                  <a14:compatExt spid="_x0000_s12889"/>
                </a:ext>
                <a:ext uri="{FF2B5EF4-FFF2-40B4-BE49-F238E27FC236}">
                  <a16:creationId xmlns:a16="http://schemas.microsoft.com/office/drawing/2014/main" id="{00000000-0008-0000-0000-00005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196</xdr:row>
          <xdr:rowOff>0</xdr:rowOff>
        </xdr:from>
        <xdr:to>
          <xdr:col>4</xdr:col>
          <xdr:colOff>0</xdr:colOff>
          <xdr:row>197</xdr:row>
          <xdr:rowOff>19050</xdr:rowOff>
        </xdr:to>
        <xdr:sp macro="" textlink="">
          <xdr:nvSpPr>
            <xdr:cNvPr id="12891" name="Drop Down 603" hidden="1">
              <a:extLst>
                <a:ext uri="{63B3BB69-23CF-44E3-9099-C40C66FF867C}">
                  <a14:compatExt spid="_x0000_s12891"/>
                </a:ext>
                <a:ext uri="{FF2B5EF4-FFF2-40B4-BE49-F238E27FC236}">
                  <a16:creationId xmlns:a16="http://schemas.microsoft.com/office/drawing/2014/main" id="{00000000-0008-0000-0000-00005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20</xdr:row>
          <xdr:rowOff>190500</xdr:rowOff>
        </xdr:from>
        <xdr:to>
          <xdr:col>4</xdr:col>
          <xdr:colOff>171450</xdr:colOff>
          <xdr:row>22</xdr:row>
          <xdr:rowOff>28575</xdr:rowOff>
        </xdr:to>
        <xdr:sp macro="" textlink="">
          <xdr:nvSpPr>
            <xdr:cNvPr id="12894" name="Check Box 606" hidden="1">
              <a:extLst>
                <a:ext uri="{63B3BB69-23CF-44E3-9099-C40C66FF867C}">
                  <a14:compatExt spid="_x0000_s12894"/>
                </a:ext>
                <a:ext uri="{FF2B5EF4-FFF2-40B4-BE49-F238E27FC236}">
                  <a16:creationId xmlns:a16="http://schemas.microsoft.com/office/drawing/2014/main" id="{00000000-0008-0000-0000-00005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Ventiladores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19</xdr:row>
          <xdr:rowOff>0</xdr:rowOff>
        </xdr:from>
        <xdr:to>
          <xdr:col>4</xdr:col>
          <xdr:colOff>171450</xdr:colOff>
          <xdr:row>20</xdr:row>
          <xdr:rowOff>28575</xdr:rowOff>
        </xdr:to>
        <xdr:sp macro="" textlink="">
          <xdr:nvSpPr>
            <xdr:cNvPr id="12897" name="Check Box 609" hidden="1">
              <a:extLst>
                <a:ext uri="{63B3BB69-23CF-44E3-9099-C40C66FF867C}">
                  <a14:compatExt spid="_x0000_s12897"/>
                </a:ext>
                <a:ext uri="{FF2B5EF4-FFF2-40B4-BE49-F238E27FC236}">
                  <a16:creationId xmlns:a16="http://schemas.microsoft.com/office/drawing/2014/main" id="{00000000-0008-0000-0000-000061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Pendulares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20</xdr:row>
          <xdr:rowOff>0</xdr:rowOff>
        </xdr:from>
        <xdr:to>
          <xdr:col>4</xdr:col>
          <xdr:colOff>171450</xdr:colOff>
          <xdr:row>21</xdr:row>
          <xdr:rowOff>28575</xdr:rowOff>
        </xdr:to>
        <xdr:sp macro="" textlink="">
          <xdr:nvSpPr>
            <xdr:cNvPr id="12899" name="Check Box 611" hidden="1">
              <a:extLst>
                <a:ext uri="{63B3BB69-23CF-44E3-9099-C40C66FF867C}">
                  <a14:compatExt spid="_x0000_s12899"/>
                </a:ext>
                <a:ext uri="{FF2B5EF4-FFF2-40B4-BE49-F238E27FC236}">
                  <a16:creationId xmlns:a16="http://schemas.microsoft.com/office/drawing/2014/main" id="{00000000-0008-0000-0000-00006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Tubulares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20</xdr:row>
          <xdr:rowOff>0</xdr:rowOff>
        </xdr:from>
        <xdr:to>
          <xdr:col>5</xdr:col>
          <xdr:colOff>142875</xdr:colOff>
          <xdr:row>21</xdr:row>
          <xdr:rowOff>28575</xdr:rowOff>
        </xdr:to>
        <xdr:sp macro="" textlink="">
          <xdr:nvSpPr>
            <xdr:cNvPr id="12900" name="Check Box 612" hidden="1">
              <a:extLst>
                <a:ext uri="{63B3BB69-23CF-44E3-9099-C40C66FF867C}">
                  <a14:compatExt spid="_x0000_s12900"/>
                </a:ext>
                <a:ext uri="{FF2B5EF4-FFF2-40B4-BE49-F238E27FC236}">
                  <a16:creationId xmlns:a16="http://schemas.microsoft.com/office/drawing/2014/main" id="{00000000-0008-0000-0000-00006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Automáticos (Tuboflex)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21</xdr:row>
          <xdr:rowOff>0</xdr:rowOff>
        </xdr:from>
        <xdr:to>
          <xdr:col>5</xdr:col>
          <xdr:colOff>142875</xdr:colOff>
          <xdr:row>22</xdr:row>
          <xdr:rowOff>28575</xdr:rowOff>
        </xdr:to>
        <xdr:sp macro="" textlink="">
          <xdr:nvSpPr>
            <xdr:cNvPr id="12901" name="Check Box 613" hidden="1">
              <a:extLst>
                <a:ext uri="{63B3BB69-23CF-44E3-9099-C40C66FF867C}">
                  <a14:compatExt spid="_x0000_s12901"/>
                </a:ext>
                <a:ext uri="{FF2B5EF4-FFF2-40B4-BE49-F238E27FC236}">
                  <a16:creationId xmlns:a16="http://schemas.microsoft.com/office/drawing/2014/main" id="{00000000-0008-0000-0000-00006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Exaustores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19</xdr:row>
          <xdr:rowOff>0</xdr:rowOff>
        </xdr:from>
        <xdr:to>
          <xdr:col>5</xdr:col>
          <xdr:colOff>142875</xdr:colOff>
          <xdr:row>20</xdr:row>
          <xdr:rowOff>28575</xdr:rowOff>
        </xdr:to>
        <xdr:sp macro="" textlink="">
          <xdr:nvSpPr>
            <xdr:cNvPr id="12905" name="Check Box 617" hidden="1">
              <a:extLst>
                <a:ext uri="{63B3BB69-23CF-44E3-9099-C40C66FF867C}">
                  <a14:compatExt spid="_x0000_s12905"/>
                </a:ext>
                <a:ext uri="{FF2B5EF4-FFF2-40B4-BE49-F238E27FC236}">
                  <a16:creationId xmlns:a16="http://schemas.microsoft.com/office/drawing/2014/main" id="{00000000-0008-0000-0000-00006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Nipple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20</xdr:row>
          <xdr:rowOff>190500</xdr:rowOff>
        </xdr:from>
        <xdr:to>
          <xdr:col>5</xdr:col>
          <xdr:colOff>1295400</xdr:colOff>
          <xdr:row>22</xdr:row>
          <xdr:rowOff>28575</xdr:rowOff>
        </xdr:to>
        <xdr:sp macro="" textlink="">
          <xdr:nvSpPr>
            <xdr:cNvPr id="12906" name="Check Box 618" hidden="1">
              <a:extLst>
                <a:ext uri="{63B3BB69-23CF-44E3-9099-C40C66FF867C}">
                  <a14:compatExt spid="_x0000_s12906"/>
                </a:ext>
                <a:ext uri="{FF2B5EF4-FFF2-40B4-BE49-F238E27FC236}">
                  <a16:creationId xmlns:a16="http://schemas.microsoft.com/office/drawing/2014/main" id="{00000000-0008-0000-0000-00006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Nebulizadores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21</xdr:row>
          <xdr:rowOff>0</xdr:rowOff>
        </xdr:from>
        <xdr:to>
          <xdr:col>7</xdr:col>
          <xdr:colOff>114300</xdr:colOff>
          <xdr:row>22</xdr:row>
          <xdr:rowOff>28575</xdr:rowOff>
        </xdr:to>
        <xdr:sp macro="" textlink="">
          <xdr:nvSpPr>
            <xdr:cNvPr id="12907" name="Check Box 619" hidden="1">
              <a:extLst>
                <a:ext uri="{63B3BB69-23CF-44E3-9099-C40C66FF867C}">
                  <a14:compatExt spid="_x0000_s12907"/>
                </a:ext>
                <a:ext uri="{FF2B5EF4-FFF2-40B4-BE49-F238E27FC236}">
                  <a16:creationId xmlns:a16="http://schemas.microsoft.com/office/drawing/2014/main" id="{00000000-0008-0000-0000-00006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Placas evaporativas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14655</xdr:colOff>
          <xdr:row>140</xdr:row>
          <xdr:rowOff>7508</xdr:rowOff>
        </xdr:from>
        <xdr:to>
          <xdr:col>3</xdr:col>
          <xdr:colOff>2363</xdr:colOff>
          <xdr:row>146</xdr:row>
          <xdr:rowOff>178849</xdr:rowOff>
        </xdr:to>
        <xdr:grpSp>
          <xdr:nvGrpSpPr>
            <xdr:cNvPr id="116" name="Grupo 10">
              <a:extLst>
                <a:ext uri="{FF2B5EF4-FFF2-40B4-BE49-F238E27FC236}">
                  <a16:creationId xmlns:a16="http://schemas.microsoft.com/office/drawing/2014/main" id="{00000000-0008-0000-0000-000074000000}"/>
                </a:ext>
              </a:extLst>
            </xdr:cNvPr>
            <xdr:cNvGrpSpPr/>
          </xdr:nvGrpSpPr>
          <xdr:grpSpPr>
            <a:xfrm>
              <a:off x="1500555" y="27401408"/>
              <a:ext cx="1464083" cy="1314341"/>
              <a:chOff x="2138565" y="15070282"/>
              <a:chExt cx="1296000" cy="1314341"/>
            </a:xfrm>
          </xdr:grpSpPr>
          <xdr:sp macro="" textlink="">
            <xdr:nvSpPr>
              <xdr:cNvPr id="12913" name="Drop Down 625" hidden="1">
                <a:extLst>
                  <a:ext uri="{63B3BB69-23CF-44E3-9099-C40C66FF867C}">
                    <a14:compatExt spid="_x0000_s12913"/>
                  </a:ext>
                  <a:ext uri="{FF2B5EF4-FFF2-40B4-BE49-F238E27FC236}">
                    <a16:creationId xmlns:a16="http://schemas.microsoft.com/office/drawing/2014/main" id="{00000000-0008-0000-0000-000071320000}"/>
                  </a:ext>
                </a:extLst>
              </xdr:cNvPr>
              <xdr:cNvSpPr/>
            </xdr:nvSpPr>
            <xdr:spPr bwMode="auto">
              <a:xfrm>
                <a:off x="2138565" y="15444247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914" name="Drop Down 626" hidden="1">
                <a:extLst>
                  <a:ext uri="{63B3BB69-23CF-44E3-9099-C40C66FF867C}">
                    <a14:compatExt spid="_x0000_s12914"/>
                  </a:ext>
                  <a:ext uri="{FF2B5EF4-FFF2-40B4-BE49-F238E27FC236}">
                    <a16:creationId xmlns:a16="http://schemas.microsoft.com/office/drawing/2014/main" id="{00000000-0008-0000-0000-000072320000}"/>
                  </a:ext>
                </a:extLst>
              </xdr:cNvPr>
              <xdr:cNvSpPr/>
            </xdr:nvSpPr>
            <xdr:spPr bwMode="auto">
              <a:xfrm>
                <a:off x="2138565" y="15257318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915" name="Drop Down 627" hidden="1">
                <a:extLst>
                  <a:ext uri="{63B3BB69-23CF-44E3-9099-C40C66FF867C}">
                    <a14:compatExt spid="_x0000_s12915"/>
                  </a:ext>
                  <a:ext uri="{FF2B5EF4-FFF2-40B4-BE49-F238E27FC236}">
                    <a16:creationId xmlns:a16="http://schemas.microsoft.com/office/drawing/2014/main" id="{00000000-0008-0000-0000-000073320000}"/>
                  </a:ext>
                </a:extLst>
              </xdr:cNvPr>
              <xdr:cNvSpPr/>
            </xdr:nvSpPr>
            <xdr:spPr bwMode="auto">
              <a:xfrm>
                <a:off x="2138565" y="15633231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916" name="Drop Down 628" hidden="1">
                <a:extLst>
                  <a:ext uri="{63B3BB69-23CF-44E3-9099-C40C66FF867C}">
                    <a14:compatExt spid="_x0000_s12916"/>
                  </a:ext>
                  <a:ext uri="{FF2B5EF4-FFF2-40B4-BE49-F238E27FC236}">
                    <a16:creationId xmlns:a16="http://schemas.microsoft.com/office/drawing/2014/main" id="{00000000-0008-0000-0000-000074320000}"/>
                  </a:ext>
                </a:extLst>
              </xdr:cNvPr>
              <xdr:cNvSpPr/>
            </xdr:nvSpPr>
            <xdr:spPr bwMode="auto">
              <a:xfrm>
                <a:off x="2138565" y="15820808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917" name="Drop Down 629" hidden="1">
                <a:extLst>
                  <a:ext uri="{63B3BB69-23CF-44E3-9099-C40C66FF867C}">
                    <a14:compatExt spid="_x0000_s12917"/>
                  </a:ext>
                  <a:ext uri="{FF2B5EF4-FFF2-40B4-BE49-F238E27FC236}">
                    <a16:creationId xmlns:a16="http://schemas.microsoft.com/office/drawing/2014/main" id="{00000000-0008-0000-0000-000075320000}"/>
                  </a:ext>
                </a:extLst>
              </xdr:cNvPr>
              <xdr:cNvSpPr/>
            </xdr:nvSpPr>
            <xdr:spPr bwMode="auto">
              <a:xfrm>
                <a:off x="2138565" y="16008061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918" name="Drop Down 630" hidden="1">
                <a:extLst>
                  <a:ext uri="{63B3BB69-23CF-44E3-9099-C40C66FF867C}">
                    <a14:compatExt spid="_x0000_s12918"/>
                  </a:ext>
                  <a:ext uri="{FF2B5EF4-FFF2-40B4-BE49-F238E27FC236}">
                    <a16:creationId xmlns:a16="http://schemas.microsoft.com/office/drawing/2014/main" id="{00000000-0008-0000-0000-000076320000}"/>
                  </a:ext>
                </a:extLst>
              </xdr:cNvPr>
              <xdr:cNvSpPr/>
            </xdr:nvSpPr>
            <xdr:spPr bwMode="auto">
              <a:xfrm>
                <a:off x="2138565" y="16204623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2920" name="Drop Down 632" hidden="1">
                <a:extLst>
                  <a:ext uri="{63B3BB69-23CF-44E3-9099-C40C66FF867C}">
                    <a14:compatExt spid="_x0000_s12920"/>
                  </a:ext>
                  <a:ext uri="{FF2B5EF4-FFF2-40B4-BE49-F238E27FC236}">
                    <a16:creationId xmlns:a16="http://schemas.microsoft.com/office/drawing/2014/main" id="{00000000-0008-0000-0000-000078320000}"/>
                  </a:ext>
                </a:extLst>
              </xdr:cNvPr>
              <xdr:cNvSpPr/>
            </xdr:nvSpPr>
            <xdr:spPr bwMode="auto">
              <a:xfrm>
                <a:off x="2138565" y="15070282"/>
                <a:ext cx="1296000" cy="1800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</xdr:rowOff>
    </xdr:from>
    <xdr:to>
      <xdr:col>0</xdr:col>
      <xdr:colOff>381000</xdr:colOff>
      <xdr:row>1</xdr:row>
      <xdr:rowOff>152401</xdr:rowOff>
    </xdr:to>
    <xdr:sp macro="" textlink="">
      <xdr:nvSpPr>
        <xdr:cNvPr id="2" name="Seta para a esqu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19050" y="1"/>
          <a:ext cx="361950" cy="314325"/>
        </a:xfrm>
        <a:prstGeom prst="leftArrow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1266825</xdr:colOff>
      <xdr:row>0</xdr:row>
      <xdr:rowOff>0</xdr:rowOff>
    </xdr:from>
    <xdr:to>
      <xdr:col>2</xdr:col>
      <xdr:colOff>0</xdr:colOff>
      <xdr:row>2</xdr:row>
      <xdr:rowOff>1</xdr:rowOff>
    </xdr:to>
    <xdr:sp macro="" textlink="">
      <xdr:nvSpPr>
        <xdr:cNvPr id="2" name="Retângul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1800225" y="0"/>
          <a:ext cx="1082387" cy="381001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latin typeface="Lucida Console" panose="020B0609040504020204" pitchFamily="49" charset="0"/>
            </a:rPr>
            <a:t>VOLTAR</a:t>
          </a:r>
        </a:p>
      </xdr:txBody>
    </xdr:sp>
    <xdr:clientData/>
  </xdr:twoCellAnchor>
  <xdr:twoCellAnchor>
    <xdr:from>
      <xdr:col>3</xdr:col>
      <xdr:colOff>1552575</xdr:colOff>
      <xdr:row>0</xdr:row>
      <xdr:rowOff>0</xdr:rowOff>
    </xdr:from>
    <xdr:to>
      <xdr:col>3</xdr:col>
      <xdr:colOff>2628900</xdr:colOff>
      <xdr:row>2</xdr:row>
      <xdr:rowOff>1</xdr:rowOff>
    </xdr:to>
    <xdr:sp macro="" textlink="">
      <xdr:nvSpPr>
        <xdr:cNvPr id="4" name="Retângul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/>
      </xdr:nvSpPr>
      <xdr:spPr>
        <a:xfrm>
          <a:off x="4962525" y="0"/>
          <a:ext cx="1076325" cy="381001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latin typeface="Lucida Console" panose="020B0609040504020204" pitchFamily="49" charset="0"/>
            </a:rPr>
            <a:t>VOLTAR</a:t>
          </a:r>
        </a:p>
      </xdr:txBody>
    </xdr:sp>
    <xdr:clientData/>
  </xdr:twoCellAnchor>
  <xdr:twoCellAnchor>
    <xdr:from>
      <xdr:col>5</xdr:col>
      <xdr:colOff>1543050</xdr:colOff>
      <xdr:row>0</xdr:row>
      <xdr:rowOff>0</xdr:rowOff>
    </xdr:from>
    <xdr:to>
      <xdr:col>6</xdr:col>
      <xdr:colOff>0</xdr:colOff>
      <xdr:row>2</xdr:row>
      <xdr:rowOff>1</xdr:rowOff>
    </xdr:to>
    <xdr:sp macro="" textlink="">
      <xdr:nvSpPr>
        <xdr:cNvPr id="6" name="Retângulo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SpPr/>
      </xdr:nvSpPr>
      <xdr:spPr>
        <a:xfrm>
          <a:off x="8124825" y="0"/>
          <a:ext cx="1076325" cy="381001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latin typeface="Lucida Console" panose="020B0609040504020204" pitchFamily="49" charset="0"/>
            </a:rPr>
            <a:t>VOLTAR</a:t>
          </a:r>
        </a:p>
      </xdr:txBody>
    </xdr:sp>
    <xdr:clientData/>
  </xdr:twoCellAnchor>
  <xdr:twoCellAnchor>
    <xdr:from>
      <xdr:col>7</xdr:col>
      <xdr:colOff>1352550</xdr:colOff>
      <xdr:row>0</xdr:row>
      <xdr:rowOff>0</xdr:rowOff>
    </xdr:from>
    <xdr:to>
      <xdr:col>8</xdr:col>
      <xdr:colOff>9525</xdr:colOff>
      <xdr:row>2</xdr:row>
      <xdr:rowOff>1</xdr:rowOff>
    </xdr:to>
    <xdr:sp macro="" textlink="">
      <xdr:nvSpPr>
        <xdr:cNvPr id="8" name="Retângulo 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SpPr/>
      </xdr:nvSpPr>
      <xdr:spPr>
        <a:xfrm>
          <a:off x="11087100" y="0"/>
          <a:ext cx="1076325" cy="381001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latin typeface="Lucida Console" panose="020B0609040504020204" pitchFamily="49" charset="0"/>
            </a:rPr>
            <a:t>VOLTAR</a:t>
          </a:r>
        </a:p>
      </xdr:txBody>
    </xdr:sp>
    <xdr:clientData/>
  </xdr:twoCellAnchor>
  <xdr:twoCellAnchor>
    <xdr:from>
      <xdr:col>9</xdr:col>
      <xdr:colOff>1352550</xdr:colOff>
      <xdr:row>0</xdr:row>
      <xdr:rowOff>0</xdr:rowOff>
    </xdr:from>
    <xdr:to>
      <xdr:col>10</xdr:col>
      <xdr:colOff>9525</xdr:colOff>
      <xdr:row>2</xdr:row>
      <xdr:rowOff>1</xdr:rowOff>
    </xdr:to>
    <xdr:sp macro="" textlink="">
      <xdr:nvSpPr>
        <xdr:cNvPr id="9" name="Retângulo 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SpPr/>
      </xdr:nvSpPr>
      <xdr:spPr>
        <a:xfrm>
          <a:off x="11087100" y="0"/>
          <a:ext cx="1076325" cy="381001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>
              <a:latin typeface="Lucida Console" panose="020B0609040504020204" pitchFamily="49" charset="0"/>
            </a:rPr>
            <a:t>VOLTAR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fael/Desktop/emergy_payment/worker_payment_emerg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fael/Desktop/V2Projeto_Tese/ICP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LTURAL INFORMATION"/>
      <sheetName val="MANPOWER"/>
    </sheetNames>
    <sheetDataSet>
      <sheetData sheetId="0"/>
      <sheetData sheetId="1">
        <row r="10">
          <cell r="H10">
            <v>1.4438310080773322E-3</v>
          </cell>
        </row>
        <row r="30">
          <cell r="D30">
            <v>1467336539.0749602</v>
          </cell>
          <cell r="E30">
            <v>172802689.21277723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ual"/>
      <sheetName val="SAMeFrame_Emergy"/>
      <sheetName val="Interface"/>
      <sheetName val="Mão-de-obra"/>
      <sheetName val="Depreciações"/>
      <sheetName val="Energia | Combustivel | Cama"/>
      <sheetName val="Nutrição"/>
      <sheetName val="Sanidade"/>
      <sheetName val="CPM_frango"/>
      <sheetName val="Results"/>
      <sheetName val="COUNTRY"/>
      <sheetName val="COUNTY"/>
      <sheetName val="Emergy_model memory "/>
      <sheetName val="Emergy_references"/>
      <sheetName val="IGP-DI | FGV"/>
      <sheetName val="CPM_integrado"/>
      <sheetName val="CPM_integradora"/>
      <sheetName val="ATALHOS"/>
    </sheetNames>
    <sheetDataSet>
      <sheetData sheetId="0"/>
      <sheetData sheetId="1"/>
      <sheetData sheetId="2">
        <row r="14">
          <cell r="E14">
            <v>13622</v>
          </cell>
        </row>
        <row r="22">
          <cell r="E22">
            <v>6</v>
          </cell>
        </row>
        <row r="26">
          <cell r="E26">
            <v>42</v>
          </cell>
        </row>
        <row r="28">
          <cell r="E28">
            <v>0</v>
          </cell>
          <cell r="I28">
            <v>2.3000293642636911</v>
          </cell>
        </row>
        <row r="34">
          <cell r="E34">
            <v>0</v>
          </cell>
        </row>
        <row r="66">
          <cell r="G66">
            <v>1080</v>
          </cell>
        </row>
        <row r="68">
          <cell r="G68">
            <v>2080</v>
          </cell>
        </row>
      </sheetData>
      <sheetData sheetId="3"/>
      <sheetData sheetId="4">
        <row r="136">
          <cell r="D136">
            <v>110700</v>
          </cell>
          <cell r="P136">
            <v>7070</v>
          </cell>
        </row>
      </sheetData>
      <sheetData sheetId="5">
        <row r="7">
          <cell r="M7">
            <v>520.23121387283243</v>
          </cell>
        </row>
        <row r="13">
          <cell r="M13">
            <v>0</v>
          </cell>
        </row>
        <row r="19">
          <cell r="M19">
            <v>0</v>
          </cell>
        </row>
        <row r="53">
          <cell r="I53">
            <v>13095.238095238095</v>
          </cell>
        </row>
      </sheetData>
      <sheetData sheetId="6">
        <row r="146">
          <cell r="W146">
            <v>70</v>
          </cell>
        </row>
      </sheetData>
      <sheetData sheetId="7"/>
      <sheetData sheetId="8">
        <row r="5">
          <cell r="F5">
            <v>1442</v>
          </cell>
        </row>
        <row r="7">
          <cell r="F7">
            <v>3972</v>
          </cell>
        </row>
        <row r="9">
          <cell r="F9">
            <v>2080</v>
          </cell>
        </row>
        <row r="25">
          <cell r="I25">
            <v>300</v>
          </cell>
        </row>
        <row r="27">
          <cell r="F27">
            <v>2398.52</v>
          </cell>
        </row>
        <row r="31">
          <cell r="F31">
            <v>0</v>
          </cell>
        </row>
        <row r="33">
          <cell r="I33">
            <v>4324.669263290667</v>
          </cell>
        </row>
        <row r="43">
          <cell r="F43">
            <v>313.30599999999998</v>
          </cell>
        </row>
        <row r="45">
          <cell r="F45">
            <v>774.46</v>
          </cell>
        </row>
        <row r="47">
          <cell r="F47">
            <v>4847.1775000000007</v>
          </cell>
        </row>
        <row r="49">
          <cell r="F49">
            <v>200</v>
          </cell>
        </row>
      </sheetData>
      <sheetData sheetId="9"/>
      <sheetData sheetId="10">
        <row r="23">
          <cell r="O23">
            <v>4.1847196362669552E+16</v>
          </cell>
        </row>
        <row r="29">
          <cell r="O29">
            <v>1185138146436.4226</v>
          </cell>
        </row>
        <row r="122">
          <cell r="C122">
            <v>1450000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afael Nacimento" id="{5AAADCBA-EF07-4503-8C02-9ED76EE93BD8}" userId="ad3e2774060f3a4e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588" dT="2020-09-08T22:50:20.27" personId="{5AAADCBA-EF07-4503-8C02-9ED76EE93BD8}" id="{F5C344E0-57F4-4981-A9F7-5381168FC3AA}">
    <text>According to Castellini et al. 2006</text>
  </threadedComment>
  <threadedComment ref="K609" dT="2020-09-08T22:50:20.27" personId="{5AAADCBA-EF07-4503-8C02-9ED76EE93BD8}" id="{046154E7-6DA0-4A1C-A7E0-5F3D9C23C5E1}">
    <text>According to Castellini et al. 2006</text>
  </threadedComment>
  <threadedComment ref="K628" dT="2020-09-08T22:50:20.27" personId="{5AAADCBA-EF07-4503-8C02-9ED76EE93BD8}" id="{B9ED5291-E5E4-4EAF-90FD-6598A42BD0C7}">
    <text>According to Castellini et al. 2006</text>
  </threadedComment>
  <threadedComment ref="K642" dT="2020-09-08T22:50:20.27" personId="{5AAADCBA-EF07-4503-8C02-9ED76EE93BD8}" id="{31D4B54D-7B38-4B87-A6E8-E44D35B06F7C}">
    <text>According to Castellini et al. 2006</text>
  </threadedComment>
  <threadedComment ref="K657" dT="2020-09-08T22:50:20.27" personId="{5AAADCBA-EF07-4503-8C02-9ED76EE93BD8}" id="{589B26FC-8B51-4D05-AA30-FE309E7C18AE}">
    <text>According to Castellini et al. 2006</text>
  </threadedComment>
  <threadedComment ref="K671" dT="2020-09-08T22:50:20.27" personId="{5AAADCBA-EF07-4503-8C02-9ED76EE93BD8}" id="{F44BD68C-AECB-49E6-B2D1-6430A1FB67F1}">
    <text>According to Castellini et al. 2006</text>
  </threadedComment>
</ThreadedComments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1.xml"/><Relationship Id="rId21" Type="http://schemas.openxmlformats.org/officeDocument/2006/relationships/ctrlProp" Target="../ctrlProps/ctrlProp16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63" Type="http://schemas.openxmlformats.org/officeDocument/2006/relationships/ctrlProp" Target="../ctrlProps/ctrlProp58.xml"/><Relationship Id="rId68" Type="http://schemas.openxmlformats.org/officeDocument/2006/relationships/ctrlProp" Target="../ctrlProps/ctrlProp63.xml"/><Relationship Id="rId84" Type="http://schemas.openxmlformats.org/officeDocument/2006/relationships/ctrlProp" Target="../ctrlProps/ctrlProp79.xml"/><Relationship Id="rId89" Type="http://schemas.openxmlformats.org/officeDocument/2006/relationships/ctrlProp" Target="../ctrlProps/ctrlProp84.xml"/><Relationship Id="rId16" Type="http://schemas.openxmlformats.org/officeDocument/2006/relationships/ctrlProp" Target="../ctrlProps/ctrlProp11.xml"/><Relationship Id="rId107" Type="http://schemas.openxmlformats.org/officeDocument/2006/relationships/ctrlProp" Target="../ctrlProps/ctrlProp102.xml"/><Relationship Id="rId11" Type="http://schemas.openxmlformats.org/officeDocument/2006/relationships/ctrlProp" Target="../ctrlProps/ctrlProp6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53" Type="http://schemas.openxmlformats.org/officeDocument/2006/relationships/ctrlProp" Target="../ctrlProps/ctrlProp48.xml"/><Relationship Id="rId58" Type="http://schemas.openxmlformats.org/officeDocument/2006/relationships/ctrlProp" Target="../ctrlProps/ctrlProp53.xml"/><Relationship Id="rId74" Type="http://schemas.openxmlformats.org/officeDocument/2006/relationships/ctrlProp" Target="../ctrlProps/ctrlProp69.xml"/><Relationship Id="rId79" Type="http://schemas.openxmlformats.org/officeDocument/2006/relationships/ctrlProp" Target="../ctrlProps/ctrlProp74.xml"/><Relationship Id="rId102" Type="http://schemas.openxmlformats.org/officeDocument/2006/relationships/ctrlProp" Target="../ctrlProps/ctrlProp97.xml"/><Relationship Id="rId5" Type="http://schemas.openxmlformats.org/officeDocument/2006/relationships/vmlDrawing" Target="../drawings/vmlDrawing1.vml"/><Relationship Id="rId90" Type="http://schemas.openxmlformats.org/officeDocument/2006/relationships/ctrlProp" Target="../ctrlProps/ctrlProp85.xml"/><Relationship Id="rId95" Type="http://schemas.openxmlformats.org/officeDocument/2006/relationships/ctrlProp" Target="../ctrlProps/ctrlProp90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64" Type="http://schemas.openxmlformats.org/officeDocument/2006/relationships/ctrlProp" Target="../ctrlProps/ctrlProp59.xml"/><Relationship Id="rId69" Type="http://schemas.openxmlformats.org/officeDocument/2006/relationships/ctrlProp" Target="../ctrlProps/ctrlProp64.xml"/><Relationship Id="rId80" Type="http://schemas.openxmlformats.org/officeDocument/2006/relationships/ctrlProp" Target="../ctrlProps/ctrlProp75.xml"/><Relationship Id="rId85" Type="http://schemas.openxmlformats.org/officeDocument/2006/relationships/ctrlProp" Target="../ctrlProps/ctrlProp80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59" Type="http://schemas.openxmlformats.org/officeDocument/2006/relationships/ctrlProp" Target="../ctrlProps/ctrlProp54.xml"/><Relationship Id="rId103" Type="http://schemas.openxmlformats.org/officeDocument/2006/relationships/ctrlProp" Target="../ctrlProps/ctrlProp98.xml"/><Relationship Id="rId108" Type="http://schemas.openxmlformats.org/officeDocument/2006/relationships/ctrlProp" Target="../ctrlProps/ctrlProp103.xml"/><Relationship Id="rId54" Type="http://schemas.openxmlformats.org/officeDocument/2006/relationships/ctrlProp" Target="../ctrlProps/ctrlProp49.xml"/><Relationship Id="rId70" Type="http://schemas.openxmlformats.org/officeDocument/2006/relationships/ctrlProp" Target="../ctrlProps/ctrlProp65.xml"/><Relationship Id="rId75" Type="http://schemas.openxmlformats.org/officeDocument/2006/relationships/ctrlProp" Target="../ctrlProps/ctrlProp70.xml"/><Relationship Id="rId91" Type="http://schemas.openxmlformats.org/officeDocument/2006/relationships/ctrlProp" Target="../ctrlProps/ctrlProp86.xml"/><Relationship Id="rId96" Type="http://schemas.openxmlformats.org/officeDocument/2006/relationships/ctrlProp" Target="../ctrlProps/ctrlProp9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57" Type="http://schemas.openxmlformats.org/officeDocument/2006/relationships/ctrlProp" Target="../ctrlProps/ctrlProp52.xml"/><Relationship Id="rId106" Type="http://schemas.openxmlformats.org/officeDocument/2006/relationships/ctrlProp" Target="../ctrlProps/ctrlProp101.xml"/><Relationship Id="rId10" Type="http://schemas.openxmlformats.org/officeDocument/2006/relationships/ctrlProp" Target="../ctrlProps/ctrlProp5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trlProp" Target="../ctrlProps/ctrlProp47.xml"/><Relationship Id="rId60" Type="http://schemas.openxmlformats.org/officeDocument/2006/relationships/ctrlProp" Target="../ctrlProps/ctrlProp55.xml"/><Relationship Id="rId65" Type="http://schemas.openxmlformats.org/officeDocument/2006/relationships/ctrlProp" Target="../ctrlProps/ctrlProp60.xml"/><Relationship Id="rId73" Type="http://schemas.openxmlformats.org/officeDocument/2006/relationships/ctrlProp" Target="../ctrlProps/ctrlProp68.xml"/><Relationship Id="rId78" Type="http://schemas.openxmlformats.org/officeDocument/2006/relationships/ctrlProp" Target="../ctrlProps/ctrlProp73.xml"/><Relationship Id="rId81" Type="http://schemas.openxmlformats.org/officeDocument/2006/relationships/ctrlProp" Target="../ctrlProps/ctrlProp76.xml"/><Relationship Id="rId86" Type="http://schemas.openxmlformats.org/officeDocument/2006/relationships/ctrlProp" Target="../ctrlProps/ctrlProp81.xml"/><Relationship Id="rId94" Type="http://schemas.openxmlformats.org/officeDocument/2006/relationships/ctrlProp" Target="../ctrlProps/ctrlProp89.xml"/><Relationship Id="rId99" Type="http://schemas.openxmlformats.org/officeDocument/2006/relationships/ctrlProp" Target="../ctrlProps/ctrlProp94.xml"/><Relationship Id="rId101" Type="http://schemas.openxmlformats.org/officeDocument/2006/relationships/ctrlProp" Target="../ctrlProps/ctrlProp96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39" Type="http://schemas.openxmlformats.org/officeDocument/2006/relationships/ctrlProp" Target="../ctrlProps/ctrlProp34.xml"/><Relationship Id="rId109" Type="http://schemas.openxmlformats.org/officeDocument/2006/relationships/ctrlProp" Target="../ctrlProps/ctrlProp104.xml"/><Relationship Id="rId34" Type="http://schemas.openxmlformats.org/officeDocument/2006/relationships/ctrlProp" Target="../ctrlProps/ctrlProp29.xml"/><Relationship Id="rId50" Type="http://schemas.openxmlformats.org/officeDocument/2006/relationships/ctrlProp" Target="../ctrlProps/ctrlProp45.xml"/><Relationship Id="rId55" Type="http://schemas.openxmlformats.org/officeDocument/2006/relationships/ctrlProp" Target="../ctrlProps/ctrlProp50.xml"/><Relationship Id="rId76" Type="http://schemas.openxmlformats.org/officeDocument/2006/relationships/ctrlProp" Target="../ctrlProps/ctrlProp71.xml"/><Relationship Id="rId97" Type="http://schemas.openxmlformats.org/officeDocument/2006/relationships/ctrlProp" Target="../ctrlProps/ctrlProp92.xml"/><Relationship Id="rId104" Type="http://schemas.openxmlformats.org/officeDocument/2006/relationships/ctrlProp" Target="../ctrlProps/ctrlProp99.xml"/><Relationship Id="rId7" Type="http://schemas.openxmlformats.org/officeDocument/2006/relationships/ctrlProp" Target="../ctrlProps/ctrlProp2.xml"/><Relationship Id="rId71" Type="http://schemas.openxmlformats.org/officeDocument/2006/relationships/ctrlProp" Target="../ctrlProps/ctrlProp66.xml"/><Relationship Id="rId92" Type="http://schemas.openxmlformats.org/officeDocument/2006/relationships/ctrlProp" Target="../ctrlProps/ctrlProp87.xml"/><Relationship Id="rId2" Type="http://schemas.openxmlformats.org/officeDocument/2006/relationships/hyperlink" Target="https://www.portalbrasil.net/igp.html" TargetMode="External"/><Relationship Id="rId29" Type="http://schemas.openxmlformats.org/officeDocument/2006/relationships/ctrlProp" Target="../ctrlProps/ctrlProp24.xml"/><Relationship Id="rId24" Type="http://schemas.openxmlformats.org/officeDocument/2006/relationships/ctrlProp" Target="../ctrlProps/ctrlProp19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66" Type="http://schemas.openxmlformats.org/officeDocument/2006/relationships/ctrlProp" Target="../ctrlProps/ctrlProp61.xml"/><Relationship Id="rId87" Type="http://schemas.openxmlformats.org/officeDocument/2006/relationships/ctrlProp" Target="../ctrlProps/ctrlProp82.xml"/><Relationship Id="rId110" Type="http://schemas.openxmlformats.org/officeDocument/2006/relationships/ctrlProp" Target="../ctrlProps/ctrlProp105.xml"/><Relationship Id="rId61" Type="http://schemas.openxmlformats.org/officeDocument/2006/relationships/ctrlProp" Target="../ctrlProps/ctrlProp56.xml"/><Relationship Id="rId82" Type="http://schemas.openxmlformats.org/officeDocument/2006/relationships/ctrlProp" Target="../ctrlProps/ctrlProp77.xml"/><Relationship Id="rId19" Type="http://schemas.openxmlformats.org/officeDocument/2006/relationships/ctrlProp" Target="../ctrlProps/ctrlProp14.xml"/><Relationship Id="rId14" Type="http://schemas.openxmlformats.org/officeDocument/2006/relationships/ctrlProp" Target="../ctrlProps/ctrlProp9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56" Type="http://schemas.openxmlformats.org/officeDocument/2006/relationships/ctrlProp" Target="../ctrlProps/ctrlProp51.xml"/><Relationship Id="rId77" Type="http://schemas.openxmlformats.org/officeDocument/2006/relationships/ctrlProp" Target="../ctrlProps/ctrlProp72.xml"/><Relationship Id="rId100" Type="http://schemas.openxmlformats.org/officeDocument/2006/relationships/ctrlProp" Target="../ctrlProps/ctrlProp95.xml"/><Relationship Id="rId105" Type="http://schemas.openxmlformats.org/officeDocument/2006/relationships/ctrlProp" Target="../ctrlProps/ctrlProp100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72" Type="http://schemas.openxmlformats.org/officeDocument/2006/relationships/ctrlProp" Target="../ctrlProps/ctrlProp67.xml"/><Relationship Id="rId93" Type="http://schemas.openxmlformats.org/officeDocument/2006/relationships/ctrlProp" Target="../ctrlProps/ctrlProp88.xml"/><Relationship Id="rId98" Type="http://schemas.openxmlformats.org/officeDocument/2006/relationships/ctrlProp" Target="../ctrlProps/ctrlProp93.xml"/><Relationship Id="rId3" Type="http://schemas.openxmlformats.org/officeDocument/2006/relationships/printerSettings" Target="../printerSettings/printerSettings2.bin"/><Relationship Id="rId25" Type="http://schemas.openxmlformats.org/officeDocument/2006/relationships/ctrlProp" Target="../ctrlProps/ctrlProp20.xml"/><Relationship Id="rId46" Type="http://schemas.openxmlformats.org/officeDocument/2006/relationships/ctrlProp" Target="../ctrlProps/ctrlProp41.xml"/><Relationship Id="rId67" Type="http://schemas.openxmlformats.org/officeDocument/2006/relationships/ctrlProp" Target="../ctrlProps/ctrlProp62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62" Type="http://schemas.openxmlformats.org/officeDocument/2006/relationships/ctrlProp" Target="../ctrlProps/ctrlProp57.xml"/><Relationship Id="rId83" Type="http://schemas.openxmlformats.org/officeDocument/2006/relationships/ctrlProp" Target="../ctrlProps/ctrlProp78.xml"/><Relationship Id="rId88" Type="http://schemas.openxmlformats.org/officeDocument/2006/relationships/ctrlProp" Target="../ctrlProps/ctrlProp83.xml"/><Relationship Id="rId111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4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archio.com/produto/caibro-5-x-5-x-350-m-99214/" TargetMode="External"/><Relationship Id="rId3" Type="http://schemas.openxmlformats.org/officeDocument/2006/relationships/hyperlink" Target="https://www.telhanorte.com.br/telha-cumeeira-de-ceramica-41x21cm-10mm-vermelha-resinada-barrobello-1402960/p" TargetMode="External"/><Relationship Id="rId7" Type="http://schemas.openxmlformats.org/officeDocument/2006/relationships/hyperlink" Target="https://www.leroymerlin.com.br/ripa-de-madeira-pinus-aplainada-natural-4x1x250cm-schneider_87547502" TargetMode="External"/><Relationship Id="rId2" Type="http://schemas.openxmlformats.org/officeDocument/2006/relationships/hyperlink" Target="https://www.leroymerlin.com.br/telha-ceramica-40,5x24,3cm-romana-vermelho-marajo_87788211" TargetMode="External"/><Relationship Id="rId1" Type="http://schemas.openxmlformats.org/officeDocument/2006/relationships/hyperlink" Target="https://atlantanet.com.br/tabua-bruta-eucalipto-15cm" TargetMode="External"/><Relationship Id="rId6" Type="http://schemas.openxmlformats.org/officeDocument/2006/relationships/hyperlink" Target="https://produto.mercadolivre.com.br/MLB-1631519068-cortina-pra-aviarios-e-granjas-_JM" TargetMode="External"/><Relationship Id="rId5" Type="http://schemas.openxmlformats.org/officeDocument/2006/relationships/hyperlink" Target="https://www.comercialrosalles.com.br/telas-e-alambrados" TargetMode="External"/><Relationship Id="rId4" Type="http://schemas.openxmlformats.org/officeDocument/2006/relationships/hyperlink" Target="https://www.leroymerlin.com.br/tijolo-ceramico-10-furos-19x9x5,5cm-marajo_87835552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cep.ees.ufl.edu/emergy/documents/conferences/ERC01_1999/ERC01_1999_Chapter_09.pdf" TargetMode="External"/><Relationship Id="rId3" Type="http://schemas.openxmlformats.org/officeDocument/2006/relationships/hyperlink" Target="https://doi.org/10.1016/j.ecoser.2020.101073" TargetMode="External"/><Relationship Id="rId7" Type="http://schemas.openxmlformats.org/officeDocument/2006/relationships/hyperlink" Target="http://www.iac.sp.gov.br/produtoseservicos/analisedosolo/interpretacaoanalise.php" TargetMode="External"/><Relationship Id="rId2" Type="http://schemas.openxmlformats.org/officeDocument/2006/relationships/hyperlink" Target="http://www.cnpsa.embrapa.br/meteor/" TargetMode="External"/><Relationship Id="rId16" Type="http://schemas.microsoft.com/office/2017/10/relationships/threadedComment" Target="../threadedComments/threadedComment1.xml"/><Relationship Id="rId1" Type="http://schemas.openxmlformats.org/officeDocument/2006/relationships/printerSettings" Target="../printerSettings/printerSettings13.bin"/><Relationship Id="rId6" Type="http://schemas.openxmlformats.org/officeDocument/2006/relationships/hyperlink" Target="https://doi.org/10.1002/zoo.21084" TargetMode="External"/><Relationship Id="rId11" Type="http://schemas.openxmlformats.org/officeDocument/2006/relationships/comments" Target="../comments5.xml"/><Relationship Id="rId5" Type="http://schemas.openxmlformats.org/officeDocument/2006/relationships/hyperlink" Target="https://ainfo.cnptia.embrapa.br/digital/bitstream/item/58306/1/doc63.pdf" TargetMode="External"/><Relationship Id="rId10" Type="http://schemas.openxmlformats.org/officeDocument/2006/relationships/vmlDrawing" Target="../drawings/vmlDrawing5.vml"/><Relationship Id="rId4" Type="http://schemas.openxmlformats.org/officeDocument/2006/relationships/hyperlink" Target="https://portalcultura.campinas.sp.gov.br/estrutura/gs/cspc/cedoc/permeabilidade_alternativa" TargetMode="External"/><Relationship Id="rId9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nicamp.br/fea/ortega/extensao/dissertacao_MarianaBarrosTeixeira.pdf" TargetMode="External"/><Relationship Id="rId2" Type="http://schemas.openxmlformats.org/officeDocument/2006/relationships/hyperlink" Target="http://www.unicamp.br/fea/ortega/extensao/Tese-OtavioCavalett.pdf" TargetMode="External"/><Relationship Id="rId1" Type="http://schemas.openxmlformats.org/officeDocument/2006/relationships/hyperlink" Target="http://dx.doi.org/10.1016/j.ecolmodel.2016.03.018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">
    <tabColor theme="6" tint="0.39997558519241921"/>
  </sheetPr>
  <dimension ref="A1:O245"/>
  <sheetViews>
    <sheetView workbookViewId="0"/>
  </sheetViews>
  <sheetFormatPr defaultRowHeight="15"/>
  <cols>
    <col min="1" max="1" width="1.5" style="355" customWidth="1"/>
    <col min="2" max="2" width="24.5" style="355" customWidth="1"/>
    <col min="3" max="3" width="25.83203125" style="355" customWidth="1"/>
    <col min="4" max="4" width="19.6640625" style="355" customWidth="1"/>
    <col min="5" max="5" width="20.1640625" style="355" customWidth="1"/>
    <col min="6" max="6" width="24.1640625" style="355" customWidth="1"/>
    <col min="7" max="7" width="20.6640625" style="355" customWidth="1"/>
    <col min="8" max="8" width="19.6640625" style="355" customWidth="1"/>
    <col min="9" max="9" width="1.33203125" style="355" customWidth="1"/>
    <col min="10" max="10" width="2.1640625" style="355" customWidth="1"/>
    <col min="11" max="15" width="23.33203125" style="355" customWidth="1"/>
    <col min="16" max="16" width="2.1640625" style="355" customWidth="1"/>
    <col min="17" max="17" width="12" style="355" customWidth="1"/>
    <col min="18" max="18" width="27.6640625" style="355" customWidth="1"/>
    <col min="19" max="19" width="23.33203125" style="355" customWidth="1"/>
    <col min="20" max="20" width="15" style="355" customWidth="1"/>
    <col min="21" max="21" width="25.6640625" style="355" customWidth="1"/>
    <col min="22" max="22" width="4.33203125" style="355" customWidth="1"/>
    <col min="23" max="23" width="2.6640625" style="355" customWidth="1"/>
    <col min="24" max="24" width="55.33203125" style="355" customWidth="1"/>
    <col min="25" max="25" width="3.1640625" style="355" customWidth="1"/>
    <col min="26" max="26" width="18.33203125" style="355" customWidth="1"/>
    <col min="27" max="27" width="13" style="355" customWidth="1"/>
    <col min="28" max="28" width="2.5" style="355" customWidth="1"/>
    <col min="29" max="29" width="3.33203125" style="355" customWidth="1"/>
    <col min="30" max="16384" width="9.33203125" style="355"/>
  </cols>
  <sheetData>
    <row r="1" spans="1:15">
      <c r="A1" s="382"/>
      <c r="B1" s="382"/>
      <c r="C1" s="354"/>
      <c r="D1" s="1194"/>
      <c r="E1" s="1194"/>
      <c r="F1" s="1194"/>
      <c r="G1" s="417"/>
      <c r="H1" s="354"/>
      <c r="I1" s="538"/>
      <c r="J1" s="383"/>
      <c r="K1" s="372"/>
      <c r="L1" s="372"/>
      <c r="M1" s="372"/>
      <c r="N1" s="372"/>
      <c r="O1" s="372"/>
    </row>
    <row r="2" spans="1:15">
      <c r="A2" s="382"/>
      <c r="B2" s="1198" t="s">
        <v>40</v>
      </c>
      <c r="C2" s="1198"/>
      <c r="D2" s="1195"/>
      <c r="E2" s="1195"/>
      <c r="F2" s="1195"/>
      <c r="G2" s="418"/>
      <c r="H2" s="384"/>
      <c r="I2" s="540"/>
      <c r="J2" s="382"/>
      <c r="K2" s="372"/>
      <c r="L2" s="372"/>
      <c r="M2" s="372"/>
      <c r="N2" s="372"/>
      <c r="O2" s="372"/>
    </row>
    <row r="3" spans="1:15">
      <c r="A3" s="382"/>
      <c r="B3" s="542"/>
      <c r="C3" s="542"/>
      <c r="D3" s="542"/>
      <c r="E3" s="542"/>
      <c r="F3" s="542"/>
      <c r="G3" s="542"/>
      <c r="H3" s="542"/>
      <c r="I3" s="542"/>
      <c r="J3" s="382"/>
      <c r="K3" s="372"/>
      <c r="L3" s="372"/>
      <c r="M3" s="372"/>
      <c r="N3" s="372"/>
      <c r="O3" s="372"/>
    </row>
    <row r="4" spans="1:15">
      <c r="A4" s="382"/>
      <c r="B4" s="542"/>
      <c r="C4" s="542"/>
      <c r="D4" s="542"/>
      <c r="E4" s="542"/>
      <c r="F4" s="542"/>
      <c r="G4" s="542"/>
      <c r="H4" s="542"/>
      <c r="I4" s="542"/>
      <c r="J4" s="382"/>
      <c r="K4" s="372"/>
      <c r="L4" s="372"/>
      <c r="M4" s="372"/>
      <c r="N4" s="372"/>
      <c r="O4" s="372"/>
    </row>
    <row r="5" spans="1:15">
      <c r="A5" s="382"/>
      <c r="B5" s="542"/>
      <c r="C5" s="542"/>
      <c r="D5" s="542"/>
      <c r="E5" s="542"/>
      <c r="F5" s="542"/>
      <c r="G5" s="542"/>
      <c r="H5" s="542"/>
      <c r="I5" s="542"/>
      <c r="J5" s="382"/>
      <c r="K5" s="372"/>
      <c r="L5" s="372"/>
      <c r="M5" s="372"/>
      <c r="N5" s="372"/>
      <c r="O5" s="372"/>
    </row>
    <row r="6" spans="1:15">
      <c r="A6" s="382"/>
      <c r="B6" s="542"/>
      <c r="C6" s="542"/>
      <c r="D6" s="542"/>
      <c r="E6" s="542"/>
      <c r="F6" s="542"/>
      <c r="G6" s="542"/>
      <c r="H6" s="542"/>
      <c r="I6" s="542"/>
      <c r="J6" s="382"/>
      <c r="K6" s="372"/>
      <c r="L6" s="372"/>
      <c r="M6" s="372"/>
      <c r="N6" s="372"/>
      <c r="O6" s="372"/>
    </row>
    <row r="7" spans="1:15">
      <c r="A7" s="382"/>
      <c r="B7" s="542"/>
      <c r="C7" s="542"/>
      <c r="D7" s="542"/>
      <c r="E7" s="542"/>
      <c r="F7" s="542"/>
      <c r="G7" s="542"/>
      <c r="H7" s="542"/>
      <c r="I7" s="542"/>
      <c r="J7" s="382"/>
      <c r="K7" s="372"/>
      <c r="L7" s="372"/>
      <c r="M7" s="372"/>
      <c r="N7" s="372"/>
      <c r="O7" s="372"/>
    </row>
    <row r="8" spans="1:15">
      <c r="A8" s="382"/>
      <c r="B8" s="542"/>
      <c r="C8" s="542"/>
      <c r="D8" s="542"/>
      <c r="E8" s="542"/>
      <c r="F8" s="542"/>
      <c r="G8" s="542"/>
      <c r="H8" s="542"/>
      <c r="I8" s="542"/>
      <c r="J8" s="382"/>
      <c r="K8" s="372"/>
      <c r="L8" s="372"/>
      <c r="M8" s="372"/>
      <c r="N8" s="372"/>
      <c r="O8" s="372"/>
    </row>
    <row r="9" spans="1:15">
      <c r="A9" s="382"/>
      <c r="B9" s="542"/>
      <c r="C9" s="542"/>
      <c r="D9" s="542"/>
      <c r="E9" s="542"/>
      <c r="F9" s="542"/>
      <c r="G9" s="542"/>
      <c r="H9" s="542"/>
      <c r="I9" s="542"/>
      <c r="J9" s="382"/>
      <c r="K9" s="372"/>
      <c r="L9" s="372"/>
      <c r="M9" s="372"/>
      <c r="N9" s="372"/>
      <c r="O9" s="372"/>
    </row>
    <row r="10" spans="1:15" ht="11.25" customHeight="1">
      <c r="A10" s="382"/>
      <c r="B10" s="382"/>
      <c r="C10" s="382"/>
      <c r="D10" s="382"/>
      <c r="E10" s="382"/>
      <c r="F10" s="382"/>
      <c r="G10" s="382"/>
      <c r="H10" s="382"/>
      <c r="I10" s="382"/>
      <c r="J10" s="382"/>
      <c r="K10" s="372"/>
      <c r="L10" s="372"/>
      <c r="M10" s="372"/>
      <c r="N10" s="372"/>
      <c r="O10" s="372"/>
    </row>
    <row r="11" spans="1:15">
      <c r="A11" s="382"/>
      <c r="B11" s="1199" t="s">
        <v>865</v>
      </c>
      <c r="C11" s="1199"/>
      <c r="D11" s="1201" t="s">
        <v>1567</v>
      </c>
      <c r="E11" s="1201"/>
      <c r="F11" s="1201"/>
      <c r="G11" s="1201"/>
      <c r="H11" s="1201"/>
      <c r="I11" s="542"/>
      <c r="J11" s="382"/>
      <c r="K11" s="372"/>
      <c r="L11" s="372"/>
      <c r="M11" s="372"/>
      <c r="N11" s="372"/>
      <c r="O11" s="372"/>
    </row>
    <row r="12" spans="1:15">
      <c r="A12" s="382"/>
      <c r="B12" s="1197" t="s">
        <v>507</v>
      </c>
      <c r="C12" s="1197"/>
      <c r="D12" s="1200" t="s">
        <v>1567</v>
      </c>
      <c r="E12" s="1200"/>
      <c r="F12" s="1200"/>
      <c r="G12" s="1200"/>
      <c r="H12" s="1200"/>
      <c r="I12" s="542"/>
      <c r="J12" s="382"/>
      <c r="K12" s="372"/>
      <c r="L12" s="372"/>
      <c r="M12" s="372"/>
      <c r="N12" s="372"/>
      <c r="O12" s="372"/>
    </row>
    <row r="13" spans="1:15" ht="15" customHeight="1">
      <c r="A13" s="382"/>
      <c r="B13" s="1197" t="s">
        <v>508</v>
      </c>
      <c r="C13" s="1197"/>
      <c r="D13" s="456">
        <v>1</v>
      </c>
      <c r="E13" s="456"/>
      <c r="F13" s="456"/>
      <c r="G13" s="1203"/>
      <c r="H13" s="1203"/>
      <c r="I13" s="456"/>
      <c r="J13" s="382"/>
      <c r="K13" s="372"/>
      <c r="L13" s="372"/>
      <c r="M13" s="372"/>
      <c r="N13" s="372"/>
      <c r="O13" s="372"/>
    </row>
    <row r="14" spans="1:15" ht="15" customHeight="1">
      <c r="A14" s="382"/>
      <c r="B14" s="1197" t="s">
        <v>1077</v>
      </c>
      <c r="C14" s="1197"/>
      <c r="D14" s="456">
        <v>1</v>
      </c>
      <c r="E14" s="456"/>
      <c r="F14" s="456"/>
      <c r="G14" s="652"/>
      <c r="H14" s="652"/>
      <c r="I14" s="456"/>
      <c r="J14" s="382"/>
      <c r="K14" s="372"/>
      <c r="L14" s="372"/>
      <c r="M14" s="372"/>
      <c r="N14" s="372"/>
      <c r="O14" s="372"/>
    </row>
    <row r="15" spans="1:15">
      <c r="A15" s="382"/>
      <c r="B15" s="1197" t="s">
        <v>509</v>
      </c>
      <c r="C15" s="1197"/>
      <c r="D15" s="1200" t="s">
        <v>1565</v>
      </c>
      <c r="E15" s="1200"/>
      <c r="F15" s="1200"/>
      <c r="G15" s="1200"/>
      <c r="H15" s="1200"/>
      <c r="I15" s="542"/>
      <c r="J15" s="382"/>
      <c r="K15" s="372"/>
      <c r="L15" s="372"/>
      <c r="M15" s="372"/>
      <c r="N15" s="372"/>
      <c r="O15" s="372"/>
    </row>
    <row r="16" spans="1:15">
      <c r="A16" s="382"/>
      <c r="B16" s="1202" t="s">
        <v>1169</v>
      </c>
      <c r="C16" s="1202"/>
      <c r="D16" s="402"/>
      <c r="E16" s="402"/>
      <c r="F16" s="402">
        <v>2018</v>
      </c>
      <c r="G16" s="416"/>
      <c r="H16" s="397"/>
      <c r="I16" s="542"/>
      <c r="J16" s="382"/>
      <c r="K16" s="372"/>
      <c r="L16" s="372"/>
      <c r="M16" s="372"/>
      <c r="N16" s="372"/>
      <c r="O16" s="372"/>
    </row>
    <row r="17" spans="1:15">
      <c r="A17" s="382"/>
      <c r="B17" s="699"/>
      <c r="C17" s="699"/>
      <c r="D17" s="648" t="s">
        <v>957</v>
      </c>
      <c r="E17" s="648" t="s">
        <v>958</v>
      </c>
      <c r="F17" s="648" t="s">
        <v>959</v>
      </c>
      <c r="G17" s="542"/>
      <c r="H17" s="542"/>
      <c r="I17" s="542"/>
      <c r="J17" s="382"/>
      <c r="K17" s="372"/>
      <c r="L17" s="372"/>
      <c r="M17" s="372"/>
      <c r="N17" s="372"/>
      <c r="O17" s="372"/>
    </row>
    <row r="18" spans="1:15">
      <c r="A18" s="382"/>
      <c r="B18" s="710" t="s">
        <v>1148</v>
      </c>
      <c r="C18" s="382"/>
      <c r="D18" s="382"/>
      <c r="E18" s="382"/>
      <c r="F18" s="382"/>
      <c r="G18" s="382"/>
      <c r="H18" s="382"/>
      <c r="I18" s="542"/>
      <c r="J18" s="382"/>
      <c r="K18" s="372"/>
      <c r="L18" s="372"/>
      <c r="M18" s="372"/>
      <c r="N18" s="372"/>
      <c r="O18" s="372"/>
    </row>
    <row r="19" spans="1:15" ht="7.5" customHeight="1">
      <c r="A19" s="382"/>
      <c r="B19" s="542"/>
      <c r="C19" s="542"/>
      <c r="D19" s="542"/>
      <c r="E19" s="542"/>
      <c r="F19" s="542"/>
      <c r="G19" s="542"/>
      <c r="H19" s="542"/>
      <c r="I19" s="542"/>
      <c r="J19" s="382"/>
      <c r="K19" s="372"/>
      <c r="L19" s="372"/>
      <c r="M19" s="372"/>
      <c r="N19" s="372"/>
      <c r="O19" s="372"/>
    </row>
    <row r="20" spans="1:15">
      <c r="A20" s="382"/>
      <c r="B20" s="699"/>
      <c r="C20" s="699" t="s">
        <v>1127</v>
      </c>
      <c r="D20" s="699"/>
      <c r="E20" s="699"/>
      <c r="F20" s="699"/>
      <c r="G20" s="542"/>
      <c r="H20" s="542"/>
      <c r="I20" s="542"/>
      <c r="J20" s="382"/>
      <c r="K20" s="372"/>
      <c r="L20" s="372"/>
      <c r="M20" s="372"/>
      <c r="N20" s="372"/>
      <c r="O20" s="372"/>
    </row>
    <row r="21" spans="1:15">
      <c r="A21" s="382"/>
      <c r="B21" s="699"/>
      <c r="C21" s="699" t="s">
        <v>1126</v>
      </c>
      <c r="D21" s="699"/>
      <c r="E21" s="699"/>
      <c r="F21" s="699"/>
      <c r="G21" s="542"/>
      <c r="H21" s="542"/>
      <c r="I21" s="542"/>
      <c r="J21" s="382"/>
      <c r="K21" s="372"/>
      <c r="L21" s="372"/>
      <c r="M21" s="372"/>
      <c r="N21" s="372"/>
      <c r="O21" s="372"/>
    </row>
    <row r="22" spans="1:15">
      <c r="A22" s="382"/>
      <c r="B22" s="699"/>
      <c r="C22" s="699" t="s">
        <v>1125</v>
      </c>
      <c r="D22" s="699"/>
      <c r="E22" s="699"/>
      <c r="F22" s="699"/>
      <c r="G22" s="542"/>
      <c r="H22" s="542"/>
      <c r="I22" s="542"/>
      <c r="J22" s="382"/>
      <c r="K22" s="372"/>
      <c r="L22" s="372"/>
      <c r="M22" s="372"/>
      <c r="N22" s="372"/>
      <c r="O22" s="372"/>
    </row>
    <row r="23" spans="1:15" s="646" customFormat="1" ht="10.5">
      <c r="A23" s="644"/>
      <c r="B23" s="647"/>
      <c r="C23" s="647"/>
      <c r="D23" s="647"/>
      <c r="E23" s="647"/>
      <c r="F23" s="647"/>
      <c r="G23" s="647"/>
      <c r="H23" s="648"/>
      <c r="I23" s="648"/>
      <c r="J23" s="644"/>
      <c r="K23" s="645"/>
      <c r="L23" s="645"/>
      <c r="M23" s="645"/>
      <c r="N23" s="645"/>
      <c r="O23" s="645"/>
    </row>
    <row r="24" spans="1:15">
      <c r="A24" s="382"/>
      <c r="B24" s="348" t="s">
        <v>1149</v>
      </c>
      <c r="C24" s="348"/>
      <c r="D24" s="348"/>
      <c r="E24" s="347"/>
      <c r="F24" s="347"/>
      <c r="G24" s="347"/>
      <c r="H24" s="347"/>
      <c r="I24" s="541"/>
      <c r="J24" s="382"/>
      <c r="K24" s="372"/>
      <c r="L24" s="372"/>
      <c r="M24" s="372"/>
      <c r="N24" s="372"/>
      <c r="O24" s="372"/>
    </row>
    <row r="25" spans="1:15" ht="22.5" customHeight="1">
      <c r="A25" s="382"/>
      <c r="B25" s="723" t="s">
        <v>1132</v>
      </c>
      <c r="C25" s="542"/>
      <c r="D25" s="542"/>
      <c r="E25" s="542"/>
      <c r="F25" s="542"/>
      <c r="G25" s="542"/>
      <c r="H25" s="542"/>
      <c r="I25" s="542"/>
      <c r="J25" s="382"/>
      <c r="K25" s="372"/>
      <c r="L25" s="372"/>
      <c r="M25" s="372"/>
      <c r="N25" s="372"/>
      <c r="O25" s="372"/>
    </row>
    <row r="26" spans="1:15">
      <c r="A26" s="382"/>
      <c r="B26" s="566" t="str">
        <f>CPM_frango!C6</f>
        <v>Registrado</v>
      </c>
      <c r="C26" s="539" t="s">
        <v>1061</v>
      </c>
      <c r="D26" s="542">
        <v>2</v>
      </c>
      <c r="E26" s="565" t="str">
        <f>CPM_frango!C19</f>
        <v>Manutenção</v>
      </c>
      <c r="F26" s="542"/>
      <c r="G26" s="542">
        <v>2</v>
      </c>
      <c r="H26" s="542"/>
      <c r="I26" s="542"/>
      <c r="J26" s="382"/>
      <c r="K26" s="372"/>
      <c r="L26" s="372"/>
      <c r="M26" s="372"/>
      <c r="N26" s="372"/>
      <c r="O26" s="372"/>
    </row>
    <row r="27" spans="1:15">
      <c r="A27" s="382"/>
      <c r="B27" s="566" t="str">
        <f>CPM_frango!C7</f>
        <v>Diarista</v>
      </c>
      <c r="C27" s="539" t="s">
        <v>1061</v>
      </c>
      <c r="D27" s="542">
        <v>2</v>
      </c>
      <c r="E27" s="565" t="str">
        <f>CPM_frango!C20</f>
        <v>Taxas, Seguros e Certificações</v>
      </c>
      <c r="F27" s="714"/>
      <c r="G27" s="400">
        <v>2</v>
      </c>
      <c r="H27" s="542"/>
      <c r="I27" s="542"/>
      <c r="J27" s="382"/>
      <c r="K27" s="372"/>
      <c r="L27" s="372"/>
      <c r="M27" s="372"/>
      <c r="N27" s="372"/>
      <c r="O27" s="372"/>
    </row>
    <row r="28" spans="1:15">
      <c r="A28" s="382"/>
      <c r="B28" s="565" t="str">
        <f>CPM_frango!C8</f>
        <v>Assistência técnica</v>
      </c>
      <c r="C28" s="542"/>
      <c r="D28" s="542">
        <v>1</v>
      </c>
      <c r="E28" s="565" t="str">
        <f>CPM_frango!C21</f>
        <v>Depreciação</v>
      </c>
      <c r="F28" s="542"/>
      <c r="G28" s="542">
        <v>2</v>
      </c>
      <c r="H28" s="542"/>
      <c r="I28" s="542"/>
      <c r="J28" s="382"/>
      <c r="K28" s="372"/>
      <c r="L28" s="372"/>
      <c r="M28" s="372"/>
      <c r="N28" s="372"/>
      <c r="O28" s="372"/>
    </row>
    <row r="29" spans="1:15">
      <c r="A29" s="382"/>
      <c r="B29" s="566" t="str">
        <f>CPM_frango!C9</f>
        <v>Transportes</v>
      </c>
      <c r="C29" s="542"/>
      <c r="D29" s="542">
        <v>1</v>
      </c>
      <c r="E29" s="413"/>
      <c r="F29" s="542"/>
      <c r="G29" s="542"/>
      <c r="H29" s="542"/>
      <c r="I29" s="542"/>
      <c r="J29" s="382"/>
      <c r="K29" s="372"/>
      <c r="L29" s="372"/>
      <c r="M29" s="372"/>
      <c r="N29" s="372"/>
      <c r="O29" s="372"/>
    </row>
    <row r="30" spans="1:15">
      <c r="A30" s="382"/>
      <c r="B30" s="566"/>
      <c r="C30" s="542"/>
      <c r="D30" s="542"/>
      <c r="E30" s="413"/>
      <c r="F30" s="542"/>
      <c r="G30" s="542"/>
      <c r="H30" s="542"/>
      <c r="I30" s="542"/>
      <c r="J30" s="382"/>
      <c r="K30" s="372"/>
      <c r="L30" s="372"/>
      <c r="M30" s="372"/>
      <c r="N30" s="372"/>
      <c r="O30" s="372"/>
    </row>
    <row r="31" spans="1:15">
      <c r="A31" s="382"/>
      <c r="B31" s="566" t="str">
        <f>CPM_frango!C10</f>
        <v>Energia</v>
      </c>
      <c r="C31" s="542"/>
      <c r="D31" s="542">
        <v>2</v>
      </c>
      <c r="E31" s="413"/>
      <c r="F31" s="542"/>
      <c r="G31" s="542"/>
      <c r="H31" s="542"/>
      <c r="I31" s="542"/>
      <c r="J31" s="382"/>
      <c r="K31" s="372"/>
      <c r="L31" s="372"/>
      <c r="M31" s="372"/>
      <c r="N31" s="372"/>
      <c r="O31" s="372"/>
    </row>
    <row r="32" spans="1:15">
      <c r="A32" s="382"/>
      <c r="B32" s="566" t="str">
        <f>CPM_frango!C11</f>
        <v>Combustível</v>
      </c>
      <c r="C32" s="542"/>
      <c r="D32" s="542">
        <v>2</v>
      </c>
      <c r="E32" s="413"/>
      <c r="F32" s="542"/>
      <c r="G32" s="542"/>
      <c r="H32" s="542"/>
      <c r="I32" s="542"/>
      <c r="J32" s="382"/>
      <c r="K32" s="372"/>
      <c r="L32" s="372"/>
      <c r="M32" s="372"/>
      <c r="N32" s="372"/>
      <c r="O32" s="372"/>
    </row>
    <row r="33" spans="1:15">
      <c r="A33" s="382"/>
      <c r="B33" s="566" t="str">
        <f>CPM_frango!C12</f>
        <v>Aquecimento</v>
      </c>
      <c r="C33" s="542"/>
      <c r="D33" s="542">
        <v>2</v>
      </c>
      <c r="E33" s="542"/>
      <c r="F33" s="542"/>
      <c r="G33" s="542"/>
      <c r="H33" s="542"/>
      <c r="I33" s="542"/>
      <c r="J33" s="382"/>
      <c r="K33" s="372"/>
      <c r="L33" s="372"/>
      <c r="M33" s="372"/>
      <c r="N33" s="372"/>
      <c r="O33" s="372"/>
    </row>
    <row r="34" spans="1:15">
      <c r="A34" s="382"/>
      <c r="B34" s="566" t="str">
        <f>CPM_frango!C13</f>
        <v>Cama</v>
      </c>
      <c r="C34" s="542"/>
      <c r="D34" s="542">
        <v>2</v>
      </c>
      <c r="E34" s="542"/>
      <c r="F34" s="542"/>
      <c r="G34" s="542"/>
      <c r="H34" s="542"/>
      <c r="I34" s="542"/>
      <c r="J34" s="382"/>
      <c r="K34" s="372"/>
      <c r="L34" s="372"/>
      <c r="M34" s="372"/>
      <c r="N34" s="372"/>
      <c r="O34" s="372"/>
    </row>
    <row r="35" spans="1:15">
      <c r="A35" s="382"/>
      <c r="B35" s="566" t="str">
        <f>CPM_frango!C14</f>
        <v>Nutrição</v>
      </c>
      <c r="C35" s="542"/>
      <c r="D35" s="542">
        <v>1</v>
      </c>
      <c r="E35" s="542"/>
      <c r="F35" s="542"/>
      <c r="G35" s="542"/>
      <c r="H35" s="542"/>
      <c r="I35" s="542"/>
      <c r="J35" s="382"/>
      <c r="K35" s="372"/>
      <c r="L35" s="372"/>
      <c r="M35" s="372"/>
      <c r="N35" s="372"/>
      <c r="O35" s="372"/>
    </row>
    <row r="36" spans="1:15">
      <c r="A36" s="382"/>
      <c r="B36" s="566" t="str">
        <f>CPM_frango!C15</f>
        <v>Pinto de 1 dia</v>
      </c>
      <c r="C36" s="542"/>
      <c r="D36" s="542">
        <v>1</v>
      </c>
      <c r="E36" s="542"/>
      <c r="F36" s="542"/>
      <c r="G36" s="542"/>
      <c r="H36" s="542"/>
      <c r="I36" s="542"/>
      <c r="J36" s="382"/>
      <c r="K36" s="372"/>
      <c r="L36" s="372"/>
      <c r="M36" s="372"/>
      <c r="N36" s="372"/>
      <c r="O36" s="372"/>
    </row>
    <row r="37" spans="1:15">
      <c r="A37" s="382"/>
      <c r="B37" s="565" t="str">
        <f>CPM_frango!C17</f>
        <v>Limpeza e desinfecção</v>
      </c>
      <c r="C37" s="542"/>
      <c r="D37" s="542">
        <v>2</v>
      </c>
      <c r="E37" s="542"/>
      <c r="F37" s="542"/>
      <c r="G37" s="542"/>
      <c r="H37" s="542"/>
      <c r="I37" s="542"/>
      <c r="J37" s="382"/>
      <c r="K37" s="372"/>
      <c r="L37" s="372"/>
      <c r="M37" s="372"/>
      <c r="N37" s="372"/>
      <c r="O37" s="372"/>
    </row>
    <row r="38" spans="1:15">
      <c r="A38" s="382"/>
      <c r="B38" s="565" t="str">
        <f>CPM_frango!C18</f>
        <v>Medicamentos, análises e controle</v>
      </c>
      <c r="C38" s="542"/>
      <c r="D38" s="542">
        <v>1</v>
      </c>
      <c r="E38" s="542"/>
      <c r="F38" s="542"/>
      <c r="G38" s="542"/>
      <c r="H38" s="542"/>
      <c r="I38" s="542"/>
      <c r="J38" s="382"/>
      <c r="K38" s="372"/>
      <c r="L38" s="372"/>
      <c r="M38" s="372"/>
      <c r="N38" s="372"/>
      <c r="O38" s="372"/>
    </row>
    <row r="39" spans="1:15" ht="9" customHeight="1">
      <c r="A39" s="382"/>
      <c r="B39" s="542"/>
      <c r="C39" s="542"/>
      <c r="D39" s="542"/>
      <c r="E39" s="542"/>
      <c r="F39" s="542"/>
      <c r="G39" s="542"/>
      <c r="H39" s="542"/>
      <c r="I39" s="542"/>
      <c r="J39" s="382"/>
      <c r="K39" s="372"/>
      <c r="L39" s="372"/>
      <c r="M39" s="372"/>
      <c r="N39" s="372"/>
      <c r="O39" s="372"/>
    </row>
    <row r="40" spans="1:15" s="643" customFormat="1">
      <c r="A40" s="518"/>
      <c r="B40" s="348" t="s">
        <v>1150</v>
      </c>
      <c r="C40" s="578"/>
      <c r="D40" s="578"/>
      <c r="E40" s="578"/>
      <c r="F40" s="578"/>
      <c r="G40" s="578"/>
      <c r="H40" s="578"/>
      <c r="I40" s="575"/>
      <c r="J40" s="518"/>
      <c r="K40" s="642"/>
      <c r="L40" s="642"/>
      <c r="M40" s="642"/>
      <c r="N40" s="642"/>
      <c r="O40" s="642"/>
    </row>
    <row r="41" spans="1:15" ht="8.25" customHeight="1">
      <c r="A41" s="382"/>
      <c r="B41" s="397"/>
      <c r="C41" s="397"/>
      <c r="D41" s="397"/>
      <c r="E41" s="397"/>
      <c r="F41" s="397"/>
      <c r="G41" s="416"/>
      <c r="H41" s="397"/>
      <c r="I41" s="542"/>
      <c r="J41" s="382"/>
      <c r="K41" s="372"/>
      <c r="L41" s="372"/>
      <c r="M41" s="372"/>
      <c r="N41" s="372"/>
      <c r="O41" s="372"/>
    </row>
    <row r="42" spans="1:15">
      <c r="A42" s="382"/>
      <c r="B42" s="355" t="s">
        <v>1137</v>
      </c>
      <c r="C42" s="739" t="s">
        <v>1139</v>
      </c>
      <c r="D42" s="740"/>
      <c r="E42" s="740"/>
      <c r="F42" s="741"/>
      <c r="G42" s="397">
        <v>2</v>
      </c>
      <c r="H42" s="570"/>
      <c r="I42" s="542"/>
      <c r="J42" s="382"/>
      <c r="K42" s="372"/>
      <c r="L42" s="372"/>
      <c r="M42" s="372"/>
      <c r="N42" s="372"/>
      <c r="O42" s="372"/>
    </row>
    <row r="43" spans="1:15">
      <c r="A43" s="382"/>
      <c r="B43" s="355" t="s">
        <v>1137</v>
      </c>
      <c r="C43" s="745"/>
      <c r="D43" s="735" t="s">
        <v>953</v>
      </c>
      <c r="E43" s="735"/>
      <c r="F43" s="746"/>
      <c r="G43" s="659">
        <v>0</v>
      </c>
      <c r="H43" s="572" t="s">
        <v>955</v>
      </c>
      <c r="I43" s="542"/>
      <c r="J43" s="382"/>
      <c r="K43" s="372"/>
      <c r="L43" s="372"/>
      <c r="M43" s="372"/>
      <c r="N43" s="372"/>
      <c r="O43" s="372"/>
    </row>
    <row r="44" spans="1:15">
      <c r="A44" s="382"/>
      <c r="B44" s="355" t="s">
        <v>1078</v>
      </c>
      <c r="C44" s="745"/>
      <c r="D44" s="735" t="s">
        <v>1063</v>
      </c>
      <c r="E44" s="735"/>
      <c r="F44" s="746"/>
      <c r="G44" s="573">
        <v>60</v>
      </c>
      <c r="H44" s="569" t="s">
        <v>1062</v>
      </c>
      <c r="I44" s="542"/>
      <c r="J44" s="382"/>
      <c r="K44" s="372"/>
      <c r="L44" s="372"/>
      <c r="M44" s="372"/>
      <c r="N44" s="372"/>
      <c r="O44" s="372"/>
    </row>
    <row r="45" spans="1:15">
      <c r="A45" s="382"/>
      <c r="B45" s="355" t="s">
        <v>1137</v>
      </c>
      <c r="C45" s="745"/>
      <c r="D45" s="735" t="s">
        <v>1065</v>
      </c>
      <c r="E45" s="735"/>
      <c r="F45" s="746"/>
      <c r="G45" s="573">
        <v>16</v>
      </c>
      <c r="H45" s="402"/>
      <c r="I45" s="542"/>
      <c r="J45" s="382"/>
      <c r="K45" s="372"/>
      <c r="L45" s="372"/>
      <c r="M45" s="372"/>
      <c r="N45" s="372"/>
      <c r="O45" s="372"/>
    </row>
    <row r="46" spans="1:15">
      <c r="A46" s="382"/>
      <c r="B46" s="355" t="s">
        <v>1137</v>
      </c>
      <c r="C46" s="745"/>
      <c r="D46" s="735" t="s">
        <v>1068</v>
      </c>
      <c r="E46" s="735"/>
      <c r="F46" s="746"/>
      <c r="G46" s="573">
        <v>0</v>
      </c>
      <c r="H46" s="569" t="s">
        <v>1069</v>
      </c>
      <c r="I46" s="542"/>
      <c r="J46" s="382"/>
      <c r="K46" s="372"/>
      <c r="L46" s="372"/>
      <c r="M46" s="372"/>
      <c r="N46" s="372"/>
      <c r="O46" s="372"/>
    </row>
    <row r="47" spans="1:15">
      <c r="A47" s="382"/>
      <c r="B47" s="355" t="s">
        <v>1137</v>
      </c>
      <c r="C47" s="1204" t="s">
        <v>1138</v>
      </c>
      <c r="D47" s="1205"/>
      <c r="E47" s="1205"/>
      <c r="F47" s="1206"/>
      <c r="G47" s="400">
        <v>2</v>
      </c>
      <c r="H47" s="570"/>
      <c r="I47" s="542"/>
      <c r="J47" s="382"/>
      <c r="K47" s="372"/>
      <c r="L47" s="372"/>
      <c r="M47" s="372"/>
      <c r="N47" s="372"/>
      <c r="O47" s="372"/>
    </row>
    <row r="48" spans="1:15">
      <c r="A48" s="382"/>
      <c r="C48" s="1207"/>
      <c r="D48" s="1208"/>
      <c r="E48" s="1208"/>
      <c r="F48" s="1209"/>
      <c r="G48" s="400"/>
      <c r="H48" s="570"/>
      <c r="I48" s="542"/>
      <c r="J48" s="382"/>
      <c r="K48" s="372"/>
      <c r="L48" s="372"/>
      <c r="M48" s="372"/>
      <c r="N48" s="372"/>
      <c r="O48" s="372"/>
    </row>
    <row r="49" spans="1:15">
      <c r="A49" s="382"/>
      <c r="B49" s="355" t="s">
        <v>1137</v>
      </c>
      <c r="C49" s="736" t="s">
        <v>1140</v>
      </c>
      <c r="D49" s="737"/>
      <c r="E49" s="737"/>
      <c r="F49" s="738"/>
      <c r="G49" s="531">
        <v>3</v>
      </c>
      <c r="H49" s="402"/>
      <c r="I49" s="542"/>
      <c r="J49" s="382"/>
      <c r="K49" s="372"/>
      <c r="L49" s="372"/>
      <c r="M49" s="372"/>
      <c r="N49" s="372"/>
      <c r="O49" s="372"/>
    </row>
    <row r="50" spans="1:15">
      <c r="A50" s="382"/>
      <c r="B50" s="355" t="s">
        <v>1137</v>
      </c>
      <c r="C50" s="1204" t="s">
        <v>1141</v>
      </c>
      <c r="D50" s="1205"/>
      <c r="E50" s="1205"/>
      <c r="F50" s="1206"/>
      <c r="G50" s="400">
        <v>1</v>
      </c>
      <c r="H50" s="570"/>
      <c r="I50" s="542"/>
      <c r="J50" s="382"/>
      <c r="K50" s="372"/>
      <c r="L50" s="372"/>
      <c r="M50" s="372"/>
      <c r="N50" s="372"/>
      <c r="O50" s="372"/>
    </row>
    <row r="51" spans="1:15">
      <c r="A51" s="382"/>
      <c r="C51" s="1207"/>
      <c r="D51" s="1208"/>
      <c r="E51" s="1208"/>
      <c r="F51" s="1209"/>
      <c r="G51" s="400"/>
      <c r="H51" s="570"/>
      <c r="I51" s="542"/>
      <c r="J51" s="382"/>
      <c r="K51" s="372"/>
      <c r="L51" s="372"/>
      <c r="M51" s="372"/>
      <c r="N51" s="372"/>
      <c r="O51" s="372"/>
    </row>
    <row r="52" spans="1:15">
      <c r="A52" s="382"/>
      <c r="B52" s="355" t="s">
        <v>1137</v>
      </c>
      <c r="C52" s="742"/>
      <c r="D52" s="743" t="s">
        <v>956</v>
      </c>
      <c r="E52" s="743"/>
      <c r="F52" s="744"/>
      <c r="G52" s="659">
        <v>0</v>
      </c>
      <c r="H52" s="662" t="s">
        <v>955</v>
      </c>
      <c r="I52" s="542"/>
      <c r="J52" s="382"/>
      <c r="K52" s="372"/>
      <c r="L52" s="372"/>
      <c r="M52" s="372"/>
      <c r="N52" s="372"/>
      <c r="O52" s="372"/>
    </row>
    <row r="53" spans="1:15">
      <c r="A53" s="382"/>
      <c r="B53" s="355" t="s">
        <v>1137</v>
      </c>
      <c r="C53" s="739" t="s">
        <v>1142</v>
      </c>
      <c r="D53" s="740"/>
      <c r="E53" s="740"/>
      <c r="F53" s="741"/>
      <c r="G53" s="400">
        <v>3</v>
      </c>
      <c r="H53" s="571"/>
      <c r="I53" s="414"/>
      <c r="J53" s="382"/>
      <c r="K53" s="372"/>
      <c r="L53" s="372"/>
      <c r="M53" s="372"/>
      <c r="N53" s="372"/>
      <c r="O53" s="372"/>
    </row>
    <row r="54" spans="1:15">
      <c r="A54" s="382"/>
      <c r="B54" s="355" t="s">
        <v>1137</v>
      </c>
      <c r="C54" s="745"/>
      <c r="D54" s="1208" t="s">
        <v>1113</v>
      </c>
      <c r="E54" s="1208"/>
      <c r="F54" s="1209"/>
      <c r="G54" s="691">
        <v>0</v>
      </c>
      <c r="H54" s="662" t="s">
        <v>999</v>
      </c>
      <c r="I54" s="542"/>
      <c r="J54" s="382"/>
      <c r="K54" s="372"/>
      <c r="L54" s="372"/>
      <c r="M54" s="372"/>
      <c r="N54" s="372"/>
      <c r="O54" s="372"/>
    </row>
    <row r="55" spans="1:15">
      <c r="A55" s="382"/>
      <c r="C55" s="742"/>
      <c r="D55" s="1210"/>
      <c r="E55" s="1210"/>
      <c r="F55" s="1211"/>
      <c r="G55" s="691"/>
      <c r="H55" s="662"/>
      <c r="I55" s="542"/>
      <c r="J55" s="382"/>
      <c r="K55" s="372"/>
      <c r="L55" s="372"/>
      <c r="M55" s="372"/>
      <c r="N55" s="372"/>
      <c r="O55" s="372"/>
    </row>
    <row r="56" spans="1:15">
      <c r="A56" s="382"/>
      <c r="B56" s="355" t="s">
        <v>1137</v>
      </c>
      <c r="C56" s="739" t="s">
        <v>1143</v>
      </c>
      <c r="D56" s="740"/>
      <c r="E56" s="740"/>
      <c r="F56" s="741"/>
      <c r="G56" s="400">
        <v>3</v>
      </c>
      <c r="H56" s="570"/>
      <c r="I56" s="542"/>
      <c r="J56" s="382"/>
      <c r="K56" s="372"/>
      <c r="L56" s="372"/>
      <c r="M56" s="372"/>
      <c r="N56" s="372"/>
      <c r="O56" s="372"/>
    </row>
    <row r="57" spans="1:15">
      <c r="A57" s="382"/>
      <c r="B57" s="355" t="s">
        <v>1137</v>
      </c>
      <c r="C57" s="747"/>
      <c r="D57" s="743" t="s">
        <v>956</v>
      </c>
      <c r="E57" s="743"/>
      <c r="F57" s="744"/>
      <c r="G57" s="659">
        <v>0</v>
      </c>
      <c r="H57" s="662" t="s">
        <v>999</v>
      </c>
      <c r="I57" s="542"/>
      <c r="J57" s="382"/>
      <c r="K57" s="372"/>
      <c r="L57" s="372"/>
      <c r="M57" s="372"/>
      <c r="N57" s="372"/>
      <c r="O57" s="372"/>
    </row>
    <row r="58" spans="1:15">
      <c r="A58" s="382"/>
      <c r="B58" s="355" t="s">
        <v>1137</v>
      </c>
      <c r="C58" s="739" t="s">
        <v>1144</v>
      </c>
      <c r="D58" s="740"/>
      <c r="E58" s="740"/>
      <c r="F58" s="741"/>
      <c r="G58" s="397">
        <v>3</v>
      </c>
      <c r="H58" s="570"/>
      <c r="I58" s="542"/>
      <c r="J58" s="382"/>
      <c r="K58" s="372"/>
      <c r="L58" s="372"/>
      <c r="M58" s="372"/>
      <c r="N58" s="372"/>
      <c r="O58" s="372"/>
    </row>
    <row r="59" spans="1:15">
      <c r="A59" s="382"/>
      <c r="B59" s="355" t="s">
        <v>1137</v>
      </c>
      <c r="C59" s="747"/>
      <c r="D59" s="743" t="s">
        <v>956</v>
      </c>
      <c r="E59" s="743"/>
      <c r="F59" s="744"/>
      <c r="G59" s="659">
        <v>0</v>
      </c>
      <c r="H59" s="662" t="s">
        <v>999</v>
      </c>
      <c r="I59" s="542"/>
      <c r="J59" s="382"/>
      <c r="K59" s="372"/>
      <c r="L59" s="372"/>
      <c r="M59" s="372"/>
      <c r="N59" s="372"/>
      <c r="O59" s="372"/>
    </row>
    <row r="60" spans="1:15">
      <c r="A60" s="382"/>
      <c r="B60" s="355" t="s">
        <v>1137</v>
      </c>
      <c r="C60" s="739" t="s">
        <v>1145</v>
      </c>
      <c r="D60" s="740"/>
      <c r="E60" s="740"/>
      <c r="F60" s="741"/>
      <c r="G60" s="401">
        <v>2</v>
      </c>
      <c r="H60" s="571"/>
      <c r="I60" s="414"/>
      <c r="J60" s="382"/>
      <c r="K60" s="372"/>
      <c r="L60" s="372"/>
      <c r="M60" s="372"/>
      <c r="N60" s="372"/>
      <c r="O60" s="372"/>
    </row>
    <row r="61" spans="1:15">
      <c r="A61" s="382"/>
      <c r="B61" s="355" t="s">
        <v>1137</v>
      </c>
      <c r="C61" s="747"/>
      <c r="D61" s="743" t="s">
        <v>1131</v>
      </c>
      <c r="E61" s="743"/>
      <c r="F61" s="744"/>
      <c r="G61" s="659">
        <v>0</v>
      </c>
      <c r="H61" s="662" t="s">
        <v>955</v>
      </c>
      <c r="I61" s="414"/>
      <c r="J61" s="382"/>
      <c r="K61" s="372"/>
      <c r="L61" s="372"/>
      <c r="M61" s="372"/>
      <c r="N61" s="372"/>
      <c r="O61" s="372"/>
    </row>
    <row r="62" spans="1:15">
      <c r="A62" s="382"/>
      <c r="B62" s="355" t="s">
        <v>1137</v>
      </c>
      <c r="C62" s="739" t="s">
        <v>1146</v>
      </c>
      <c r="D62" s="740"/>
      <c r="E62" s="740"/>
      <c r="F62" s="741"/>
      <c r="G62" s="399">
        <v>2</v>
      </c>
      <c r="H62" s="571"/>
      <c r="I62" s="414"/>
      <c r="J62" s="382"/>
      <c r="K62" s="372"/>
      <c r="L62" s="372"/>
      <c r="M62" s="372"/>
      <c r="N62" s="372"/>
      <c r="O62" s="372"/>
    </row>
    <row r="63" spans="1:15">
      <c r="A63" s="382"/>
      <c r="B63" s="355" t="s">
        <v>1137</v>
      </c>
      <c r="C63" s="747"/>
      <c r="D63" s="743" t="s">
        <v>965</v>
      </c>
      <c r="E63" s="743"/>
      <c r="F63" s="744"/>
      <c r="G63" s="659">
        <v>0</v>
      </c>
      <c r="H63" s="572" t="s">
        <v>966</v>
      </c>
      <c r="I63" s="414"/>
      <c r="J63" s="382"/>
      <c r="K63" s="372"/>
      <c r="L63" s="372"/>
      <c r="M63" s="372"/>
      <c r="N63" s="372"/>
      <c r="O63" s="372"/>
    </row>
    <row r="64" spans="1:15" ht="15.75" thickBot="1">
      <c r="A64" s="382"/>
      <c r="B64" s="542"/>
      <c r="C64" s="542"/>
      <c r="D64" s="542"/>
      <c r="E64" s="542"/>
      <c r="F64" s="542"/>
      <c r="G64" s="542"/>
      <c r="H64" s="542"/>
      <c r="I64" s="414"/>
      <c r="J64" s="382"/>
      <c r="K64" s="372"/>
      <c r="L64" s="372"/>
      <c r="M64" s="372"/>
      <c r="N64" s="372"/>
      <c r="O64" s="372"/>
    </row>
    <row r="65" spans="1:15" ht="15" customHeight="1">
      <c r="A65" s="661"/>
      <c r="B65" s="1216" t="s">
        <v>1093</v>
      </c>
      <c r="C65" s="1216"/>
      <c r="D65" s="1216"/>
      <c r="E65" s="1216"/>
      <c r="F65" s="1216"/>
      <c r="G65" s="1218">
        <v>1</v>
      </c>
      <c r="H65" s="1214" t="s">
        <v>31</v>
      </c>
      <c r="I65" s="414"/>
      <c r="J65" s="661"/>
    </row>
    <row r="66" spans="1:15" ht="15.75" thickBot="1">
      <c r="A66" s="382"/>
      <c r="B66" s="1216"/>
      <c r="C66" s="1216"/>
      <c r="D66" s="1216"/>
      <c r="E66" s="1216"/>
      <c r="F66" s="1216"/>
      <c r="G66" s="1219"/>
      <c r="H66" s="1215"/>
      <c r="I66" s="414"/>
      <c r="J66" s="382"/>
      <c r="K66" s="372"/>
      <c r="L66" s="372"/>
      <c r="M66" s="372"/>
      <c r="N66" s="372"/>
      <c r="O66" s="372"/>
    </row>
    <row r="67" spans="1:15">
      <c r="A67" s="382"/>
      <c r="B67" s="542"/>
      <c r="C67" s="542"/>
      <c r="D67" s="542"/>
      <c r="E67" s="542"/>
      <c r="F67" s="542"/>
      <c r="G67" s="542"/>
      <c r="H67" s="542"/>
      <c r="I67" s="414"/>
      <c r="J67" s="382"/>
      <c r="K67" s="372"/>
      <c r="L67" s="372"/>
      <c r="M67" s="372"/>
      <c r="N67" s="372"/>
      <c r="O67" s="372"/>
    </row>
    <row r="68" spans="1:15">
      <c r="A68" s="382"/>
      <c r="B68" s="348" t="s">
        <v>1151</v>
      </c>
      <c r="C68" s="347"/>
      <c r="D68" s="347"/>
      <c r="E68" s="347"/>
      <c r="F68" s="347"/>
      <c r="G68" s="347"/>
      <c r="H68" s="347"/>
      <c r="I68" s="542"/>
      <c r="J68" s="382"/>
      <c r="K68" s="372"/>
      <c r="L68" s="372"/>
      <c r="M68" s="372"/>
      <c r="N68" s="372"/>
      <c r="O68" s="372"/>
    </row>
    <row r="69" spans="1:15" ht="6" customHeight="1">
      <c r="A69" s="382"/>
      <c r="B69" s="714"/>
      <c r="C69" s="714"/>
      <c r="D69" s="714"/>
      <c r="E69" s="714"/>
      <c r="F69" s="714"/>
      <c r="G69" s="714"/>
      <c r="H69" s="714"/>
      <c r="I69" s="542"/>
      <c r="J69" s="382"/>
      <c r="K69" s="372"/>
      <c r="L69" s="372"/>
      <c r="M69" s="372"/>
      <c r="N69" s="372"/>
      <c r="O69" s="372"/>
    </row>
    <row r="70" spans="1:15" ht="15" customHeight="1">
      <c r="A70" s="382"/>
      <c r="B70" s="1217" t="s">
        <v>185</v>
      </c>
      <c r="C70" s="1217"/>
      <c r="D70" s="679">
        <v>16000</v>
      </c>
      <c r="E70" s="714"/>
      <c r="F70" s="580" t="s">
        <v>1170</v>
      </c>
      <c r="G70" s="714"/>
      <c r="H70" s="714"/>
      <c r="I70" s="542"/>
      <c r="J70" s="382"/>
      <c r="K70" s="372"/>
      <c r="L70" s="372"/>
      <c r="M70" s="372"/>
      <c r="N70" s="372"/>
      <c r="O70" s="372"/>
    </row>
    <row r="71" spans="1:15" ht="15" customHeight="1">
      <c r="A71" s="382"/>
      <c r="B71" s="1217" t="s">
        <v>186</v>
      </c>
      <c r="C71" s="1217"/>
      <c r="D71" s="426">
        <f>IF(C90&gt;0,(D70-(D70*C90/100)),IF(C90=0,((D70-(D70*(E87/100)))-(D70*(E88/100)))-((D70*(E89/100)))))</f>
        <v>15360</v>
      </c>
      <c r="E71" s="714"/>
      <c r="F71" s="702" t="s">
        <v>1121</v>
      </c>
      <c r="G71" s="833">
        <v>0.88</v>
      </c>
      <c r="H71" s="684" t="s">
        <v>1119</v>
      </c>
      <c r="I71" s="542"/>
      <c r="J71" s="382"/>
      <c r="K71" s="372"/>
      <c r="L71" s="372"/>
      <c r="M71" s="372"/>
      <c r="N71" s="372"/>
      <c r="O71" s="372"/>
    </row>
    <row r="72" spans="1:15">
      <c r="A72" s="382"/>
      <c r="B72" s="1217" t="s">
        <v>983</v>
      </c>
      <c r="C72" s="1217"/>
      <c r="D72" s="840">
        <f>((D70*(SUM(C97:C99)/D77*2))+(D70*0.0028)+(D70*2))/1000</f>
        <v>35.583085714285716</v>
      </c>
      <c r="E72" s="839" t="s">
        <v>1568</v>
      </c>
      <c r="F72" s="713" t="s">
        <v>1129</v>
      </c>
      <c r="G72" s="834">
        <v>20</v>
      </c>
      <c r="H72" s="684" t="s">
        <v>1120</v>
      </c>
      <c r="I72" s="542"/>
      <c r="J72" s="382"/>
      <c r="K72" s="372"/>
      <c r="L72" s="372"/>
      <c r="M72" s="372"/>
      <c r="N72" s="372"/>
      <c r="O72" s="372"/>
    </row>
    <row r="73" spans="1:15">
      <c r="A73" s="382"/>
      <c r="B73" s="1217" t="s">
        <v>960</v>
      </c>
      <c r="C73" s="1217"/>
      <c r="D73" s="841">
        <v>4.2000000000000003E-2</v>
      </c>
      <c r="E73" s="678"/>
      <c r="F73" s="694" t="s">
        <v>1481</v>
      </c>
      <c r="G73" s="750">
        <v>2.73</v>
      </c>
      <c r="H73" s="684" t="s">
        <v>23</v>
      </c>
      <c r="I73" s="542"/>
      <c r="J73" s="382"/>
      <c r="K73" s="372"/>
      <c r="L73" s="372"/>
      <c r="M73" s="372"/>
      <c r="N73" s="372"/>
      <c r="O73" s="372"/>
    </row>
    <row r="74" spans="1:15">
      <c r="A74" s="382"/>
      <c r="B74" s="1217" t="s">
        <v>502</v>
      </c>
      <c r="C74" s="1217"/>
      <c r="D74" s="695">
        <v>6.27</v>
      </c>
      <c r="E74" s="1212"/>
      <c r="F74" s="1212"/>
      <c r="G74" s="1212"/>
      <c r="H74" s="1212"/>
      <c r="I74" s="542"/>
      <c r="J74" s="382"/>
      <c r="K74" s="372"/>
      <c r="L74" s="372"/>
      <c r="M74" s="372"/>
      <c r="N74" s="372"/>
      <c r="O74" s="372"/>
    </row>
    <row r="75" spans="1:15" ht="15" customHeight="1">
      <c r="A75" s="382"/>
      <c r="B75" s="413" t="s">
        <v>1084</v>
      </c>
      <c r="C75" s="543"/>
      <c r="D75" s="660">
        <v>13.3</v>
      </c>
      <c r="E75" s="792"/>
      <c r="F75" s="443"/>
      <c r="G75" s="542"/>
      <c r="H75" s="542"/>
      <c r="I75" s="542"/>
      <c r="J75" s="382"/>
      <c r="K75" s="372"/>
      <c r="L75" s="372"/>
      <c r="M75" s="372"/>
      <c r="N75" s="372"/>
      <c r="O75" s="372"/>
    </row>
    <row r="76" spans="1:15" ht="15" customHeight="1">
      <c r="A76" s="382"/>
      <c r="B76" s="413"/>
      <c r="C76" s="685"/>
      <c r="D76" s="685"/>
      <c r="E76" s="714"/>
      <c r="F76" s="443"/>
      <c r="G76" s="714"/>
      <c r="H76" s="714"/>
      <c r="I76" s="542"/>
      <c r="J76" s="382"/>
      <c r="K76" s="372"/>
      <c r="L76" s="372"/>
      <c r="M76" s="372"/>
      <c r="N76" s="372"/>
      <c r="O76" s="372"/>
    </row>
    <row r="77" spans="1:15">
      <c r="A77" s="382"/>
      <c r="B77" s="716" t="s">
        <v>171</v>
      </c>
      <c r="C77" s="685"/>
      <c r="D77" s="428">
        <v>42</v>
      </c>
      <c r="E77" s="684"/>
      <c r="F77" s="443"/>
      <c r="G77" s="714"/>
      <c r="H77" s="714"/>
      <c r="I77" s="542"/>
      <c r="J77" s="382"/>
      <c r="K77" s="372"/>
      <c r="L77" s="372"/>
      <c r="M77" s="372"/>
      <c r="N77" s="372"/>
      <c r="O77" s="372"/>
    </row>
    <row r="78" spans="1:15">
      <c r="A78" s="382"/>
      <c r="B78" s="716" t="s">
        <v>727</v>
      </c>
      <c r="C78" s="685"/>
      <c r="D78" s="427">
        <v>2.6520000000000001</v>
      </c>
      <c r="E78" s="684"/>
      <c r="F78" s="843"/>
      <c r="G78" s="714"/>
      <c r="H78" s="714"/>
      <c r="I78" s="542"/>
      <c r="J78" s="382"/>
      <c r="K78" s="372"/>
      <c r="L78" s="372"/>
      <c r="M78" s="372"/>
      <c r="N78" s="372"/>
      <c r="O78" s="372"/>
    </row>
    <row r="79" spans="1:15">
      <c r="A79" s="382"/>
      <c r="B79" s="716" t="s">
        <v>982</v>
      </c>
      <c r="C79" s="698"/>
      <c r="D79" s="430">
        <f>(365-(D74*D77))/D74</f>
        <v>16.213716108452957</v>
      </c>
      <c r="E79" s="684"/>
      <c r="F79" s="694"/>
      <c r="G79" s="715"/>
      <c r="H79" s="697"/>
      <c r="I79" s="542"/>
      <c r="J79" s="382"/>
      <c r="K79" s="372"/>
      <c r="L79" s="372"/>
      <c r="M79" s="372"/>
      <c r="N79" s="372"/>
      <c r="O79" s="372"/>
    </row>
    <row r="80" spans="1:15">
      <c r="A80" s="382"/>
      <c r="B80" s="716" t="s">
        <v>687</v>
      </c>
      <c r="C80" s="698"/>
      <c r="D80" s="430">
        <v>6</v>
      </c>
      <c r="E80" s="678"/>
      <c r="F80" s="694"/>
      <c r="G80" s="715"/>
      <c r="H80" s="697"/>
      <c r="I80" s="542"/>
      <c r="J80" s="382"/>
      <c r="K80" s="372"/>
      <c r="L80" s="372"/>
      <c r="M80" s="372"/>
      <c r="N80" s="372"/>
      <c r="O80" s="372"/>
    </row>
    <row r="81" spans="1:15" ht="12" customHeight="1">
      <c r="A81" s="382"/>
      <c r="B81" s="413"/>
      <c r="C81" s="543"/>
      <c r="D81" s="543"/>
      <c r="E81" s="544"/>
      <c r="F81" s="544"/>
      <c r="G81" s="544"/>
      <c r="H81" s="542"/>
      <c r="I81" s="542"/>
      <c r="J81" s="382"/>
      <c r="K81" s="372"/>
      <c r="L81" s="372"/>
      <c r="M81" s="372"/>
      <c r="N81" s="372"/>
      <c r="O81" s="372"/>
    </row>
    <row r="82" spans="1:15" ht="12" customHeight="1">
      <c r="A82" s="382"/>
      <c r="B82" s="382"/>
      <c r="C82" s="382"/>
      <c r="D82" s="382"/>
      <c r="E82" s="382"/>
      <c r="F82" s="382"/>
      <c r="G82" s="382"/>
      <c r="H82" s="382"/>
      <c r="I82" s="542"/>
      <c r="J82" s="382"/>
      <c r="K82" s="372"/>
      <c r="L82" s="372"/>
      <c r="M82" s="372"/>
      <c r="N82" s="372"/>
      <c r="O82" s="372"/>
    </row>
    <row r="83" spans="1:15" ht="12" customHeight="1">
      <c r="A83" s="382"/>
      <c r="B83" s="413"/>
      <c r="C83" s="656"/>
      <c r="D83" s="656"/>
      <c r="E83" s="654"/>
      <c r="F83" s="654"/>
      <c r="G83" s="654"/>
      <c r="H83" s="542"/>
      <c r="I83" s="542"/>
      <c r="J83" s="382"/>
      <c r="K83" s="372"/>
      <c r="L83" s="372"/>
      <c r="M83" s="372"/>
      <c r="N83" s="372"/>
      <c r="O83" s="372"/>
    </row>
    <row r="84" spans="1:15">
      <c r="A84" s="382"/>
      <c r="B84" s="677" t="s">
        <v>1087</v>
      </c>
      <c r="C84" s="407"/>
      <c r="D84" s="664">
        <v>1</v>
      </c>
      <c r="E84" s="542"/>
      <c r="F84" s="655"/>
      <c r="G84" s="655"/>
      <c r="H84" s="667"/>
      <c r="I84" s="542"/>
      <c r="J84" s="382"/>
      <c r="K84" s="372"/>
      <c r="L84" s="372"/>
      <c r="M84" s="372"/>
      <c r="N84" s="372"/>
      <c r="O84" s="372"/>
    </row>
    <row r="85" spans="1:15" ht="5.25" customHeight="1">
      <c r="A85" s="382"/>
      <c r="B85" s="413"/>
      <c r="C85" s="405"/>
      <c r="D85" s="656"/>
      <c r="E85" s="542"/>
      <c r="F85" s="655"/>
      <c r="G85" s="655"/>
      <c r="H85" s="667"/>
      <c r="I85" s="542"/>
      <c r="J85" s="382"/>
      <c r="K85" s="372"/>
      <c r="L85" s="372"/>
      <c r="M85" s="372"/>
      <c r="N85" s="372"/>
      <c r="O85" s="372"/>
    </row>
    <row r="86" spans="1:15" s="672" customFormat="1" ht="34.5" customHeight="1">
      <c r="A86" s="349"/>
      <c r="B86" s="668"/>
      <c r="C86" s="598" t="s">
        <v>1091</v>
      </c>
      <c r="D86" s="669" t="s">
        <v>1088</v>
      </c>
      <c r="E86" s="669" t="s">
        <v>979</v>
      </c>
      <c r="F86" s="655"/>
      <c r="G86" s="655"/>
      <c r="H86" s="667"/>
      <c r="I86" s="670"/>
      <c r="J86" s="349"/>
      <c r="M86" s="673"/>
      <c r="N86" s="673"/>
      <c r="O86" s="673"/>
    </row>
    <row r="87" spans="1:15">
      <c r="A87" s="382"/>
      <c r="B87" s="576" t="s">
        <v>174</v>
      </c>
      <c r="C87" s="577"/>
      <c r="D87" s="577"/>
      <c r="E87" s="666">
        <f>IF($D$84=1,C87,IF($D$84=2,D87*100/D70))</f>
        <v>0</v>
      </c>
      <c r="F87" s="760"/>
      <c r="G87" s="760"/>
      <c r="H87" s="667"/>
      <c r="I87" s="542"/>
      <c r="J87" s="382"/>
      <c r="M87" s="372"/>
      <c r="N87" s="372"/>
      <c r="O87" s="372"/>
    </row>
    <row r="88" spans="1:15">
      <c r="A88" s="382"/>
      <c r="B88" s="655" t="s">
        <v>175</v>
      </c>
      <c r="C88" s="577"/>
      <c r="D88" s="577"/>
      <c r="E88" s="666">
        <f>IF($D$84=1,C88,IF($D$84=2,D88*100/(D70-(D70*(D87/100)))))</f>
        <v>0</v>
      </c>
      <c r="F88" s="655"/>
      <c r="G88" s="655"/>
      <c r="H88" s="667"/>
      <c r="I88" s="542"/>
      <c r="J88" s="382"/>
      <c r="M88" s="372"/>
      <c r="N88" s="372"/>
      <c r="O88" s="372"/>
    </row>
    <row r="89" spans="1:15">
      <c r="A89" s="382"/>
      <c r="B89" s="655" t="s">
        <v>892</v>
      </c>
      <c r="C89" s="577"/>
      <c r="D89" s="577"/>
      <c r="E89" s="666">
        <f>IF($D$84=1,C89,IF($D$84=2,D89*100/(D70-(D70*(D88/100)))))</f>
        <v>0</v>
      </c>
      <c r="F89" s="655"/>
      <c r="G89" s="655"/>
      <c r="H89" s="667"/>
      <c r="I89" s="542"/>
      <c r="J89" s="382"/>
      <c r="M89" s="372"/>
      <c r="N89" s="372"/>
      <c r="O89" s="372"/>
    </row>
    <row r="90" spans="1:15">
      <c r="A90" s="382"/>
      <c r="B90" s="793" t="s">
        <v>22</v>
      </c>
      <c r="C90" s="577">
        <v>4</v>
      </c>
      <c r="D90" s="577"/>
      <c r="E90" s="666">
        <f>IF($D$84=1,C90,IF($D$84=2,D90*100/(D71-(D71*(D89/100)))))</f>
        <v>4</v>
      </c>
      <c r="F90" s="793"/>
      <c r="G90" s="793"/>
      <c r="H90" s="667"/>
      <c r="I90" s="542"/>
      <c r="J90" s="382"/>
      <c r="M90" s="372"/>
      <c r="N90" s="372"/>
      <c r="O90" s="372"/>
    </row>
    <row r="91" spans="1:15">
      <c r="A91" s="382"/>
      <c r="B91" s="655"/>
      <c r="C91" s="655"/>
      <c r="D91" s="655"/>
      <c r="E91" s="655"/>
      <c r="F91" s="655"/>
      <c r="G91" s="655"/>
      <c r="H91" s="667"/>
      <c r="I91" s="542"/>
      <c r="J91" s="382"/>
      <c r="M91" s="372"/>
      <c r="N91" s="372"/>
      <c r="O91" s="372"/>
    </row>
    <row r="92" spans="1:15" ht="12" customHeight="1">
      <c r="A92" s="382"/>
      <c r="B92" s="382"/>
      <c r="C92" s="382"/>
      <c r="D92" s="382"/>
      <c r="E92" s="382"/>
      <c r="F92" s="382"/>
      <c r="G92" s="382"/>
      <c r="H92" s="382"/>
      <c r="I92" s="542"/>
      <c r="J92" s="382"/>
      <c r="K92" s="372"/>
      <c r="L92" s="372"/>
      <c r="M92" s="372"/>
      <c r="N92" s="372"/>
      <c r="O92" s="372"/>
    </row>
    <row r="93" spans="1:15">
      <c r="A93" s="382"/>
      <c r="B93" s="655"/>
      <c r="C93" s="655"/>
      <c r="D93" s="655"/>
      <c r="E93" s="655"/>
      <c r="F93" s="655"/>
      <c r="G93" s="655"/>
      <c r="H93" s="667"/>
      <c r="I93" s="542"/>
      <c r="J93" s="382"/>
      <c r="M93" s="372"/>
      <c r="N93" s="372"/>
      <c r="O93" s="372"/>
    </row>
    <row r="94" spans="1:15">
      <c r="A94" s="382"/>
      <c r="B94" s="676" t="s">
        <v>1089</v>
      </c>
      <c r="C94" s="542"/>
      <c r="D94" s="542"/>
      <c r="E94" s="665">
        <v>1</v>
      </c>
      <c r="F94" s="655"/>
      <c r="G94" s="655"/>
      <c r="H94" s="667"/>
      <c r="I94" s="542"/>
      <c r="J94" s="382"/>
      <c r="M94" s="372"/>
      <c r="N94" s="372"/>
      <c r="O94" s="372"/>
    </row>
    <row r="95" spans="1:15" ht="7.5" customHeight="1">
      <c r="A95" s="382"/>
      <c r="B95" s="542"/>
      <c r="C95" s="542"/>
      <c r="D95" s="542"/>
      <c r="E95" s="542"/>
      <c r="F95" s="655"/>
      <c r="G95" s="655"/>
      <c r="H95" s="667"/>
      <c r="I95" s="542"/>
      <c r="J95" s="382"/>
      <c r="M95" s="372"/>
      <c r="N95" s="372"/>
      <c r="O95" s="372"/>
    </row>
    <row r="96" spans="1:15" s="672" customFormat="1" ht="30">
      <c r="A96" s="706"/>
      <c r="B96" s="670"/>
      <c r="C96" s="671" t="s">
        <v>1090</v>
      </c>
      <c r="D96" s="671" t="s">
        <v>1092</v>
      </c>
      <c r="E96" s="670"/>
      <c r="F96" s="598"/>
      <c r="G96" s="598"/>
      <c r="H96" s="717"/>
      <c r="I96" s="670"/>
      <c r="J96" s="706"/>
      <c r="M96" s="673"/>
      <c r="N96" s="673"/>
      <c r="O96" s="673"/>
    </row>
    <row r="97" spans="1:15">
      <c r="A97" s="382"/>
      <c r="B97" s="674" t="s">
        <v>174</v>
      </c>
      <c r="C97" s="758">
        <v>1.149</v>
      </c>
      <c r="D97" s="667">
        <f>IFERROR(SUM(D174:D183)/($D$70-($D$70*E87/100)),0)</f>
        <v>0</v>
      </c>
      <c r="E97" s="667">
        <f>IF($E$94=1,C97,IF($E$94=2,D97))</f>
        <v>1.149</v>
      </c>
      <c r="F97" s="655"/>
      <c r="G97" s="655"/>
      <c r="H97" s="667"/>
      <c r="I97" s="542"/>
      <c r="J97" s="382"/>
      <c r="M97" s="372"/>
      <c r="N97" s="372"/>
      <c r="O97" s="372"/>
    </row>
    <row r="98" spans="1:15">
      <c r="A98" s="382"/>
      <c r="B98" s="675" t="s">
        <v>175</v>
      </c>
      <c r="C98" s="759">
        <v>1.9850000000000001</v>
      </c>
      <c r="D98" s="667">
        <f>IFERROR(SUM(D186:D195)/(($D$70-($D$70*E87/100))-(($D$70-($D$70*E87/100))*E88/100)),0)</f>
        <v>0</v>
      </c>
      <c r="E98" s="667">
        <f>IF($E$94=1,C98,IF($E$94=2,D98))</f>
        <v>1.9850000000000001</v>
      </c>
      <c r="F98" s="655"/>
      <c r="G98" s="655"/>
      <c r="H98" s="667"/>
      <c r="I98" s="542"/>
      <c r="J98" s="382"/>
      <c r="M98" s="372"/>
      <c r="N98" s="372"/>
      <c r="O98" s="372"/>
    </row>
    <row r="99" spans="1:15">
      <c r="A99" s="382"/>
      <c r="B99" s="675" t="s">
        <v>892</v>
      </c>
      <c r="C99" s="759">
        <v>1.51</v>
      </c>
      <c r="D99" s="667">
        <f>IFERROR(SUM(D198:D207)/((($D$70-($D$70*E87/100))-(($D$70-($D$70*E87/100))*E88/100))-((($D$70-($D$70*E87/100))-(($D$70-($D$70*E87/100))*E88/100))*E89/100)),0)</f>
        <v>0</v>
      </c>
      <c r="E99" s="667">
        <f>IF($E$94=1,C99,IF($E$94=2,D99))</f>
        <v>1.51</v>
      </c>
      <c r="F99" s="655"/>
      <c r="G99" s="655"/>
      <c r="H99" s="667"/>
      <c r="I99" s="542"/>
      <c r="J99" s="382"/>
      <c r="M99" s="372"/>
      <c r="N99" s="372"/>
      <c r="O99" s="372"/>
    </row>
    <row r="100" spans="1:15">
      <c r="A100" s="382"/>
      <c r="B100" s="675"/>
      <c r="C100" s="675"/>
      <c r="D100" s="675"/>
      <c r="E100" s="675"/>
      <c r="F100" s="732"/>
      <c r="G100" s="732"/>
      <c r="H100" s="667"/>
      <c r="I100" s="542"/>
      <c r="J100" s="382"/>
      <c r="M100" s="372"/>
      <c r="N100" s="372"/>
      <c r="O100" s="372"/>
    </row>
    <row r="101" spans="1:15" s="607" customFormat="1">
      <c r="A101" s="605"/>
      <c r="B101" s="1196" t="s">
        <v>1155</v>
      </c>
      <c r="C101" s="1196"/>
      <c r="D101" s="1196"/>
      <c r="E101" s="579"/>
      <c r="F101" s="579"/>
      <c r="G101" s="579"/>
      <c r="H101" s="579"/>
      <c r="I101" s="443"/>
      <c r="J101" s="605"/>
      <c r="K101" s="606"/>
      <c r="L101" s="606"/>
      <c r="M101" s="606"/>
      <c r="N101" s="606"/>
      <c r="O101" s="606"/>
    </row>
    <row r="102" spans="1:15">
      <c r="A102" s="382"/>
      <c r="B102" s="373"/>
      <c r="C102" s="373"/>
      <c r="D102" s="373"/>
      <c r="E102" s="373"/>
      <c r="F102" s="373"/>
      <c r="G102" s="373"/>
      <c r="H102" s="343"/>
      <c r="I102" s="443"/>
      <c r="J102" s="382"/>
      <c r="K102" s="372"/>
      <c r="L102" s="372"/>
      <c r="M102" s="372"/>
      <c r="N102" s="372"/>
      <c r="O102" s="372"/>
    </row>
    <row r="103" spans="1:15" s="607" customFormat="1" ht="15" customHeight="1">
      <c r="A103" s="605"/>
      <c r="B103" s="1188" t="s">
        <v>969</v>
      </c>
      <c r="C103" s="1188"/>
      <c r="D103" s="1188"/>
      <c r="E103" s="1188"/>
      <c r="F103" s="537"/>
      <c r="G103" s="537"/>
      <c r="H103" s="530"/>
      <c r="I103" s="443"/>
      <c r="J103" s="605"/>
      <c r="K103" s="606"/>
      <c r="L103" s="606"/>
      <c r="M103" s="606"/>
      <c r="N103" s="606"/>
      <c r="O103" s="606"/>
    </row>
    <row r="104" spans="1:15" ht="15" customHeight="1">
      <c r="A104" s="382"/>
      <c r="B104" s="373"/>
      <c r="C104" s="373"/>
      <c r="D104" s="373"/>
      <c r="E104" s="373"/>
      <c r="F104" s="373"/>
      <c r="G104" s="373"/>
      <c r="H104" s="343"/>
      <c r="I104" s="443"/>
      <c r="J104" s="382"/>
      <c r="K104" s="372"/>
      <c r="L104" s="372"/>
      <c r="M104" s="372"/>
      <c r="N104" s="372"/>
      <c r="O104" s="372"/>
    </row>
    <row r="105" spans="1:15" ht="15" customHeight="1">
      <c r="A105" s="382"/>
      <c r="B105" s="1213" t="s">
        <v>1059</v>
      </c>
      <c r="C105" s="1213"/>
      <c r="D105" s="419">
        <v>1200</v>
      </c>
      <c r="E105" s="536" t="s">
        <v>512</v>
      </c>
      <c r="F105" s="373"/>
      <c r="G105" s="373"/>
      <c r="H105" s="343"/>
      <c r="I105" s="443"/>
      <c r="J105" s="382"/>
      <c r="K105" s="372"/>
      <c r="L105" s="372"/>
      <c r="M105" s="372"/>
      <c r="N105" s="372"/>
      <c r="O105" s="372"/>
    </row>
    <row r="106" spans="1:15" ht="15" customHeight="1">
      <c r="A106" s="382"/>
      <c r="B106" s="373"/>
      <c r="C106" s="373"/>
      <c r="D106" s="373"/>
      <c r="E106" s="373"/>
      <c r="F106" s="373"/>
      <c r="G106" s="373"/>
      <c r="H106" s="343"/>
      <c r="I106" s="443"/>
      <c r="J106" s="382"/>
      <c r="K106" s="372"/>
      <c r="L106" s="372"/>
      <c r="M106" s="372"/>
      <c r="N106" s="372"/>
      <c r="O106" s="372"/>
    </row>
    <row r="107" spans="1:15" ht="42.75">
      <c r="A107" s="382"/>
      <c r="B107" s="373"/>
      <c r="C107" s="407" t="s">
        <v>984</v>
      </c>
      <c r="D107" s="548" t="s">
        <v>880</v>
      </c>
      <c r="E107" s="404" t="s">
        <v>188</v>
      </c>
      <c r="F107" s="404" t="s">
        <v>26</v>
      </c>
      <c r="G107" s="406" t="s">
        <v>975</v>
      </c>
      <c r="H107" s="343"/>
      <c r="I107" s="443"/>
      <c r="J107" s="382"/>
      <c r="K107" s="372"/>
      <c r="L107" s="372"/>
      <c r="M107" s="372"/>
      <c r="N107" s="372"/>
      <c r="O107" s="372"/>
    </row>
    <row r="108" spans="1:15">
      <c r="A108" s="382"/>
      <c r="B108" s="536" t="s">
        <v>882</v>
      </c>
      <c r="C108" s="419">
        <v>1200</v>
      </c>
      <c r="D108" s="855">
        <f>417.78*C108</f>
        <v>501335.99999999994</v>
      </c>
      <c r="E108" s="419">
        <v>40</v>
      </c>
      <c r="F108" s="730">
        <f>D108*(7.6/100)</f>
        <v>38101.535999999993</v>
      </c>
      <c r="G108" s="433"/>
      <c r="H108" s="373"/>
      <c r="I108" s="443"/>
      <c r="J108" s="382"/>
      <c r="K108" s="372"/>
      <c r="L108" s="372"/>
      <c r="M108" s="372"/>
      <c r="N108" s="372"/>
      <c r="O108" s="372"/>
    </row>
    <row r="109" spans="1:15">
      <c r="A109" s="382"/>
      <c r="B109" s="536" t="s">
        <v>883</v>
      </c>
      <c r="C109" s="419"/>
      <c r="D109" s="433"/>
      <c r="E109" s="419"/>
      <c r="F109" s="730">
        <f>D109*(25/100)</f>
        <v>0</v>
      </c>
      <c r="G109" s="433"/>
      <c r="H109" s="373"/>
      <c r="I109" s="443"/>
      <c r="J109" s="382"/>
      <c r="K109" s="372"/>
      <c r="L109" s="372"/>
      <c r="M109" s="372"/>
      <c r="N109" s="372"/>
      <c r="O109" s="372"/>
    </row>
    <row r="110" spans="1:15">
      <c r="A110" s="382"/>
      <c r="B110" s="373">
        <v>1</v>
      </c>
      <c r="C110" s="419"/>
      <c r="D110" s="433"/>
      <c r="E110" s="419"/>
      <c r="F110" s="730">
        <f>D110*(7.6/100)</f>
        <v>0</v>
      </c>
      <c r="G110" s="433"/>
      <c r="H110" s="373"/>
      <c r="I110" s="443"/>
      <c r="J110" s="382"/>
      <c r="K110" s="372"/>
      <c r="L110" s="372"/>
      <c r="M110" s="372"/>
      <c r="N110" s="372"/>
      <c r="O110" s="372"/>
    </row>
    <row r="111" spans="1:15">
      <c r="A111" s="382"/>
      <c r="B111" s="373">
        <v>1</v>
      </c>
      <c r="C111" s="419"/>
      <c r="D111" s="433"/>
      <c r="E111" s="419"/>
      <c r="F111" s="730">
        <f>D111*(7.6/100)</f>
        <v>0</v>
      </c>
      <c r="G111" s="433"/>
      <c r="H111" s="373"/>
      <c r="I111" s="443"/>
      <c r="J111" s="382"/>
      <c r="K111" s="372"/>
      <c r="L111" s="372"/>
      <c r="M111" s="372"/>
      <c r="N111" s="372"/>
      <c r="O111" s="372"/>
    </row>
    <row r="112" spans="1:15">
      <c r="A112" s="382"/>
      <c r="B112" s="373">
        <v>1</v>
      </c>
      <c r="C112" s="419"/>
      <c r="D112" s="433"/>
      <c r="E112" s="419"/>
      <c r="F112" s="730">
        <f>D112*(7.6/100)</f>
        <v>0</v>
      </c>
      <c r="G112" s="433"/>
      <c r="H112" s="373"/>
      <c r="I112" s="443"/>
      <c r="J112" s="382"/>
      <c r="K112" s="372"/>
      <c r="L112" s="372"/>
      <c r="M112" s="372"/>
      <c r="N112" s="372"/>
      <c r="O112" s="372"/>
    </row>
    <row r="113" spans="1:15">
      <c r="A113" s="382"/>
      <c r="B113" s="373">
        <v>1</v>
      </c>
      <c r="C113" s="419"/>
      <c r="D113" s="433"/>
      <c r="E113" s="419"/>
      <c r="F113" s="730">
        <f>D113*(7.6/100)</f>
        <v>0</v>
      </c>
      <c r="G113" s="433"/>
      <c r="H113" s="373"/>
      <c r="I113" s="443"/>
      <c r="J113" s="382"/>
      <c r="K113" s="372"/>
      <c r="L113" s="372"/>
      <c r="M113" s="372"/>
      <c r="N113" s="372"/>
      <c r="O113" s="372"/>
    </row>
    <row r="114" spans="1:15">
      <c r="A114" s="382"/>
      <c r="B114" s="440"/>
      <c r="C114" s="440"/>
      <c r="D114" s="373"/>
      <c r="E114" s="373"/>
      <c r="F114" s="373"/>
      <c r="G114" s="373"/>
      <c r="H114" s="373"/>
      <c r="I114" s="443"/>
      <c r="J114" s="382"/>
      <c r="K114" s="372"/>
      <c r="L114" s="372"/>
      <c r="M114" s="372"/>
      <c r="N114" s="372"/>
      <c r="O114" s="372"/>
    </row>
    <row r="115" spans="1:15" s="607" customFormat="1" ht="14.25">
      <c r="A115" s="605"/>
      <c r="B115" s="509" t="s">
        <v>1154</v>
      </c>
      <c r="C115" s="580"/>
      <c r="D115" s="580"/>
      <c r="E115" s="580"/>
      <c r="F115" s="580"/>
      <c r="G115" s="580"/>
      <c r="H115" s="579"/>
      <c r="I115" s="443"/>
      <c r="J115" s="605"/>
      <c r="K115" s="606"/>
      <c r="L115" s="606"/>
      <c r="M115" s="606"/>
      <c r="N115" s="606"/>
      <c r="O115" s="606"/>
    </row>
    <row r="116" spans="1:15" ht="42.75">
      <c r="A116" s="382"/>
      <c r="B116" s="358"/>
      <c r="C116" s="405" t="s">
        <v>879</v>
      </c>
      <c r="D116" s="405" t="s">
        <v>880</v>
      </c>
      <c r="E116" s="406" t="s">
        <v>188</v>
      </c>
      <c r="F116" s="406" t="s">
        <v>26</v>
      </c>
      <c r="G116" s="406" t="s">
        <v>975</v>
      </c>
      <c r="H116" s="407" t="s">
        <v>1175</v>
      </c>
      <c r="I116" s="443"/>
      <c r="J116" s="382"/>
      <c r="K116" s="372"/>
      <c r="L116" s="372"/>
      <c r="M116" s="372"/>
      <c r="N116" s="372"/>
      <c r="O116" s="372"/>
    </row>
    <row r="117" spans="1:15">
      <c r="A117" s="382"/>
      <c r="B117" s="358">
        <v>1</v>
      </c>
      <c r="C117" s="419">
        <v>100</v>
      </c>
      <c r="D117" s="435"/>
      <c r="E117" s="436"/>
      <c r="F117" s="458">
        <f>D117*(5.4/100)</f>
        <v>0</v>
      </c>
      <c r="G117" s="435"/>
      <c r="H117" s="435"/>
      <c r="I117" s="443"/>
      <c r="J117" s="382"/>
      <c r="K117" s="372"/>
      <c r="L117" s="372"/>
      <c r="M117" s="372"/>
      <c r="N117" s="372"/>
      <c r="O117" s="372"/>
    </row>
    <row r="118" spans="1:15">
      <c r="A118" s="382"/>
      <c r="B118" s="358">
        <v>1</v>
      </c>
      <c r="C118" s="419">
        <v>100</v>
      </c>
      <c r="D118" s="435"/>
      <c r="E118" s="436"/>
      <c r="F118" s="458">
        <f t="shared" ref="F118:F129" si="0">D118*(5.4/100)</f>
        <v>0</v>
      </c>
      <c r="G118" s="435"/>
      <c r="H118" s="435"/>
      <c r="I118" s="443"/>
      <c r="J118" s="382"/>
      <c r="K118" s="372"/>
      <c r="L118" s="372"/>
      <c r="M118" s="372"/>
      <c r="N118" s="372"/>
      <c r="O118" s="372"/>
    </row>
    <row r="119" spans="1:15">
      <c r="A119" s="382"/>
      <c r="B119" s="358">
        <v>17</v>
      </c>
      <c r="C119" s="419">
        <v>100</v>
      </c>
      <c r="D119" s="435">
        <f>D108*0.49</f>
        <v>245654.63999999996</v>
      </c>
      <c r="E119" s="436">
        <v>12</v>
      </c>
      <c r="F119" s="458">
        <f>D119*(5.6/100)</f>
        <v>13756.659839999997</v>
      </c>
      <c r="G119" s="435"/>
      <c r="H119" s="435">
        <f>(2*(1))+(4*(0.173))+(4*(0.443))+(6*(0.06))*(4*(0.173))+0.746</f>
        <v>5.4591200000000004</v>
      </c>
      <c r="I119" s="443"/>
      <c r="J119" s="382"/>
      <c r="K119" s="372"/>
      <c r="L119" s="372"/>
      <c r="M119" s="372"/>
      <c r="N119" s="372"/>
      <c r="O119" s="372"/>
    </row>
    <row r="120" spans="1:15">
      <c r="A120" s="382"/>
      <c r="B120" s="358">
        <v>1</v>
      </c>
      <c r="C120" s="419">
        <v>100</v>
      </c>
      <c r="D120" s="435"/>
      <c r="E120" s="436"/>
      <c r="F120" s="458">
        <f t="shared" si="0"/>
        <v>0</v>
      </c>
      <c r="G120" s="435"/>
      <c r="H120" s="435"/>
      <c r="I120" s="443"/>
      <c r="J120" s="382"/>
      <c r="K120" s="372"/>
      <c r="L120" s="372"/>
      <c r="M120" s="372"/>
      <c r="N120" s="372"/>
      <c r="O120" s="372"/>
    </row>
    <row r="121" spans="1:15">
      <c r="A121" s="382"/>
      <c r="B121" s="358">
        <v>18</v>
      </c>
      <c r="C121" s="419">
        <v>100</v>
      </c>
      <c r="D121" s="435"/>
      <c r="E121" s="436"/>
      <c r="F121" s="458">
        <f>D121*(5/100)</f>
        <v>0</v>
      </c>
      <c r="G121" s="435"/>
      <c r="H121" s="435"/>
      <c r="I121" s="443"/>
      <c r="J121" s="382"/>
      <c r="K121" s="372"/>
      <c r="L121" s="372"/>
      <c r="M121" s="372"/>
      <c r="N121" s="372"/>
      <c r="O121" s="372"/>
    </row>
    <row r="122" spans="1:15">
      <c r="A122" s="382"/>
      <c r="B122" s="358">
        <v>1</v>
      </c>
      <c r="C122" s="419">
        <v>100</v>
      </c>
      <c r="D122" s="435"/>
      <c r="E122" s="436"/>
      <c r="F122" s="458">
        <f t="shared" si="0"/>
        <v>0</v>
      </c>
      <c r="G122" s="435"/>
      <c r="H122" s="435"/>
      <c r="I122" s="443"/>
      <c r="J122" s="382"/>
      <c r="K122" s="372"/>
      <c r="L122" s="372"/>
      <c r="M122" s="372"/>
      <c r="N122" s="372"/>
      <c r="O122" s="372"/>
    </row>
    <row r="123" spans="1:15">
      <c r="A123" s="382"/>
      <c r="B123" s="373">
        <v>1</v>
      </c>
      <c r="C123" s="419">
        <v>100</v>
      </c>
      <c r="D123" s="435"/>
      <c r="E123" s="436"/>
      <c r="F123" s="458">
        <f t="shared" si="0"/>
        <v>0</v>
      </c>
      <c r="G123" s="435"/>
      <c r="H123" s="435"/>
      <c r="I123" s="443"/>
      <c r="J123" s="382"/>
      <c r="K123" s="372"/>
      <c r="L123" s="372"/>
      <c r="M123" s="372"/>
      <c r="N123" s="372"/>
      <c r="O123" s="372"/>
    </row>
    <row r="124" spans="1:15">
      <c r="A124" s="382"/>
      <c r="B124" s="373">
        <v>1</v>
      </c>
      <c r="C124" s="419">
        <v>100</v>
      </c>
      <c r="D124" s="435"/>
      <c r="E124" s="436"/>
      <c r="F124" s="458">
        <f t="shared" si="0"/>
        <v>0</v>
      </c>
      <c r="G124" s="435"/>
      <c r="H124" s="435"/>
      <c r="I124" s="443"/>
      <c r="J124" s="382"/>
      <c r="K124" s="372"/>
      <c r="M124" s="372"/>
      <c r="N124" s="372"/>
      <c r="O124" s="372"/>
    </row>
    <row r="125" spans="1:15">
      <c r="A125" s="382"/>
      <c r="B125" s="357">
        <v>1</v>
      </c>
      <c r="C125" s="419">
        <v>100</v>
      </c>
      <c r="D125" s="435"/>
      <c r="E125" s="436"/>
      <c r="F125" s="458">
        <f t="shared" si="0"/>
        <v>0</v>
      </c>
      <c r="G125" s="435"/>
      <c r="H125" s="435"/>
      <c r="I125" s="443"/>
      <c r="J125" s="382"/>
      <c r="K125" s="372"/>
      <c r="L125" s="372"/>
      <c r="M125" s="372"/>
      <c r="N125" s="372"/>
      <c r="O125" s="372"/>
    </row>
    <row r="126" spans="1:15">
      <c r="A126" s="382"/>
      <c r="B126" s="373">
        <v>1</v>
      </c>
      <c r="C126" s="419">
        <v>100</v>
      </c>
      <c r="D126" s="435"/>
      <c r="E126" s="436"/>
      <c r="F126" s="458">
        <f t="shared" si="0"/>
        <v>0</v>
      </c>
      <c r="G126" s="435"/>
      <c r="H126" s="435"/>
      <c r="I126" s="443"/>
      <c r="J126" s="382"/>
      <c r="K126" s="372"/>
      <c r="L126" s="372"/>
      <c r="M126" s="372"/>
      <c r="N126" s="372"/>
      <c r="O126" s="372"/>
    </row>
    <row r="127" spans="1:15">
      <c r="A127" s="382"/>
      <c r="B127" s="373">
        <v>1</v>
      </c>
      <c r="C127" s="419">
        <v>100</v>
      </c>
      <c r="D127" s="435"/>
      <c r="E127" s="436"/>
      <c r="F127" s="458">
        <f t="shared" si="0"/>
        <v>0</v>
      </c>
      <c r="G127" s="435"/>
      <c r="H127" s="435"/>
      <c r="I127" s="443"/>
      <c r="J127" s="382"/>
      <c r="K127" s="372"/>
      <c r="L127" s="372"/>
      <c r="M127" s="372"/>
      <c r="N127" s="372"/>
      <c r="O127" s="372"/>
    </row>
    <row r="128" spans="1:15">
      <c r="A128" s="382"/>
      <c r="B128" s="373">
        <v>1</v>
      </c>
      <c r="C128" s="419">
        <v>100</v>
      </c>
      <c r="D128" s="435"/>
      <c r="E128" s="436"/>
      <c r="F128" s="458">
        <f t="shared" si="0"/>
        <v>0</v>
      </c>
      <c r="G128" s="435"/>
      <c r="H128" s="435"/>
      <c r="I128" s="443"/>
      <c r="J128" s="382"/>
      <c r="K128" s="372"/>
      <c r="L128" s="372"/>
      <c r="M128" s="372"/>
      <c r="N128" s="372"/>
      <c r="O128" s="372"/>
    </row>
    <row r="129" spans="1:15">
      <c r="A129" s="382"/>
      <c r="B129" s="373">
        <v>1</v>
      </c>
      <c r="C129" s="419">
        <v>100</v>
      </c>
      <c r="D129" s="435"/>
      <c r="E129" s="436"/>
      <c r="F129" s="458">
        <f t="shared" si="0"/>
        <v>0</v>
      </c>
      <c r="G129" s="435"/>
      <c r="H129" s="435"/>
      <c r="I129" s="443"/>
      <c r="J129" s="382"/>
      <c r="K129" s="372"/>
      <c r="L129" s="372"/>
      <c r="M129" s="372"/>
      <c r="N129" s="372"/>
      <c r="O129" s="372"/>
    </row>
    <row r="130" spans="1:15">
      <c r="A130" s="382"/>
      <c r="B130" s="373"/>
      <c r="C130" s="373"/>
      <c r="D130" s="373"/>
      <c r="E130" s="373"/>
      <c r="F130" s="373"/>
      <c r="G130" s="373"/>
      <c r="H130" s="373"/>
      <c r="I130" s="443"/>
      <c r="J130" s="382"/>
      <c r="K130" s="372"/>
      <c r="L130" s="372"/>
      <c r="M130" s="372"/>
      <c r="N130" s="372"/>
      <c r="O130" s="372"/>
    </row>
    <row r="131" spans="1:15" s="607" customFormat="1" ht="15" customHeight="1">
      <c r="A131" s="605"/>
      <c r="B131" s="1187" t="s">
        <v>1156</v>
      </c>
      <c r="C131" s="1187"/>
      <c r="D131" s="1187"/>
      <c r="E131" s="579"/>
      <c r="F131" s="579"/>
      <c r="G131" s="579"/>
      <c r="H131" s="579"/>
      <c r="I131" s="443"/>
      <c r="J131" s="605"/>
      <c r="K131" s="606"/>
      <c r="L131" s="606"/>
      <c r="M131" s="606"/>
      <c r="N131" s="606"/>
      <c r="O131" s="606"/>
    </row>
    <row r="132" spans="1:15" ht="40.5" customHeight="1">
      <c r="A132" s="382"/>
      <c r="B132" s="420"/>
      <c r="C132" s="548" t="s">
        <v>866</v>
      </c>
      <c r="D132" s="683" t="s">
        <v>867</v>
      </c>
      <c r="E132" s="542"/>
      <c r="F132" s="423" t="s">
        <v>964</v>
      </c>
      <c r="G132" s="423" t="s">
        <v>874</v>
      </c>
      <c r="H132" s="423" t="s">
        <v>876</v>
      </c>
      <c r="I132" s="443"/>
      <c r="J132" s="382"/>
      <c r="K132" s="372"/>
      <c r="L132" s="372"/>
      <c r="M132" s="372"/>
      <c r="N132" s="372"/>
      <c r="O132" s="372"/>
    </row>
    <row r="133" spans="1:15" ht="15" customHeight="1">
      <c r="A133" s="382"/>
      <c r="B133" s="438" t="s">
        <v>505</v>
      </c>
      <c r="C133" s="711">
        <v>1500</v>
      </c>
      <c r="D133" s="422">
        <v>0</v>
      </c>
      <c r="E133" s="424" t="s">
        <v>873</v>
      </c>
      <c r="F133" s="837">
        <v>0</v>
      </c>
      <c r="G133" s="838">
        <v>0</v>
      </c>
      <c r="H133" s="425">
        <v>0</v>
      </c>
      <c r="I133" s="443"/>
      <c r="J133" s="382"/>
      <c r="K133" s="372"/>
      <c r="L133" s="372"/>
      <c r="M133" s="372"/>
      <c r="N133" s="372"/>
      <c r="O133" s="372"/>
    </row>
    <row r="134" spans="1:15" ht="15" customHeight="1">
      <c r="A134" s="382"/>
      <c r="B134" s="438" t="s">
        <v>869</v>
      </c>
      <c r="C134" s="712">
        <v>0</v>
      </c>
      <c r="D134" s="422">
        <v>0</v>
      </c>
      <c r="E134" s="386"/>
      <c r="F134" s="386"/>
      <c r="G134" s="397"/>
      <c r="H134" s="416"/>
      <c r="I134" s="443"/>
      <c r="J134" s="382"/>
      <c r="K134" s="372"/>
      <c r="L134" s="372"/>
      <c r="M134" s="372"/>
      <c r="N134" s="372"/>
      <c r="O134" s="372"/>
    </row>
    <row r="135" spans="1:15" ht="15" customHeight="1">
      <c r="A135" s="382"/>
      <c r="B135" s="438" t="s">
        <v>870</v>
      </c>
      <c r="C135" s="712">
        <v>0</v>
      </c>
      <c r="D135" s="422">
        <v>0</v>
      </c>
      <c r="E135" s="397"/>
      <c r="F135" s="397"/>
      <c r="G135" s="397"/>
      <c r="H135" s="416"/>
      <c r="I135" s="443"/>
      <c r="J135" s="382"/>
      <c r="K135" s="372"/>
      <c r="L135" s="372"/>
      <c r="M135" s="372"/>
      <c r="N135" s="372"/>
      <c r="O135" s="372"/>
    </row>
    <row r="136" spans="1:15" ht="15" customHeight="1">
      <c r="A136" s="382"/>
      <c r="B136" s="438" t="s">
        <v>871</v>
      </c>
      <c r="C136" s="712">
        <v>0</v>
      </c>
      <c r="D136" s="422">
        <v>0</v>
      </c>
      <c r="E136" s="397"/>
      <c r="F136" s="397"/>
      <c r="G136" s="397"/>
      <c r="H136" s="416"/>
      <c r="I136" s="443"/>
      <c r="J136" s="382"/>
      <c r="K136" s="372"/>
      <c r="L136" s="372"/>
      <c r="M136" s="372"/>
      <c r="N136" s="372"/>
      <c r="O136" s="372"/>
    </row>
    <row r="137" spans="1:15" ht="15" customHeight="1">
      <c r="A137" s="382"/>
      <c r="B137" s="438" t="s">
        <v>872</v>
      </c>
      <c r="C137" s="712"/>
      <c r="D137" s="422">
        <v>0</v>
      </c>
      <c r="E137" s="397"/>
      <c r="F137" s="397"/>
      <c r="G137" s="397"/>
      <c r="H137" s="416"/>
      <c r="I137" s="443"/>
      <c r="J137" s="382"/>
      <c r="K137" s="372"/>
      <c r="L137" s="372"/>
      <c r="M137" s="372"/>
      <c r="N137" s="372"/>
      <c r="O137" s="372"/>
    </row>
    <row r="138" spans="1:15" ht="15" customHeight="1">
      <c r="A138" s="382"/>
      <c r="B138" s="438"/>
      <c r="C138" s="438"/>
      <c r="D138" s="438"/>
      <c r="E138" s="542"/>
      <c r="F138" s="542"/>
      <c r="G138" s="542"/>
      <c r="H138" s="542"/>
      <c r="I138" s="443"/>
      <c r="J138" s="382"/>
      <c r="K138" s="372"/>
      <c r="L138" s="372"/>
      <c r="M138" s="372"/>
      <c r="N138" s="372"/>
      <c r="O138" s="372"/>
    </row>
    <row r="139" spans="1:15" ht="15" customHeight="1">
      <c r="A139" s="382"/>
      <c r="B139" s="438"/>
      <c r="C139" s="542"/>
      <c r="D139" s="405" t="s">
        <v>1270</v>
      </c>
      <c r="E139" s="542"/>
      <c r="F139" s="542"/>
      <c r="G139" s="542"/>
      <c r="H139" s="542"/>
      <c r="I139" s="443"/>
      <c r="J139" s="382"/>
      <c r="K139" s="372"/>
      <c r="L139" s="372"/>
      <c r="M139" s="372"/>
      <c r="N139" s="372"/>
      <c r="O139" s="372"/>
    </row>
    <row r="140" spans="1:15" ht="15" customHeight="1">
      <c r="A140" s="382"/>
      <c r="B140" s="438"/>
      <c r="C140" s="542"/>
      <c r="D140" s="405" t="s">
        <v>1086</v>
      </c>
      <c r="E140" s="542"/>
      <c r="F140" s="542"/>
      <c r="G140" s="542"/>
      <c r="H140" s="542"/>
      <c r="I140" s="443"/>
      <c r="J140" s="382"/>
      <c r="K140" s="372"/>
      <c r="L140" s="372"/>
      <c r="M140" s="372"/>
      <c r="N140" s="372"/>
      <c r="O140" s="372"/>
    </row>
    <row r="141" spans="1:15" ht="15" customHeight="1">
      <c r="A141" s="382"/>
      <c r="B141" s="1189" t="s">
        <v>1566</v>
      </c>
      <c r="C141" s="712">
        <v>6</v>
      </c>
      <c r="D141" s="422">
        <v>0</v>
      </c>
      <c r="E141" s="542"/>
      <c r="F141" s="542"/>
      <c r="G141" s="542"/>
      <c r="H141" s="542"/>
      <c r="I141" s="443"/>
      <c r="J141" s="382"/>
      <c r="K141" s="372"/>
      <c r="L141" s="372"/>
      <c r="M141" s="372"/>
      <c r="N141" s="372"/>
      <c r="O141" s="372"/>
    </row>
    <row r="142" spans="1:15" ht="15" customHeight="1">
      <c r="A142" s="382"/>
      <c r="B142" s="1189"/>
      <c r="C142" s="712">
        <v>6</v>
      </c>
      <c r="D142" s="422"/>
      <c r="E142" s="542"/>
      <c r="F142" s="542"/>
      <c r="G142" s="542"/>
      <c r="H142" s="542"/>
      <c r="I142" s="443"/>
      <c r="J142" s="382"/>
      <c r="K142" s="372"/>
      <c r="L142" s="372"/>
      <c r="M142" s="372"/>
      <c r="N142" s="372"/>
      <c r="O142" s="372"/>
    </row>
    <row r="143" spans="1:15" ht="15" customHeight="1">
      <c r="A143" s="382"/>
      <c r="B143" s="1189"/>
      <c r="C143" s="712">
        <v>6</v>
      </c>
      <c r="D143" s="422"/>
      <c r="E143" s="542"/>
      <c r="F143" s="542"/>
      <c r="G143" s="542"/>
      <c r="H143" s="542"/>
      <c r="I143" s="443"/>
      <c r="J143" s="382"/>
      <c r="K143" s="372"/>
      <c r="L143" s="372"/>
      <c r="M143" s="372"/>
      <c r="N143" s="372"/>
      <c r="O143" s="372"/>
    </row>
    <row r="144" spans="1:15" ht="15" customHeight="1">
      <c r="A144" s="382"/>
      <c r="B144" s="1189"/>
      <c r="C144" s="712">
        <v>6</v>
      </c>
      <c r="D144" s="422"/>
      <c r="E144" s="542"/>
      <c r="F144" s="542"/>
      <c r="G144" s="542"/>
      <c r="H144" s="542"/>
      <c r="I144" s="443"/>
      <c r="J144" s="382"/>
      <c r="K144" s="372"/>
      <c r="L144" s="372"/>
      <c r="M144" s="372"/>
      <c r="N144" s="372"/>
      <c r="O144" s="372"/>
    </row>
    <row r="145" spans="1:15" ht="15" customHeight="1">
      <c r="A145" s="382"/>
      <c r="B145" s="1189"/>
      <c r="C145" s="712">
        <v>6</v>
      </c>
      <c r="D145" s="422"/>
      <c r="E145" s="542"/>
      <c r="F145" s="542"/>
      <c r="G145" s="542"/>
      <c r="H145" s="542"/>
      <c r="I145" s="443"/>
      <c r="J145" s="382"/>
      <c r="K145" s="372"/>
      <c r="L145" s="372"/>
      <c r="M145" s="372"/>
      <c r="N145" s="372"/>
      <c r="O145" s="372"/>
    </row>
    <row r="146" spans="1:15" ht="15" customHeight="1">
      <c r="A146" s="382"/>
      <c r="B146" s="438"/>
      <c r="C146" s="712">
        <v>6</v>
      </c>
      <c r="D146" s="422"/>
      <c r="E146" s="542"/>
      <c r="F146" s="542"/>
      <c r="G146" s="542"/>
      <c r="H146" s="542"/>
      <c r="I146" s="443"/>
      <c r="J146" s="382"/>
      <c r="K146" s="372"/>
      <c r="L146" s="372"/>
      <c r="M146" s="372"/>
      <c r="N146" s="372"/>
      <c r="O146" s="372"/>
    </row>
    <row r="147" spans="1:15" ht="15" customHeight="1">
      <c r="A147" s="382"/>
      <c r="B147" s="438"/>
      <c r="C147" s="712">
        <v>6</v>
      </c>
      <c r="D147" s="422"/>
      <c r="E147" s="542"/>
      <c r="F147" s="542"/>
      <c r="G147" s="542"/>
      <c r="H147" s="542"/>
      <c r="I147" s="443"/>
      <c r="J147" s="382"/>
      <c r="K147" s="372"/>
      <c r="L147" s="372"/>
      <c r="M147" s="372"/>
      <c r="N147" s="372"/>
      <c r="O147" s="372"/>
    </row>
    <row r="148" spans="1:15">
      <c r="A148" s="382"/>
      <c r="B148" s="386"/>
      <c r="C148" s="386"/>
      <c r="D148" s="386"/>
      <c r="E148" s="398"/>
      <c r="F148" s="388"/>
      <c r="G148" s="388"/>
      <c r="H148" s="386"/>
      <c r="I148" s="443"/>
      <c r="J148" s="382"/>
      <c r="K148" s="372"/>
      <c r="L148" s="372"/>
      <c r="M148" s="372"/>
      <c r="N148" s="372"/>
      <c r="O148" s="372"/>
    </row>
    <row r="149" spans="1:15">
      <c r="A149" s="382"/>
      <c r="B149" s="1188" t="s">
        <v>1157</v>
      </c>
      <c r="C149" s="1188"/>
      <c r="D149" s="1188"/>
      <c r="E149" s="579"/>
      <c r="F149" s="579"/>
      <c r="G149" s="579"/>
      <c r="H149" s="579"/>
      <c r="I149" s="542"/>
      <c r="J149" s="382"/>
      <c r="M149" s="372"/>
      <c r="N149" s="372"/>
      <c r="O149" s="372"/>
    </row>
    <row r="150" spans="1:15">
      <c r="A150" s="382"/>
      <c r="B150" s="675"/>
      <c r="C150" s="675"/>
      <c r="D150" s="675"/>
      <c r="E150" s="675"/>
      <c r="F150" s="675"/>
      <c r="G150" s="675"/>
      <c r="H150" s="675"/>
      <c r="I150" s="542"/>
      <c r="J150" s="382"/>
      <c r="M150" s="372"/>
      <c r="N150" s="372"/>
      <c r="O150" s="372"/>
    </row>
    <row r="151" spans="1:15" s="607" customFormat="1" ht="14.25">
      <c r="A151" s="605"/>
      <c r="B151" s="1188" t="s">
        <v>1152</v>
      </c>
      <c r="C151" s="1188"/>
      <c r="D151" s="1188"/>
      <c r="E151" s="579"/>
      <c r="F151" s="579"/>
      <c r="G151" s="579"/>
      <c r="H151" s="579"/>
      <c r="I151" s="443"/>
      <c r="J151" s="605"/>
      <c r="K151" s="606"/>
      <c r="L151" s="606"/>
      <c r="M151" s="606"/>
      <c r="N151" s="606"/>
      <c r="O151" s="606"/>
    </row>
    <row r="152" spans="1:15">
      <c r="A152" s="382"/>
      <c r="B152" s="411"/>
      <c r="C152" s="411"/>
      <c r="D152" s="454" t="s">
        <v>1108</v>
      </c>
      <c r="E152" s="387"/>
      <c r="F152" s="387"/>
      <c r="G152" s="387"/>
      <c r="H152" s="387"/>
      <c r="I152" s="443"/>
      <c r="J152" s="382"/>
      <c r="K152" s="372"/>
      <c r="L152" s="372"/>
      <c r="M152" s="372"/>
      <c r="N152" s="372"/>
      <c r="O152" s="372"/>
    </row>
    <row r="153" spans="1:15" ht="8.25" customHeight="1">
      <c r="A153" s="382"/>
      <c r="B153" s="411"/>
      <c r="C153" s="411"/>
      <c r="D153" s="454"/>
      <c r="E153" s="387"/>
      <c r="F153" s="387"/>
      <c r="G153" s="387"/>
      <c r="H153" s="387"/>
      <c r="I153" s="443"/>
      <c r="J153" s="382"/>
      <c r="K153" s="372"/>
      <c r="L153" s="372"/>
      <c r="M153" s="372"/>
      <c r="N153" s="372"/>
      <c r="O153" s="372"/>
    </row>
    <row r="154" spans="1:15">
      <c r="A154" s="382"/>
      <c r="B154" s="405" t="s">
        <v>950</v>
      </c>
      <c r="C154" s="411">
        <v>2</v>
      </c>
      <c r="D154" s="856">
        <v>0.8</v>
      </c>
      <c r="E154" s="387"/>
      <c r="F154" s="387"/>
      <c r="G154" s="387"/>
      <c r="H154" s="387"/>
      <c r="I154" s="443"/>
      <c r="J154" s="382"/>
      <c r="K154" s="372"/>
      <c r="L154" s="372"/>
      <c r="M154" s="372"/>
      <c r="N154" s="372"/>
      <c r="O154" s="372"/>
    </row>
    <row r="155" spans="1:15">
      <c r="A155" s="382"/>
      <c r="B155" s="543"/>
      <c r="C155" s="543"/>
      <c r="D155" s="543"/>
      <c r="E155" s="543"/>
      <c r="F155" s="543"/>
      <c r="G155" s="441"/>
      <c r="H155" s="441"/>
      <c r="I155" s="443"/>
      <c r="J155" s="382"/>
      <c r="K155" s="372"/>
      <c r="L155" s="372"/>
      <c r="M155" s="372"/>
      <c r="N155" s="372"/>
      <c r="O155" s="372"/>
    </row>
    <row r="156" spans="1:15" s="607" customFormat="1" ht="15" customHeight="1">
      <c r="A156" s="605"/>
      <c r="B156" s="1187" t="s">
        <v>1153</v>
      </c>
      <c r="C156" s="1187"/>
      <c r="D156" s="1187"/>
      <c r="E156" s="1187"/>
      <c r="F156" s="579"/>
      <c r="G156" s="579"/>
      <c r="H156" s="579"/>
      <c r="I156" s="443"/>
      <c r="J156" s="605"/>
      <c r="K156" s="606"/>
      <c r="L156" s="606"/>
      <c r="M156" s="606"/>
      <c r="N156" s="606"/>
      <c r="O156" s="606"/>
    </row>
    <row r="157" spans="1:15" ht="28.5">
      <c r="A157" s="382"/>
      <c r="B157" s="604"/>
      <c r="C157" s="408" t="s">
        <v>1049</v>
      </c>
      <c r="D157" s="408" t="s">
        <v>916</v>
      </c>
      <c r="E157" s="408" t="s">
        <v>913</v>
      </c>
      <c r="F157" s="396"/>
      <c r="G157" s="373"/>
      <c r="H157" s="373"/>
      <c r="I157" s="443"/>
      <c r="J157" s="382"/>
      <c r="K157" s="372"/>
      <c r="L157" s="372"/>
      <c r="M157" s="372"/>
      <c r="N157" s="372"/>
      <c r="O157" s="372"/>
    </row>
    <row r="158" spans="1:15" ht="15" customHeight="1">
      <c r="A158" s="382"/>
      <c r="B158" s="550" t="s">
        <v>193</v>
      </c>
      <c r="C158" s="835">
        <v>10</v>
      </c>
      <c r="D158" s="448">
        <v>20</v>
      </c>
      <c r="E158" s="641">
        <f>D80</f>
        <v>6</v>
      </c>
      <c r="F158" s="439"/>
      <c r="G158" s="387"/>
      <c r="H158" s="387"/>
      <c r="I158" s="443"/>
      <c r="J158" s="382"/>
      <c r="K158" s="372"/>
      <c r="L158" s="372"/>
      <c r="M158" s="372"/>
      <c r="N158" s="372"/>
      <c r="O158" s="372"/>
    </row>
    <row r="159" spans="1:15" ht="15" customHeight="1">
      <c r="A159" s="382"/>
      <c r="B159" s="455"/>
      <c r="C159" s="455"/>
      <c r="D159" s="455"/>
      <c r="E159" s="455"/>
      <c r="F159" s="455"/>
      <c r="G159" s="455"/>
      <c r="H159" s="455"/>
      <c r="I159" s="443"/>
      <c r="J159" s="382"/>
      <c r="K159" s="372"/>
      <c r="L159" s="372"/>
      <c r="M159" s="372"/>
      <c r="N159" s="372"/>
      <c r="O159" s="372"/>
    </row>
    <row r="160" spans="1:15" s="607" customFormat="1" ht="14.25">
      <c r="A160" s="605"/>
      <c r="B160" s="1187" t="s">
        <v>911</v>
      </c>
      <c r="C160" s="1187"/>
      <c r="D160" s="1187"/>
      <c r="E160" s="579"/>
      <c r="F160" s="579"/>
      <c r="G160" s="579"/>
      <c r="H160" s="579"/>
      <c r="I160" s="443"/>
      <c r="J160" s="605"/>
      <c r="K160" s="606"/>
      <c r="L160" s="606"/>
      <c r="M160" s="606"/>
      <c r="N160" s="606"/>
      <c r="O160" s="606"/>
    </row>
    <row r="161" spans="1:15" ht="28.5">
      <c r="A161" s="382"/>
      <c r="B161" s="389"/>
      <c r="C161" s="334"/>
      <c r="D161" s="408" t="s">
        <v>912</v>
      </c>
      <c r="E161" s="408" t="s">
        <v>917</v>
      </c>
      <c r="F161" s="408" t="s">
        <v>918</v>
      </c>
      <c r="G161" s="408" t="s">
        <v>977</v>
      </c>
      <c r="H161" s="385"/>
      <c r="I161" s="443"/>
      <c r="J161" s="382"/>
      <c r="K161" s="372"/>
      <c r="L161" s="372"/>
      <c r="M161" s="372"/>
      <c r="N161" s="372"/>
      <c r="O161" s="372"/>
    </row>
    <row r="162" spans="1:15">
      <c r="A162" s="382"/>
      <c r="B162" s="389"/>
      <c r="C162" s="530" t="s">
        <v>1026</v>
      </c>
      <c r="D162" s="451">
        <v>0</v>
      </c>
      <c r="E162" s="857">
        <v>0</v>
      </c>
      <c r="F162" s="453">
        <f t="shared" ref="F162:F169" si="1">E162*D162</f>
        <v>0</v>
      </c>
      <c r="G162" s="452"/>
      <c r="H162" s="542"/>
      <c r="I162" s="443"/>
      <c r="J162" s="382"/>
      <c r="K162" s="372"/>
      <c r="L162" s="372"/>
      <c r="M162" s="372"/>
      <c r="N162" s="372"/>
      <c r="O162" s="372"/>
    </row>
    <row r="163" spans="1:15">
      <c r="A163" s="382"/>
      <c r="B163" s="389"/>
      <c r="C163" s="530" t="s">
        <v>1025</v>
      </c>
      <c r="D163" s="451">
        <v>0</v>
      </c>
      <c r="E163" s="857">
        <v>0</v>
      </c>
      <c r="F163" s="453">
        <f t="shared" si="1"/>
        <v>0</v>
      </c>
      <c r="G163" s="452"/>
      <c r="H163" s="542"/>
      <c r="I163" s="443"/>
      <c r="J163" s="382"/>
      <c r="K163" s="372"/>
      <c r="L163" s="372"/>
      <c r="M163" s="372"/>
      <c r="N163" s="372"/>
      <c r="O163" s="372"/>
    </row>
    <row r="164" spans="1:15">
      <c r="A164" s="382"/>
      <c r="B164" s="389"/>
      <c r="C164" s="530" t="s">
        <v>1024</v>
      </c>
      <c r="D164" s="451">
        <v>0</v>
      </c>
      <c r="E164" s="857">
        <v>0</v>
      </c>
      <c r="F164" s="453">
        <f t="shared" si="1"/>
        <v>0</v>
      </c>
      <c r="G164" s="452"/>
      <c r="H164" s="542"/>
      <c r="I164" s="443"/>
      <c r="J164" s="382"/>
      <c r="K164" s="372"/>
      <c r="L164" s="372"/>
      <c r="M164" s="372"/>
      <c r="N164" s="372"/>
      <c r="O164" s="372"/>
    </row>
    <row r="165" spans="1:15">
      <c r="A165" s="382"/>
      <c r="B165" s="389"/>
      <c r="C165" s="530" t="s">
        <v>1027</v>
      </c>
      <c r="D165" s="451">
        <v>13</v>
      </c>
      <c r="E165" s="857">
        <v>90</v>
      </c>
      <c r="F165" s="453">
        <f>E165*D165</f>
        <v>1170</v>
      </c>
      <c r="G165" s="452"/>
      <c r="H165" s="542"/>
      <c r="I165" s="443"/>
      <c r="J165" s="382"/>
      <c r="K165" s="372"/>
      <c r="L165" s="372"/>
      <c r="M165" s="372"/>
      <c r="N165" s="372"/>
      <c r="O165" s="372"/>
    </row>
    <row r="166" spans="1:15">
      <c r="A166" s="382"/>
      <c r="B166" s="389"/>
      <c r="C166" s="530" t="s">
        <v>947</v>
      </c>
      <c r="D166" s="451">
        <v>12</v>
      </c>
      <c r="E166" s="857">
        <v>52</v>
      </c>
      <c r="F166" s="453">
        <f t="shared" si="1"/>
        <v>624</v>
      </c>
      <c r="G166" s="452"/>
      <c r="H166" s="542"/>
      <c r="I166" s="443"/>
      <c r="J166" s="382"/>
      <c r="K166" s="372"/>
      <c r="L166" s="372"/>
      <c r="M166" s="372"/>
      <c r="N166" s="372"/>
      <c r="O166" s="372"/>
    </row>
    <row r="167" spans="1:15">
      <c r="A167" s="382"/>
      <c r="B167" s="389"/>
      <c r="C167" s="530" t="s">
        <v>1028</v>
      </c>
      <c r="D167" s="451">
        <v>1770</v>
      </c>
      <c r="E167" s="857">
        <v>0.4</v>
      </c>
      <c r="F167" s="453">
        <f>E167*D167</f>
        <v>708</v>
      </c>
      <c r="G167" s="452"/>
      <c r="H167" s="429"/>
      <c r="I167" s="443"/>
      <c r="J167" s="382"/>
      <c r="K167" s="372"/>
      <c r="L167" s="372"/>
      <c r="M167" s="372"/>
      <c r="N167" s="372"/>
      <c r="O167" s="372"/>
    </row>
    <row r="168" spans="1:15">
      <c r="A168" s="382"/>
      <c r="B168" s="389"/>
      <c r="C168" s="530" t="s">
        <v>1066</v>
      </c>
      <c r="D168" s="451">
        <v>0</v>
      </c>
      <c r="E168" s="857">
        <v>0</v>
      </c>
      <c r="F168" s="453">
        <f t="shared" si="1"/>
        <v>0</v>
      </c>
      <c r="G168" s="452"/>
      <c r="H168" s="543"/>
      <c r="I168" s="443"/>
      <c r="J168" s="382"/>
      <c r="K168" s="372"/>
      <c r="L168" s="372"/>
      <c r="M168" s="372"/>
      <c r="N168" s="372"/>
      <c r="O168" s="372"/>
    </row>
    <row r="169" spans="1:15">
      <c r="A169" s="382"/>
      <c r="B169" s="389"/>
      <c r="C169" s="530" t="s">
        <v>1029</v>
      </c>
      <c r="D169" s="451">
        <v>0</v>
      </c>
      <c r="E169" s="857">
        <v>0</v>
      </c>
      <c r="F169" s="453">
        <f t="shared" si="1"/>
        <v>0</v>
      </c>
      <c r="G169" s="452"/>
      <c r="H169" s="429"/>
      <c r="I169" s="443"/>
      <c r="J169" s="382"/>
      <c r="K169" s="372"/>
      <c r="L169" s="372"/>
      <c r="M169" s="372"/>
      <c r="N169" s="372"/>
      <c r="O169" s="372"/>
    </row>
    <row r="170" spans="1:15">
      <c r="A170" s="382"/>
      <c r="B170" s="389"/>
      <c r="C170" s="389"/>
      <c r="D170" s="389"/>
      <c r="E170" s="389"/>
      <c r="F170" s="389"/>
      <c r="G170" s="389"/>
      <c r="H170" s="389"/>
      <c r="I170" s="443"/>
      <c r="J170" s="382"/>
      <c r="K170" s="372"/>
      <c r="L170" s="372"/>
      <c r="M170" s="372"/>
      <c r="N170" s="372"/>
      <c r="O170" s="372"/>
    </row>
    <row r="171" spans="1:15" s="610" customFormat="1" ht="14.25">
      <c r="A171" s="605"/>
      <c r="B171" s="1187" t="s">
        <v>954</v>
      </c>
      <c r="C171" s="1187"/>
      <c r="D171" s="1187"/>
      <c r="E171" s="1187"/>
      <c r="F171" s="1187"/>
      <c r="G171" s="608"/>
      <c r="H171" s="608"/>
      <c r="I171" s="443"/>
      <c r="J171" s="605"/>
      <c r="K171" s="609"/>
      <c r="L171" s="609"/>
      <c r="M171" s="609"/>
      <c r="N171" s="609"/>
      <c r="O171" s="609"/>
    </row>
    <row r="172" spans="1:15" s="372" customFormat="1" ht="51.75" customHeight="1">
      <c r="A172" s="382"/>
      <c r="B172" s="395"/>
      <c r="C172" s="568" t="s">
        <v>930</v>
      </c>
      <c r="D172" s="407" t="s">
        <v>1102</v>
      </c>
      <c r="E172" s="407" t="s">
        <v>933</v>
      </c>
      <c r="F172" s="407" t="s">
        <v>1103</v>
      </c>
      <c r="G172" s="407" t="s">
        <v>935</v>
      </c>
      <c r="H172" s="387"/>
      <c r="I172" s="443"/>
      <c r="J172" s="382"/>
    </row>
    <row r="173" spans="1:15" s="372" customFormat="1" ht="15.75" customHeight="1">
      <c r="A173" s="382"/>
      <c r="B173" s="1190"/>
      <c r="C173" s="1190"/>
      <c r="D173" s="407">
        <v>7</v>
      </c>
      <c r="E173" s="1191"/>
      <c r="F173" s="1191"/>
      <c r="G173" s="1191"/>
      <c r="H173" s="387"/>
      <c r="I173" s="443"/>
      <c r="J173" s="382"/>
      <c r="L173" s="680">
        <f>($D$70-($D$70*($E$87/100)))</f>
        <v>16000</v>
      </c>
    </row>
    <row r="174" spans="1:15">
      <c r="A174" s="382"/>
      <c r="B174" s="389" t="s">
        <v>174</v>
      </c>
      <c r="C174" s="390">
        <v>2</v>
      </c>
      <c r="D174" s="446"/>
      <c r="E174" s="431"/>
      <c r="F174" s="432">
        <f t="shared" ref="F174:F183" si="2">IF($D$173=7,($E$97*(D174/100))*($D$70-($D$70*($E$87/100))),IF($D$173=6,D174*25,IF($D$173=5,D174*30,IF($D$173=4,D174*45,IF($D$173=3,D174*60,IF($D$173=2,D174*1000,IF($D$173=1,D174)))))))</f>
        <v>0</v>
      </c>
      <c r="G174" s="447">
        <f t="shared" ref="G174:G183" si="3">IF(D174=0,E174,IF(D174&gt;0,E174*F174))</f>
        <v>0</v>
      </c>
      <c r="H174" s="387"/>
      <c r="I174" s="443"/>
      <c r="J174" s="382"/>
      <c r="K174" s="372"/>
      <c r="L174" s="680">
        <f>($D$70-($D$70*($E$87/100)))-(($D$70-($D$70*($E$87/100)))*($E$88/100))</f>
        <v>16000</v>
      </c>
      <c r="M174" s="372"/>
      <c r="N174" s="372"/>
      <c r="O174" s="372"/>
    </row>
    <row r="175" spans="1:15">
      <c r="A175" s="382"/>
      <c r="B175" s="389"/>
      <c r="C175" s="390">
        <v>3</v>
      </c>
      <c r="D175" s="446"/>
      <c r="E175" s="431"/>
      <c r="F175" s="432">
        <f t="shared" si="2"/>
        <v>0</v>
      </c>
      <c r="G175" s="447">
        <f t="shared" si="3"/>
        <v>0</v>
      </c>
      <c r="H175" s="387"/>
      <c r="I175" s="443"/>
      <c r="J175" s="382"/>
      <c r="K175" s="372"/>
      <c r="L175" s="680">
        <f>(($D$70-($D$70*($E$87/100)))-(($D$70-($D$70*($E$87/100)))*$E$88/100))-((($D$70-($D$70*($E$87/100)))-(($D$70-($D$70*($E$87/100))))*$E$88/100)*(E89/100))</f>
        <v>16000</v>
      </c>
      <c r="M175" s="372"/>
      <c r="N175" s="372"/>
      <c r="O175" s="372"/>
    </row>
    <row r="176" spans="1:15">
      <c r="A176" s="382"/>
      <c r="B176" s="389"/>
      <c r="C176" s="390">
        <v>19</v>
      </c>
      <c r="D176" s="446"/>
      <c r="E176" s="431"/>
      <c r="F176" s="432">
        <f t="shared" si="2"/>
        <v>0</v>
      </c>
      <c r="G176" s="447">
        <f t="shared" si="3"/>
        <v>0</v>
      </c>
      <c r="H176" s="387"/>
      <c r="I176" s="443"/>
      <c r="J176" s="382"/>
      <c r="N176" s="372"/>
      <c r="O176" s="372"/>
    </row>
    <row r="177" spans="1:15">
      <c r="A177" s="382"/>
      <c r="B177" s="389"/>
      <c r="C177" s="390">
        <v>4</v>
      </c>
      <c r="D177" s="446"/>
      <c r="E177" s="431"/>
      <c r="F177" s="432">
        <f t="shared" si="2"/>
        <v>0</v>
      </c>
      <c r="G177" s="447">
        <f t="shared" si="3"/>
        <v>0</v>
      </c>
      <c r="H177" s="387"/>
      <c r="I177" s="443"/>
      <c r="J177" s="382"/>
      <c r="N177" s="372"/>
      <c r="O177" s="372"/>
    </row>
    <row r="178" spans="1:15">
      <c r="A178" s="382"/>
      <c r="B178" s="389"/>
      <c r="C178" s="390">
        <v>1</v>
      </c>
      <c r="D178" s="446"/>
      <c r="E178" s="431"/>
      <c r="F178" s="432">
        <f t="shared" si="2"/>
        <v>0</v>
      </c>
      <c r="G178" s="447">
        <f t="shared" si="3"/>
        <v>0</v>
      </c>
      <c r="H178" s="387"/>
      <c r="I178" s="443"/>
      <c r="J178" s="382"/>
      <c r="N178" s="372"/>
      <c r="O178" s="372"/>
    </row>
    <row r="179" spans="1:15" ht="15" customHeight="1">
      <c r="A179" s="382"/>
      <c r="B179" s="389"/>
      <c r="C179" s="390">
        <v>1</v>
      </c>
      <c r="D179" s="446"/>
      <c r="E179" s="431"/>
      <c r="F179" s="432">
        <f t="shared" si="2"/>
        <v>0</v>
      </c>
      <c r="G179" s="447">
        <f t="shared" si="3"/>
        <v>0</v>
      </c>
      <c r="H179" s="387"/>
      <c r="I179" s="443"/>
      <c r="J179" s="382"/>
      <c r="N179" s="372"/>
      <c r="O179" s="372"/>
    </row>
    <row r="180" spans="1:15">
      <c r="A180" s="382"/>
      <c r="B180" s="389"/>
      <c r="C180" s="390">
        <v>1</v>
      </c>
      <c r="D180" s="446"/>
      <c r="E180" s="431"/>
      <c r="F180" s="432">
        <f t="shared" si="2"/>
        <v>0</v>
      </c>
      <c r="G180" s="447">
        <f t="shared" si="3"/>
        <v>0</v>
      </c>
      <c r="H180" s="387"/>
      <c r="I180" s="443"/>
      <c r="J180" s="382"/>
      <c r="N180" s="372"/>
      <c r="O180" s="372"/>
    </row>
    <row r="181" spans="1:15">
      <c r="A181" s="382"/>
      <c r="B181" s="389"/>
      <c r="C181" s="390">
        <v>1</v>
      </c>
      <c r="D181" s="446"/>
      <c r="E181" s="431"/>
      <c r="F181" s="432">
        <f t="shared" si="2"/>
        <v>0</v>
      </c>
      <c r="G181" s="447">
        <f t="shared" si="3"/>
        <v>0</v>
      </c>
      <c r="H181" s="387"/>
      <c r="I181" s="443"/>
      <c r="J181" s="382"/>
      <c r="N181" s="372"/>
      <c r="O181" s="372"/>
    </row>
    <row r="182" spans="1:15">
      <c r="A182" s="382"/>
      <c r="B182" s="731"/>
      <c r="C182" s="390">
        <v>1</v>
      </c>
      <c r="D182" s="446"/>
      <c r="E182" s="431"/>
      <c r="F182" s="432">
        <f t="shared" si="2"/>
        <v>0</v>
      </c>
      <c r="G182" s="447">
        <f t="shared" si="3"/>
        <v>0</v>
      </c>
      <c r="H182" s="387"/>
      <c r="I182" s="443"/>
      <c r="J182" s="382"/>
      <c r="N182" s="372"/>
      <c r="O182" s="372"/>
    </row>
    <row r="183" spans="1:15" ht="15" customHeight="1">
      <c r="A183" s="382"/>
      <c r="B183" s="731"/>
      <c r="C183" s="390">
        <v>1</v>
      </c>
      <c r="D183" s="446"/>
      <c r="E183" s="431"/>
      <c r="F183" s="432">
        <f t="shared" si="2"/>
        <v>0</v>
      </c>
      <c r="G183" s="447">
        <f t="shared" si="3"/>
        <v>0</v>
      </c>
      <c r="H183" s="387"/>
      <c r="I183" s="443"/>
      <c r="J183" s="382"/>
      <c r="N183" s="372"/>
      <c r="O183" s="372"/>
    </row>
    <row r="184" spans="1:15" ht="42" customHeight="1">
      <c r="A184" s="382"/>
      <c r="B184" s="395"/>
      <c r="C184" s="409" t="s">
        <v>930</v>
      </c>
      <c r="D184" s="407" t="s">
        <v>934</v>
      </c>
      <c r="E184" s="407" t="s">
        <v>933</v>
      </c>
      <c r="F184" s="407" t="s">
        <v>1103</v>
      </c>
      <c r="G184" s="407" t="s">
        <v>935</v>
      </c>
      <c r="H184" s="387"/>
      <c r="I184" s="443"/>
      <c r="J184" s="382"/>
      <c r="N184" s="372"/>
      <c r="O184" s="372"/>
    </row>
    <row r="185" spans="1:15" ht="17.25" customHeight="1">
      <c r="A185" s="382"/>
      <c r="B185" s="395"/>
      <c r="C185" s="409"/>
      <c r="D185" s="407">
        <v>7</v>
      </c>
      <c r="E185" s="407"/>
      <c r="F185" s="407"/>
      <c r="G185" s="407"/>
      <c r="H185" s="387"/>
      <c r="I185" s="443"/>
      <c r="J185" s="382"/>
      <c r="N185" s="372"/>
      <c r="O185" s="372"/>
    </row>
    <row r="186" spans="1:15">
      <c r="A186" s="382"/>
      <c r="B186" s="389" t="s">
        <v>951</v>
      </c>
      <c r="C186" s="390">
        <v>2</v>
      </c>
      <c r="D186" s="446"/>
      <c r="E186" s="431"/>
      <c r="F186" s="681">
        <f t="shared" ref="F186:F195" si="4">IF($D$185=7,($E$98*(D186/100))*(($D$70-($D$70*($E$87/100)))-(($D$70-(($D$70*($E$87/100))))*($E$88/100))),IF($D$185=6,D186*25,IF($D$185=5,D186*30,IF($D$185=4,D186*45,IF($D$185=3,D186*60,IF($D$185=2,D186*1000,IF($D$185=1,D186)))))))</f>
        <v>0</v>
      </c>
      <c r="G186" s="447">
        <f t="shared" ref="G186:G195" si="5">IF(D186=0,E186,IF(D186&gt;0,E186*F186))</f>
        <v>0</v>
      </c>
      <c r="H186" s="387"/>
      <c r="I186" s="443"/>
      <c r="J186" s="382"/>
      <c r="N186" s="372"/>
      <c r="O186" s="372"/>
    </row>
    <row r="187" spans="1:15">
      <c r="A187" s="382"/>
      <c r="B187" s="389"/>
      <c r="C187" s="390">
        <v>3</v>
      </c>
      <c r="D187" s="446"/>
      <c r="E187" s="431"/>
      <c r="F187" s="681">
        <f t="shared" si="4"/>
        <v>0</v>
      </c>
      <c r="G187" s="447">
        <f t="shared" si="5"/>
        <v>0</v>
      </c>
      <c r="H187" s="387"/>
      <c r="I187" s="443"/>
      <c r="J187" s="382"/>
      <c r="K187" s="682"/>
      <c r="N187" s="372"/>
      <c r="O187" s="372"/>
    </row>
    <row r="188" spans="1:15">
      <c r="A188" s="382"/>
      <c r="B188" s="389"/>
      <c r="C188" s="390">
        <v>19</v>
      </c>
      <c r="D188" s="446"/>
      <c r="E188" s="431"/>
      <c r="F188" s="681">
        <f t="shared" si="4"/>
        <v>0</v>
      </c>
      <c r="G188" s="447">
        <f t="shared" si="5"/>
        <v>0</v>
      </c>
      <c r="H188" s="387"/>
      <c r="I188" s="443"/>
      <c r="J188" s="382"/>
      <c r="N188" s="372"/>
      <c r="O188" s="372"/>
    </row>
    <row r="189" spans="1:15">
      <c r="A189" s="382"/>
      <c r="B189" s="389"/>
      <c r="C189" s="390">
        <v>20</v>
      </c>
      <c r="D189" s="446"/>
      <c r="E189" s="446"/>
      <c r="F189" s="681">
        <f t="shared" si="4"/>
        <v>0</v>
      </c>
      <c r="G189" s="447">
        <f t="shared" si="5"/>
        <v>0</v>
      </c>
      <c r="H189" s="387"/>
      <c r="I189" s="443"/>
      <c r="J189" s="382"/>
      <c r="K189" s="372"/>
      <c r="L189" s="372"/>
      <c r="M189" s="372"/>
      <c r="N189" s="372"/>
      <c r="O189" s="372"/>
    </row>
    <row r="190" spans="1:15">
      <c r="A190" s="382"/>
      <c r="B190" s="389"/>
      <c r="C190" s="390">
        <v>1</v>
      </c>
      <c r="D190" s="446"/>
      <c r="E190" s="446"/>
      <c r="F190" s="681">
        <f t="shared" si="4"/>
        <v>0</v>
      </c>
      <c r="G190" s="447">
        <f t="shared" si="5"/>
        <v>0</v>
      </c>
      <c r="H190" s="387"/>
      <c r="I190" s="443"/>
      <c r="J190" s="382"/>
      <c r="K190" s="372"/>
      <c r="L190" s="372"/>
      <c r="M190" s="372"/>
      <c r="N190" s="372"/>
      <c r="O190" s="372"/>
    </row>
    <row r="191" spans="1:15">
      <c r="A191" s="382"/>
      <c r="B191" s="389"/>
      <c r="C191" s="390">
        <v>1</v>
      </c>
      <c r="D191" s="446"/>
      <c r="E191" s="446"/>
      <c r="F191" s="681">
        <f t="shared" si="4"/>
        <v>0</v>
      </c>
      <c r="G191" s="447">
        <f t="shared" si="5"/>
        <v>0</v>
      </c>
      <c r="H191" s="387"/>
      <c r="I191" s="443"/>
      <c r="J191" s="382"/>
      <c r="K191" s="372"/>
      <c r="L191" s="372"/>
      <c r="M191" s="372"/>
      <c r="N191" s="372"/>
      <c r="O191" s="372"/>
    </row>
    <row r="192" spans="1:15">
      <c r="A192" s="382"/>
      <c r="B192" s="389"/>
      <c r="C192" s="390">
        <v>1</v>
      </c>
      <c r="D192" s="446"/>
      <c r="E192" s="446"/>
      <c r="F192" s="681">
        <f t="shared" si="4"/>
        <v>0</v>
      </c>
      <c r="G192" s="447">
        <f t="shared" si="5"/>
        <v>0</v>
      </c>
      <c r="H192" s="387"/>
      <c r="I192" s="443"/>
      <c r="J192" s="382"/>
      <c r="K192" s="372"/>
      <c r="L192" s="372"/>
      <c r="M192" s="372"/>
      <c r="N192" s="372"/>
      <c r="O192" s="372"/>
    </row>
    <row r="193" spans="1:15">
      <c r="A193" s="382"/>
      <c r="B193" s="389"/>
      <c r="C193" s="390">
        <v>1</v>
      </c>
      <c r="D193" s="446"/>
      <c r="E193" s="446"/>
      <c r="F193" s="681">
        <f t="shared" si="4"/>
        <v>0</v>
      </c>
      <c r="G193" s="447">
        <f t="shared" si="5"/>
        <v>0</v>
      </c>
      <c r="H193" s="387"/>
      <c r="I193" s="443"/>
      <c r="J193" s="382"/>
      <c r="K193" s="372"/>
      <c r="L193" s="372"/>
      <c r="M193" s="372"/>
      <c r="N193" s="372"/>
      <c r="O193" s="372"/>
    </row>
    <row r="194" spans="1:15">
      <c r="A194" s="382"/>
      <c r="B194" s="731"/>
      <c r="C194" s="390">
        <v>1</v>
      </c>
      <c r="D194" s="446"/>
      <c r="E194" s="446"/>
      <c r="F194" s="681">
        <f t="shared" si="4"/>
        <v>0</v>
      </c>
      <c r="G194" s="447">
        <f t="shared" si="5"/>
        <v>0</v>
      </c>
      <c r="H194" s="387"/>
      <c r="I194" s="443"/>
      <c r="J194" s="382"/>
      <c r="K194" s="372"/>
      <c r="L194" s="372"/>
      <c r="M194" s="372"/>
      <c r="N194" s="372"/>
      <c r="O194" s="372"/>
    </row>
    <row r="195" spans="1:15">
      <c r="A195" s="382"/>
      <c r="B195" s="731"/>
      <c r="C195" s="390">
        <v>1</v>
      </c>
      <c r="D195" s="446"/>
      <c r="E195" s="446"/>
      <c r="F195" s="681">
        <f t="shared" si="4"/>
        <v>0</v>
      </c>
      <c r="G195" s="447">
        <f t="shared" si="5"/>
        <v>0</v>
      </c>
      <c r="H195" s="387"/>
      <c r="I195" s="443"/>
      <c r="J195" s="382"/>
      <c r="K195" s="372"/>
      <c r="L195" s="372"/>
      <c r="M195" s="372"/>
      <c r="N195" s="372"/>
      <c r="O195" s="372"/>
    </row>
    <row r="196" spans="1:15" ht="38.25" customHeight="1">
      <c r="A196" s="382"/>
      <c r="B196" s="395"/>
      <c r="C196" s="409" t="s">
        <v>930</v>
      </c>
      <c r="D196" s="407" t="s">
        <v>934</v>
      </c>
      <c r="E196" s="407" t="s">
        <v>933</v>
      </c>
      <c r="F196" s="407" t="s">
        <v>1103</v>
      </c>
      <c r="G196" s="407" t="s">
        <v>935</v>
      </c>
      <c r="H196" s="373"/>
      <c r="I196" s="443"/>
      <c r="J196" s="382"/>
      <c r="K196" s="372"/>
      <c r="L196" s="372"/>
      <c r="M196" s="372"/>
      <c r="N196" s="372"/>
      <c r="O196" s="372"/>
    </row>
    <row r="197" spans="1:15" ht="15" customHeight="1">
      <c r="A197" s="382"/>
      <c r="B197" s="395"/>
      <c r="C197" s="409"/>
      <c r="D197" s="407">
        <v>7</v>
      </c>
      <c r="E197" s="407"/>
      <c r="F197" s="407"/>
      <c r="G197" s="407"/>
      <c r="H197" s="373"/>
      <c r="I197" s="443"/>
      <c r="J197" s="382"/>
      <c r="K197" s="372"/>
      <c r="L197" s="372"/>
      <c r="M197" s="372"/>
      <c r="N197" s="372"/>
      <c r="O197" s="372"/>
    </row>
    <row r="198" spans="1:15">
      <c r="A198" s="382"/>
      <c r="B198" s="389" t="s">
        <v>892</v>
      </c>
      <c r="C198" s="390">
        <v>2</v>
      </c>
      <c r="D198" s="446"/>
      <c r="E198" s="431"/>
      <c r="F198" s="681">
        <f>IF($D$197=7,($E$99*(D198/100))*(($D$70-($D$70*($E$87/100)))-((($D$70-($D$70*($E$87/100)))*$E$88/100))-((($D$70-($D$70*($E$87/100)))-(($D$70-($D$70*($E$87/100))))*$E$88/100)*(E89/100))),IF($D$197=6,D198*25,IF($D$197=5,D198*30,IF($D$197=4,D198*45,IF($D$197=3,D198*60,IF($D$197=2,D198*1000,IF($D$197=1,D198)))))))</f>
        <v>0</v>
      </c>
      <c r="G198" s="447">
        <f t="shared" ref="G198:G207" si="6">IF(D198=0,E198,IF(D198&gt;0,E198*F198))</f>
        <v>0</v>
      </c>
      <c r="H198" s="387"/>
      <c r="I198" s="443"/>
      <c r="J198" s="382"/>
      <c r="K198" s="372"/>
      <c r="L198" s="372"/>
      <c r="M198" s="372"/>
      <c r="N198" s="372"/>
      <c r="O198" s="372"/>
    </row>
    <row r="199" spans="1:15">
      <c r="A199" s="382"/>
      <c r="B199" s="389"/>
      <c r="C199" s="390">
        <v>3</v>
      </c>
      <c r="D199" s="446"/>
      <c r="E199" s="431"/>
      <c r="F199" s="681">
        <f t="shared" ref="F199:F207" si="7">IF($D$197=7,($E$99*(D199/100))*(($D$70-($D$70*($E$87/100)))-((($D$70-($D$70*($E$87/100)))*$E$88/100))-((($D$70-($D$70*($E$87/100)))-(($D$70-($D$70*($E$87/100))))*$E$88/100)*(E91/100))),IF($D$197=6,D199*25,IF($D$197=5,D199*30,IF($D$197=4,D199*45,IF($D$197=3,D199*60,IF($D$197=2,D199*1000,IF($D$197=1,D199)))))))</f>
        <v>0</v>
      </c>
      <c r="G199" s="447">
        <f t="shared" si="6"/>
        <v>0</v>
      </c>
      <c r="H199" s="387"/>
      <c r="I199" s="443"/>
      <c r="J199" s="382"/>
      <c r="K199" s="372"/>
      <c r="L199" s="372"/>
      <c r="M199" s="372"/>
      <c r="N199" s="372"/>
      <c r="O199" s="372"/>
    </row>
    <row r="200" spans="1:15">
      <c r="A200" s="382"/>
      <c r="B200" s="389"/>
      <c r="C200" s="390">
        <v>19</v>
      </c>
      <c r="D200" s="446"/>
      <c r="E200" s="431"/>
      <c r="F200" s="681">
        <f t="shared" si="7"/>
        <v>0</v>
      </c>
      <c r="G200" s="447">
        <f t="shared" si="6"/>
        <v>0</v>
      </c>
      <c r="H200" s="387"/>
      <c r="I200" s="443"/>
      <c r="J200" s="382"/>
      <c r="K200" s="372"/>
      <c r="L200" s="372"/>
      <c r="M200" s="372"/>
      <c r="N200" s="372"/>
      <c r="O200" s="372"/>
    </row>
    <row r="201" spans="1:15" ht="15" customHeight="1">
      <c r="A201" s="382"/>
      <c r="B201" s="389"/>
      <c r="C201" s="390">
        <v>20</v>
      </c>
      <c r="D201" s="446"/>
      <c r="E201" s="446"/>
      <c r="F201" s="681">
        <f t="shared" si="7"/>
        <v>0</v>
      </c>
      <c r="G201" s="447">
        <f t="shared" si="6"/>
        <v>0</v>
      </c>
      <c r="H201" s="387"/>
      <c r="I201" s="443"/>
      <c r="J201" s="382"/>
      <c r="K201" s="372"/>
      <c r="L201" s="372"/>
      <c r="M201" s="372"/>
      <c r="N201" s="372"/>
      <c r="O201" s="372"/>
    </row>
    <row r="202" spans="1:15">
      <c r="A202" s="382"/>
      <c r="B202" s="389"/>
      <c r="C202" s="390">
        <v>1</v>
      </c>
      <c r="D202" s="446"/>
      <c r="E202" s="446"/>
      <c r="F202" s="681">
        <f t="shared" si="7"/>
        <v>0</v>
      </c>
      <c r="G202" s="447">
        <f t="shared" si="6"/>
        <v>0</v>
      </c>
      <c r="H202" s="387"/>
      <c r="I202" s="443"/>
      <c r="J202" s="382"/>
      <c r="K202" s="372"/>
      <c r="L202" s="372"/>
      <c r="M202" s="372"/>
      <c r="N202" s="372"/>
      <c r="O202" s="372"/>
    </row>
    <row r="203" spans="1:15">
      <c r="A203" s="382"/>
      <c r="B203" s="389"/>
      <c r="C203" s="390">
        <v>1</v>
      </c>
      <c r="D203" s="446"/>
      <c r="E203" s="446"/>
      <c r="F203" s="681">
        <f t="shared" si="7"/>
        <v>0</v>
      </c>
      <c r="G203" s="447">
        <f t="shared" si="6"/>
        <v>0</v>
      </c>
      <c r="H203" s="387"/>
      <c r="I203" s="443"/>
      <c r="J203" s="382"/>
      <c r="K203" s="372"/>
      <c r="L203" s="372"/>
      <c r="M203" s="372"/>
      <c r="N203" s="372"/>
      <c r="O203" s="372"/>
    </row>
    <row r="204" spans="1:15">
      <c r="A204" s="382"/>
      <c r="B204" s="389"/>
      <c r="C204" s="390">
        <v>1</v>
      </c>
      <c r="D204" s="446"/>
      <c r="E204" s="446"/>
      <c r="F204" s="681">
        <f t="shared" si="7"/>
        <v>0</v>
      </c>
      <c r="G204" s="447">
        <f t="shared" si="6"/>
        <v>0</v>
      </c>
      <c r="H204" s="387"/>
      <c r="I204" s="443"/>
      <c r="J204" s="382"/>
      <c r="K204" s="372"/>
      <c r="L204" s="372"/>
      <c r="M204" s="372"/>
      <c r="N204" s="372"/>
      <c r="O204" s="372"/>
    </row>
    <row r="205" spans="1:15">
      <c r="A205" s="382"/>
      <c r="B205" s="389"/>
      <c r="C205" s="390">
        <v>1</v>
      </c>
      <c r="D205" s="446"/>
      <c r="E205" s="446"/>
      <c r="F205" s="681">
        <f t="shared" si="7"/>
        <v>0</v>
      </c>
      <c r="G205" s="447">
        <f t="shared" si="6"/>
        <v>0</v>
      </c>
      <c r="H205" s="387"/>
      <c r="I205" s="443"/>
      <c r="J205" s="382"/>
      <c r="K205" s="372"/>
      <c r="L205" s="372"/>
      <c r="M205" s="372"/>
      <c r="N205" s="372"/>
      <c r="O205" s="372"/>
    </row>
    <row r="206" spans="1:15">
      <c r="A206" s="382"/>
      <c r="B206" s="731"/>
      <c r="C206" s="390">
        <v>1</v>
      </c>
      <c r="D206" s="446"/>
      <c r="E206" s="446"/>
      <c r="F206" s="681">
        <f t="shared" si="7"/>
        <v>0</v>
      </c>
      <c r="G206" s="447">
        <f t="shared" si="6"/>
        <v>0</v>
      </c>
      <c r="H206" s="387"/>
      <c r="I206" s="443"/>
      <c r="J206" s="382"/>
      <c r="K206" s="372"/>
      <c r="L206" s="372"/>
      <c r="M206" s="372"/>
      <c r="N206" s="372"/>
      <c r="O206" s="372"/>
    </row>
    <row r="207" spans="1:15">
      <c r="A207" s="382"/>
      <c r="B207" s="731"/>
      <c r="C207" s="390">
        <v>1</v>
      </c>
      <c r="D207" s="446"/>
      <c r="E207" s="446"/>
      <c r="F207" s="681">
        <f t="shared" si="7"/>
        <v>0</v>
      </c>
      <c r="G207" s="447">
        <f t="shared" si="6"/>
        <v>0</v>
      </c>
      <c r="H207" s="387"/>
      <c r="I207" s="443"/>
      <c r="J207" s="382"/>
      <c r="K207" s="372"/>
      <c r="L207" s="372"/>
      <c r="M207" s="372"/>
      <c r="N207" s="372"/>
      <c r="O207" s="372"/>
    </row>
    <row r="208" spans="1:15">
      <c r="A208" s="382"/>
      <c r="B208" s="389"/>
      <c r="C208" s="389"/>
      <c r="D208" s="389"/>
      <c r="E208" s="389"/>
      <c r="F208" s="389"/>
      <c r="G208" s="412"/>
      <c r="H208" s="387"/>
      <c r="I208" s="443"/>
      <c r="J208" s="382"/>
      <c r="K208" s="372"/>
      <c r="L208" s="372"/>
      <c r="M208" s="372"/>
      <c r="N208" s="372"/>
      <c r="O208" s="372"/>
    </row>
    <row r="209" spans="1:15" s="607" customFormat="1" ht="14.25">
      <c r="A209" s="605"/>
      <c r="B209" s="1187" t="s">
        <v>1158</v>
      </c>
      <c r="C209" s="1187"/>
      <c r="D209" s="1187"/>
      <c r="E209" s="1187"/>
      <c r="F209" s="1187"/>
      <c r="G209" s="611"/>
      <c r="H209" s="611"/>
      <c r="I209" s="443"/>
      <c r="J209" s="605"/>
      <c r="K209" s="606"/>
      <c r="L209" s="606"/>
      <c r="M209" s="606"/>
      <c r="N209" s="606"/>
      <c r="O209" s="606"/>
    </row>
    <row r="210" spans="1:15" s="607" customFormat="1" ht="42.75">
      <c r="A210" s="605"/>
      <c r="B210" s="408"/>
      <c r="C210" s="517" t="s">
        <v>1133</v>
      </c>
      <c r="D210" s="408" t="s">
        <v>1109</v>
      </c>
      <c r="E210" s="408" t="s">
        <v>1110</v>
      </c>
      <c r="F210" s="408" t="s">
        <v>895</v>
      </c>
      <c r="G210" s="407"/>
      <c r="H210" s="407"/>
      <c r="I210" s="443"/>
      <c r="J210" s="605"/>
      <c r="K210" s="606"/>
      <c r="L210" s="606"/>
      <c r="M210" s="606"/>
      <c r="N210" s="606"/>
      <c r="O210" s="606"/>
    </row>
    <row r="211" spans="1:15" s="607" customFormat="1" ht="14.25">
      <c r="A211" s="605"/>
      <c r="B211" s="547" t="s">
        <v>896</v>
      </c>
      <c r="C211" s="724">
        <f>(0.83+1.2)*D105/1000</f>
        <v>2.4359999999999995</v>
      </c>
      <c r="D211" s="724">
        <f>C211</f>
        <v>2.4359999999999995</v>
      </c>
      <c r="E211" s="835">
        <v>27</v>
      </c>
      <c r="F211" s="444">
        <f>E211*D211</f>
        <v>65.771999999999991</v>
      </c>
      <c r="G211" s="450"/>
      <c r="H211" s="450"/>
      <c r="I211" s="443"/>
      <c r="J211" s="605"/>
      <c r="K211" s="606"/>
      <c r="L211" s="606"/>
      <c r="M211" s="606"/>
      <c r="N211" s="606"/>
      <c r="O211" s="606"/>
    </row>
    <row r="212" spans="1:15" s="607" customFormat="1" ht="14.25">
      <c r="A212" s="605"/>
      <c r="B212" s="547" t="s">
        <v>196</v>
      </c>
      <c r="C212" s="724">
        <f>1.3*D105/1000</f>
        <v>1.56</v>
      </c>
      <c r="D212" s="724">
        <f>C212</f>
        <v>1.56</v>
      </c>
      <c r="E212" s="835">
        <v>27</v>
      </c>
      <c r="F212" s="444">
        <f>E212*D212</f>
        <v>42.120000000000005</v>
      </c>
      <c r="G212" s="450"/>
      <c r="H212" s="450"/>
      <c r="I212" s="443"/>
      <c r="J212" s="605"/>
      <c r="K212" s="606"/>
      <c r="L212" s="606"/>
      <c r="M212" s="606"/>
      <c r="N212" s="606"/>
      <c r="O212" s="606"/>
    </row>
    <row r="213" spans="1:15" s="607" customFormat="1" ht="14.25">
      <c r="A213" s="605"/>
      <c r="B213" s="547" t="s">
        <v>722</v>
      </c>
      <c r="C213" s="724">
        <v>0</v>
      </c>
      <c r="D213" s="724">
        <v>0</v>
      </c>
      <c r="E213" s="835">
        <v>0</v>
      </c>
      <c r="F213" s="444">
        <f>IFERROR(E213*D213/C213,0)</f>
        <v>0</v>
      </c>
      <c r="G213" s="450"/>
      <c r="H213" s="450"/>
      <c r="I213" s="443"/>
      <c r="J213" s="605"/>
      <c r="K213" s="606"/>
      <c r="L213" s="606"/>
      <c r="M213" s="606"/>
      <c r="N213" s="606"/>
      <c r="O213" s="606"/>
    </row>
    <row r="214" spans="1:15" s="607" customFormat="1" ht="14.25">
      <c r="A214" s="605"/>
      <c r="B214" s="547" t="s">
        <v>723</v>
      </c>
      <c r="C214" s="724">
        <v>0</v>
      </c>
      <c r="D214" s="724">
        <v>0</v>
      </c>
      <c r="E214" s="835">
        <v>0</v>
      </c>
      <c r="F214" s="444">
        <f>IFERROR(E214*D214/C214,0)</f>
        <v>0</v>
      </c>
      <c r="G214" s="450"/>
      <c r="H214" s="450"/>
      <c r="I214" s="443"/>
      <c r="J214" s="605"/>
      <c r="K214" s="606"/>
      <c r="L214" s="606"/>
      <c r="M214" s="606"/>
      <c r="N214" s="606"/>
      <c r="O214" s="606"/>
    </row>
    <row r="215" spans="1:15">
      <c r="A215" s="382"/>
      <c r="B215" s="387"/>
      <c r="C215" s="387"/>
      <c r="D215" s="387"/>
      <c r="E215" s="387"/>
      <c r="F215" s="387"/>
      <c r="G215" s="387"/>
      <c r="H215" s="387"/>
      <c r="I215" s="443"/>
      <c r="J215" s="382"/>
      <c r="K215" s="372"/>
      <c r="L215" s="372"/>
      <c r="M215" s="372"/>
      <c r="N215" s="372"/>
      <c r="O215" s="372"/>
    </row>
    <row r="216" spans="1:15" s="607" customFormat="1" ht="14.25">
      <c r="A216" s="605"/>
      <c r="B216" s="1187" t="s">
        <v>1171</v>
      </c>
      <c r="C216" s="1187"/>
      <c r="D216" s="1187"/>
      <c r="E216" s="1187"/>
      <c r="F216" s="579"/>
      <c r="G216" s="579"/>
      <c r="H216" s="579"/>
      <c r="I216" s="443"/>
      <c r="J216" s="605"/>
      <c r="K216" s="606"/>
      <c r="L216" s="606"/>
      <c r="M216" s="606"/>
      <c r="N216" s="606"/>
      <c r="O216" s="606"/>
    </row>
    <row r="217" spans="1:15" s="607" customFormat="1" ht="14.25">
      <c r="A217" s="605"/>
      <c r="B217" s="547" t="s">
        <v>937</v>
      </c>
      <c r="C217" s="836">
        <v>0</v>
      </c>
      <c r="D217" s="836">
        <v>0</v>
      </c>
      <c r="E217" s="835">
        <v>0</v>
      </c>
      <c r="F217" s="444">
        <f>IFERROR(E217*D217/C217,0)</f>
        <v>0</v>
      </c>
      <c r="G217" s="450"/>
      <c r="H217" s="450"/>
      <c r="I217" s="443"/>
      <c r="J217" s="605"/>
      <c r="K217" s="606"/>
      <c r="L217" s="606"/>
      <c r="M217" s="606"/>
      <c r="N217" s="606"/>
      <c r="O217" s="606"/>
    </row>
    <row r="218" spans="1:15" s="607" customFormat="1" ht="14.25">
      <c r="A218" s="605"/>
      <c r="B218" s="547" t="s">
        <v>938</v>
      </c>
      <c r="C218" s="836">
        <v>0</v>
      </c>
      <c r="D218" s="836">
        <v>0</v>
      </c>
      <c r="E218" s="835">
        <v>0</v>
      </c>
      <c r="F218" s="444">
        <f>IFERROR(E218*D218/C218,0)</f>
        <v>0</v>
      </c>
      <c r="G218" s="450"/>
      <c r="H218" s="450"/>
      <c r="I218" s="443"/>
      <c r="J218" s="605"/>
      <c r="K218" s="606"/>
      <c r="L218" s="606"/>
      <c r="M218" s="606"/>
      <c r="N218" s="606"/>
      <c r="O218" s="606"/>
    </row>
    <row r="219" spans="1:15">
      <c r="A219" s="382"/>
      <c r="B219" s="387"/>
      <c r="C219" s="450"/>
      <c r="D219" s="450"/>
      <c r="E219" s="450"/>
      <c r="F219" s="450"/>
      <c r="G219" s="450"/>
      <c r="H219" s="387"/>
      <c r="I219" s="443"/>
      <c r="J219" s="382"/>
      <c r="K219" s="372"/>
      <c r="L219" s="372"/>
      <c r="M219" s="372"/>
      <c r="N219" s="372"/>
      <c r="O219" s="372"/>
    </row>
    <row r="220" spans="1:15" s="607" customFormat="1" ht="14.25">
      <c r="A220" s="605"/>
      <c r="B220" s="1187" t="s">
        <v>1159</v>
      </c>
      <c r="C220" s="1187"/>
      <c r="D220" s="1187"/>
      <c r="E220" s="1187"/>
      <c r="F220" s="579"/>
      <c r="G220" s="579"/>
      <c r="H220" s="579"/>
      <c r="I220" s="443"/>
      <c r="J220" s="605"/>
      <c r="K220" s="606"/>
      <c r="L220" s="606"/>
      <c r="M220" s="606"/>
      <c r="N220" s="606"/>
      <c r="O220" s="606"/>
    </row>
    <row r="221" spans="1:15" ht="38.25">
      <c r="A221" s="382"/>
      <c r="B221" s="373"/>
      <c r="C221" s="517" t="s">
        <v>1134</v>
      </c>
      <c r="D221" s="726" t="s">
        <v>1172</v>
      </c>
      <c r="E221" s="517" t="s">
        <v>1173</v>
      </c>
      <c r="F221" s="517" t="s">
        <v>1174</v>
      </c>
      <c r="G221" s="517" t="s">
        <v>918</v>
      </c>
      <c r="H221" s="373"/>
      <c r="I221" s="443"/>
      <c r="J221" s="382"/>
      <c r="K221" s="372"/>
      <c r="L221" s="372"/>
      <c r="M221" s="372"/>
      <c r="N221" s="372"/>
      <c r="O221" s="372"/>
    </row>
    <row r="222" spans="1:15">
      <c r="A222" s="382"/>
      <c r="B222" s="387">
        <v>1</v>
      </c>
      <c r="C222" s="727">
        <v>0</v>
      </c>
      <c r="D222" s="728">
        <v>0</v>
      </c>
      <c r="E222" s="435">
        <v>0</v>
      </c>
      <c r="F222" s="445">
        <v>0</v>
      </c>
      <c r="G222" s="444">
        <f>IFERROR(IF(F222&gt;0,F222,IF(F222=0,E222*D222/C222)),0)</f>
        <v>0</v>
      </c>
      <c r="H222" s="725"/>
      <c r="I222" s="443"/>
      <c r="J222" s="382"/>
      <c r="K222" s="372"/>
      <c r="L222" s="372"/>
      <c r="M222" s="372"/>
      <c r="N222" s="372"/>
      <c r="O222" s="372"/>
    </row>
    <row r="223" spans="1:15">
      <c r="A223" s="382"/>
      <c r="B223" s="387">
        <v>1</v>
      </c>
      <c r="C223" s="727">
        <v>0</v>
      </c>
      <c r="D223" s="728">
        <v>0</v>
      </c>
      <c r="E223" s="435">
        <v>0</v>
      </c>
      <c r="F223" s="445">
        <v>0</v>
      </c>
      <c r="G223" s="444">
        <f t="shared" ref="G223:G231" si="8">IFERROR(IF(F223&gt;0,F223,IF(F223=0,E223*D223/C223)),0)</f>
        <v>0</v>
      </c>
      <c r="H223" s="373"/>
      <c r="I223" s="443"/>
      <c r="J223" s="382"/>
      <c r="K223" s="372"/>
      <c r="L223" s="372"/>
      <c r="M223" s="372"/>
      <c r="N223" s="372"/>
      <c r="O223" s="372"/>
    </row>
    <row r="224" spans="1:15">
      <c r="A224" s="382"/>
      <c r="B224" s="387">
        <v>1</v>
      </c>
      <c r="C224" s="727">
        <v>0</v>
      </c>
      <c r="D224" s="728">
        <v>0</v>
      </c>
      <c r="E224" s="435">
        <v>0</v>
      </c>
      <c r="F224" s="445">
        <v>0</v>
      </c>
      <c r="G224" s="444">
        <f t="shared" si="8"/>
        <v>0</v>
      </c>
      <c r="H224" s="373"/>
      <c r="I224" s="443"/>
      <c r="J224" s="382"/>
      <c r="K224" s="372"/>
      <c r="L224" s="372"/>
      <c r="M224" s="372"/>
      <c r="N224" s="372"/>
      <c r="O224" s="372"/>
    </row>
    <row r="225" spans="1:15">
      <c r="A225" s="382"/>
      <c r="B225" s="387">
        <v>1</v>
      </c>
      <c r="C225" s="727">
        <v>0</v>
      </c>
      <c r="D225" s="728">
        <v>0</v>
      </c>
      <c r="E225" s="435">
        <v>0</v>
      </c>
      <c r="F225" s="445">
        <v>0</v>
      </c>
      <c r="G225" s="444">
        <f t="shared" si="8"/>
        <v>0</v>
      </c>
      <c r="H225" s="373"/>
      <c r="I225" s="443"/>
      <c r="J225" s="382"/>
      <c r="K225" s="372"/>
      <c r="L225" s="372"/>
      <c r="M225" s="372"/>
      <c r="N225" s="372"/>
      <c r="O225" s="372"/>
    </row>
    <row r="226" spans="1:15">
      <c r="A226" s="382"/>
      <c r="B226" s="387">
        <v>1</v>
      </c>
      <c r="C226" s="727">
        <v>0</v>
      </c>
      <c r="D226" s="728">
        <v>0</v>
      </c>
      <c r="E226" s="435">
        <v>0</v>
      </c>
      <c r="F226" s="445">
        <v>0</v>
      </c>
      <c r="G226" s="444">
        <f t="shared" si="8"/>
        <v>0</v>
      </c>
      <c r="H226" s="373"/>
      <c r="I226" s="443"/>
      <c r="J226" s="382"/>
      <c r="K226" s="372"/>
      <c r="L226" s="372"/>
      <c r="M226" s="372"/>
      <c r="N226" s="372"/>
      <c r="O226" s="372"/>
    </row>
    <row r="227" spans="1:15">
      <c r="A227" s="382"/>
      <c r="B227" s="387">
        <v>1</v>
      </c>
      <c r="C227" s="727">
        <v>0</v>
      </c>
      <c r="D227" s="728">
        <v>0</v>
      </c>
      <c r="E227" s="435">
        <v>0</v>
      </c>
      <c r="F227" s="445">
        <v>0</v>
      </c>
      <c r="G227" s="444">
        <f t="shared" si="8"/>
        <v>0</v>
      </c>
      <c r="H227" s="373"/>
      <c r="I227" s="443"/>
      <c r="J227" s="382"/>
      <c r="K227" s="372"/>
      <c r="L227" s="372"/>
      <c r="M227" s="372"/>
      <c r="N227" s="372"/>
      <c r="O227" s="372"/>
    </row>
    <row r="228" spans="1:15">
      <c r="A228" s="382"/>
      <c r="B228" s="387">
        <v>1</v>
      </c>
      <c r="C228" s="727">
        <v>0</v>
      </c>
      <c r="D228" s="728">
        <v>0</v>
      </c>
      <c r="E228" s="435">
        <v>0</v>
      </c>
      <c r="F228" s="445">
        <v>0</v>
      </c>
      <c r="G228" s="444">
        <f t="shared" si="8"/>
        <v>0</v>
      </c>
      <c r="H228" s="373"/>
      <c r="I228" s="443"/>
      <c r="J228" s="382"/>
      <c r="K228" s="372"/>
      <c r="L228" s="372"/>
      <c r="M228" s="372"/>
      <c r="N228" s="372"/>
      <c r="O228" s="372"/>
    </row>
    <row r="229" spans="1:15">
      <c r="A229" s="382"/>
      <c r="B229" s="387">
        <v>1</v>
      </c>
      <c r="C229" s="727">
        <v>0</v>
      </c>
      <c r="D229" s="728">
        <v>0</v>
      </c>
      <c r="E229" s="435">
        <v>0</v>
      </c>
      <c r="F229" s="445">
        <v>0</v>
      </c>
      <c r="G229" s="444">
        <f t="shared" si="8"/>
        <v>0</v>
      </c>
      <c r="H229" s="373"/>
      <c r="I229" s="443"/>
      <c r="J229" s="382"/>
      <c r="K229" s="372"/>
      <c r="L229" s="372"/>
      <c r="M229" s="372"/>
      <c r="N229" s="372"/>
      <c r="O229" s="372"/>
    </row>
    <row r="230" spans="1:15">
      <c r="A230" s="382"/>
      <c r="B230" s="387">
        <v>1</v>
      </c>
      <c r="C230" s="727">
        <v>0</v>
      </c>
      <c r="D230" s="728">
        <v>0</v>
      </c>
      <c r="E230" s="435">
        <v>0</v>
      </c>
      <c r="F230" s="445">
        <v>0</v>
      </c>
      <c r="G230" s="444">
        <f t="shared" si="8"/>
        <v>0</v>
      </c>
      <c r="H230" s="373"/>
      <c r="I230" s="443"/>
      <c r="J230" s="382"/>
      <c r="K230" s="372"/>
      <c r="L230" s="372"/>
      <c r="M230" s="372"/>
      <c r="N230" s="372"/>
      <c r="O230" s="372"/>
    </row>
    <row r="231" spans="1:15">
      <c r="A231" s="382"/>
      <c r="B231" s="387">
        <v>1</v>
      </c>
      <c r="C231" s="727">
        <v>0</v>
      </c>
      <c r="D231" s="728">
        <v>0</v>
      </c>
      <c r="E231" s="435">
        <v>0</v>
      </c>
      <c r="F231" s="445">
        <v>0</v>
      </c>
      <c r="G231" s="444">
        <f t="shared" si="8"/>
        <v>0</v>
      </c>
      <c r="H231" s="373"/>
      <c r="I231" s="443"/>
      <c r="J231" s="382"/>
      <c r="K231" s="372"/>
      <c r="L231" s="372"/>
      <c r="M231" s="372"/>
      <c r="N231" s="372"/>
      <c r="O231" s="372"/>
    </row>
    <row r="232" spans="1:15">
      <c r="A232" s="382"/>
      <c r="B232" s="387"/>
      <c r="C232" s="387"/>
      <c r="D232" s="387"/>
      <c r="E232" s="387"/>
      <c r="F232" s="387"/>
      <c r="G232" s="387"/>
      <c r="H232" s="387"/>
      <c r="I232" s="443"/>
      <c r="J232" s="382"/>
      <c r="K232" s="372"/>
      <c r="L232" s="372"/>
      <c r="M232" s="372"/>
      <c r="N232" s="372"/>
      <c r="O232" s="372"/>
    </row>
    <row r="233" spans="1:15" s="607" customFormat="1" ht="14.25">
      <c r="A233" s="605"/>
      <c r="B233" s="1187" t="s">
        <v>973</v>
      </c>
      <c r="C233" s="1187"/>
      <c r="D233" s="1187"/>
      <c r="E233" s="579"/>
      <c r="F233" s="579"/>
      <c r="G233" s="579"/>
      <c r="H233" s="579"/>
      <c r="I233" s="443"/>
      <c r="J233" s="605"/>
      <c r="K233" s="606"/>
      <c r="L233" s="606"/>
      <c r="M233" s="606"/>
      <c r="N233" s="606"/>
      <c r="O233" s="606"/>
    </row>
    <row r="234" spans="1:15" s="607" customFormat="1" ht="14.25">
      <c r="A234" s="605"/>
      <c r="B234" s="700"/>
      <c r="C234" s="700"/>
      <c r="D234" s="700"/>
      <c r="E234" s="458"/>
      <c r="F234" s="701"/>
      <c r="G234" s="701"/>
      <c r="H234" s="458"/>
      <c r="I234" s="443"/>
      <c r="J234" s="605"/>
      <c r="K234" s="606"/>
      <c r="L234" s="606"/>
      <c r="M234" s="606"/>
      <c r="N234" s="606"/>
      <c r="O234" s="606"/>
    </row>
    <row r="235" spans="1:15" s="607" customFormat="1" ht="14.25">
      <c r="A235" s="605"/>
      <c r="B235" s="1193" t="s">
        <v>976</v>
      </c>
      <c r="C235" s="1193"/>
      <c r="D235" s="1193"/>
      <c r="E235" s="435">
        <v>0</v>
      </c>
      <c r="F235" s="725">
        <f>E235*D105</f>
        <v>0</v>
      </c>
      <c r="G235" s="725">
        <f>(F235*(4.15/100)/5.5)-(F235*(2.22/100)/5.5)</f>
        <v>0</v>
      </c>
      <c r="H235" s="450"/>
      <c r="I235" s="443"/>
      <c r="J235" s="605"/>
      <c r="K235" s="606"/>
      <c r="L235" s="606"/>
      <c r="M235" s="606"/>
      <c r="N235" s="606"/>
      <c r="O235" s="606"/>
    </row>
    <row r="236" spans="1:15" s="607" customFormat="1">
      <c r="A236" s="605"/>
      <c r="B236" s="1192" t="s">
        <v>974</v>
      </c>
      <c r="C236" s="1192"/>
      <c r="D236" s="718"/>
      <c r="E236" s="458">
        <v>2.2200000000000002</v>
      </c>
      <c r="F236" s="450"/>
      <c r="G236" s="450"/>
      <c r="H236" s="450"/>
      <c r="I236" s="443"/>
      <c r="J236" s="605"/>
      <c r="K236" s="606"/>
      <c r="L236" s="606"/>
      <c r="M236" s="606"/>
      <c r="N236" s="606"/>
      <c r="O236" s="606"/>
    </row>
    <row r="237" spans="1:15" s="607" customFormat="1" ht="14.25">
      <c r="A237" s="605"/>
      <c r="B237" s="536" t="s">
        <v>978</v>
      </c>
      <c r="C237" s="718"/>
      <c r="D237" s="718"/>
      <c r="E237" s="795">
        <v>0.36</v>
      </c>
      <c r="F237" s="748">
        <f>(E237/100)*(SUM(Inventário!D23:D28))</f>
        <v>1804.8095999999998</v>
      </c>
      <c r="G237" s="450"/>
      <c r="H237" s="450"/>
      <c r="I237" s="443"/>
      <c r="J237" s="605"/>
      <c r="K237" s="606"/>
      <c r="L237" s="606"/>
      <c r="M237" s="606"/>
      <c r="N237" s="606"/>
      <c r="O237" s="606"/>
    </row>
    <row r="238" spans="1:15" s="607" customFormat="1" ht="14.25">
      <c r="A238" s="605"/>
      <c r="B238" s="753" t="s">
        <v>1227</v>
      </c>
      <c r="C238" s="753" t="s">
        <v>999</v>
      </c>
      <c r="D238" s="718"/>
      <c r="E238" s="795">
        <f>502.35/4</f>
        <v>125.58750000000001</v>
      </c>
      <c r="F238" s="432"/>
      <c r="G238" s="450"/>
      <c r="H238" s="450"/>
      <c r="I238" s="443"/>
      <c r="J238" s="605"/>
      <c r="K238" s="606"/>
      <c r="L238" s="606"/>
      <c r="M238" s="606"/>
      <c r="N238" s="606"/>
      <c r="O238" s="606"/>
    </row>
    <row r="239" spans="1:15" s="607" customFormat="1" ht="14.25">
      <c r="A239" s="605"/>
      <c r="B239" s="753" t="s">
        <v>1226</v>
      </c>
      <c r="C239" s="753" t="s">
        <v>999</v>
      </c>
      <c r="D239" s="718"/>
      <c r="E239" s="795">
        <v>0</v>
      </c>
      <c r="F239" s="432"/>
      <c r="G239" s="450"/>
      <c r="H239" s="450"/>
      <c r="I239" s="443"/>
      <c r="J239" s="605"/>
      <c r="K239" s="606"/>
      <c r="L239" s="606"/>
      <c r="M239" s="606"/>
      <c r="N239" s="606"/>
      <c r="O239" s="606"/>
    </row>
    <row r="240" spans="1:15" s="607" customFormat="1" ht="14.25">
      <c r="A240" s="605"/>
      <c r="B240" s="1186" t="s">
        <v>1493</v>
      </c>
      <c r="C240" s="1186"/>
      <c r="D240" s="576" t="s">
        <v>999</v>
      </c>
      <c r="E240" s="795">
        <v>0</v>
      </c>
      <c r="F240" s="432"/>
      <c r="G240" s="450"/>
      <c r="H240" s="450"/>
      <c r="I240" s="443"/>
      <c r="J240" s="605"/>
      <c r="K240" s="606"/>
      <c r="L240" s="606"/>
      <c r="M240" s="606"/>
      <c r="N240" s="606"/>
      <c r="O240" s="606"/>
    </row>
    <row r="241" spans="1:15" s="607" customFormat="1" ht="14.25">
      <c r="A241" s="605"/>
      <c r="B241" s="1186" t="s">
        <v>1135</v>
      </c>
      <c r="C241" s="1186"/>
      <c r="D241" s="1186"/>
      <c r="E241" s="795">
        <v>0</v>
      </c>
      <c r="F241" s="432"/>
      <c r="G241" s="450"/>
      <c r="H241" s="450"/>
      <c r="I241" s="443"/>
      <c r="J241" s="605"/>
      <c r="K241" s="606"/>
      <c r="L241" s="606"/>
      <c r="M241" s="606"/>
      <c r="N241" s="606"/>
      <c r="O241" s="606"/>
    </row>
    <row r="242" spans="1:15" s="607" customFormat="1" ht="14.25">
      <c r="A242" s="605"/>
      <c r="B242" s="1186" t="s">
        <v>1128</v>
      </c>
      <c r="C242" s="1186"/>
      <c r="D242" s="718"/>
      <c r="E242" s="435">
        <v>2.2999999999999998</v>
      </c>
      <c r="F242" s="450"/>
      <c r="G242" s="450"/>
      <c r="H242" s="450"/>
      <c r="I242" s="443"/>
      <c r="J242" s="605"/>
      <c r="K242" s="606"/>
      <c r="L242" s="606"/>
      <c r="M242" s="606"/>
      <c r="N242" s="606"/>
      <c r="O242" s="606"/>
    </row>
    <row r="243" spans="1:15" s="607" customFormat="1" ht="14.25">
      <c r="A243" s="605"/>
      <c r="B243" s="403" t="s">
        <v>1130</v>
      </c>
      <c r="C243" s="403"/>
      <c r="D243" s="403"/>
      <c r="E243" s="435">
        <v>6</v>
      </c>
      <c r="F243" s="574"/>
      <c r="G243" s="450"/>
      <c r="H243" s="450"/>
      <c r="I243" s="443"/>
      <c r="J243" s="605"/>
      <c r="K243" s="606"/>
      <c r="L243" s="606"/>
      <c r="M243" s="606"/>
      <c r="N243" s="606"/>
      <c r="O243" s="606"/>
    </row>
    <row r="244" spans="1:15">
      <c r="A244" s="382"/>
      <c r="B244" s="389"/>
      <c r="C244" s="389"/>
      <c r="D244" s="389"/>
      <c r="E244" s="389"/>
      <c r="F244" s="389"/>
      <c r="G244" s="389"/>
      <c r="H244" s="387"/>
      <c r="I244" s="443"/>
      <c r="J244" s="382"/>
      <c r="K244" s="372"/>
      <c r="L244" s="372"/>
      <c r="M244" s="372"/>
      <c r="N244" s="372"/>
      <c r="O244" s="372"/>
    </row>
    <row r="245" spans="1:15" ht="8.25" customHeight="1">
      <c r="A245" s="382"/>
      <c r="B245" s="354"/>
      <c r="C245" s="354"/>
      <c r="D245" s="1194"/>
      <c r="E245" s="1194"/>
      <c r="F245" s="1194"/>
      <c r="G245" s="417"/>
      <c r="H245" s="354"/>
      <c r="I245" s="538"/>
      <c r="J245" s="538"/>
      <c r="K245" s="372"/>
      <c r="L245" s="372"/>
      <c r="M245" s="372"/>
      <c r="N245" s="372"/>
      <c r="O245" s="372"/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48">
    <mergeCell ref="C50:F51"/>
    <mergeCell ref="D54:F55"/>
    <mergeCell ref="B131:D131"/>
    <mergeCell ref="G74:H74"/>
    <mergeCell ref="B105:C105"/>
    <mergeCell ref="E74:F74"/>
    <mergeCell ref="H65:H66"/>
    <mergeCell ref="B65:F66"/>
    <mergeCell ref="B70:C70"/>
    <mergeCell ref="B71:C71"/>
    <mergeCell ref="B72:C72"/>
    <mergeCell ref="G65:G66"/>
    <mergeCell ref="B73:C73"/>
    <mergeCell ref="B74:C74"/>
    <mergeCell ref="D1:F1"/>
    <mergeCell ref="B16:C16"/>
    <mergeCell ref="G13:H13"/>
    <mergeCell ref="B14:C14"/>
    <mergeCell ref="C47:F48"/>
    <mergeCell ref="D245:F245"/>
    <mergeCell ref="D2:F2"/>
    <mergeCell ref="B101:D101"/>
    <mergeCell ref="B103:E103"/>
    <mergeCell ref="B151:D151"/>
    <mergeCell ref="B171:F171"/>
    <mergeCell ref="B12:C12"/>
    <mergeCell ref="B2:C2"/>
    <mergeCell ref="B11:C11"/>
    <mergeCell ref="D12:H12"/>
    <mergeCell ref="D11:H11"/>
    <mergeCell ref="B15:C15"/>
    <mergeCell ref="B156:E156"/>
    <mergeCell ref="D15:H15"/>
    <mergeCell ref="B209:F209"/>
    <mergeCell ref="B13:C13"/>
    <mergeCell ref="B141:B145"/>
    <mergeCell ref="B173:C173"/>
    <mergeCell ref="E173:G173"/>
    <mergeCell ref="B236:C236"/>
    <mergeCell ref="B216:E216"/>
    <mergeCell ref="B235:D235"/>
    <mergeCell ref="B233:D233"/>
    <mergeCell ref="B220:E220"/>
    <mergeCell ref="B241:D241"/>
    <mergeCell ref="B242:C242"/>
    <mergeCell ref="B240:C240"/>
    <mergeCell ref="B160:D160"/>
    <mergeCell ref="B149:D149"/>
  </mergeCells>
  <hyperlinks>
    <hyperlink ref="B236:C236" r:id="rId2" display="IGP-DI (FGV) Índice mensal(%)"/>
  </hyperlinks>
  <pageMargins left="0.511811024" right="0.511811024" top="0.78740157499999996" bottom="0.78740157499999996" header="0.31496062000000002" footer="0.31496062000000002"/>
  <pageSetup paperSize="9" orientation="portrait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588" r:id="rId6" name="Drop Down 300">
              <controlPr defaultSize="0" autoLine="0" autoPict="0">
                <anchor moveWithCells="1">
                  <from>
                    <xdr:col>1</xdr:col>
                    <xdr:colOff>0</xdr:colOff>
                    <xdr:row>109</xdr:row>
                    <xdr:rowOff>0</xdr:rowOff>
                  </from>
                  <to>
                    <xdr:col>2</xdr:col>
                    <xdr:colOff>0</xdr:colOff>
                    <xdr:row>110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9" r:id="rId7" name="Drop Down 301">
              <controlPr defaultSize="0" autoLine="0" autoPict="0">
                <anchor moveWithCells="1">
                  <from>
                    <xdr:col>1</xdr:col>
                    <xdr:colOff>0</xdr:colOff>
                    <xdr:row>110</xdr:row>
                    <xdr:rowOff>0</xdr:rowOff>
                  </from>
                  <to>
                    <xdr:col>2</xdr:col>
                    <xdr:colOff>0</xdr:colOff>
                    <xdr:row>111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0" r:id="rId8" name="Drop Down 302">
              <controlPr defaultSize="0" autoLine="0" autoPict="0">
                <anchor moveWithCells="1">
                  <from>
                    <xdr:col>1</xdr:col>
                    <xdr:colOff>0</xdr:colOff>
                    <xdr:row>111</xdr:row>
                    <xdr:rowOff>0</xdr:rowOff>
                  </from>
                  <to>
                    <xdr:col>2</xdr:col>
                    <xdr:colOff>0</xdr:colOff>
                    <xdr:row>112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1" r:id="rId9" name="Drop Down 303">
              <controlPr defaultSize="0" autoLine="0" autoPict="0">
                <anchor moveWithCells="1">
                  <from>
                    <xdr:col>1</xdr:col>
                    <xdr:colOff>0</xdr:colOff>
                    <xdr:row>112</xdr:row>
                    <xdr:rowOff>0</xdr:rowOff>
                  </from>
                  <to>
                    <xdr:col>2</xdr:col>
                    <xdr:colOff>0</xdr:colOff>
                    <xdr:row>113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5" r:id="rId10" name="Drop Down 307">
              <controlPr defaultSize="0" autoLine="0" autoPict="0">
                <anchor moveWithCells="1">
                  <from>
                    <xdr:col>2</xdr:col>
                    <xdr:colOff>9525</xdr:colOff>
                    <xdr:row>173</xdr:row>
                    <xdr:rowOff>9525</xdr:rowOff>
                  </from>
                  <to>
                    <xdr:col>2</xdr:col>
                    <xdr:colOff>1476375</xdr:colOff>
                    <xdr:row>173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6" r:id="rId11" name="Drop Down 308">
              <controlPr defaultSize="0" autoLine="0" autoPict="0">
                <anchor moveWithCells="1">
                  <from>
                    <xdr:col>2</xdr:col>
                    <xdr:colOff>9525</xdr:colOff>
                    <xdr:row>176</xdr:row>
                    <xdr:rowOff>180975</xdr:rowOff>
                  </from>
                  <to>
                    <xdr:col>2</xdr:col>
                    <xdr:colOff>1476375</xdr:colOff>
                    <xdr:row>177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7" r:id="rId12" name="Drop Down 309">
              <controlPr defaultSize="0" autoLine="0" autoPict="0">
                <anchor moveWithCells="1">
                  <from>
                    <xdr:col>2</xdr:col>
                    <xdr:colOff>9525</xdr:colOff>
                    <xdr:row>175</xdr:row>
                    <xdr:rowOff>190500</xdr:rowOff>
                  </from>
                  <to>
                    <xdr:col>2</xdr:col>
                    <xdr:colOff>1476375</xdr:colOff>
                    <xdr:row>176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8" r:id="rId13" name="Drop Down 310">
              <controlPr defaultSize="0" autoLine="0" autoPict="0">
                <anchor moveWithCells="1">
                  <from>
                    <xdr:col>2</xdr:col>
                    <xdr:colOff>9525</xdr:colOff>
                    <xdr:row>177</xdr:row>
                    <xdr:rowOff>180975</xdr:rowOff>
                  </from>
                  <to>
                    <xdr:col>2</xdr:col>
                    <xdr:colOff>1476375</xdr:colOff>
                    <xdr:row>178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9" r:id="rId14" name="Drop Down 311">
              <controlPr defaultSize="0" autoLine="0" autoPict="0">
                <anchor moveWithCells="1">
                  <from>
                    <xdr:col>2</xdr:col>
                    <xdr:colOff>9525</xdr:colOff>
                    <xdr:row>178</xdr:row>
                    <xdr:rowOff>180975</xdr:rowOff>
                  </from>
                  <to>
                    <xdr:col>2</xdr:col>
                    <xdr:colOff>1476375</xdr:colOff>
                    <xdr:row>179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0" r:id="rId15" name="Drop Down 312">
              <controlPr defaultSize="0" autoLine="0" autoPict="0">
                <anchor moveWithCells="1">
                  <from>
                    <xdr:col>2</xdr:col>
                    <xdr:colOff>9525</xdr:colOff>
                    <xdr:row>179</xdr:row>
                    <xdr:rowOff>180975</xdr:rowOff>
                  </from>
                  <to>
                    <xdr:col>2</xdr:col>
                    <xdr:colOff>1476375</xdr:colOff>
                    <xdr:row>180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1" r:id="rId16" name="Drop Down 313">
              <controlPr defaultSize="0" autoLine="0" autoPict="0">
                <anchor moveWithCells="1">
                  <from>
                    <xdr:col>2</xdr:col>
                    <xdr:colOff>9525</xdr:colOff>
                    <xdr:row>180</xdr:row>
                    <xdr:rowOff>180975</xdr:rowOff>
                  </from>
                  <to>
                    <xdr:col>2</xdr:col>
                    <xdr:colOff>1476375</xdr:colOff>
                    <xdr:row>181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2" r:id="rId17" name="Drop Down 314">
              <controlPr defaultSize="0" autoLine="0" autoPict="0">
                <anchor moveWithCells="1">
                  <from>
                    <xdr:col>2</xdr:col>
                    <xdr:colOff>9525</xdr:colOff>
                    <xdr:row>181</xdr:row>
                    <xdr:rowOff>180975</xdr:rowOff>
                  </from>
                  <to>
                    <xdr:col>2</xdr:col>
                    <xdr:colOff>1476375</xdr:colOff>
                    <xdr:row>182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3" r:id="rId18" name="Drop Down 315">
              <controlPr defaultSize="0" autoLine="0" autoPict="0">
                <anchor moveWithCells="1">
                  <from>
                    <xdr:col>2</xdr:col>
                    <xdr:colOff>9525</xdr:colOff>
                    <xdr:row>175</xdr:row>
                    <xdr:rowOff>0</xdr:rowOff>
                  </from>
                  <to>
                    <xdr:col>2</xdr:col>
                    <xdr:colOff>1476375</xdr:colOff>
                    <xdr:row>175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4" r:id="rId19" name="Drop Down 316">
              <controlPr defaultSize="0" autoLine="0" autoPict="0">
                <anchor moveWithCells="1">
                  <from>
                    <xdr:col>2</xdr:col>
                    <xdr:colOff>9525</xdr:colOff>
                    <xdr:row>174</xdr:row>
                    <xdr:rowOff>0</xdr:rowOff>
                  </from>
                  <to>
                    <xdr:col>2</xdr:col>
                    <xdr:colOff>1476375</xdr:colOff>
                    <xdr:row>174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0" r:id="rId20" name="Drop Down 382">
              <controlPr defaultSize="0" autoLine="0" autoPict="0">
                <anchor moveWithCells="1">
                  <from>
                    <xdr:col>2</xdr:col>
                    <xdr:colOff>9525</xdr:colOff>
                    <xdr:row>185</xdr:row>
                    <xdr:rowOff>9525</xdr:rowOff>
                  </from>
                  <to>
                    <xdr:col>2</xdr:col>
                    <xdr:colOff>1476375</xdr:colOff>
                    <xdr:row>185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1" r:id="rId21" name="Drop Down 383">
              <controlPr defaultSize="0" autoLine="0" autoPict="0">
                <anchor moveWithCells="1">
                  <from>
                    <xdr:col>2</xdr:col>
                    <xdr:colOff>9525</xdr:colOff>
                    <xdr:row>188</xdr:row>
                    <xdr:rowOff>180975</xdr:rowOff>
                  </from>
                  <to>
                    <xdr:col>2</xdr:col>
                    <xdr:colOff>1476375</xdr:colOff>
                    <xdr:row>189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2" r:id="rId22" name="Drop Down 384">
              <controlPr defaultSize="0" autoLine="0" autoPict="0">
                <anchor moveWithCells="1">
                  <from>
                    <xdr:col>2</xdr:col>
                    <xdr:colOff>9525</xdr:colOff>
                    <xdr:row>187</xdr:row>
                    <xdr:rowOff>190500</xdr:rowOff>
                  </from>
                  <to>
                    <xdr:col>2</xdr:col>
                    <xdr:colOff>1476375</xdr:colOff>
                    <xdr:row>188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3" r:id="rId23" name="Drop Down 385">
              <controlPr defaultSize="0" autoLine="0" autoPict="0">
                <anchor moveWithCells="1">
                  <from>
                    <xdr:col>2</xdr:col>
                    <xdr:colOff>9525</xdr:colOff>
                    <xdr:row>189</xdr:row>
                    <xdr:rowOff>180975</xdr:rowOff>
                  </from>
                  <to>
                    <xdr:col>2</xdr:col>
                    <xdr:colOff>1476375</xdr:colOff>
                    <xdr:row>190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4" r:id="rId24" name="Drop Down 386">
              <controlPr defaultSize="0" autoLine="0" autoPict="0">
                <anchor moveWithCells="1">
                  <from>
                    <xdr:col>2</xdr:col>
                    <xdr:colOff>9525</xdr:colOff>
                    <xdr:row>190</xdr:row>
                    <xdr:rowOff>180975</xdr:rowOff>
                  </from>
                  <to>
                    <xdr:col>2</xdr:col>
                    <xdr:colOff>1476375</xdr:colOff>
                    <xdr:row>191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5" r:id="rId25" name="Drop Down 387">
              <controlPr defaultSize="0" autoLine="0" autoPict="0">
                <anchor moveWithCells="1">
                  <from>
                    <xdr:col>2</xdr:col>
                    <xdr:colOff>9525</xdr:colOff>
                    <xdr:row>191</xdr:row>
                    <xdr:rowOff>180975</xdr:rowOff>
                  </from>
                  <to>
                    <xdr:col>2</xdr:col>
                    <xdr:colOff>1476375</xdr:colOff>
                    <xdr:row>192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6" r:id="rId26" name="Drop Down 388">
              <controlPr defaultSize="0" autoLine="0" autoPict="0">
                <anchor moveWithCells="1">
                  <from>
                    <xdr:col>2</xdr:col>
                    <xdr:colOff>9525</xdr:colOff>
                    <xdr:row>192</xdr:row>
                    <xdr:rowOff>180975</xdr:rowOff>
                  </from>
                  <to>
                    <xdr:col>2</xdr:col>
                    <xdr:colOff>1476375</xdr:colOff>
                    <xdr:row>193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7" r:id="rId27" name="Drop Down 389">
              <controlPr defaultSize="0" autoLine="0" autoPict="0">
                <anchor moveWithCells="1">
                  <from>
                    <xdr:col>2</xdr:col>
                    <xdr:colOff>9525</xdr:colOff>
                    <xdr:row>193</xdr:row>
                    <xdr:rowOff>180975</xdr:rowOff>
                  </from>
                  <to>
                    <xdr:col>2</xdr:col>
                    <xdr:colOff>1476375</xdr:colOff>
                    <xdr:row>194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8" r:id="rId28" name="Drop Down 390">
              <controlPr defaultSize="0" autoLine="0" autoPict="0">
                <anchor moveWithCells="1">
                  <from>
                    <xdr:col>2</xdr:col>
                    <xdr:colOff>9525</xdr:colOff>
                    <xdr:row>187</xdr:row>
                    <xdr:rowOff>0</xdr:rowOff>
                  </from>
                  <to>
                    <xdr:col>2</xdr:col>
                    <xdr:colOff>1476375</xdr:colOff>
                    <xdr:row>187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9" r:id="rId29" name="Drop Down 391">
              <controlPr defaultSize="0" autoLine="0" autoPict="0">
                <anchor moveWithCells="1">
                  <from>
                    <xdr:col>2</xdr:col>
                    <xdr:colOff>9525</xdr:colOff>
                    <xdr:row>186</xdr:row>
                    <xdr:rowOff>0</xdr:rowOff>
                  </from>
                  <to>
                    <xdr:col>2</xdr:col>
                    <xdr:colOff>1476375</xdr:colOff>
                    <xdr:row>186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0" r:id="rId30" name="Drop Down 402">
              <controlPr defaultSize="0" autoLine="0" autoPict="0">
                <anchor moveWithCells="1">
                  <from>
                    <xdr:col>2</xdr:col>
                    <xdr:colOff>9525</xdr:colOff>
                    <xdr:row>197</xdr:row>
                    <xdr:rowOff>9525</xdr:rowOff>
                  </from>
                  <to>
                    <xdr:col>2</xdr:col>
                    <xdr:colOff>1476375</xdr:colOff>
                    <xdr:row>197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1" r:id="rId31" name="Drop Down 403">
              <controlPr defaultSize="0" autoLine="0" autoPict="0">
                <anchor moveWithCells="1">
                  <from>
                    <xdr:col>2</xdr:col>
                    <xdr:colOff>9525</xdr:colOff>
                    <xdr:row>200</xdr:row>
                    <xdr:rowOff>180975</xdr:rowOff>
                  </from>
                  <to>
                    <xdr:col>2</xdr:col>
                    <xdr:colOff>1476375</xdr:colOff>
                    <xdr:row>201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2" r:id="rId32" name="Drop Down 404">
              <controlPr defaultSize="0" autoLine="0" autoPict="0">
                <anchor moveWithCells="1">
                  <from>
                    <xdr:col>2</xdr:col>
                    <xdr:colOff>9525</xdr:colOff>
                    <xdr:row>199</xdr:row>
                    <xdr:rowOff>190500</xdr:rowOff>
                  </from>
                  <to>
                    <xdr:col>2</xdr:col>
                    <xdr:colOff>1476375</xdr:colOff>
                    <xdr:row>200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3" r:id="rId33" name="Drop Down 405">
              <controlPr defaultSize="0" autoLine="0" autoPict="0">
                <anchor moveWithCells="1">
                  <from>
                    <xdr:col>2</xdr:col>
                    <xdr:colOff>9525</xdr:colOff>
                    <xdr:row>201</xdr:row>
                    <xdr:rowOff>180975</xdr:rowOff>
                  </from>
                  <to>
                    <xdr:col>2</xdr:col>
                    <xdr:colOff>1476375</xdr:colOff>
                    <xdr:row>202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4" r:id="rId34" name="Drop Down 406">
              <controlPr defaultSize="0" autoLine="0" autoPict="0">
                <anchor moveWithCells="1">
                  <from>
                    <xdr:col>2</xdr:col>
                    <xdr:colOff>9525</xdr:colOff>
                    <xdr:row>202</xdr:row>
                    <xdr:rowOff>180975</xdr:rowOff>
                  </from>
                  <to>
                    <xdr:col>2</xdr:col>
                    <xdr:colOff>1476375</xdr:colOff>
                    <xdr:row>203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5" r:id="rId35" name="Drop Down 407">
              <controlPr defaultSize="0" autoLine="0" autoPict="0">
                <anchor moveWithCells="1">
                  <from>
                    <xdr:col>2</xdr:col>
                    <xdr:colOff>9525</xdr:colOff>
                    <xdr:row>203</xdr:row>
                    <xdr:rowOff>180975</xdr:rowOff>
                  </from>
                  <to>
                    <xdr:col>2</xdr:col>
                    <xdr:colOff>1476375</xdr:colOff>
                    <xdr:row>204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6" r:id="rId36" name="Drop Down 408">
              <controlPr defaultSize="0" autoLine="0" autoPict="0">
                <anchor moveWithCells="1">
                  <from>
                    <xdr:col>2</xdr:col>
                    <xdr:colOff>9525</xdr:colOff>
                    <xdr:row>204</xdr:row>
                    <xdr:rowOff>180975</xdr:rowOff>
                  </from>
                  <to>
                    <xdr:col>2</xdr:col>
                    <xdr:colOff>1476375</xdr:colOff>
                    <xdr:row>205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7" r:id="rId37" name="Drop Down 409">
              <controlPr defaultSize="0" autoLine="0" autoPict="0">
                <anchor moveWithCells="1">
                  <from>
                    <xdr:col>2</xdr:col>
                    <xdr:colOff>9525</xdr:colOff>
                    <xdr:row>205</xdr:row>
                    <xdr:rowOff>180975</xdr:rowOff>
                  </from>
                  <to>
                    <xdr:col>2</xdr:col>
                    <xdr:colOff>1476375</xdr:colOff>
                    <xdr:row>206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8" r:id="rId38" name="Drop Down 410">
              <controlPr defaultSize="0" autoLine="0" autoPict="0">
                <anchor moveWithCells="1">
                  <from>
                    <xdr:col>2</xdr:col>
                    <xdr:colOff>9525</xdr:colOff>
                    <xdr:row>199</xdr:row>
                    <xdr:rowOff>0</xdr:rowOff>
                  </from>
                  <to>
                    <xdr:col>2</xdr:col>
                    <xdr:colOff>1476375</xdr:colOff>
                    <xdr:row>199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9" r:id="rId39" name="Drop Down 411">
              <controlPr defaultSize="0" autoLine="0" autoPict="0">
                <anchor moveWithCells="1">
                  <from>
                    <xdr:col>2</xdr:col>
                    <xdr:colOff>9525</xdr:colOff>
                    <xdr:row>198</xdr:row>
                    <xdr:rowOff>0</xdr:rowOff>
                  </from>
                  <to>
                    <xdr:col>2</xdr:col>
                    <xdr:colOff>1476375</xdr:colOff>
                    <xdr:row>198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0" r:id="rId40" name="Drop Down 412">
              <controlPr defaultSize="0" autoLine="0" autoPict="0">
                <anchor moveWithCells="1">
                  <from>
                    <xdr:col>1</xdr:col>
                    <xdr:colOff>57150</xdr:colOff>
                    <xdr:row>116</xdr:row>
                    <xdr:rowOff>9525</xdr:rowOff>
                  </from>
                  <to>
                    <xdr:col>2</xdr:col>
                    <xdr:colOff>0</xdr:colOff>
                    <xdr:row>116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1" r:id="rId41" name="Drop Down 413">
              <controlPr defaultSize="0" autoLine="0" autoPict="0">
                <anchor moveWithCells="1">
                  <from>
                    <xdr:col>1</xdr:col>
                    <xdr:colOff>57150</xdr:colOff>
                    <xdr:row>117</xdr:row>
                    <xdr:rowOff>9525</xdr:rowOff>
                  </from>
                  <to>
                    <xdr:col>2</xdr:col>
                    <xdr:colOff>0</xdr:colOff>
                    <xdr:row>117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2" r:id="rId42" name="Drop Down 414">
              <controlPr defaultSize="0" autoLine="0" autoPict="0">
                <anchor moveWithCells="1">
                  <from>
                    <xdr:col>1</xdr:col>
                    <xdr:colOff>57150</xdr:colOff>
                    <xdr:row>118</xdr:row>
                    <xdr:rowOff>9525</xdr:rowOff>
                  </from>
                  <to>
                    <xdr:col>2</xdr:col>
                    <xdr:colOff>0</xdr:colOff>
                    <xdr:row>118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3" r:id="rId43" name="Drop Down 415">
              <controlPr defaultSize="0" autoLine="0" autoPict="0">
                <anchor moveWithCells="1">
                  <from>
                    <xdr:col>1</xdr:col>
                    <xdr:colOff>57150</xdr:colOff>
                    <xdr:row>119</xdr:row>
                    <xdr:rowOff>9525</xdr:rowOff>
                  </from>
                  <to>
                    <xdr:col>2</xdr:col>
                    <xdr:colOff>0</xdr:colOff>
                    <xdr:row>119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4" r:id="rId44" name="Drop Down 416">
              <controlPr defaultSize="0" autoLine="0" autoPict="0">
                <anchor moveWithCells="1">
                  <from>
                    <xdr:col>1</xdr:col>
                    <xdr:colOff>57150</xdr:colOff>
                    <xdr:row>120</xdr:row>
                    <xdr:rowOff>9525</xdr:rowOff>
                  </from>
                  <to>
                    <xdr:col>2</xdr:col>
                    <xdr:colOff>0</xdr:colOff>
                    <xdr:row>120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5" r:id="rId45" name="Drop Down 417">
              <controlPr defaultSize="0" autoLine="0" autoPict="0">
                <anchor moveWithCells="1">
                  <from>
                    <xdr:col>1</xdr:col>
                    <xdr:colOff>57150</xdr:colOff>
                    <xdr:row>121</xdr:row>
                    <xdr:rowOff>9525</xdr:rowOff>
                  </from>
                  <to>
                    <xdr:col>2</xdr:col>
                    <xdr:colOff>0</xdr:colOff>
                    <xdr:row>121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2" r:id="rId46" name="Drop Down 424">
              <controlPr defaultSize="0" autoLine="0" autoPict="0">
                <anchor moveWithCells="1">
                  <from>
                    <xdr:col>1</xdr:col>
                    <xdr:colOff>57150</xdr:colOff>
                    <xdr:row>128</xdr:row>
                    <xdr:rowOff>0</xdr:rowOff>
                  </from>
                  <to>
                    <xdr:col>2</xdr:col>
                    <xdr:colOff>0</xdr:colOff>
                    <xdr:row>128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3" r:id="rId47" name="Drop Down 425">
              <controlPr defaultSize="0" autoLine="0" autoPict="0">
                <anchor moveWithCells="1">
                  <from>
                    <xdr:col>1</xdr:col>
                    <xdr:colOff>57150</xdr:colOff>
                    <xdr:row>122</xdr:row>
                    <xdr:rowOff>9525</xdr:rowOff>
                  </from>
                  <to>
                    <xdr:col>2</xdr:col>
                    <xdr:colOff>0</xdr:colOff>
                    <xdr:row>122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4" r:id="rId48" name="Drop Down 426">
              <controlPr defaultSize="0" autoLine="0" autoPict="0">
                <anchor moveWithCells="1">
                  <from>
                    <xdr:col>1</xdr:col>
                    <xdr:colOff>57150</xdr:colOff>
                    <xdr:row>123</xdr:row>
                    <xdr:rowOff>9525</xdr:rowOff>
                  </from>
                  <to>
                    <xdr:col>2</xdr:col>
                    <xdr:colOff>0</xdr:colOff>
                    <xdr:row>123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5" r:id="rId49" name="Drop Down 427">
              <controlPr defaultSize="0" autoLine="0" autoPict="0">
                <anchor moveWithCells="1">
                  <from>
                    <xdr:col>1</xdr:col>
                    <xdr:colOff>57150</xdr:colOff>
                    <xdr:row>123</xdr:row>
                    <xdr:rowOff>180975</xdr:rowOff>
                  </from>
                  <to>
                    <xdr:col>2</xdr:col>
                    <xdr:colOff>0</xdr:colOff>
                    <xdr:row>124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6" r:id="rId50" name="Drop Down 428">
              <controlPr defaultSize="0" autoLine="0" autoPict="0">
                <anchor moveWithCells="1">
                  <from>
                    <xdr:col>1</xdr:col>
                    <xdr:colOff>57150</xdr:colOff>
                    <xdr:row>124</xdr:row>
                    <xdr:rowOff>180975</xdr:rowOff>
                  </from>
                  <to>
                    <xdr:col>2</xdr:col>
                    <xdr:colOff>0</xdr:colOff>
                    <xdr:row>125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7" r:id="rId51" name="Drop Down 429">
              <controlPr defaultSize="0" autoLine="0" autoPict="0">
                <anchor moveWithCells="1">
                  <from>
                    <xdr:col>1</xdr:col>
                    <xdr:colOff>57150</xdr:colOff>
                    <xdr:row>125</xdr:row>
                    <xdr:rowOff>180975</xdr:rowOff>
                  </from>
                  <to>
                    <xdr:col>2</xdr:col>
                    <xdr:colOff>0</xdr:colOff>
                    <xdr:row>126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8" r:id="rId52" name="Drop Down 430">
              <controlPr defaultSize="0" autoLine="0" autoPict="0">
                <anchor moveWithCells="1">
                  <from>
                    <xdr:col>1</xdr:col>
                    <xdr:colOff>57150</xdr:colOff>
                    <xdr:row>126</xdr:row>
                    <xdr:rowOff>180975</xdr:rowOff>
                  </from>
                  <to>
                    <xdr:col>2</xdr:col>
                    <xdr:colOff>0</xdr:colOff>
                    <xdr:row>127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3" r:id="rId53" name="Drop Down 445">
              <controlPr defaultSize="0" autoLine="0" autoPict="0">
                <anchor moveWithCells="1">
                  <from>
                    <xdr:col>1</xdr:col>
                    <xdr:colOff>28575</xdr:colOff>
                    <xdr:row>221</xdr:row>
                    <xdr:rowOff>19050</xdr:rowOff>
                  </from>
                  <to>
                    <xdr:col>2</xdr:col>
                    <xdr:colOff>0</xdr:colOff>
                    <xdr:row>222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4" r:id="rId54" name="Drop Down 446">
              <controlPr defaultSize="0" autoLine="0" autoPict="0">
                <anchor moveWithCells="1">
                  <from>
                    <xdr:col>1</xdr:col>
                    <xdr:colOff>28575</xdr:colOff>
                    <xdr:row>225</xdr:row>
                    <xdr:rowOff>9525</xdr:rowOff>
                  </from>
                  <to>
                    <xdr:col>2</xdr:col>
                    <xdr:colOff>0</xdr:colOff>
                    <xdr:row>225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5" r:id="rId55" name="Drop Down 447">
              <controlPr defaultSize="0" autoLine="0" autoPict="0">
                <anchor moveWithCells="1">
                  <from>
                    <xdr:col>1</xdr:col>
                    <xdr:colOff>28575</xdr:colOff>
                    <xdr:row>224</xdr:row>
                    <xdr:rowOff>9525</xdr:rowOff>
                  </from>
                  <to>
                    <xdr:col>2</xdr:col>
                    <xdr:colOff>0</xdr:colOff>
                    <xdr:row>224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6" r:id="rId56" name="Drop Down 448">
              <controlPr defaultSize="0" autoLine="0" autoPict="0">
                <anchor moveWithCells="1">
                  <from>
                    <xdr:col>1</xdr:col>
                    <xdr:colOff>28575</xdr:colOff>
                    <xdr:row>226</xdr:row>
                    <xdr:rowOff>0</xdr:rowOff>
                  </from>
                  <to>
                    <xdr:col>2</xdr:col>
                    <xdr:colOff>0</xdr:colOff>
                    <xdr:row>226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7" r:id="rId57" name="Drop Down 449">
              <controlPr defaultSize="0" autoLine="0" autoPict="0">
                <anchor moveWithCells="1">
                  <from>
                    <xdr:col>1</xdr:col>
                    <xdr:colOff>28575</xdr:colOff>
                    <xdr:row>227</xdr:row>
                    <xdr:rowOff>0</xdr:rowOff>
                  </from>
                  <to>
                    <xdr:col>2</xdr:col>
                    <xdr:colOff>0</xdr:colOff>
                    <xdr:row>227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8" r:id="rId58" name="Drop Down 450">
              <controlPr defaultSize="0" autoLine="0" autoPict="0">
                <anchor moveWithCells="1">
                  <from>
                    <xdr:col>1</xdr:col>
                    <xdr:colOff>28575</xdr:colOff>
                    <xdr:row>227</xdr:row>
                    <xdr:rowOff>190500</xdr:rowOff>
                  </from>
                  <to>
                    <xdr:col>2</xdr:col>
                    <xdr:colOff>0</xdr:colOff>
                    <xdr:row>228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9" r:id="rId59" name="Drop Down 451">
              <controlPr defaultSize="0" autoLine="0" autoPict="0">
                <anchor moveWithCells="1">
                  <from>
                    <xdr:col>1</xdr:col>
                    <xdr:colOff>28575</xdr:colOff>
                    <xdr:row>229</xdr:row>
                    <xdr:rowOff>0</xdr:rowOff>
                  </from>
                  <to>
                    <xdr:col>2</xdr:col>
                    <xdr:colOff>0</xdr:colOff>
                    <xdr:row>229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0" r:id="rId60" name="Drop Down 452">
              <controlPr defaultSize="0" autoLine="0" autoPict="0">
                <anchor moveWithCells="1">
                  <from>
                    <xdr:col>1</xdr:col>
                    <xdr:colOff>28575</xdr:colOff>
                    <xdr:row>230</xdr:row>
                    <xdr:rowOff>0</xdr:rowOff>
                  </from>
                  <to>
                    <xdr:col>2</xdr:col>
                    <xdr:colOff>0</xdr:colOff>
                    <xdr:row>230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1" r:id="rId61" name="Drop Down 453">
              <controlPr defaultSize="0" autoLine="0" autoPict="0">
                <anchor moveWithCells="1">
                  <from>
                    <xdr:col>1</xdr:col>
                    <xdr:colOff>28575</xdr:colOff>
                    <xdr:row>223</xdr:row>
                    <xdr:rowOff>9525</xdr:rowOff>
                  </from>
                  <to>
                    <xdr:col>2</xdr:col>
                    <xdr:colOff>0</xdr:colOff>
                    <xdr:row>224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2" r:id="rId62" name="Drop Down 454">
              <controlPr defaultSize="0" autoLine="0" autoPict="0">
                <anchor moveWithCells="1">
                  <from>
                    <xdr:col>1</xdr:col>
                    <xdr:colOff>28575</xdr:colOff>
                    <xdr:row>222</xdr:row>
                    <xdr:rowOff>9525</xdr:rowOff>
                  </from>
                  <to>
                    <xdr:col>2</xdr:col>
                    <xdr:colOff>0</xdr:colOff>
                    <xdr:row>223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8" r:id="rId63" name="Drop Down 500">
              <controlPr defaultSize="0" autoLine="0" autoPict="0">
                <anchor moveWithCells="1">
                  <from>
                    <xdr:col>6</xdr:col>
                    <xdr:colOff>9525</xdr:colOff>
                    <xdr:row>41</xdr:row>
                    <xdr:rowOff>0</xdr:rowOff>
                  </from>
                  <to>
                    <xdr:col>8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9" r:id="rId64" name="Drop Down 501">
              <controlPr defaultSize="0" autoLine="0" autoPict="0">
                <anchor moveWithCells="1">
                  <from>
                    <xdr:col>5</xdr:col>
                    <xdr:colOff>1381125</xdr:colOff>
                    <xdr:row>46</xdr:row>
                    <xdr:rowOff>0</xdr:rowOff>
                  </from>
                  <to>
                    <xdr:col>8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0" r:id="rId65" name="Drop Down 502">
              <controlPr defaultSize="0" autoLine="0" autoPict="0">
                <anchor moveWithCells="1">
                  <from>
                    <xdr:col>5</xdr:col>
                    <xdr:colOff>1381125</xdr:colOff>
                    <xdr:row>48</xdr:row>
                    <xdr:rowOff>0</xdr:rowOff>
                  </from>
                  <to>
                    <xdr:col>8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1" r:id="rId66" name="Drop Down 503">
              <controlPr defaultSize="0" autoLine="0" autoPict="0">
                <anchor moveWithCells="1">
                  <from>
                    <xdr:col>5</xdr:col>
                    <xdr:colOff>1381125</xdr:colOff>
                    <xdr:row>49</xdr:row>
                    <xdr:rowOff>9525</xdr:rowOff>
                  </from>
                  <to>
                    <xdr:col>8</xdr:col>
                    <xdr:colOff>0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3" r:id="rId67" name="Drop Down 505">
              <controlPr defaultSize="0" autoLine="0" autoPict="0">
                <anchor moveWithCells="1">
                  <from>
                    <xdr:col>5</xdr:col>
                    <xdr:colOff>1381125</xdr:colOff>
                    <xdr:row>52</xdr:row>
                    <xdr:rowOff>0</xdr:rowOff>
                  </from>
                  <to>
                    <xdr:col>8</xdr:col>
                    <xdr:colOff>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4" r:id="rId68" name="Drop Down 506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8</xdr:col>
                    <xdr:colOff>9525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5" r:id="rId69" name="Drop Down 507">
              <controlPr defaultSize="0" autoLine="0" autoPict="0">
                <anchor moveWithCells="1">
                  <from>
                    <xdr:col>5</xdr:col>
                    <xdr:colOff>1381125</xdr:colOff>
                    <xdr:row>56</xdr:row>
                    <xdr:rowOff>190500</xdr:rowOff>
                  </from>
                  <to>
                    <xdr:col>8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1" r:id="rId70" name="Drop Down 513">
              <controlPr defaultSize="0" autoLine="0" autoPict="0">
                <anchor moveWithCells="1">
                  <from>
                    <xdr:col>5</xdr:col>
                    <xdr:colOff>1381125</xdr:colOff>
                    <xdr:row>58</xdr:row>
                    <xdr:rowOff>190500</xdr:rowOff>
                  </from>
                  <to>
                    <xdr:col>8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2" r:id="rId71" name="Drop Down 514">
              <controlPr defaultSize="0" autoLine="0" autoPict="0">
                <anchor moveWithCells="1">
                  <from>
                    <xdr:col>5</xdr:col>
                    <xdr:colOff>1381125</xdr:colOff>
                    <xdr:row>60</xdr:row>
                    <xdr:rowOff>190500</xdr:rowOff>
                  </from>
                  <to>
                    <xdr:col>8</xdr:col>
                    <xdr:colOff>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2" r:id="rId72" name="Drop Down 524">
              <controlPr defaultSize="0" autoLine="0" autoPict="0">
                <anchor moveWithCells="1">
                  <from>
                    <xdr:col>1</xdr:col>
                    <xdr:colOff>1381125</xdr:colOff>
                    <xdr:row>153</xdr:row>
                    <xdr:rowOff>0</xdr:rowOff>
                  </from>
                  <to>
                    <xdr:col>3</xdr:col>
                    <xdr:colOff>0</xdr:colOff>
                    <xdr:row>154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0" r:id="rId73" name="Drop Down 542">
              <controlPr defaultSize="0" autoLine="0" autoPict="0">
                <anchor moveWithCells="1">
                  <from>
                    <xdr:col>2</xdr:col>
                    <xdr:colOff>1476375</xdr:colOff>
                    <xdr:row>12</xdr:row>
                    <xdr:rowOff>0</xdr:rowOff>
                  </from>
                  <to>
                    <xdr:col>4</xdr:col>
                    <xdr:colOff>542925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4" r:id="rId74" name="Drop Down 556">
              <controlPr defaultSize="0" autoLine="0" autoPict="0">
                <anchor moveWithCells="1">
                  <from>
                    <xdr:col>3</xdr:col>
                    <xdr:colOff>19050</xdr:colOff>
                    <xdr:row>25</xdr:row>
                    <xdr:rowOff>0</xdr:rowOff>
                  </from>
                  <to>
                    <xdr:col>3</xdr:col>
                    <xdr:colOff>1114425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5" r:id="rId75" name="Drop Down 557">
              <controlPr defaultSize="0" autoLine="0" autoPict="0">
                <anchor moveWithCells="1">
                  <from>
                    <xdr:col>3</xdr:col>
                    <xdr:colOff>19050</xdr:colOff>
                    <xdr:row>25</xdr:row>
                    <xdr:rowOff>190500</xdr:rowOff>
                  </from>
                  <to>
                    <xdr:col>3</xdr:col>
                    <xdr:colOff>1114425</xdr:colOff>
                    <xdr:row>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6" r:id="rId76" name="Drop Down 558">
              <controlPr defaultSize="0" autoLine="0" autoPict="0">
                <anchor moveWithCells="1">
                  <from>
                    <xdr:col>3</xdr:col>
                    <xdr:colOff>19050</xdr:colOff>
                    <xdr:row>27</xdr:row>
                    <xdr:rowOff>9525</xdr:rowOff>
                  </from>
                  <to>
                    <xdr:col>3</xdr:col>
                    <xdr:colOff>1114425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7" r:id="rId77" name="Drop Down 559">
              <controlPr defaultSize="0" autoLine="0" autoPict="0">
                <anchor moveWithCells="1">
                  <from>
                    <xdr:col>3</xdr:col>
                    <xdr:colOff>19050</xdr:colOff>
                    <xdr:row>28</xdr:row>
                    <xdr:rowOff>19050</xdr:rowOff>
                  </from>
                  <to>
                    <xdr:col>3</xdr:col>
                    <xdr:colOff>1114425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8" r:id="rId78" name="Drop Down 560">
              <controlPr defaultSize="0" autoLine="0" autoPict="0">
                <anchor moveWithCells="1">
                  <from>
                    <xdr:col>3</xdr:col>
                    <xdr:colOff>19050</xdr:colOff>
                    <xdr:row>29</xdr:row>
                    <xdr:rowOff>19050</xdr:rowOff>
                  </from>
                  <to>
                    <xdr:col>3</xdr:col>
                    <xdr:colOff>1114425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9" r:id="rId79" name="Drop Down 561">
              <controlPr defaultSize="0" autoLine="0" autoPict="0">
                <anchor moveWithCells="1">
                  <from>
                    <xdr:col>3</xdr:col>
                    <xdr:colOff>19050</xdr:colOff>
                    <xdr:row>30</xdr:row>
                    <xdr:rowOff>19050</xdr:rowOff>
                  </from>
                  <to>
                    <xdr:col>3</xdr:col>
                    <xdr:colOff>1114425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0" r:id="rId80" name="Drop Down 562">
              <controlPr defaultSize="0" autoLine="0" autoPict="0">
                <anchor moveWithCells="1">
                  <from>
                    <xdr:col>3</xdr:col>
                    <xdr:colOff>19050</xdr:colOff>
                    <xdr:row>31</xdr:row>
                    <xdr:rowOff>9525</xdr:rowOff>
                  </from>
                  <to>
                    <xdr:col>3</xdr:col>
                    <xdr:colOff>1114425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1" r:id="rId81" name="Drop Down 563">
              <controlPr defaultSize="0" autoLine="0" autoPict="0">
                <anchor moveWithCells="1">
                  <from>
                    <xdr:col>3</xdr:col>
                    <xdr:colOff>19050</xdr:colOff>
                    <xdr:row>32</xdr:row>
                    <xdr:rowOff>0</xdr:rowOff>
                  </from>
                  <to>
                    <xdr:col>3</xdr:col>
                    <xdr:colOff>1114425</xdr:colOff>
                    <xdr:row>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2" r:id="rId82" name="Drop Down 564">
              <controlPr defaultSize="0" autoLine="0" autoPict="0">
                <anchor moveWithCells="1">
                  <from>
                    <xdr:col>3</xdr:col>
                    <xdr:colOff>19050</xdr:colOff>
                    <xdr:row>33</xdr:row>
                    <xdr:rowOff>0</xdr:rowOff>
                  </from>
                  <to>
                    <xdr:col>3</xdr:col>
                    <xdr:colOff>1114425</xdr:colOff>
                    <xdr:row>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3" r:id="rId83" name="Drop Down 565">
              <controlPr defaultSize="0" autoLine="0" autoPict="0">
                <anchor moveWithCells="1">
                  <from>
                    <xdr:col>3</xdr:col>
                    <xdr:colOff>19050</xdr:colOff>
                    <xdr:row>33</xdr:row>
                    <xdr:rowOff>190500</xdr:rowOff>
                  </from>
                  <to>
                    <xdr:col>3</xdr:col>
                    <xdr:colOff>1114425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4" r:id="rId84" name="Drop Down 566">
              <controlPr defaultSize="0" autoLine="0" autoPict="0">
                <anchor moveWithCells="1">
                  <from>
                    <xdr:col>3</xdr:col>
                    <xdr:colOff>19050</xdr:colOff>
                    <xdr:row>34</xdr:row>
                    <xdr:rowOff>190500</xdr:rowOff>
                  </from>
                  <to>
                    <xdr:col>3</xdr:col>
                    <xdr:colOff>1114425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5" r:id="rId85" name="Drop Down 567">
              <controlPr defaultSize="0" autoLine="0" autoPict="0">
                <anchor moveWithCells="1">
                  <from>
                    <xdr:col>3</xdr:col>
                    <xdr:colOff>19050</xdr:colOff>
                    <xdr:row>35</xdr:row>
                    <xdr:rowOff>190500</xdr:rowOff>
                  </from>
                  <to>
                    <xdr:col>3</xdr:col>
                    <xdr:colOff>1114425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6" r:id="rId86" name="Drop Down 568">
              <controlPr defaultSize="0" autoLine="0" autoPict="0">
                <anchor moveWithCells="1">
                  <from>
                    <xdr:col>3</xdr:col>
                    <xdr:colOff>19050</xdr:colOff>
                    <xdr:row>36</xdr:row>
                    <xdr:rowOff>190500</xdr:rowOff>
                  </from>
                  <to>
                    <xdr:col>3</xdr:col>
                    <xdr:colOff>1114425</xdr:colOff>
                    <xdr:row>37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7" r:id="rId87" name="Drop Down 569">
              <controlPr defaultSize="0" autoLine="0" autoPict="0">
                <anchor moveWithCells="1">
                  <from>
                    <xdr:col>6</xdr:col>
                    <xdr:colOff>38100</xdr:colOff>
                    <xdr:row>24</xdr:row>
                    <xdr:rowOff>276225</xdr:rowOff>
                  </from>
                  <to>
                    <xdr:col>7</xdr:col>
                    <xdr:colOff>295275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8" r:id="rId88" name="Drop Down 570">
              <controlPr defaultSize="0" autoLine="0" autoPict="0">
                <anchor moveWithCells="1">
                  <from>
                    <xdr:col>6</xdr:col>
                    <xdr:colOff>38100</xdr:colOff>
                    <xdr:row>25</xdr:row>
                    <xdr:rowOff>180975</xdr:rowOff>
                  </from>
                  <to>
                    <xdr:col>7</xdr:col>
                    <xdr:colOff>295275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9" r:id="rId89" name="Drop Down 571">
              <controlPr defaultSize="0" autoLine="0" autoPict="0">
                <anchor moveWithCells="1">
                  <from>
                    <xdr:col>6</xdr:col>
                    <xdr:colOff>38100</xdr:colOff>
                    <xdr:row>26</xdr:row>
                    <xdr:rowOff>180975</xdr:rowOff>
                  </from>
                  <to>
                    <xdr:col>7</xdr:col>
                    <xdr:colOff>295275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9" r:id="rId90" name="Drop Down 581">
              <controlPr defaultSize="0" autoLine="0" autoPict="0">
                <anchor moveWithCells="1">
                  <from>
                    <xdr:col>3</xdr:col>
                    <xdr:colOff>0</xdr:colOff>
                    <xdr:row>12</xdr:row>
                    <xdr:rowOff>190500</xdr:rowOff>
                  </from>
                  <to>
                    <xdr:col>4</xdr:col>
                    <xdr:colOff>542925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5" r:id="rId91" name="Drop Down 587">
              <controlPr defaultSize="0" autoLine="0" autoPict="0">
                <anchor moveWithCells="1">
                  <from>
                    <xdr:col>3</xdr:col>
                    <xdr:colOff>9525</xdr:colOff>
                    <xdr:row>83</xdr:row>
                    <xdr:rowOff>9525</xdr:rowOff>
                  </from>
                  <to>
                    <xdr:col>3</xdr:col>
                    <xdr:colOff>657225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2" r:id="rId92" name="Drop Down 594">
              <controlPr defaultSize="0" autoLine="0" autoPict="0">
                <anchor moveWithCells="1">
                  <from>
                    <xdr:col>4</xdr:col>
                    <xdr:colOff>38100</xdr:colOff>
                    <xdr:row>93</xdr:row>
                    <xdr:rowOff>9525</xdr:rowOff>
                  </from>
                  <to>
                    <xdr:col>4</xdr:col>
                    <xdr:colOff>666750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7" r:id="rId93" name="Drop Down 599">
              <controlPr defaultSize="0" autoLine="0" autoPict="0">
                <anchor moveWithCells="1">
                  <from>
                    <xdr:col>2</xdr:col>
                    <xdr:colOff>1476375</xdr:colOff>
                    <xdr:row>171</xdr:row>
                    <xdr:rowOff>647700</xdr:rowOff>
                  </from>
                  <to>
                    <xdr:col>4</xdr:col>
                    <xdr:colOff>9525</xdr:colOff>
                    <xdr:row>173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9" r:id="rId94" name="Drop Down 601">
              <controlPr defaultSize="0" autoLine="0" autoPict="0">
                <anchor moveWithCells="1">
                  <from>
                    <xdr:col>3</xdr:col>
                    <xdr:colOff>0</xdr:colOff>
                    <xdr:row>184</xdr:row>
                    <xdr:rowOff>0</xdr:rowOff>
                  </from>
                  <to>
                    <xdr:col>4</xdr:col>
                    <xdr:colOff>0</xdr:colOff>
                    <xdr:row>184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1" r:id="rId95" name="Drop Down 603">
              <controlPr defaultSize="0" autoLine="0" autoPict="0">
                <anchor moveWithCells="1">
                  <from>
                    <xdr:col>3</xdr:col>
                    <xdr:colOff>0</xdr:colOff>
                    <xdr:row>196</xdr:row>
                    <xdr:rowOff>0</xdr:rowOff>
                  </from>
                  <to>
                    <xdr:col>4</xdr:col>
                    <xdr:colOff>0</xdr:colOff>
                    <xdr:row>197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4" r:id="rId96" name="Check Box 606">
              <controlPr defaultSize="0" autoFill="0" autoLine="0" autoPict="0">
                <anchor moveWithCells="1">
                  <from>
                    <xdr:col>3</xdr:col>
                    <xdr:colOff>47625</xdr:colOff>
                    <xdr:row>20</xdr:row>
                    <xdr:rowOff>190500</xdr:rowOff>
                  </from>
                  <to>
                    <xdr:col>4</xdr:col>
                    <xdr:colOff>171450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7" r:id="rId97" name="Check Box 609">
              <controlPr defaultSize="0" autoFill="0" autoLine="0" autoPict="0">
                <anchor moveWithCells="1">
                  <from>
                    <xdr:col>3</xdr:col>
                    <xdr:colOff>47625</xdr:colOff>
                    <xdr:row>19</xdr:row>
                    <xdr:rowOff>0</xdr:rowOff>
                  </from>
                  <to>
                    <xdr:col>4</xdr:col>
                    <xdr:colOff>171450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9" r:id="rId98" name="Check Box 611">
              <controlPr defaultSize="0" autoFill="0" autoLine="0" autoPict="0">
                <anchor moveWithCells="1">
                  <from>
                    <xdr:col>3</xdr:col>
                    <xdr:colOff>47625</xdr:colOff>
                    <xdr:row>20</xdr:row>
                    <xdr:rowOff>0</xdr:rowOff>
                  </from>
                  <to>
                    <xdr:col>4</xdr:col>
                    <xdr:colOff>171450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0" r:id="rId99" name="Check Box 612">
              <controlPr defaultSize="0" autoFill="0" autoLine="0" autoPict="0">
                <anchor moveWithCells="1">
                  <from>
                    <xdr:col>4</xdr:col>
                    <xdr:colOff>47625</xdr:colOff>
                    <xdr:row>20</xdr:row>
                    <xdr:rowOff>0</xdr:rowOff>
                  </from>
                  <to>
                    <xdr:col>5</xdr:col>
                    <xdr:colOff>142875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1" r:id="rId100" name="Check Box 613">
              <controlPr defaultSize="0" autoFill="0" autoLine="0" autoPict="0">
                <anchor moveWithCells="1">
                  <from>
                    <xdr:col>4</xdr:col>
                    <xdr:colOff>47625</xdr:colOff>
                    <xdr:row>21</xdr:row>
                    <xdr:rowOff>0</xdr:rowOff>
                  </from>
                  <to>
                    <xdr:col>5</xdr:col>
                    <xdr:colOff>142875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5" r:id="rId101" name="Check Box 617">
              <controlPr defaultSize="0" autoFill="0" autoLine="0" autoPict="0">
                <anchor moveWithCells="1">
                  <from>
                    <xdr:col>4</xdr:col>
                    <xdr:colOff>47625</xdr:colOff>
                    <xdr:row>19</xdr:row>
                    <xdr:rowOff>0</xdr:rowOff>
                  </from>
                  <to>
                    <xdr:col>5</xdr:col>
                    <xdr:colOff>142875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6" r:id="rId102" name="Check Box 618">
              <controlPr defaultSize="0" autoFill="0" autoLine="0" autoPict="0">
                <anchor moveWithCells="1">
                  <from>
                    <xdr:col>5</xdr:col>
                    <xdr:colOff>47625</xdr:colOff>
                    <xdr:row>20</xdr:row>
                    <xdr:rowOff>190500</xdr:rowOff>
                  </from>
                  <to>
                    <xdr:col>5</xdr:col>
                    <xdr:colOff>1295400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7" r:id="rId103" name="Check Box 619">
              <controlPr defaultSize="0" autoFill="0" autoLine="0" autoPict="0">
                <anchor moveWithCells="1">
                  <from>
                    <xdr:col>6</xdr:col>
                    <xdr:colOff>47625</xdr:colOff>
                    <xdr:row>21</xdr:row>
                    <xdr:rowOff>0</xdr:rowOff>
                  </from>
                  <to>
                    <xdr:col>7</xdr:col>
                    <xdr:colOff>114300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3" r:id="rId104" name="Drop Down 625">
              <controlPr defaultSize="0" autoLine="0" autoPict="0">
                <anchor moveWithCells="1">
                  <from>
                    <xdr:col>2</xdr:col>
                    <xdr:colOff>19050</xdr:colOff>
                    <xdr:row>142</xdr:row>
                    <xdr:rowOff>0</xdr:rowOff>
                  </from>
                  <to>
                    <xdr:col>3</xdr:col>
                    <xdr:colOff>0</xdr:colOff>
                    <xdr:row>142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4" r:id="rId105" name="Drop Down 626">
              <controlPr defaultSize="0" autoLine="0" autoPict="0">
                <anchor moveWithCells="1">
                  <from>
                    <xdr:col>2</xdr:col>
                    <xdr:colOff>19050</xdr:colOff>
                    <xdr:row>141</xdr:row>
                    <xdr:rowOff>0</xdr:rowOff>
                  </from>
                  <to>
                    <xdr:col>3</xdr:col>
                    <xdr:colOff>0</xdr:colOff>
                    <xdr:row>141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5" r:id="rId106" name="Drop Down 627">
              <controlPr defaultSize="0" autoLine="0" autoPict="0">
                <anchor moveWithCells="1">
                  <from>
                    <xdr:col>2</xdr:col>
                    <xdr:colOff>19050</xdr:colOff>
                    <xdr:row>142</xdr:row>
                    <xdr:rowOff>190500</xdr:rowOff>
                  </from>
                  <to>
                    <xdr:col>3</xdr:col>
                    <xdr:colOff>0</xdr:colOff>
                    <xdr:row>143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6" r:id="rId107" name="Drop Down 628">
              <controlPr defaultSize="0" autoLine="0" autoPict="0">
                <anchor moveWithCells="1">
                  <from>
                    <xdr:col>2</xdr:col>
                    <xdr:colOff>19050</xdr:colOff>
                    <xdr:row>143</xdr:row>
                    <xdr:rowOff>190500</xdr:rowOff>
                  </from>
                  <to>
                    <xdr:col>3</xdr:col>
                    <xdr:colOff>0</xdr:colOff>
                    <xdr:row>144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7" r:id="rId108" name="Drop Down 629">
              <controlPr defaultSize="0" autoLine="0" autoPict="0">
                <anchor moveWithCells="1">
                  <from>
                    <xdr:col>2</xdr:col>
                    <xdr:colOff>19050</xdr:colOff>
                    <xdr:row>144</xdr:row>
                    <xdr:rowOff>180975</xdr:rowOff>
                  </from>
                  <to>
                    <xdr:col>3</xdr:col>
                    <xdr:colOff>0</xdr:colOff>
                    <xdr:row>145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8" r:id="rId109" name="Drop Down 630">
              <controlPr defaultSize="0" autoLine="0" autoPict="0">
                <anchor moveWithCells="1">
                  <from>
                    <xdr:col>2</xdr:col>
                    <xdr:colOff>19050</xdr:colOff>
                    <xdr:row>145</xdr:row>
                    <xdr:rowOff>190500</xdr:rowOff>
                  </from>
                  <to>
                    <xdr:col>3</xdr:col>
                    <xdr:colOff>0</xdr:colOff>
                    <xdr:row>146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0" r:id="rId110" name="Drop Down 632">
              <controlPr defaultSize="0" autoLine="0" autoPict="0">
                <anchor moveWithCells="1">
                  <from>
                    <xdr:col>2</xdr:col>
                    <xdr:colOff>19050</xdr:colOff>
                    <xdr:row>140</xdr:row>
                    <xdr:rowOff>9525</xdr:rowOff>
                  </from>
                  <to>
                    <xdr:col>3</xdr:col>
                    <xdr:colOff>0</xdr:colOff>
                    <xdr:row>140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>
    <tabColor rgb="FFFF0000"/>
  </sheetPr>
  <dimension ref="A1:P84"/>
  <sheetViews>
    <sheetView workbookViewId="0"/>
  </sheetViews>
  <sheetFormatPr defaultRowHeight="12.75"/>
  <cols>
    <col min="1" max="1" width="9.33203125" style="52"/>
    <col min="2" max="2" width="36" style="52" bestFit="1" customWidth="1"/>
    <col min="3" max="3" width="7.33203125" style="52" customWidth="1"/>
    <col min="4" max="4" width="41.83203125" style="52" bestFit="1" customWidth="1"/>
    <col min="5" max="5" width="3" style="52" customWidth="1"/>
    <col min="6" max="6" width="9.33203125" style="52"/>
    <col min="7" max="7" width="23.83203125" style="52" bestFit="1" customWidth="1"/>
    <col min="8" max="9" width="9.33203125" style="52"/>
    <col min="10" max="10" width="31.33203125" style="52" bestFit="1" customWidth="1"/>
    <col min="11" max="11" width="4.83203125" style="52" customWidth="1"/>
    <col min="12" max="12" width="9.33203125" style="52"/>
    <col min="13" max="13" width="33" style="52" customWidth="1"/>
    <col min="14" max="16384" width="9.33203125" style="52"/>
  </cols>
  <sheetData>
    <row r="1" spans="1:16">
      <c r="B1" s="53" t="s">
        <v>41</v>
      </c>
      <c r="C1" s="53"/>
      <c r="D1" s="53" t="s">
        <v>46</v>
      </c>
      <c r="E1" s="53"/>
      <c r="G1" s="53" t="s">
        <v>46</v>
      </c>
      <c r="J1" s="53" t="s">
        <v>56</v>
      </c>
      <c r="K1" s="53"/>
      <c r="M1" s="53" t="s">
        <v>94</v>
      </c>
      <c r="O1" s="52" t="s">
        <v>70</v>
      </c>
      <c r="P1" s="52" t="s">
        <v>118</v>
      </c>
    </row>
    <row r="2" spans="1:16">
      <c r="A2" s="52">
        <v>1</v>
      </c>
      <c r="B2" s="52" t="s">
        <v>43</v>
      </c>
      <c r="D2" s="52" t="s">
        <v>24</v>
      </c>
      <c r="F2" s="52">
        <v>1</v>
      </c>
      <c r="G2" s="52" t="s">
        <v>45</v>
      </c>
      <c r="I2" s="52">
        <v>1</v>
      </c>
      <c r="J2" s="52" t="s">
        <v>57</v>
      </c>
      <c r="O2" s="52" t="s">
        <v>110</v>
      </c>
    </row>
    <row r="3" spans="1:16">
      <c r="A3" s="52">
        <v>2</v>
      </c>
      <c r="B3" s="52" t="s">
        <v>44</v>
      </c>
      <c r="D3" s="52" t="s">
        <v>123</v>
      </c>
      <c r="F3" s="52">
        <v>2</v>
      </c>
      <c r="G3" s="52" t="s">
        <v>47</v>
      </c>
      <c r="I3" s="52">
        <v>2</v>
      </c>
      <c r="J3" s="52" t="s">
        <v>58</v>
      </c>
      <c r="M3" s="52" t="s">
        <v>95</v>
      </c>
      <c r="O3" s="52" t="s">
        <v>111</v>
      </c>
    </row>
    <row r="4" spans="1:16">
      <c r="A4" s="52">
        <v>3</v>
      </c>
      <c r="B4" s="52" t="s">
        <v>42</v>
      </c>
      <c r="D4" s="52" t="s">
        <v>129</v>
      </c>
      <c r="F4" s="52">
        <v>3</v>
      </c>
      <c r="G4" s="52" t="s">
        <v>48</v>
      </c>
      <c r="I4" s="52">
        <v>3</v>
      </c>
      <c r="J4" s="52" t="s">
        <v>59</v>
      </c>
      <c r="M4" s="52" t="s">
        <v>183</v>
      </c>
      <c r="O4" s="52" t="s">
        <v>112</v>
      </c>
    </row>
    <row r="5" spans="1:16">
      <c r="F5" s="52">
        <v>4</v>
      </c>
      <c r="G5" s="52" t="s">
        <v>49</v>
      </c>
      <c r="I5" s="52">
        <v>4</v>
      </c>
      <c r="J5" s="52" t="s">
        <v>60</v>
      </c>
      <c r="M5" s="52" t="s">
        <v>96</v>
      </c>
      <c r="O5" s="52" t="s">
        <v>113</v>
      </c>
    </row>
    <row r="6" spans="1:16">
      <c r="F6" s="52">
        <v>5</v>
      </c>
      <c r="G6" s="52" t="s">
        <v>70</v>
      </c>
      <c r="I6" s="52">
        <v>5</v>
      </c>
      <c r="J6" s="52" t="s">
        <v>61</v>
      </c>
      <c r="M6" s="52" t="s">
        <v>97</v>
      </c>
      <c r="O6" s="52" t="s">
        <v>114</v>
      </c>
    </row>
    <row r="7" spans="1:16">
      <c r="B7" s="53" t="s">
        <v>71</v>
      </c>
      <c r="C7" s="53"/>
      <c r="D7" s="52" t="s">
        <v>506</v>
      </c>
      <c r="E7" s="53"/>
      <c r="F7" s="52">
        <v>6</v>
      </c>
      <c r="G7" s="52" t="s">
        <v>24</v>
      </c>
      <c r="I7" s="52">
        <v>6</v>
      </c>
      <c r="J7" s="52" t="s">
        <v>62</v>
      </c>
      <c r="M7" s="52" t="s">
        <v>98</v>
      </c>
      <c r="O7" s="52" t="s">
        <v>115</v>
      </c>
    </row>
    <row r="8" spans="1:16">
      <c r="D8" s="52" t="s">
        <v>170</v>
      </c>
      <c r="F8" s="52">
        <v>7</v>
      </c>
      <c r="G8" s="52" t="s">
        <v>92</v>
      </c>
      <c r="I8" s="52">
        <v>7</v>
      </c>
      <c r="J8" s="52" t="s">
        <v>63</v>
      </c>
      <c r="M8" s="52" t="s">
        <v>99</v>
      </c>
      <c r="O8" s="52" t="s">
        <v>116</v>
      </c>
    </row>
    <row r="9" spans="1:16">
      <c r="B9" s="52" t="s">
        <v>72</v>
      </c>
      <c r="D9" s="52" t="s">
        <v>24</v>
      </c>
      <c r="F9" s="52">
        <v>8</v>
      </c>
      <c r="G9" s="52" t="s">
        <v>93</v>
      </c>
      <c r="I9" s="52">
        <v>8</v>
      </c>
      <c r="J9" s="52" t="s">
        <v>64</v>
      </c>
      <c r="M9" s="52" t="s">
        <v>39</v>
      </c>
      <c r="O9" s="52" t="s">
        <v>117</v>
      </c>
    </row>
    <row r="10" spans="1:16">
      <c r="B10" s="52" t="s">
        <v>73</v>
      </c>
      <c r="F10" s="52">
        <v>9</v>
      </c>
      <c r="G10" s="52" t="s">
        <v>81</v>
      </c>
      <c r="I10" s="52">
        <v>9</v>
      </c>
      <c r="J10" s="52" t="s">
        <v>65</v>
      </c>
      <c r="M10" s="52" t="s">
        <v>100</v>
      </c>
      <c r="O10" s="52" t="s">
        <v>24</v>
      </c>
    </row>
    <row r="11" spans="1:16">
      <c r="F11" s="52">
        <v>10</v>
      </c>
      <c r="G11" s="52" t="s">
        <v>31</v>
      </c>
      <c r="M11" s="52" t="s">
        <v>125</v>
      </c>
    </row>
    <row r="12" spans="1:16">
      <c r="D12" s="52" t="s">
        <v>49</v>
      </c>
      <c r="F12" s="52">
        <v>11</v>
      </c>
      <c r="G12" s="52" t="s">
        <v>91</v>
      </c>
      <c r="M12" s="52" t="s">
        <v>101</v>
      </c>
    </row>
    <row r="13" spans="1:16">
      <c r="B13" s="52" t="s">
        <v>91</v>
      </c>
      <c r="D13" s="52" t="s">
        <v>24</v>
      </c>
      <c r="M13" s="52" t="s">
        <v>102</v>
      </c>
    </row>
    <row r="14" spans="1:16">
      <c r="B14" s="52" t="s">
        <v>24</v>
      </c>
      <c r="M14" s="52" t="s">
        <v>146</v>
      </c>
    </row>
    <row r="15" spans="1:16">
      <c r="D15" s="52" t="s">
        <v>124</v>
      </c>
      <c r="M15" s="52" t="s">
        <v>103</v>
      </c>
    </row>
    <row r="16" spans="1:16">
      <c r="B16" s="52" t="s">
        <v>135</v>
      </c>
      <c r="D16" s="52" t="s">
        <v>24</v>
      </c>
      <c r="F16" s="52">
        <v>10</v>
      </c>
      <c r="G16" s="52" t="s">
        <v>84</v>
      </c>
      <c r="I16" s="52">
        <v>10</v>
      </c>
      <c r="J16" s="52" t="s">
        <v>66</v>
      </c>
      <c r="M16" s="52" t="s">
        <v>104</v>
      </c>
    </row>
    <row r="17" spans="1:13">
      <c r="B17" s="52" t="s">
        <v>84</v>
      </c>
      <c r="F17" s="52">
        <v>11</v>
      </c>
      <c r="G17" s="52" t="s">
        <v>83</v>
      </c>
      <c r="I17" s="52">
        <v>11</v>
      </c>
      <c r="J17" s="52" t="s">
        <v>67</v>
      </c>
      <c r="M17" s="52" t="s">
        <v>105</v>
      </c>
    </row>
    <row r="18" spans="1:13">
      <c r="M18" s="52" t="s">
        <v>106</v>
      </c>
    </row>
    <row r="19" spans="1:13">
      <c r="B19" s="53" t="s">
        <v>74</v>
      </c>
      <c r="C19" s="53"/>
      <c r="D19" s="53" t="s">
        <v>82</v>
      </c>
      <c r="E19" s="53"/>
      <c r="I19" s="52">
        <v>12</v>
      </c>
      <c r="J19" s="52" t="s">
        <v>68</v>
      </c>
    </row>
    <row r="20" spans="1:13">
      <c r="G20" s="52" t="s">
        <v>173</v>
      </c>
      <c r="I20" s="52">
        <v>13</v>
      </c>
      <c r="J20" s="52" t="s">
        <v>69</v>
      </c>
    </row>
    <row r="21" spans="1:13">
      <c r="A21" s="52">
        <v>1</v>
      </c>
      <c r="B21" s="52" t="s">
        <v>75</v>
      </c>
      <c r="C21" s="52">
        <v>1</v>
      </c>
      <c r="D21" s="52" t="s">
        <v>87</v>
      </c>
      <c r="G21" s="52" t="s">
        <v>24</v>
      </c>
    </row>
    <row r="22" spans="1:13">
      <c r="A22" s="52">
        <v>2</v>
      </c>
      <c r="B22" s="52" t="s">
        <v>39</v>
      </c>
      <c r="C22" s="52">
        <v>2</v>
      </c>
      <c r="D22" s="52" t="s">
        <v>86</v>
      </c>
    </row>
    <row r="23" spans="1:13">
      <c r="A23" s="52">
        <v>3</v>
      </c>
      <c r="B23" s="52" t="s">
        <v>76</v>
      </c>
      <c r="C23" s="52">
        <v>3</v>
      </c>
      <c r="D23" s="52" t="s">
        <v>85</v>
      </c>
      <c r="F23" s="52">
        <v>1</v>
      </c>
      <c r="M23" s="52" t="s">
        <v>24</v>
      </c>
    </row>
    <row r="24" spans="1:13">
      <c r="A24" s="52">
        <v>4</v>
      </c>
      <c r="B24" s="52" t="s">
        <v>77</v>
      </c>
      <c r="C24" s="52">
        <v>4</v>
      </c>
      <c r="D24" s="52" t="s">
        <v>88</v>
      </c>
      <c r="F24" s="52">
        <v>2</v>
      </c>
      <c r="G24" s="52" t="s">
        <v>122</v>
      </c>
      <c r="J24" s="52" t="s">
        <v>126</v>
      </c>
      <c r="M24" s="52" t="s">
        <v>176</v>
      </c>
    </row>
    <row r="25" spans="1:13">
      <c r="A25" s="52">
        <v>5</v>
      </c>
      <c r="B25" s="52" t="s">
        <v>78</v>
      </c>
      <c r="C25" s="52">
        <v>5</v>
      </c>
      <c r="D25" s="52" t="s">
        <v>89</v>
      </c>
      <c r="F25" s="52">
        <v>3</v>
      </c>
      <c r="G25" s="52" t="s">
        <v>24</v>
      </c>
      <c r="J25" s="52" t="s">
        <v>24</v>
      </c>
    </row>
    <row r="26" spans="1:13">
      <c r="A26" s="52">
        <v>6</v>
      </c>
      <c r="B26" s="52" t="s">
        <v>79</v>
      </c>
      <c r="C26" s="52">
        <v>6</v>
      </c>
      <c r="D26" s="52" t="s">
        <v>90</v>
      </c>
      <c r="F26" s="52">
        <v>4</v>
      </c>
      <c r="G26" s="52" t="s">
        <v>49</v>
      </c>
    </row>
    <row r="27" spans="1:13">
      <c r="A27" s="52">
        <v>7</v>
      </c>
      <c r="B27" s="52" t="s">
        <v>80</v>
      </c>
      <c r="C27" s="52">
        <v>7</v>
      </c>
      <c r="D27" s="52" t="s">
        <v>108</v>
      </c>
      <c r="F27" s="52">
        <v>5</v>
      </c>
      <c r="G27" s="52" t="s">
        <v>107</v>
      </c>
      <c r="J27" s="52" t="s">
        <v>189</v>
      </c>
    </row>
    <row r="28" spans="1:13">
      <c r="A28" s="52">
        <v>8</v>
      </c>
      <c r="B28" s="52" t="s">
        <v>136</v>
      </c>
      <c r="F28" s="52">
        <v>6</v>
      </c>
      <c r="G28" s="52" t="s">
        <v>122</v>
      </c>
      <c r="J28" s="52" t="s">
        <v>128</v>
      </c>
    </row>
    <row r="29" spans="1:13">
      <c r="A29" s="52">
        <v>9</v>
      </c>
      <c r="F29" s="52">
        <v>7</v>
      </c>
      <c r="G29" s="52" t="s">
        <v>121</v>
      </c>
    </row>
    <row r="30" spans="1:13">
      <c r="F30" s="52">
        <v>8</v>
      </c>
      <c r="G30" s="52" t="s">
        <v>48</v>
      </c>
    </row>
    <row r="31" spans="1:13">
      <c r="C31" s="52">
        <v>8</v>
      </c>
      <c r="F31" s="52">
        <v>9</v>
      </c>
      <c r="G31" s="52" t="s">
        <v>93</v>
      </c>
    </row>
    <row r="32" spans="1:13">
      <c r="C32" s="52">
        <v>9</v>
      </c>
      <c r="J32" s="52" t="s">
        <v>124</v>
      </c>
    </row>
    <row r="33" spans="1:10">
      <c r="J33" s="52" t="s">
        <v>24</v>
      </c>
    </row>
    <row r="35" spans="1:10">
      <c r="A35" s="52">
        <v>5</v>
      </c>
      <c r="B35" s="52" t="s">
        <v>137</v>
      </c>
      <c r="D35" s="52" t="s">
        <v>141</v>
      </c>
      <c r="J35" s="52" t="s">
        <v>127</v>
      </c>
    </row>
    <row r="36" spans="1:10">
      <c r="A36" s="52">
        <v>6</v>
      </c>
      <c r="B36" s="52" t="s">
        <v>138</v>
      </c>
      <c r="D36" s="52" t="s">
        <v>142</v>
      </c>
      <c r="G36" s="52" t="s">
        <v>119</v>
      </c>
      <c r="J36" s="52" t="s">
        <v>24</v>
      </c>
    </row>
    <row r="37" spans="1:10">
      <c r="A37" s="52">
        <v>7</v>
      </c>
    </row>
    <row r="38" spans="1:10">
      <c r="A38" s="52">
        <v>8</v>
      </c>
      <c r="G38" s="52" t="s">
        <v>120</v>
      </c>
    </row>
    <row r="39" spans="1:10">
      <c r="A39" s="52">
        <v>9</v>
      </c>
    </row>
    <row r="40" spans="1:10">
      <c r="A40" s="52">
        <v>10</v>
      </c>
    </row>
    <row r="41" spans="1:10">
      <c r="A41" s="52">
        <v>11</v>
      </c>
      <c r="D41" s="52" t="s">
        <v>137</v>
      </c>
    </row>
    <row r="42" spans="1:10">
      <c r="A42" s="52">
        <v>12</v>
      </c>
      <c r="D42" s="52" t="s">
        <v>138</v>
      </c>
      <c r="G42" s="52" t="s">
        <v>121</v>
      </c>
    </row>
    <row r="43" spans="1:10">
      <c r="A43" s="52">
        <v>13</v>
      </c>
      <c r="G43" s="52" t="s">
        <v>93</v>
      </c>
    </row>
    <row r="44" spans="1:10">
      <c r="A44" s="52">
        <v>14</v>
      </c>
    </row>
    <row r="45" spans="1:10">
      <c r="A45" s="52">
        <v>15</v>
      </c>
      <c r="F45" s="52" t="s">
        <v>1053</v>
      </c>
    </row>
    <row r="46" spans="1:10">
      <c r="A46" s="52">
        <v>16</v>
      </c>
      <c r="C46" s="52">
        <v>1</v>
      </c>
      <c r="D46" s="52" t="s">
        <v>1052</v>
      </c>
      <c r="F46" s="52">
        <v>14</v>
      </c>
    </row>
    <row r="47" spans="1:10">
      <c r="A47" s="52">
        <v>17</v>
      </c>
      <c r="B47" s="52" t="s">
        <v>177</v>
      </c>
      <c r="C47" s="52">
        <v>2</v>
      </c>
      <c r="D47" s="52" t="s">
        <v>1050</v>
      </c>
      <c r="F47" s="52">
        <v>8</v>
      </c>
    </row>
    <row r="48" spans="1:10">
      <c r="A48" s="52">
        <v>18</v>
      </c>
      <c r="B48" s="52" t="s">
        <v>178</v>
      </c>
      <c r="C48" s="52">
        <v>3</v>
      </c>
      <c r="D48" s="52" t="s">
        <v>1051</v>
      </c>
      <c r="F48" s="52">
        <v>11.2</v>
      </c>
    </row>
    <row r="49" spans="1:10">
      <c r="A49" s="52">
        <v>19</v>
      </c>
      <c r="B49" s="52" t="s">
        <v>179</v>
      </c>
      <c r="J49" s="52" t="s">
        <v>1060</v>
      </c>
    </row>
    <row r="50" spans="1:10">
      <c r="A50" s="52">
        <v>20</v>
      </c>
      <c r="C50" s="52">
        <v>1</v>
      </c>
      <c r="D50" s="52" t="s">
        <v>1056</v>
      </c>
      <c r="J50" s="52" t="s">
        <v>995</v>
      </c>
    </row>
    <row r="51" spans="1:10">
      <c r="A51" s="52">
        <v>21</v>
      </c>
      <c r="C51" s="52">
        <v>2</v>
      </c>
      <c r="D51" s="52" t="s">
        <v>1057</v>
      </c>
      <c r="G51" s="663">
        <v>0.01</v>
      </c>
    </row>
    <row r="52" spans="1:10">
      <c r="A52" s="52">
        <v>22</v>
      </c>
      <c r="C52" s="52">
        <v>3</v>
      </c>
      <c r="D52" s="52" t="s">
        <v>1058</v>
      </c>
      <c r="G52" s="663">
        <v>1.4999999999999999E-2</v>
      </c>
      <c r="J52" s="52" t="s">
        <v>1078</v>
      </c>
    </row>
    <row r="53" spans="1:10">
      <c r="A53" s="52">
        <v>23</v>
      </c>
      <c r="G53" s="663">
        <v>0.03</v>
      </c>
      <c r="J53" s="52" t="s">
        <v>1079</v>
      </c>
    </row>
    <row r="54" spans="1:10">
      <c r="A54" s="52">
        <v>24</v>
      </c>
      <c r="G54" s="663">
        <v>0.04</v>
      </c>
    </row>
    <row r="55" spans="1:10">
      <c r="A55" s="52">
        <v>25</v>
      </c>
      <c r="G55" s="663">
        <v>0.05</v>
      </c>
    </row>
    <row r="56" spans="1:10">
      <c r="A56" s="52">
        <v>26</v>
      </c>
      <c r="G56" s="663">
        <v>0.06</v>
      </c>
    </row>
    <row r="57" spans="1:10">
      <c r="A57" s="52">
        <v>27</v>
      </c>
      <c r="G57" s="663">
        <v>7.0000000000000007E-2</v>
      </c>
    </row>
    <row r="58" spans="1:10">
      <c r="A58" s="52">
        <v>28</v>
      </c>
      <c r="G58" s="663">
        <v>0.08</v>
      </c>
      <c r="J58" s="52" t="s">
        <v>1100</v>
      </c>
    </row>
    <row r="59" spans="1:10">
      <c r="A59" s="52">
        <v>29</v>
      </c>
      <c r="G59" s="663">
        <v>0.09</v>
      </c>
      <c r="J59" s="52" t="s">
        <v>1099</v>
      </c>
    </row>
    <row r="60" spans="1:10">
      <c r="A60" s="52">
        <v>30</v>
      </c>
      <c r="C60" s="336"/>
      <c r="D60" s="53" t="s">
        <v>902</v>
      </c>
      <c r="G60" s="663">
        <v>0.1</v>
      </c>
      <c r="J60" s="52" t="s">
        <v>1095</v>
      </c>
    </row>
    <row r="61" spans="1:10">
      <c r="B61" s="53" t="s">
        <v>906</v>
      </c>
      <c r="C61" s="336">
        <v>1</v>
      </c>
      <c r="D61" s="52" t="s">
        <v>899</v>
      </c>
      <c r="G61" s="663">
        <v>0.11</v>
      </c>
      <c r="J61" s="52" t="s">
        <v>1096</v>
      </c>
    </row>
    <row r="62" spans="1:10">
      <c r="A62" s="336">
        <v>1</v>
      </c>
      <c r="B62" s="52" t="s">
        <v>882</v>
      </c>
      <c r="C62" s="336">
        <v>2</v>
      </c>
      <c r="D62" s="52" t="s">
        <v>900</v>
      </c>
      <c r="G62" s="663">
        <v>0.12</v>
      </c>
      <c r="J62" s="52" t="s">
        <v>1097</v>
      </c>
    </row>
    <row r="63" spans="1:10">
      <c r="A63" s="336">
        <v>2</v>
      </c>
      <c r="B63" s="52" t="s">
        <v>883</v>
      </c>
      <c r="C63" s="336">
        <v>3</v>
      </c>
      <c r="D63" s="52" t="s">
        <v>901</v>
      </c>
      <c r="G63" s="663">
        <v>0.13</v>
      </c>
      <c r="J63" s="52" t="s">
        <v>1098</v>
      </c>
    </row>
    <row r="64" spans="1:10">
      <c r="A64" s="336">
        <v>3</v>
      </c>
      <c r="B64" s="52" t="s">
        <v>145</v>
      </c>
      <c r="C64" s="336">
        <v>4</v>
      </c>
      <c r="D64" s="52" t="s">
        <v>903</v>
      </c>
      <c r="G64" s="663">
        <v>0.14000000000000001</v>
      </c>
      <c r="J64" s="52" t="s">
        <v>1101</v>
      </c>
    </row>
    <row r="65" spans="1:10">
      <c r="A65" s="336">
        <v>4</v>
      </c>
      <c r="B65" s="52" t="s">
        <v>884</v>
      </c>
      <c r="C65" s="336">
        <v>5</v>
      </c>
      <c r="D65" s="52" t="s">
        <v>904</v>
      </c>
      <c r="G65" s="663">
        <v>0.15</v>
      </c>
    </row>
    <row r="66" spans="1:10">
      <c r="A66" s="336">
        <v>5</v>
      </c>
      <c r="B66" s="52" t="s">
        <v>885</v>
      </c>
      <c r="C66" s="336">
        <v>6</v>
      </c>
      <c r="D66" s="52" t="s">
        <v>905</v>
      </c>
      <c r="G66" s="663">
        <v>0.16</v>
      </c>
    </row>
    <row r="67" spans="1:10">
      <c r="A67" s="336">
        <v>6</v>
      </c>
      <c r="B67" s="52" t="s">
        <v>886</v>
      </c>
      <c r="G67" s="663">
        <v>0.17</v>
      </c>
    </row>
    <row r="68" spans="1:10">
      <c r="A68" s="336">
        <v>7</v>
      </c>
      <c r="B68" s="52" t="s">
        <v>888</v>
      </c>
      <c r="G68" s="663">
        <v>0.18</v>
      </c>
    </row>
    <row r="69" spans="1:10">
      <c r="G69" s="663">
        <v>0.19</v>
      </c>
      <c r="J69" s="52" t="s">
        <v>1107</v>
      </c>
    </row>
    <row r="70" spans="1:10">
      <c r="B70" s="53" t="s">
        <v>510</v>
      </c>
      <c r="G70" s="663">
        <v>0.2</v>
      </c>
      <c r="J70" s="52" t="s">
        <v>1106</v>
      </c>
    </row>
    <row r="71" spans="1:10">
      <c r="A71" s="336">
        <v>1</v>
      </c>
      <c r="B71" s="52" t="s">
        <v>27</v>
      </c>
      <c r="J71" s="52" t="s">
        <v>1105</v>
      </c>
    </row>
    <row r="72" spans="1:10">
      <c r="A72" s="336">
        <v>2</v>
      </c>
      <c r="B72" s="52" t="s">
        <v>28</v>
      </c>
    </row>
    <row r="73" spans="1:10">
      <c r="A73" s="336">
        <v>3</v>
      </c>
      <c r="B73" s="52" t="s">
        <v>143</v>
      </c>
    </row>
    <row r="74" spans="1:10">
      <c r="A74" s="336">
        <v>4</v>
      </c>
      <c r="B74" s="52" t="s">
        <v>144</v>
      </c>
    </row>
    <row r="75" spans="1:10">
      <c r="A75" s="336">
        <v>5</v>
      </c>
      <c r="B75" s="52" t="s">
        <v>147</v>
      </c>
      <c r="J75" s="52" t="s">
        <v>1111</v>
      </c>
    </row>
    <row r="76" spans="1:10">
      <c r="A76" s="336">
        <v>6</v>
      </c>
      <c r="B76" s="52" t="s">
        <v>148</v>
      </c>
      <c r="J76" s="52" t="s">
        <v>1112</v>
      </c>
    </row>
    <row r="77" spans="1:10">
      <c r="A77" s="336">
        <v>7</v>
      </c>
      <c r="B77" s="52" t="s">
        <v>149</v>
      </c>
      <c r="J77" s="52" t="s">
        <v>1114</v>
      </c>
    </row>
    <row r="78" spans="1:10">
      <c r="A78" s="336">
        <v>8</v>
      </c>
      <c r="B78" s="52" t="s">
        <v>150</v>
      </c>
    </row>
    <row r="79" spans="1:10">
      <c r="A79" s="336">
        <v>9</v>
      </c>
      <c r="B79" s="52" t="s">
        <v>172</v>
      </c>
      <c r="C79" s="52">
        <v>1</v>
      </c>
      <c r="D79" s="52" t="s">
        <v>1265</v>
      </c>
    </row>
    <row r="80" spans="1:10">
      <c r="A80" s="336">
        <v>10</v>
      </c>
      <c r="B80" s="52" t="s">
        <v>130</v>
      </c>
      <c r="C80" s="52">
        <v>2</v>
      </c>
      <c r="D80" s="52" t="s">
        <v>1266</v>
      </c>
    </row>
    <row r="81" spans="1:4">
      <c r="A81" s="336">
        <v>11</v>
      </c>
      <c r="B81" s="52" t="s">
        <v>181</v>
      </c>
      <c r="C81" s="52">
        <v>3</v>
      </c>
      <c r="D81" s="52" t="s">
        <v>1267</v>
      </c>
    </row>
    <row r="82" spans="1:4">
      <c r="A82" s="336">
        <v>12</v>
      </c>
      <c r="B82" s="52" t="s">
        <v>139</v>
      </c>
      <c r="C82" s="52">
        <v>4</v>
      </c>
      <c r="D82" s="52" t="s">
        <v>1268</v>
      </c>
    </row>
    <row r="83" spans="1:4">
      <c r="A83" s="336">
        <v>13</v>
      </c>
      <c r="B83" s="52" t="s">
        <v>887</v>
      </c>
      <c r="C83" s="52">
        <v>5</v>
      </c>
      <c r="D83" s="52" t="s">
        <v>1269</v>
      </c>
    </row>
    <row r="84" spans="1:4">
      <c r="C84" s="52">
        <v>6</v>
      </c>
      <c r="D84" s="52" t="s">
        <v>1000</v>
      </c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</customSheetView>
  </customSheetView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0">
    <tabColor theme="6" tint="-0.499984740745262"/>
  </sheetPr>
  <dimension ref="A1:V89"/>
  <sheetViews>
    <sheetView workbookViewId="0"/>
  </sheetViews>
  <sheetFormatPr defaultRowHeight="14.25"/>
  <cols>
    <col min="1" max="1" width="1.6640625" style="468" customWidth="1"/>
    <col min="2" max="2" width="6.33203125" style="490" customWidth="1"/>
    <col min="3" max="3" width="56.5" style="468" customWidth="1"/>
    <col min="4" max="4" width="5.83203125" style="468" customWidth="1"/>
    <col min="5" max="5" width="19.1640625" style="468" customWidth="1"/>
    <col min="6" max="6" width="4" style="468" customWidth="1"/>
    <col min="7" max="7" width="4.83203125" style="468" bestFit="1" customWidth="1"/>
    <col min="8" max="8" width="20.6640625" style="468" customWidth="1"/>
    <col min="9" max="9" width="1.83203125" style="468" customWidth="1"/>
    <col min="10" max="10" width="6.1640625" style="468" customWidth="1"/>
    <col min="11" max="11" width="21.1640625" style="468" customWidth="1"/>
    <col min="12" max="12" width="2.33203125" style="468" customWidth="1"/>
    <col min="13" max="13" width="4.83203125" style="468" customWidth="1"/>
    <col min="14" max="14" width="19.83203125" style="468" bestFit="1" customWidth="1"/>
    <col min="15" max="15" width="2" style="468" customWidth="1"/>
    <col min="16" max="16" width="4.5" style="468" customWidth="1"/>
    <col min="17" max="17" width="13.33203125" style="468" customWidth="1"/>
    <col min="18" max="18" width="0.83203125" style="468" customWidth="1"/>
    <col min="19" max="19" width="2" style="468" customWidth="1"/>
    <col min="20" max="20" width="1.6640625" style="468" customWidth="1"/>
    <col min="21" max="21" width="9.33203125" style="468"/>
    <col min="22" max="22" width="45" style="468" bestFit="1" customWidth="1"/>
    <col min="23" max="16384" width="9.33203125" style="468"/>
  </cols>
  <sheetData>
    <row r="1" spans="1:21">
      <c r="A1" s="459"/>
      <c r="B1" s="467"/>
      <c r="C1" s="459"/>
      <c r="D1" s="1259" t="s">
        <v>1064</v>
      </c>
      <c r="E1" s="1259"/>
      <c r="F1" s="1259"/>
      <c r="G1" s="1259"/>
      <c r="H1" s="1259"/>
      <c r="I1" s="1259"/>
      <c r="J1" s="1259"/>
      <c r="K1" s="1259"/>
      <c r="L1" s="1259"/>
      <c r="M1" s="459"/>
      <c r="N1" s="459"/>
      <c r="O1" s="459"/>
      <c r="P1" s="459"/>
      <c r="Q1" s="459"/>
      <c r="R1" s="459"/>
      <c r="S1" s="459"/>
      <c r="T1" s="459"/>
    </row>
    <row r="2" spans="1:21">
      <c r="A2" s="459"/>
      <c r="B2" s="469"/>
      <c r="C2" s="470" t="s">
        <v>29</v>
      </c>
      <c r="D2" s="442"/>
      <c r="E2" s="421" t="s">
        <v>989</v>
      </c>
      <c r="F2" s="421"/>
      <c r="G2" s="442"/>
      <c r="H2" s="421" t="s">
        <v>990</v>
      </c>
      <c r="I2" s="421"/>
      <c r="J2" s="471"/>
      <c r="K2" s="1266" t="s">
        <v>195</v>
      </c>
      <c r="L2" s="1267"/>
      <c r="M2" s="442"/>
      <c r="N2" s="472" t="s">
        <v>180</v>
      </c>
      <c r="O2" s="472"/>
      <c r="P2" s="442"/>
      <c r="Q2" s="472" t="s">
        <v>1055</v>
      </c>
      <c r="R2" s="442"/>
      <c r="S2" s="471"/>
      <c r="T2" s="459"/>
    </row>
    <row r="3" spans="1:21">
      <c r="A3" s="459"/>
      <c r="B3" s="466"/>
      <c r="C3" s="459"/>
      <c r="D3" s="1259"/>
      <c r="E3" s="1259"/>
      <c r="F3" s="1259"/>
      <c r="G3" s="1259"/>
      <c r="H3" s="1259"/>
      <c r="I3" s="1259"/>
      <c r="J3" s="1259"/>
      <c r="K3" s="1259"/>
      <c r="L3" s="1259"/>
      <c r="M3" s="459"/>
      <c r="N3" s="459"/>
      <c r="O3" s="459"/>
      <c r="P3" s="459"/>
      <c r="Q3" s="459"/>
      <c r="R3" s="459"/>
      <c r="S3" s="459"/>
      <c r="T3" s="459"/>
    </row>
    <row r="4" spans="1:21">
      <c r="A4" s="459"/>
      <c r="B4" s="469"/>
      <c r="C4" s="442"/>
      <c r="D4" s="442"/>
      <c r="E4" s="442"/>
      <c r="F4" s="442"/>
      <c r="G4" s="442"/>
      <c r="H4" s="442"/>
      <c r="I4" s="442"/>
      <c r="J4" s="442"/>
      <c r="K4" s="471" t="s">
        <v>991</v>
      </c>
      <c r="L4" s="442"/>
      <c r="M4" s="442"/>
      <c r="N4" s="442"/>
      <c r="O4" s="442"/>
      <c r="P4" s="442"/>
      <c r="Q4" s="442"/>
      <c r="R4" s="442"/>
      <c r="S4" s="460"/>
      <c r="T4" s="459"/>
      <c r="U4" s="810"/>
    </row>
    <row r="5" spans="1:21">
      <c r="A5" s="459"/>
      <c r="B5" s="469">
        <v>1</v>
      </c>
      <c r="C5" s="471" t="s">
        <v>992</v>
      </c>
      <c r="D5" s="442"/>
      <c r="E5" s="814"/>
      <c r="F5" s="442"/>
      <c r="G5" s="473" t="s">
        <v>21</v>
      </c>
      <c r="H5" s="474">
        <f>SUM(E7,H6)</f>
        <v>16245.599999999999</v>
      </c>
      <c r="I5" s="442"/>
      <c r="J5" s="510" t="s">
        <v>21</v>
      </c>
      <c r="K5" s="522">
        <f>H5</f>
        <v>16245.599999999999</v>
      </c>
      <c r="L5" s="442"/>
      <c r="M5" s="510" t="s">
        <v>21</v>
      </c>
      <c r="N5" s="703">
        <f>K5/('Caract. produção'!D71)</f>
        <v>1.05765625</v>
      </c>
      <c r="O5" s="442"/>
      <c r="P5" s="510" t="s">
        <v>31</v>
      </c>
      <c r="Q5" s="511">
        <f>(SUM(E5,H5))*100/(SUM($H$30,$E$30))</f>
        <v>13.405709426612203</v>
      </c>
      <c r="R5" s="442"/>
      <c r="S5" s="460"/>
      <c r="T5" s="459"/>
    </row>
    <row r="6" spans="1:21">
      <c r="A6" s="459"/>
      <c r="B6" s="469">
        <v>1.1000000000000001</v>
      </c>
      <c r="C6" s="471" t="s">
        <v>994</v>
      </c>
      <c r="D6" s="442"/>
      <c r="E6" s="442"/>
      <c r="F6" s="442"/>
      <c r="G6" s="512" t="s">
        <v>21</v>
      </c>
      <c r="H6" s="564">
        <f>Trabalho!G14+Trabalho!G5</f>
        <v>15016.8</v>
      </c>
      <c r="I6" s="442"/>
      <c r="J6" s="512" t="s">
        <v>21</v>
      </c>
      <c r="K6" s="562">
        <f>H6</f>
        <v>15016.8</v>
      </c>
      <c r="L6" s="442"/>
      <c r="M6" s="512" t="s">
        <v>21</v>
      </c>
      <c r="N6" s="513">
        <f>K6/('Caract. produção'!D71)</f>
        <v>0.97765625</v>
      </c>
      <c r="O6" s="442"/>
      <c r="P6" s="512" t="s">
        <v>31</v>
      </c>
      <c r="Q6" s="513">
        <f>(SUM(E6,H6))*100/(SUM($H$30,$E$30))</f>
        <v>12.39171574565114</v>
      </c>
      <c r="R6" s="512"/>
      <c r="S6" s="460"/>
      <c r="T6" s="459"/>
    </row>
    <row r="7" spans="1:21">
      <c r="A7" s="459"/>
      <c r="B7" s="469">
        <v>1.2</v>
      </c>
      <c r="C7" s="471" t="s">
        <v>873</v>
      </c>
      <c r="D7" s="512" t="s">
        <v>21</v>
      </c>
      <c r="E7" s="562">
        <f>Trabalho!G18+Trabalho!G22</f>
        <v>1228.8</v>
      </c>
      <c r="F7" s="442"/>
      <c r="G7" s="512"/>
      <c r="H7" s="794"/>
      <c r="I7" s="442"/>
      <c r="J7" s="512" t="s">
        <v>21</v>
      </c>
      <c r="K7" s="562">
        <f>E7</f>
        <v>1228.8</v>
      </c>
      <c r="L7" s="442"/>
      <c r="M7" s="512" t="s">
        <v>21</v>
      </c>
      <c r="N7" s="513">
        <f>K7/('Caract. produção'!D71)</f>
        <v>0.08</v>
      </c>
      <c r="O7" s="442"/>
      <c r="P7" s="512" t="s">
        <v>31</v>
      </c>
      <c r="Q7" s="513">
        <f>(SUM(E7,H7))*100/(SUM($H$30,$E$30))</f>
        <v>1.013993680961065</v>
      </c>
      <c r="R7" s="512"/>
      <c r="S7" s="460"/>
      <c r="T7" s="459"/>
    </row>
    <row r="8" spans="1:21">
      <c r="A8" s="459"/>
      <c r="B8" s="469">
        <v>2</v>
      </c>
      <c r="C8" s="470" t="s">
        <v>194</v>
      </c>
      <c r="D8" s="473" t="s">
        <v>21</v>
      </c>
      <c r="E8" s="479">
        <f>Trabalho!G27</f>
        <v>256.75837320574163</v>
      </c>
      <c r="F8" s="442"/>
      <c r="G8" s="512"/>
      <c r="H8" s="794"/>
      <c r="I8" s="442"/>
      <c r="J8" s="473" t="s">
        <v>21</v>
      </c>
      <c r="K8" s="479">
        <f>E8</f>
        <v>256.75837320574163</v>
      </c>
      <c r="L8" s="442"/>
      <c r="M8" s="473" t="s">
        <v>21</v>
      </c>
      <c r="N8" s="475">
        <f>K8/('Caract. produção'!D71)</f>
        <v>1.6716039922248804E-2</v>
      </c>
      <c r="O8" s="442"/>
      <c r="P8" s="510" t="s">
        <v>31</v>
      </c>
      <c r="Q8" s="511">
        <f>(SUM(E8))*100/(SUM($H$30,$E$30))</f>
        <v>0.21187448564816475</v>
      </c>
      <c r="R8" s="442"/>
      <c r="S8" s="460"/>
      <c r="T8" s="459"/>
    </row>
    <row r="9" spans="1:21">
      <c r="A9" s="459"/>
      <c r="B9" s="469">
        <v>3</v>
      </c>
      <c r="C9" s="470" t="s">
        <v>191</v>
      </c>
      <c r="D9" s="473" t="s">
        <v>21</v>
      </c>
      <c r="E9" s="477">
        <f>Transporte!G13</f>
        <v>6116.1062400000001</v>
      </c>
      <c r="F9" s="442"/>
      <c r="G9" s="442"/>
      <c r="H9" s="460"/>
      <c r="I9" s="442"/>
      <c r="J9" s="473" t="s">
        <v>21</v>
      </c>
      <c r="K9" s="479">
        <f t="shared" ref="K9:K14" si="0">SUM(E9,H9)</f>
        <v>6116.1062400000001</v>
      </c>
      <c r="L9" s="442"/>
      <c r="M9" s="473" t="s">
        <v>21</v>
      </c>
      <c r="N9" s="475">
        <f>K9/'Caract. produção'!D71</f>
        <v>0.39818399999999998</v>
      </c>
      <c r="O9" s="442"/>
      <c r="P9" s="510" t="s">
        <v>31</v>
      </c>
      <c r="Q9" s="511">
        <f t="shared" ref="Q9:Q28" si="1">(SUM(E9,H9))*100/(SUM($H$30,$E$30))</f>
        <v>5.0469507482475082</v>
      </c>
      <c r="R9" s="442"/>
      <c r="S9" s="460"/>
      <c r="T9" s="459"/>
    </row>
    <row r="10" spans="1:21">
      <c r="A10" s="459"/>
      <c r="B10" s="469">
        <v>5</v>
      </c>
      <c r="C10" s="470" t="s">
        <v>190</v>
      </c>
      <c r="D10" s="473" t="s">
        <v>21</v>
      </c>
      <c r="E10" s="477">
        <f>Insumos!F104</f>
        <v>708</v>
      </c>
      <c r="F10" s="442"/>
      <c r="G10" s="442"/>
      <c r="H10" s="460"/>
      <c r="I10" s="442"/>
      <c r="J10" s="473" t="s">
        <v>21</v>
      </c>
      <c r="K10" s="479">
        <f t="shared" si="0"/>
        <v>708</v>
      </c>
      <c r="L10" s="442"/>
      <c r="M10" s="473" t="s">
        <v>21</v>
      </c>
      <c r="N10" s="475">
        <f>K10/'Caract. produção'!D71</f>
        <v>4.6093750000000003E-2</v>
      </c>
      <c r="O10" s="442"/>
      <c r="P10" s="510" t="s">
        <v>31</v>
      </c>
      <c r="Q10" s="511">
        <f t="shared" si="1"/>
        <v>0.58423464039748862</v>
      </c>
      <c r="R10" s="442"/>
      <c r="S10" s="460"/>
      <c r="T10" s="459"/>
    </row>
    <row r="11" spans="1:21">
      <c r="A11" s="459"/>
      <c r="B11" s="469">
        <v>6</v>
      </c>
      <c r="C11" s="470" t="s">
        <v>192</v>
      </c>
      <c r="D11" s="473" t="s">
        <v>21</v>
      </c>
      <c r="E11" s="477">
        <f>SUM(Insumos!F99:F101)</f>
        <v>0</v>
      </c>
      <c r="F11" s="442"/>
      <c r="G11" s="442"/>
      <c r="H11" s="460"/>
      <c r="I11" s="442"/>
      <c r="J11" s="473" t="s">
        <v>21</v>
      </c>
      <c r="K11" s="479">
        <f t="shared" si="0"/>
        <v>0</v>
      </c>
      <c r="L11" s="442"/>
      <c r="M11" s="473" t="s">
        <v>21</v>
      </c>
      <c r="N11" s="475">
        <f>K11/'Caract. produção'!D71</f>
        <v>0</v>
      </c>
      <c r="O11" s="442"/>
      <c r="P11" s="510" t="s">
        <v>31</v>
      </c>
      <c r="Q11" s="511">
        <f t="shared" si="1"/>
        <v>0</v>
      </c>
      <c r="R11" s="442"/>
      <c r="S11" s="460"/>
      <c r="T11" s="459"/>
    </row>
    <row r="12" spans="1:21">
      <c r="A12" s="459"/>
      <c r="B12" s="469">
        <v>7</v>
      </c>
      <c r="C12" s="470" t="s">
        <v>1543</v>
      </c>
      <c r="D12" s="473" t="s">
        <v>21</v>
      </c>
      <c r="E12" s="477">
        <f>SUM(Insumos!F102,Insumos!F103,Insumos!F105,Insumos!F106)</f>
        <v>1794</v>
      </c>
      <c r="F12" s="461"/>
      <c r="G12" s="442"/>
      <c r="H12" s="460"/>
      <c r="I12" s="442"/>
      <c r="J12" s="473" t="s">
        <v>21</v>
      </c>
      <c r="K12" s="479">
        <f t="shared" si="0"/>
        <v>1794</v>
      </c>
      <c r="L12" s="442"/>
      <c r="M12" s="473" t="s">
        <v>21</v>
      </c>
      <c r="N12" s="475">
        <f>K12/'Caract. produção'!D71</f>
        <v>0.11679687499999999</v>
      </c>
      <c r="O12" s="442"/>
      <c r="P12" s="510" t="s">
        <v>31</v>
      </c>
      <c r="Q12" s="511">
        <f t="shared" si="1"/>
        <v>1.4803911650749924</v>
      </c>
      <c r="R12" s="442"/>
      <c r="S12" s="460"/>
      <c r="T12" s="459"/>
    </row>
    <row r="13" spans="1:21">
      <c r="A13" s="459"/>
      <c r="B13" s="469">
        <v>8</v>
      </c>
      <c r="C13" s="470" t="s">
        <v>193</v>
      </c>
      <c r="D13" s="830"/>
      <c r="E13" s="830"/>
      <c r="F13" s="442"/>
      <c r="G13" s="473" t="s">
        <v>21</v>
      </c>
      <c r="H13" s="477">
        <f>Insumos!H114</f>
        <v>33.333333333333336</v>
      </c>
      <c r="I13" s="442"/>
      <c r="J13" s="473" t="s">
        <v>21</v>
      </c>
      <c r="K13" s="479">
        <f>SUM(H13,E13)</f>
        <v>33.333333333333336</v>
      </c>
      <c r="L13" s="442"/>
      <c r="M13" s="473" t="s">
        <v>21</v>
      </c>
      <c r="N13" s="475">
        <f>K13/('Caract. produção'!D71)</f>
        <v>2.170138888888889E-3</v>
      </c>
      <c r="O13" s="442"/>
      <c r="P13" s="510" t="s">
        <v>31</v>
      </c>
      <c r="Q13" s="511">
        <f>(SUM(H13,E13))*100/(SUM($H$30,$E$30))</f>
        <v>2.7506339001765003E-2</v>
      </c>
      <c r="R13" s="442"/>
      <c r="S13" s="460"/>
      <c r="T13" s="459"/>
    </row>
    <row r="14" spans="1:21">
      <c r="A14" s="459"/>
      <c r="B14" s="469">
        <v>9</v>
      </c>
      <c r="C14" s="470" t="s">
        <v>30</v>
      </c>
      <c r="D14" s="473" t="s">
        <v>21</v>
      </c>
      <c r="E14" s="479">
        <f>Insumos!H58</f>
        <v>60973.044772933332</v>
      </c>
      <c r="F14" s="442"/>
      <c r="G14" s="442"/>
      <c r="H14" s="460"/>
      <c r="I14" s="442"/>
      <c r="J14" s="473" t="s">
        <v>21</v>
      </c>
      <c r="K14" s="479">
        <f t="shared" si="0"/>
        <v>60973.044772933332</v>
      </c>
      <c r="L14" s="442"/>
      <c r="M14" s="473" t="s">
        <v>21</v>
      </c>
      <c r="N14" s="475">
        <f>K14/('Caract. produção'!D71)</f>
        <v>3.9695992690711805</v>
      </c>
      <c r="O14" s="442"/>
      <c r="P14" s="510" t="s">
        <v>31</v>
      </c>
      <c r="Q14" s="511">
        <f t="shared" si="1"/>
        <v>50.314357184822988</v>
      </c>
      <c r="R14" s="442"/>
      <c r="S14" s="460"/>
      <c r="T14" s="459"/>
    </row>
    <row r="15" spans="1:21">
      <c r="A15" s="459"/>
      <c r="B15" s="469">
        <v>10</v>
      </c>
      <c r="C15" s="470" t="s">
        <v>151</v>
      </c>
      <c r="D15" s="473" t="s">
        <v>21</v>
      </c>
      <c r="E15" s="479">
        <f>Insumos!H7</f>
        <v>12800</v>
      </c>
      <c r="F15" s="442"/>
      <c r="G15" s="442"/>
      <c r="H15" s="460"/>
      <c r="I15" s="442"/>
      <c r="J15" s="473" t="s">
        <v>21</v>
      </c>
      <c r="K15" s="479">
        <f>SUM(E15)</f>
        <v>12800</v>
      </c>
      <c r="L15" s="442"/>
      <c r="M15" s="473" t="s">
        <v>21</v>
      </c>
      <c r="N15" s="475">
        <f>K15/('Caract. produção'!D71)</f>
        <v>0.83333333333333337</v>
      </c>
      <c r="O15" s="442"/>
      <c r="P15" s="510" t="s">
        <v>31</v>
      </c>
      <c r="Q15" s="511">
        <f t="shared" si="1"/>
        <v>10.56243417667776</v>
      </c>
      <c r="R15" s="442"/>
      <c r="S15" s="460"/>
      <c r="T15" s="459"/>
    </row>
    <row r="16" spans="1:21">
      <c r="A16" s="459"/>
      <c r="B16" s="469">
        <v>11</v>
      </c>
      <c r="C16" s="470" t="s">
        <v>109</v>
      </c>
      <c r="D16" s="561" t="s">
        <v>21</v>
      </c>
      <c r="E16" s="511">
        <f>SUM(H17,E18,H18)</f>
        <v>54.000000000000007</v>
      </c>
      <c r="F16" s="442"/>
      <c r="G16" s="442"/>
      <c r="H16" s="692"/>
      <c r="I16" s="442"/>
      <c r="J16" s="473" t="s">
        <v>21</v>
      </c>
      <c r="K16" s="479">
        <f>SUM(H16+E16)</f>
        <v>54.000000000000007</v>
      </c>
      <c r="L16" s="442"/>
      <c r="M16" s="473" t="s">
        <v>21</v>
      </c>
      <c r="N16" s="475">
        <f>K16/('Caract. produção'!D71)</f>
        <v>3.5156250000000005E-3</v>
      </c>
      <c r="O16" s="442"/>
      <c r="P16" s="510" t="s">
        <v>31</v>
      </c>
      <c r="Q16" s="511">
        <f t="shared" si="1"/>
        <v>4.4560269182859311E-2</v>
      </c>
      <c r="R16" s="442"/>
      <c r="S16" s="460"/>
      <c r="T16" s="459"/>
    </row>
    <row r="17" spans="1:22">
      <c r="A17" s="459"/>
      <c r="B17" s="469">
        <v>11.1</v>
      </c>
      <c r="C17" s="470" t="s">
        <v>988</v>
      </c>
      <c r="D17" s="830"/>
      <c r="E17" s="692"/>
      <c r="F17" s="442"/>
      <c r="G17" s="512" t="s">
        <v>21</v>
      </c>
      <c r="H17" s="513">
        <f>Insumos!H69</f>
        <v>54.000000000000007</v>
      </c>
      <c r="I17" s="442"/>
      <c r="J17" s="512" t="s">
        <v>21</v>
      </c>
      <c r="K17" s="562">
        <f>SUM(E17+H17)</f>
        <v>54.000000000000007</v>
      </c>
      <c r="L17" s="512"/>
      <c r="M17" s="512" t="s">
        <v>21</v>
      </c>
      <c r="N17" s="513">
        <f>K17/('Caract. produção'!D71)</f>
        <v>3.5156250000000005E-3</v>
      </c>
      <c r="O17" s="512"/>
      <c r="P17" s="512" t="s">
        <v>31</v>
      </c>
      <c r="Q17" s="513">
        <f>(SUM(H17,E17))*100/(SUM($H$30,$E$30))</f>
        <v>4.4560269182859311E-2</v>
      </c>
      <c r="R17" s="512"/>
      <c r="S17" s="460"/>
      <c r="T17" s="459"/>
    </row>
    <row r="18" spans="1:22">
      <c r="A18" s="459"/>
      <c r="B18" s="469">
        <v>11.2</v>
      </c>
      <c r="C18" s="470" t="s">
        <v>1544</v>
      </c>
      <c r="D18" s="512" t="s">
        <v>21</v>
      </c>
      <c r="E18" s="513">
        <f>SUM(Insumos!H86,Insumos!E91)</f>
        <v>0</v>
      </c>
      <c r="F18" s="442"/>
      <c r="G18" s="512" t="s">
        <v>21</v>
      </c>
      <c r="H18" s="817">
        <f>SUM(Insumos!E90,Insumos!E92)</f>
        <v>0</v>
      </c>
      <c r="I18" s="442"/>
      <c r="J18" s="512" t="s">
        <v>21</v>
      </c>
      <c r="K18" s="562">
        <f>SUM(H18+E18)</f>
        <v>0</v>
      </c>
      <c r="L18" s="512"/>
      <c r="M18" s="512" t="s">
        <v>21</v>
      </c>
      <c r="N18" s="513">
        <f>K18/('Caract. produção'!D71)</f>
        <v>0</v>
      </c>
      <c r="O18" s="512"/>
      <c r="P18" s="512" t="s">
        <v>31</v>
      </c>
      <c r="Q18" s="513">
        <f>(SUM(E18,H18))*100/(SUM($H$30,$E$30))</f>
        <v>0</v>
      </c>
      <c r="R18" s="512"/>
      <c r="S18" s="460"/>
      <c r="T18" s="459"/>
    </row>
    <row r="19" spans="1:22">
      <c r="A19" s="459"/>
      <c r="B19" s="469">
        <v>12</v>
      </c>
      <c r="C19" s="470" t="s">
        <v>33</v>
      </c>
      <c r="D19" s="442"/>
      <c r="E19" s="461"/>
      <c r="F19" s="442"/>
      <c r="G19" s="473" t="s">
        <v>21</v>
      </c>
      <c r="H19" s="514">
        <f>SUM(Inventário!G6:G18,Inventário!G23:G28)/'Caract. produção'!D74</f>
        <v>52.63894736842105</v>
      </c>
      <c r="I19" s="442"/>
      <c r="J19" s="473" t="s">
        <v>21</v>
      </c>
      <c r="K19" s="479">
        <f t="shared" ref="K19:K26" si="2">H19</f>
        <v>52.63894736842105</v>
      </c>
      <c r="L19" s="442"/>
      <c r="M19" s="473" t="s">
        <v>21</v>
      </c>
      <c r="N19" s="475">
        <f>K19/('Caract. produção'!D71)</f>
        <v>3.4270148026315787E-3</v>
      </c>
      <c r="O19" s="442"/>
      <c r="P19" s="510" t="s">
        <v>31</v>
      </c>
      <c r="Q19" s="511">
        <f t="shared" si="1"/>
        <v>4.3437141930355652E-2</v>
      </c>
      <c r="R19" s="442"/>
      <c r="S19" s="460"/>
      <c r="T19" s="459"/>
    </row>
    <row r="20" spans="1:22">
      <c r="A20" s="459"/>
      <c r="B20" s="469">
        <v>13</v>
      </c>
      <c r="C20" s="470" t="s">
        <v>1545</v>
      </c>
      <c r="D20" s="561" t="s">
        <v>21</v>
      </c>
      <c r="E20" s="511">
        <f>('Caract. produção'!E242/100)*('Caract. produção'!D71*'Caract. produção'!G71)</f>
        <v>310.88639999999998</v>
      </c>
      <c r="F20" s="442"/>
      <c r="G20" s="473" t="s">
        <v>21</v>
      </c>
      <c r="H20" s="515">
        <f>SUM(SUM('Caract. produção'!E238,'Caract. produção'!F237,'Caract. produção'!E241,'Caract. produção'!E239,'Caract. produção'!E240)/'Caract. produção'!D74,)</f>
        <v>307.87832535885167</v>
      </c>
      <c r="I20" s="442"/>
      <c r="J20" s="473" t="s">
        <v>21</v>
      </c>
      <c r="K20" s="480">
        <f>H20+E20</f>
        <v>618.76472535885159</v>
      </c>
      <c r="L20" s="442"/>
      <c r="M20" s="473" t="s">
        <v>21</v>
      </c>
      <c r="N20" s="475">
        <f>K20/('Caract. produção'!D71)</f>
        <v>4.0284161807216903E-2</v>
      </c>
      <c r="O20" s="442"/>
      <c r="P20" s="510" t="s">
        <v>31</v>
      </c>
      <c r="Q20" s="511">
        <f>(SUM(E20,H20))*100/(SUM($H$30,$E$30))</f>
        <v>0.51059856894163769</v>
      </c>
      <c r="R20" s="442"/>
      <c r="S20" s="460"/>
      <c r="T20" s="459"/>
    </row>
    <row r="21" spans="1:22">
      <c r="A21" s="459"/>
      <c r="B21" s="469">
        <v>14</v>
      </c>
      <c r="C21" s="470" t="s">
        <v>32</v>
      </c>
      <c r="D21" s="442"/>
      <c r="E21" s="461"/>
      <c r="F21" s="442"/>
      <c r="G21" s="473" t="s">
        <v>21</v>
      </c>
      <c r="H21" s="516">
        <f>Inventário!H30/'Caract. produção'!D74</f>
        <v>4929.1376842105255</v>
      </c>
      <c r="I21" s="442"/>
      <c r="J21" s="473" t="s">
        <v>21</v>
      </c>
      <c r="K21" s="477">
        <f t="shared" si="2"/>
        <v>4929.1376842105255</v>
      </c>
      <c r="L21" s="442"/>
      <c r="M21" s="473" t="s">
        <v>21</v>
      </c>
      <c r="N21" s="475">
        <f>K21/('Caract. produção'!D71)</f>
        <v>0.32090740131578943</v>
      </c>
      <c r="O21" s="442"/>
      <c r="P21" s="510" t="s">
        <v>31</v>
      </c>
      <c r="Q21" s="511">
        <f t="shared" si="1"/>
        <v>4.0674759638480875</v>
      </c>
      <c r="R21" s="442"/>
      <c r="S21" s="460"/>
      <c r="T21" s="459"/>
    </row>
    <row r="22" spans="1:22">
      <c r="A22" s="459"/>
      <c r="B22" s="469">
        <v>15</v>
      </c>
      <c r="C22" s="470" t="s">
        <v>993</v>
      </c>
      <c r="D22" s="442"/>
      <c r="E22" s="442"/>
      <c r="F22" s="442"/>
      <c r="G22" s="473" t="s">
        <v>21</v>
      </c>
      <c r="H22" s="514">
        <f>SUM(H23,H24,H25,H26)</f>
        <v>14120.745789537077</v>
      </c>
      <c r="I22" s="442"/>
      <c r="J22" s="473" t="s">
        <v>21</v>
      </c>
      <c r="K22" s="477">
        <f t="shared" si="2"/>
        <v>14120.745789537077</v>
      </c>
      <c r="L22" s="442"/>
      <c r="M22" s="473" t="s">
        <v>21</v>
      </c>
      <c r="N22" s="475">
        <f>K22/('Caract. produção'!D71)</f>
        <v>0.91931938733965346</v>
      </c>
      <c r="O22" s="442"/>
      <c r="P22" s="510" t="s">
        <v>31</v>
      </c>
      <c r="Q22" s="511">
        <f t="shared" si="1"/>
        <v>11.652300619342579</v>
      </c>
      <c r="R22" s="442"/>
      <c r="S22" s="460"/>
      <c r="T22" s="459"/>
    </row>
    <row r="23" spans="1:22">
      <c r="A23" s="459"/>
      <c r="B23" s="469">
        <v>16</v>
      </c>
      <c r="C23" s="470" t="s">
        <v>503</v>
      </c>
      <c r="D23" s="442"/>
      <c r="E23" s="442"/>
      <c r="F23" s="442"/>
      <c r="G23" s="512" t="s">
        <v>21</v>
      </c>
      <c r="H23" s="508">
        <f>((('Caract. produção'!E235*'Caract. produção'!D105)*('Caract. produção'!E243/100))-(('Caract. produção'!E235*'Caract. produção'!D105)*('Caract. produção'!E236/100)))/'Caract. produção'!D74</f>
        <v>0</v>
      </c>
      <c r="I23" s="442"/>
      <c r="J23" s="512" t="s">
        <v>21</v>
      </c>
      <c r="K23" s="563">
        <f t="shared" si="2"/>
        <v>0</v>
      </c>
      <c r="L23" s="442"/>
      <c r="M23" s="512" t="s">
        <v>21</v>
      </c>
      <c r="N23" s="513">
        <f>K23/('Caract. produção'!$D$71)</f>
        <v>0</v>
      </c>
      <c r="O23" s="512"/>
      <c r="P23" s="512" t="s">
        <v>31</v>
      </c>
      <c r="Q23" s="513">
        <f t="shared" si="1"/>
        <v>0</v>
      </c>
      <c r="R23" s="512"/>
      <c r="S23" s="460"/>
      <c r="T23" s="459"/>
    </row>
    <row r="24" spans="1:22">
      <c r="A24" s="459"/>
      <c r="B24" s="469">
        <v>17</v>
      </c>
      <c r="C24" s="470" t="s">
        <v>1492</v>
      </c>
      <c r="D24" s="442"/>
      <c r="E24" s="442"/>
      <c r="F24" s="442"/>
      <c r="G24" s="512" t="s">
        <v>21</v>
      </c>
      <c r="H24" s="508">
        <f>Inventário!H36*('Caract. produção'!E243/100)/'Caract. produção'!D74</f>
        <v>7148.2357894736833</v>
      </c>
      <c r="I24" s="442"/>
      <c r="J24" s="512" t="s">
        <v>21</v>
      </c>
      <c r="K24" s="563">
        <f t="shared" si="2"/>
        <v>7148.2357894736833</v>
      </c>
      <c r="L24" s="442"/>
      <c r="M24" s="512" t="s">
        <v>21</v>
      </c>
      <c r="N24" s="513">
        <f>K24/('Caract. produção'!$D$71)</f>
        <v>0.46537993421052626</v>
      </c>
      <c r="O24" s="512"/>
      <c r="P24" s="512" t="s">
        <v>31</v>
      </c>
      <c r="Q24" s="513">
        <f t="shared" si="1"/>
        <v>5.8986539066943715</v>
      </c>
      <c r="R24" s="512"/>
      <c r="S24" s="460"/>
      <c r="T24" s="459"/>
    </row>
    <row r="25" spans="1:22">
      <c r="A25" s="459"/>
      <c r="B25" s="469">
        <v>18</v>
      </c>
      <c r="C25" s="470" t="s">
        <v>1122</v>
      </c>
      <c r="D25" s="442"/>
      <c r="E25" s="442"/>
      <c r="F25" s="442"/>
      <c r="G25" s="512" t="s">
        <v>21</v>
      </c>
      <c r="H25" s="508">
        <f>IF('Caract. produção'!D14=2,0,IF('Caract. produção'!D14=1,(SUM(E8,E9,E14,E15,E18,E28,Trabalho!G5,Trabalho!G22)*('Caract. produção'!E243/100))))</f>
        <v>5837.7532000633946</v>
      </c>
      <c r="I25" s="461"/>
      <c r="J25" s="512" t="s">
        <v>21</v>
      </c>
      <c r="K25" s="563">
        <f t="shared" si="2"/>
        <v>5837.7532000633946</v>
      </c>
      <c r="L25" s="442"/>
      <c r="M25" s="512" t="s">
        <v>21</v>
      </c>
      <c r="N25" s="513">
        <f>K25/('Caract. produção'!$D$71)</f>
        <v>0.3800620572957939</v>
      </c>
      <c r="O25" s="512"/>
      <c r="P25" s="512" t="s">
        <v>31</v>
      </c>
      <c r="Q25" s="513">
        <f t="shared" si="1"/>
        <v>4.8172565558874654</v>
      </c>
      <c r="R25" s="512"/>
      <c r="S25" s="460"/>
      <c r="T25" s="459"/>
    </row>
    <row r="26" spans="1:22">
      <c r="A26" s="459"/>
      <c r="B26" s="469">
        <v>19</v>
      </c>
      <c r="C26" s="470" t="s">
        <v>1123</v>
      </c>
      <c r="D26" s="442"/>
      <c r="E26" s="442"/>
      <c r="F26" s="442"/>
      <c r="G26" s="512" t="s">
        <v>21</v>
      </c>
      <c r="H26" s="508">
        <f>IF('Caract. produção'!D14=1,SUM(E10,E11,E12,H13,H5,H17,E27,(SUM('Caract. produção'!G108:G113)/'Caract. produção'!D74),(SUM('Caract. produção'!G117:G129)/'Caract. produção'!D74))*('Caract. produção'!E243/100),IF('Caract. produção'!D14=2,SUM(E8,E9,E14,E15,E18,E9,E10,E11,E12,H13,H5,H17,E27,H19,SUM('Caract. produção'!G108:G113),SUM('Caract. produção'!G117:G129))*('Caract. produção'!E243/100)))</f>
        <v>1134.7567999999999</v>
      </c>
      <c r="I26" s="442"/>
      <c r="J26" s="512" t="s">
        <v>21</v>
      </c>
      <c r="K26" s="563">
        <f t="shared" si="2"/>
        <v>1134.7567999999999</v>
      </c>
      <c r="L26" s="442"/>
      <c r="M26" s="512" t="s">
        <v>21</v>
      </c>
      <c r="N26" s="513">
        <f>K26/('Caract. produção'!$D$71)</f>
        <v>7.3877395833333331E-2</v>
      </c>
      <c r="O26" s="512"/>
      <c r="P26" s="512" t="s">
        <v>31</v>
      </c>
      <c r="Q26" s="513">
        <f t="shared" si="1"/>
        <v>0.93639015676074133</v>
      </c>
      <c r="R26" s="512"/>
      <c r="S26" s="460"/>
      <c r="T26" s="459"/>
    </row>
    <row r="27" spans="1:22">
      <c r="A27" s="459"/>
      <c r="B27" s="469">
        <v>20</v>
      </c>
      <c r="C27" s="481" t="s">
        <v>987</v>
      </c>
      <c r="D27" s="473" t="s">
        <v>21</v>
      </c>
      <c r="E27" s="476">
        <f>Insumos!H128</f>
        <v>77.680000000000007</v>
      </c>
      <c r="F27" s="442"/>
      <c r="G27" s="442"/>
      <c r="H27" s="692"/>
      <c r="I27" s="442"/>
      <c r="J27" s="473" t="s">
        <v>21</v>
      </c>
      <c r="K27" s="477">
        <f>E27</f>
        <v>77.680000000000007</v>
      </c>
      <c r="L27" s="442"/>
      <c r="M27" s="473" t="s">
        <v>21</v>
      </c>
      <c r="N27" s="478">
        <f>K27/'Caract. produção'!D71</f>
        <v>5.0572916666666674E-3</v>
      </c>
      <c r="O27" s="442"/>
      <c r="P27" s="510" t="s">
        <v>31</v>
      </c>
      <c r="Q27" s="511">
        <f t="shared" si="1"/>
        <v>6.4100772409713166E-2</v>
      </c>
      <c r="R27" s="442"/>
      <c r="S27" s="460"/>
      <c r="T27" s="459"/>
    </row>
    <row r="28" spans="1:22">
      <c r="A28" s="459"/>
      <c r="B28" s="469">
        <v>21</v>
      </c>
      <c r="C28" s="481" t="s">
        <v>504</v>
      </c>
      <c r="D28" s="473" t="s">
        <v>21</v>
      </c>
      <c r="E28" s="476">
        <f>IF('Caract. produção'!D14=2,0,IF('Caract. produção'!D14=1,Insumos!H127))</f>
        <v>2404.3772815841717</v>
      </c>
      <c r="F28" s="442"/>
      <c r="G28" s="442"/>
      <c r="H28" s="653"/>
      <c r="I28" s="442"/>
      <c r="J28" s="473" t="s">
        <v>21</v>
      </c>
      <c r="K28" s="477">
        <f>E28</f>
        <v>2404.3772815841717</v>
      </c>
      <c r="L28" s="442"/>
      <c r="M28" s="473" t="s">
        <v>21</v>
      </c>
      <c r="N28" s="478">
        <f>K28/'Caract. produção'!D71</f>
        <v>0.15653497926980284</v>
      </c>
      <c r="O28" s="442"/>
      <c r="P28" s="510" t="s">
        <v>31</v>
      </c>
      <c r="Q28" s="511">
        <f t="shared" si="1"/>
        <v>1.9840684978618923</v>
      </c>
      <c r="R28" s="442"/>
      <c r="S28" s="460"/>
      <c r="T28" s="459"/>
    </row>
    <row r="29" spans="1:22">
      <c r="A29" s="459"/>
      <c r="B29" s="469"/>
      <c r="C29" s="442"/>
      <c r="D29" s="442"/>
      <c r="E29" s="442"/>
      <c r="F29" s="442"/>
      <c r="G29" s="442"/>
      <c r="H29" s="460"/>
      <c r="I29" s="442"/>
      <c r="J29" s="442"/>
      <c r="K29" s="460"/>
      <c r="L29" s="442"/>
      <c r="M29" s="442"/>
      <c r="N29" s="460"/>
      <c r="O29" s="442"/>
      <c r="P29" s="442"/>
      <c r="Q29" s="442"/>
      <c r="R29" s="442"/>
      <c r="S29" s="460"/>
      <c r="T29" s="459"/>
    </row>
    <row r="30" spans="1:22">
      <c r="A30" s="459"/>
      <c r="B30" s="469"/>
      <c r="C30" s="482" t="s">
        <v>24</v>
      </c>
      <c r="D30" s="482" t="s">
        <v>21</v>
      </c>
      <c r="E30" s="483">
        <f>SUM(E17:E18,E7:E15,E27:E28,E20)</f>
        <v>86669.653067723237</v>
      </c>
      <c r="F30" s="442"/>
      <c r="G30" s="482" t="s">
        <v>21</v>
      </c>
      <c r="H30" s="483">
        <f>SUM(H19:H22,H6,H17:H18,H13)</f>
        <v>34514.534079808211</v>
      </c>
      <c r="I30" s="442"/>
      <c r="J30" s="482" t="s">
        <v>21</v>
      </c>
      <c r="K30" s="484">
        <f>SUM(K8:K16,K19:K22,K27:K28,K5)</f>
        <v>121184.18714753145</v>
      </c>
      <c r="L30" s="442"/>
      <c r="M30" s="482" t="s">
        <v>21</v>
      </c>
      <c r="N30" s="478">
        <f>SUM(N8:N16,N27:N28,N19:N22,N5)</f>
        <v>7.8895955174174128</v>
      </c>
      <c r="O30" s="442"/>
      <c r="P30" s="510" t="s">
        <v>31</v>
      </c>
      <c r="Q30" s="478">
        <f>SUM(Q8:Q16,Q19:Q22,Q27:Q28,Q5)</f>
        <v>99.999999999999986</v>
      </c>
      <c r="R30" s="442"/>
      <c r="S30" s="460"/>
      <c r="T30" s="459"/>
      <c r="V30" s="818"/>
    </row>
    <row r="31" spans="1:22">
      <c r="A31" s="459"/>
      <c r="B31" s="469"/>
      <c r="C31" s="442"/>
      <c r="D31" s="442"/>
      <c r="E31" s="832"/>
      <c r="F31" s="442"/>
      <c r="G31" s="442"/>
      <c r="H31" s="442"/>
      <c r="I31" s="442"/>
      <c r="J31" s="442"/>
      <c r="K31" s="442"/>
      <c r="L31" s="442"/>
      <c r="M31" s="442"/>
      <c r="N31" s="461"/>
      <c r="O31" s="461"/>
      <c r="P31" s="442"/>
      <c r="Q31" s="442"/>
      <c r="R31" s="442"/>
      <c r="S31" s="460"/>
      <c r="T31" s="459"/>
    </row>
    <row r="32" spans="1:22">
      <c r="A32" s="459"/>
      <c r="B32" s="466"/>
      <c r="C32" s="546" t="s">
        <v>41</v>
      </c>
      <c r="D32" s="459"/>
      <c r="E32" s="459"/>
      <c r="F32" s="459"/>
      <c r="G32" s="459"/>
      <c r="H32" s="459"/>
      <c r="I32" s="459"/>
      <c r="J32" s="485"/>
      <c r="K32" s="485"/>
      <c r="L32" s="459"/>
      <c r="M32" s="459"/>
      <c r="N32" s="459"/>
      <c r="O32" s="459"/>
      <c r="P32" s="459"/>
      <c r="Q32" s="459"/>
      <c r="R32" s="459"/>
      <c r="S32" s="459"/>
      <c r="T32" s="459"/>
      <c r="V32" s="818"/>
    </row>
    <row r="33" spans="1:20">
      <c r="A33" s="459"/>
      <c r="B33" s="469"/>
      <c r="C33" s="470"/>
      <c r="D33" s="1268" t="s">
        <v>22</v>
      </c>
      <c r="E33" s="1268"/>
      <c r="F33" s="442"/>
      <c r="G33" s="1266" t="s">
        <v>1045</v>
      </c>
      <c r="H33" s="1267"/>
      <c r="I33" s="442"/>
      <c r="J33" s="1266"/>
      <c r="K33" s="1266"/>
      <c r="L33" s="486"/>
      <c r="M33" s="442"/>
      <c r="N33" s="1271"/>
      <c r="O33" s="1267"/>
      <c r="P33" s="442"/>
      <c r="Q33" s="442"/>
      <c r="R33" s="442"/>
      <c r="S33" s="471"/>
      <c r="T33" s="459"/>
    </row>
    <row r="34" spans="1:20">
      <c r="A34" s="459"/>
      <c r="B34" s="469"/>
      <c r="C34" s="470"/>
      <c r="D34" s="535"/>
      <c r="E34" s="535"/>
      <c r="F34" s="532"/>
      <c r="G34" s="533"/>
      <c r="H34" s="534"/>
      <c r="I34" s="532"/>
      <c r="J34" s="533"/>
      <c r="K34" s="533"/>
      <c r="L34" s="486"/>
      <c r="M34" s="532"/>
      <c r="N34" s="533"/>
      <c r="O34" s="534"/>
      <c r="P34" s="532"/>
      <c r="Q34" s="532"/>
      <c r="R34" s="532"/>
      <c r="S34" s="471"/>
      <c r="T34" s="459"/>
    </row>
    <row r="35" spans="1:20">
      <c r="A35" s="459"/>
      <c r="B35" s="469"/>
      <c r="C35" s="487" t="s">
        <v>1046</v>
      </c>
      <c r="D35" s="473" t="s">
        <v>21</v>
      </c>
      <c r="E35" s="556">
        <f>'Caract. produção'!D71*'Caract. produção'!G71</f>
        <v>13516.8</v>
      </c>
      <c r="F35" s="442"/>
      <c r="G35" s="473" t="s">
        <v>21</v>
      </c>
      <c r="H35" s="556">
        <f>'Caract. produção'!G71</f>
        <v>0.88</v>
      </c>
      <c r="I35" s="442"/>
      <c r="J35" s="1264" t="s">
        <v>1611</v>
      </c>
      <c r="K35" s="1265"/>
      <c r="L35" s="471"/>
      <c r="M35" s="482" t="s">
        <v>21</v>
      </c>
      <c r="N35" s="511">
        <f>SUM(N10,N11:N13,N19:N21,N26,N24,N27)</f>
        <v>1.0739939635250531</v>
      </c>
      <c r="O35" s="471"/>
      <c r="P35" s="1227"/>
      <c r="Q35" s="1227"/>
      <c r="R35" s="442"/>
      <c r="S35" s="471"/>
      <c r="T35" s="459"/>
    </row>
    <row r="36" spans="1:20">
      <c r="A36" s="459"/>
      <c r="B36" s="469"/>
      <c r="C36" s="487" t="s">
        <v>1048</v>
      </c>
      <c r="D36" s="473" t="s">
        <v>21</v>
      </c>
      <c r="E36" s="557">
        <f>('Caract. produção'!G72*Insumos!E112)/'Caract. produção'!D80</f>
        <v>66.666666666666671</v>
      </c>
      <c r="F36" s="488"/>
      <c r="G36" s="473" t="s">
        <v>21</v>
      </c>
      <c r="H36" s="523">
        <f>('Caract. produção'!G72*Insumos!E112)/('Caract. produção'!D80*'Caract. produção'!D71)</f>
        <v>4.340277777777778E-3</v>
      </c>
      <c r="I36" s="442"/>
      <c r="J36" s="487"/>
      <c r="K36" s="560"/>
      <c r="L36" s="471"/>
      <c r="M36" s="471"/>
      <c r="N36" s="471"/>
      <c r="O36" s="442"/>
      <c r="P36" s="1268"/>
      <c r="Q36" s="1268"/>
      <c r="R36" s="442"/>
      <c r="S36" s="471"/>
      <c r="T36" s="459"/>
    </row>
    <row r="37" spans="1:20">
      <c r="A37" s="459"/>
      <c r="B37" s="469"/>
      <c r="C37" s="487" t="s">
        <v>1054</v>
      </c>
      <c r="D37" s="512" t="s">
        <v>21</v>
      </c>
      <c r="E37" s="562">
        <f>IF('Caract. produção'!D14=1,(((('Caract. produção'!D75*'Caract. produção'!C108)-((('Caract. produção'!D75*'Caract. produção'!C108))*(SUM('Caract. produção'!E87:E90)/100))))-'Caract. produção'!D71)*H35,IF('Caract. produção'!D14=2,0))</f>
        <v>-33.791999999999682</v>
      </c>
      <c r="F37" s="567"/>
      <c r="G37" s="512" t="s">
        <v>21</v>
      </c>
      <c r="H37" s="563">
        <f>IF('Caract. produção'!D14=1,E37/'Caract. produção'!D71,IF('Caract. produção'!D14=2,0))</f>
        <v>-2.1999999999999793E-3</v>
      </c>
      <c r="I37" s="532"/>
      <c r="J37" s="533"/>
      <c r="K37" s="861" t="s">
        <v>1612</v>
      </c>
      <c r="L37" s="471"/>
      <c r="M37" s="482" t="s">
        <v>21</v>
      </c>
      <c r="N37" s="511">
        <f>N30-N35</f>
        <v>6.8156015538923596</v>
      </c>
      <c r="O37" s="532"/>
      <c r="P37" s="535"/>
      <c r="Q37" s="535"/>
      <c r="R37" s="532"/>
      <c r="S37" s="471"/>
      <c r="T37" s="459"/>
    </row>
    <row r="38" spans="1:20">
      <c r="A38" s="459"/>
      <c r="B38" s="469"/>
      <c r="C38" s="470" t="s">
        <v>1047</v>
      </c>
      <c r="D38" s="473" t="s">
        <v>21</v>
      </c>
      <c r="E38" s="558">
        <f>SUM(E35:E37)</f>
        <v>13549.674666666666</v>
      </c>
      <c r="F38" s="442"/>
      <c r="G38" s="473" t="s">
        <v>21</v>
      </c>
      <c r="H38" s="523">
        <f>SUM(H35:H36)</f>
        <v>0.88434027777777779</v>
      </c>
      <c r="I38" s="489"/>
      <c r="J38" s="560"/>
      <c r="K38" s="559"/>
      <c r="L38" s="420"/>
      <c r="M38" s="420"/>
      <c r="N38" s="1269"/>
      <c r="O38" s="1270"/>
      <c r="P38" s="420"/>
      <c r="Q38" s="1269"/>
      <c r="R38" s="1270"/>
      <c r="S38" s="471"/>
      <c r="T38" s="459"/>
    </row>
    <row r="39" spans="1:20">
      <c r="A39" s="459"/>
      <c r="B39" s="469"/>
      <c r="C39" s="442"/>
      <c r="D39" s="442"/>
      <c r="E39" s="719">
        <f>SUM(E38,E36)</f>
        <v>13616.341333333332</v>
      </c>
      <c r="F39" s="442"/>
      <c r="G39" s="462"/>
      <c r="H39" s="719">
        <f>SUM(H38,H36)</f>
        <v>0.88868055555555558</v>
      </c>
      <c r="I39" s="442"/>
      <c r="J39" s="442"/>
      <c r="K39" s="442"/>
      <c r="L39" s="442"/>
      <c r="M39" s="442"/>
      <c r="N39" s="442"/>
      <c r="O39" s="442"/>
      <c r="P39" s="471"/>
      <c r="Q39" s="471"/>
      <c r="R39" s="471"/>
      <c r="S39" s="471"/>
      <c r="T39" s="459"/>
    </row>
    <row r="40" spans="1:20">
      <c r="A40" s="459"/>
      <c r="B40" s="466"/>
      <c r="C40" s="459"/>
      <c r="D40" s="459"/>
      <c r="E40" s="459"/>
      <c r="F40" s="459"/>
      <c r="G40" s="459"/>
      <c r="H40" s="459"/>
      <c r="I40" s="459"/>
      <c r="J40" s="1263"/>
      <c r="K40" s="1263"/>
      <c r="L40" s="459"/>
      <c r="M40" s="459"/>
      <c r="N40" s="459"/>
      <c r="O40" s="459"/>
      <c r="P40" s="459"/>
      <c r="Q40" s="459"/>
      <c r="R40" s="459"/>
      <c r="S40" s="459"/>
      <c r="T40" s="459"/>
    </row>
    <row r="42" spans="1:20">
      <c r="E42" s="491"/>
    </row>
    <row r="45" spans="1:20">
      <c r="C45" s="463"/>
      <c r="D45" s="1260"/>
      <c r="E45" s="1260"/>
      <c r="F45" s="1260"/>
      <c r="G45" s="1260"/>
      <c r="H45" s="1260"/>
      <c r="I45" s="1260"/>
      <c r="J45" s="1260"/>
      <c r="K45" s="1260"/>
      <c r="L45" s="1260"/>
      <c r="M45" s="463"/>
      <c r="N45" s="463"/>
      <c r="O45" s="463"/>
      <c r="P45" s="463"/>
      <c r="Q45" s="463"/>
      <c r="R45" s="463"/>
      <c r="S45" s="463"/>
    </row>
    <row r="46" spans="1:20">
      <c r="C46" s="492"/>
      <c r="D46" s="463"/>
      <c r="E46" s="493"/>
      <c r="F46" s="493"/>
      <c r="G46" s="463"/>
      <c r="H46" s="493"/>
      <c r="I46" s="493"/>
      <c r="J46" s="494"/>
      <c r="K46" s="1261"/>
      <c r="L46" s="1257"/>
      <c r="M46" s="463"/>
      <c r="N46" s="495"/>
      <c r="O46" s="495"/>
      <c r="P46" s="463"/>
      <c r="Q46" s="463"/>
      <c r="R46" s="463"/>
      <c r="S46" s="494"/>
    </row>
    <row r="47" spans="1:20">
      <c r="C47" s="463"/>
      <c r="D47" s="1260"/>
      <c r="E47" s="1260"/>
      <c r="F47" s="1260"/>
      <c r="G47" s="1260"/>
      <c r="H47" s="1260"/>
      <c r="I47" s="1260"/>
      <c r="J47" s="1260"/>
      <c r="K47" s="1260"/>
      <c r="L47" s="1260"/>
      <c r="M47" s="463"/>
      <c r="N47" s="463"/>
      <c r="O47" s="463"/>
      <c r="P47" s="463"/>
      <c r="Q47" s="463"/>
      <c r="R47" s="463"/>
      <c r="S47" s="463"/>
    </row>
    <row r="48" spans="1:20">
      <c r="C48" s="463"/>
      <c r="D48" s="463"/>
      <c r="E48" s="463"/>
      <c r="F48" s="463"/>
      <c r="G48" s="463"/>
      <c r="H48" s="463"/>
      <c r="I48" s="463"/>
      <c r="J48" s="463"/>
      <c r="K48" s="494"/>
      <c r="L48" s="463"/>
      <c r="M48" s="463"/>
      <c r="N48" s="463"/>
      <c r="O48" s="463"/>
      <c r="P48" s="463"/>
      <c r="Q48" s="463"/>
      <c r="R48" s="463"/>
      <c r="S48" s="464"/>
    </row>
    <row r="49" spans="3:19">
      <c r="C49" s="494"/>
      <c r="D49" s="463"/>
      <c r="E49" s="463"/>
      <c r="F49" s="463"/>
      <c r="G49" s="496"/>
      <c r="H49" s="497"/>
      <c r="I49" s="463"/>
      <c r="J49" s="496"/>
      <c r="K49" s="498"/>
      <c r="L49" s="463"/>
      <c r="M49" s="496"/>
      <c r="N49" s="497"/>
      <c r="O49" s="497"/>
      <c r="P49" s="463"/>
      <c r="Q49" s="463"/>
      <c r="R49" s="463"/>
      <c r="S49" s="465"/>
    </row>
    <row r="50" spans="3:19">
      <c r="C50" s="463"/>
      <c r="D50" s="463"/>
      <c r="E50" s="463"/>
      <c r="F50" s="463"/>
      <c r="G50" s="463"/>
      <c r="H50" s="464"/>
      <c r="I50" s="463"/>
      <c r="J50" s="463"/>
      <c r="K50" s="463"/>
      <c r="L50" s="463"/>
      <c r="M50" s="463"/>
      <c r="N50" s="464"/>
      <c r="O50" s="464"/>
      <c r="P50" s="463"/>
      <c r="Q50" s="463"/>
      <c r="R50" s="463"/>
      <c r="S50" s="465"/>
    </row>
    <row r="51" spans="3:19">
      <c r="C51" s="492"/>
      <c r="D51" s="496"/>
      <c r="E51" s="499"/>
      <c r="F51" s="463"/>
      <c r="G51" s="496"/>
      <c r="H51" s="500"/>
      <c r="I51" s="463"/>
      <c r="J51" s="496"/>
      <c r="K51" s="498"/>
      <c r="L51" s="463"/>
      <c r="M51" s="496"/>
      <c r="N51" s="497"/>
      <c r="O51" s="497"/>
      <c r="P51" s="463"/>
      <c r="Q51" s="463"/>
      <c r="R51" s="463"/>
      <c r="S51" s="465"/>
    </row>
    <row r="52" spans="3:19">
      <c r="C52" s="463"/>
      <c r="D52" s="463"/>
      <c r="E52" s="463"/>
      <c r="F52" s="463"/>
      <c r="G52" s="463"/>
      <c r="H52" s="464"/>
      <c r="I52" s="463"/>
      <c r="J52" s="463"/>
      <c r="K52" s="464"/>
      <c r="L52" s="463"/>
      <c r="M52" s="463"/>
      <c r="N52" s="464"/>
      <c r="O52" s="464"/>
      <c r="P52" s="463"/>
      <c r="Q52" s="463"/>
      <c r="R52" s="463"/>
      <c r="S52" s="465"/>
    </row>
    <row r="53" spans="3:19">
      <c r="C53" s="492"/>
      <c r="D53" s="496"/>
      <c r="E53" s="500"/>
      <c r="F53" s="463"/>
      <c r="G53" s="463"/>
      <c r="H53" s="464"/>
      <c r="I53" s="463"/>
      <c r="J53" s="496"/>
      <c r="K53" s="498"/>
      <c r="L53" s="463"/>
      <c r="M53" s="496"/>
      <c r="N53" s="497"/>
      <c r="O53" s="497"/>
      <c r="P53" s="463"/>
      <c r="Q53" s="463"/>
      <c r="R53" s="463"/>
      <c r="S53" s="465"/>
    </row>
    <row r="54" spans="3:19">
      <c r="C54" s="492"/>
      <c r="D54" s="463"/>
      <c r="E54" s="463"/>
      <c r="F54" s="463"/>
      <c r="G54" s="463"/>
      <c r="H54" s="464"/>
      <c r="I54" s="463"/>
      <c r="J54" s="463"/>
      <c r="K54" s="464"/>
      <c r="L54" s="464"/>
      <c r="M54" s="464"/>
      <c r="N54" s="464"/>
      <c r="O54" s="464"/>
      <c r="P54" s="464"/>
      <c r="Q54" s="464"/>
      <c r="R54" s="464"/>
      <c r="S54" s="465"/>
    </row>
    <row r="55" spans="3:19">
      <c r="C55" s="492"/>
      <c r="D55" s="496"/>
      <c r="E55" s="500"/>
      <c r="F55" s="463"/>
      <c r="G55" s="463"/>
      <c r="H55" s="464"/>
      <c r="I55" s="463"/>
      <c r="J55" s="496"/>
      <c r="K55" s="498"/>
      <c r="L55" s="463"/>
      <c r="M55" s="496"/>
      <c r="N55" s="497"/>
      <c r="O55" s="497"/>
      <c r="P55" s="463"/>
      <c r="Q55" s="463"/>
      <c r="R55" s="463"/>
      <c r="S55" s="465"/>
    </row>
    <row r="56" spans="3:19">
      <c r="C56" s="463"/>
      <c r="D56" s="463"/>
      <c r="E56" s="463"/>
      <c r="F56" s="463"/>
      <c r="G56" s="463"/>
      <c r="H56" s="464"/>
      <c r="I56" s="463"/>
      <c r="J56" s="463"/>
      <c r="K56" s="464"/>
      <c r="L56" s="463"/>
      <c r="M56" s="463"/>
      <c r="N56" s="464"/>
      <c r="O56" s="464"/>
      <c r="P56" s="463"/>
      <c r="Q56" s="463"/>
      <c r="R56" s="463"/>
      <c r="S56" s="465"/>
    </row>
    <row r="57" spans="3:19">
      <c r="C57" s="492"/>
      <c r="D57" s="496"/>
      <c r="E57" s="497"/>
      <c r="F57" s="463"/>
      <c r="G57" s="496"/>
      <c r="H57" s="498"/>
      <c r="I57" s="463"/>
      <c r="J57" s="496"/>
      <c r="K57" s="497"/>
      <c r="L57" s="463"/>
      <c r="M57" s="496"/>
      <c r="N57" s="497"/>
      <c r="O57" s="497"/>
      <c r="P57" s="463"/>
      <c r="Q57" s="463"/>
      <c r="R57" s="463"/>
      <c r="S57" s="465"/>
    </row>
    <row r="58" spans="3:19">
      <c r="C58" s="463"/>
      <c r="D58" s="463"/>
      <c r="E58" s="463"/>
      <c r="F58" s="463"/>
      <c r="G58" s="463"/>
      <c r="H58" s="464"/>
      <c r="I58" s="463"/>
      <c r="J58" s="463"/>
      <c r="K58" s="464"/>
      <c r="L58" s="463"/>
      <c r="M58" s="463"/>
      <c r="N58" s="464"/>
      <c r="O58" s="464"/>
      <c r="P58" s="463"/>
      <c r="Q58" s="463"/>
      <c r="R58" s="463"/>
      <c r="S58" s="465"/>
    </row>
    <row r="59" spans="3:19">
      <c r="C59" s="492"/>
      <c r="D59" s="463"/>
      <c r="E59" s="463"/>
      <c r="F59" s="463"/>
      <c r="G59" s="496"/>
      <c r="H59" s="497"/>
      <c r="I59" s="463"/>
      <c r="J59" s="496"/>
      <c r="K59" s="498"/>
      <c r="L59" s="463"/>
      <c r="M59" s="496"/>
      <c r="N59" s="497"/>
      <c r="O59" s="497"/>
      <c r="P59" s="463"/>
      <c r="Q59" s="463"/>
      <c r="R59" s="463"/>
      <c r="S59" s="465"/>
    </row>
    <row r="60" spans="3:19">
      <c r="C60" s="463"/>
      <c r="D60" s="463"/>
      <c r="E60" s="463"/>
      <c r="F60" s="463"/>
      <c r="G60" s="463"/>
      <c r="H60" s="464"/>
      <c r="I60" s="463"/>
      <c r="J60" s="463"/>
      <c r="K60" s="464"/>
      <c r="L60" s="463"/>
      <c r="M60" s="463"/>
      <c r="N60" s="464"/>
      <c r="O60" s="464"/>
      <c r="P60" s="463"/>
      <c r="Q60" s="463"/>
      <c r="R60" s="463"/>
      <c r="S60" s="465"/>
    </row>
    <row r="61" spans="3:19">
      <c r="C61" s="492"/>
      <c r="D61" s="496"/>
      <c r="E61" s="497"/>
      <c r="F61" s="463"/>
      <c r="G61" s="463"/>
      <c r="H61" s="464"/>
      <c r="I61" s="463"/>
      <c r="J61" s="496"/>
      <c r="K61" s="501"/>
      <c r="L61" s="463"/>
      <c r="M61" s="496"/>
      <c r="N61" s="497"/>
      <c r="O61" s="497"/>
      <c r="P61" s="463"/>
      <c r="Q61" s="463"/>
      <c r="R61" s="463"/>
      <c r="S61" s="465"/>
    </row>
    <row r="62" spans="3:19">
      <c r="C62" s="463"/>
      <c r="D62" s="463"/>
      <c r="E62" s="463"/>
      <c r="F62" s="463"/>
      <c r="G62" s="463"/>
      <c r="H62" s="464"/>
      <c r="I62" s="463"/>
      <c r="J62" s="463"/>
      <c r="K62" s="464"/>
      <c r="L62" s="463"/>
      <c r="M62" s="463"/>
      <c r="N62" s="464"/>
      <c r="O62" s="464"/>
      <c r="P62" s="463"/>
      <c r="Q62" s="463"/>
      <c r="R62" s="463"/>
      <c r="S62" s="465"/>
    </row>
    <row r="63" spans="3:19">
      <c r="C63" s="492"/>
      <c r="D63" s="463"/>
      <c r="E63" s="463"/>
      <c r="F63" s="463"/>
      <c r="G63" s="496"/>
      <c r="H63" s="502"/>
      <c r="I63" s="463"/>
      <c r="J63" s="496"/>
      <c r="K63" s="503"/>
      <c r="L63" s="463"/>
      <c r="M63" s="496"/>
      <c r="N63" s="497"/>
      <c r="O63" s="497"/>
      <c r="P63" s="463"/>
      <c r="Q63" s="463"/>
      <c r="R63" s="463"/>
      <c r="S63" s="465"/>
    </row>
    <row r="64" spans="3:19">
      <c r="C64" s="463"/>
      <c r="D64" s="463"/>
      <c r="E64" s="463"/>
      <c r="F64" s="463"/>
      <c r="G64" s="463"/>
      <c r="H64" s="464"/>
      <c r="I64" s="463"/>
      <c r="J64" s="463"/>
      <c r="K64" s="464"/>
      <c r="L64" s="463"/>
      <c r="M64" s="463"/>
      <c r="N64" s="464"/>
      <c r="O64" s="464"/>
      <c r="P64" s="463"/>
      <c r="Q64" s="463"/>
      <c r="R64" s="463"/>
      <c r="S64" s="465"/>
    </row>
    <row r="65" spans="3:19">
      <c r="C65" s="492"/>
      <c r="D65" s="463"/>
      <c r="E65" s="463"/>
      <c r="F65" s="463"/>
      <c r="G65" s="496"/>
      <c r="H65" s="504"/>
      <c r="I65" s="463"/>
      <c r="J65" s="496"/>
      <c r="K65" s="505"/>
      <c r="L65" s="463"/>
      <c r="M65" s="496"/>
      <c r="N65" s="497"/>
      <c r="O65" s="497"/>
      <c r="P65" s="463"/>
      <c r="Q65" s="463"/>
      <c r="R65" s="463"/>
      <c r="S65" s="465"/>
    </row>
    <row r="66" spans="3:19">
      <c r="C66" s="463"/>
      <c r="D66" s="463"/>
      <c r="E66" s="463"/>
      <c r="F66" s="463"/>
      <c r="G66" s="463"/>
      <c r="H66" s="464"/>
      <c r="I66" s="463"/>
      <c r="J66" s="463"/>
      <c r="K66" s="464"/>
      <c r="L66" s="463"/>
      <c r="M66" s="463"/>
      <c r="N66" s="464"/>
      <c r="O66" s="464"/>
      <c r="P66" s="463"/>
      <c r="Q66" s="463"/>
      <c r="R66" s="463"/>
      <c r="S66" s="465"/>
    </row>
    <row r="67" spans="3:19">
      <c r="C67" s="492"/>
      <c r="D67" s="463"/>
      <c r="E67" s="463"/>
      <c r="F67" s="463"/>
      <c r="G67" s="463"/>
      <c r="H67" s="464"/>
      <c r="I67" s="463"/>
      <c r="J67" s="496"/>
      <c r="K67" s="497"/>
      <c r="L67" s="463"/>
      <c r="M67" s="464"/>
      <c r="N67" s="497"/>
      <c r="O67" s="497"/>
      <c r="P67" s="463"/>
      <c r="Q67" s="463"/>
      <c r="R67" s="463"/>
      <c r="S67" s="465"/>
    </row>
    <row r="68" spans="3:19">
      <c r="C68" s="463"/>
      <c r="D68" s="463"/>
      <c r="E68" s="463"/>
      <c r="F68" s="463"/>
      <c r="G68" s="463"/>
      <c r="H68" s="464"/>
      <c r="I68" s="463"/>
      <c r="J68" s="463"/>
      <c r="K68" s="464"/>
      <c r="L68" s="463"/>
      <c r="M68" s="463"/>
      <c r="N68" s="464"/>
      <c r="O68" s="464"/>
      <c r="P68" s="463"/>
      <c r="Q68" s="463"/>
      <c r="R68" s="463"/>
      <c r="S68" s="465"/>
    </row>
    <row r="69" spans="3:19">
      <c r="C69" s="492"/>
      <c r="D69" s="496"/>
      <c r="E69" s="498"/>
      <c r="F69" s="463"/>
      <c r="G69" s="463"/>
      <c r="H69" s="464"/>
      <c r="I69" s="463"/>
      <c r="J69" s="496"/>
      <c r="K69" s="497"/>
      <c r="L69" s="463"/>
      <c r="M69" s="464"/>
      <c r="N69" s="497"/>
      <c r="O69" s="497"/>
      <c r="P69" s="463"/>
      <c r="Q69" s="463"/>
      <c r="R69" s="463"/>
      <c r="S69" s="465"/>
    </row>
    <row r="70" spans="3:19">
      <c r="C70" s="463"/>
      <c r="D70" s="463"/>
      <c r="E70" s="463"/>
      <c r="F70" s="463"/>
      <c r="G70" s="463"/>
      <c r="H70" s="464"/>
      <c r="I70" s="463"/>
      <c r="J70" s="463"/>
      <c r="K70" s="464"/>
      <c r="L70" s="463"/>
      <c r="M70" s="463"/>
      <c r="N70" s="464"/>
      <c r="O70" s="464"/>
      <c r="P70" s="463"/>
      <c r="Q70" s="463"/>
      <c r="R70" s="463"/>
      <c r="S70" s="465"/>
    </row>
    <row r="71" spans="3:19">
      <c r="C71" s="494"/>
      <c r="D71" s="496"/>
      <c r="E71" s="500"/>
      <c r="F71" s="463"/>
      <c r="G71" s="496"/>
      <c r="H71" s="500"/>
      <c r="I71" s="463"/>
      <c r="J71" s="496"/>
      <c r="K71" s="498"/>
      <c r="L71" s="463"/>
      <c r="M71" s="496"/>
      <c r="N71" s="497"/>
      <c r="O71" s="497"/>
      <c r="P71" s="463"/>
      <c r="Q71" s="463"/>
      <c r="R71" s="463"/>
      <c r="S71" s="465"/>
    </row>
    <row r="72" spans="3:19">
      <c r="C72" s="463"/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  <c r="O72" s="463"/>
      <c r="P72" s="463"/>
      <c r="Q72" s="463"/>
      <c r="R72" s="463"/>
      <c r="S72" s="494"/>
    </row>
    <row r="73" spans="3:19">
      <c r="C73" s="463"/>
      <c r="D73" s="463"/>
      <c r="E73" s="463"/>
      <c r="F73" s="463"/>
      <c r="G73" s="463"/>
      <c r="H73" s="463"/>
      <c r="I73" s="463"/>
      <c r="J73" s="1257"/>
      <c r="K73" s="1257"/>
      <c r="L73" s="463"/>
      <c r="M73" s="463"/>
      <c r="N73" s="463"/>
      <c r="O73" s="463"/>
      <c r="P73" s="463"/>
      <c r="Q73" s="463"/>
      <c r="R73" s="463"/>
      <c r="S73" s="463"/>
    </row>
    <row r="74" spans="3:19">
      <c r="C74" s="463"/>
      <c r="D74" s="1262"/>
      <c r="E74" s="1262"/>
      <c r="F74" s="463"/>
      <c r="G74" s="463"/>
      <c r="H74" s="463"/>
      <c r="I74" s="463"/>
      <c r="J74" s="494"/>
      <c r="K74" s="463"/>
      <c r="L74" s="463"/>
      <c r="M74" s="463"/>
      <c r="N74" s="463"/>
      <c r="O74" s="463"/>
      <c r="P74" s="463"/>
      <c r="Q74" s="463"/>
      <c r="R74" s="463"/>
      <c r="S74" s="494"/>
    </row>
    <row r="75" spans="3:19">
      <c r="C75" s="494"/>
      <c r="D75" s="496"/>
      <c r="E75" s="504"/>
      <c r="F75" s="463"/>
      <c r="G75" s="1257"/>
      <c r="H75" s="1257"/>
      <c r="I75" s="1262"/>
      <c r="J75" s="1262"/>
      <c r="K75" s="463"/>
      <c r="L75" s="463"/>
      <c r="M75" s="463"/>
      <c r="N75" s="463"/>
      <c r="O75" s="463"/>
      <c r="P75" s="463"/>
      <c r="Q75" s="463"/>
      <c r="R75" s="463"/>
      <c r="S75" s="494"/>
    </row>
    <row r="76" spans="3:19">
      <c r="C76" s="463"/>
      <c r="D76" s="463"/>
      <c r="E76" s="463"/>
      <c r="F76" s="463"/>
      <c r="G76" s="463"/>
      <c r="H76" s="463"/>
      <c r="I76" s="463"/>
      <c r="J76" s="463"/>
      <c r="K76" s="463"/>
      <c r="L76" s="463"/>
      <c r="M76" s="463"/>
      <c r="N76" s="463"/>
      <c r="O76" s="463"/>
      <c r="P76" s="463"/>
      <c r="Q76" s="463"/>
      <c r="R76" s="463"/>
      <c r="S76" s="494"/>
    </row>
    <row r="77" spans="3:19">
      <c r="C77" s="494"/>
      <c r="D77" s="463"/>
      <c r="E77" s="463"/>
      <c r="F77" s="463"/>
      <c r="G77" s="1257"/>
      <c r="H77" s="1257"/>
      <c r="I77" s="495"/>
      <c r="J77" s="463"/>
      <c r="K77" s="463"/>
      <c r="L77" s="463"/>
      <c r="M77" s="463"/>
      <c r="N77" s="463"/>
      <c r="O77" s="463"/>
      <c r="P77" s="463"/>
      <c r="Q77" s="463"/>
      <c r="R77" s="463"/>
      <c r="S77" s="494"/>
    </row>
    <row r="78" spans="3:19">
      <c r="C78" s="463"/>
      <c r="D78" s="463"/>
      <c r="E78" s="463"/>
      <c r="F78" s="463"/>
      <c r="G78" s="463"/>
      <c r="H78" s="463"/>
      <c r="I78" s="463"/>
      <c r="J78" s="463"/>
      <c r="K78" s="463"/>
      <c r="L78" s="463"/>
      <c r="M78" s="463"/>
      <c r="N78" s="463"/>
      <c r="O78" s="463"/>
      <c r="P78" s="463"/>
      <c r="Q78" s="463"/>
      <c r="R78" s="463"/>
      <c r="S78" s="494"/>
    </row>
    <row r="79" spans="3:19">
      <c r="C79" s="494"/>
      <c r="D79" s="496"/>
      <c r="E79" s="506"/>
      <c r="F79" s="463"/>
      <c r="G79" s="1257"/>
      <c r="H79" s="1257"/>
      <c r="I79" s="495"/>
      <c r="J79" s="463"/>
      <c r="K79" s="463"/>
      <c r="L79" s="463"/>
      <c r="M79" s="463"/>
      <c r="N79" s="463"/>
      <c r="O79" s="463"/>
      <c r="P79" s="463"/>
      <c r="Q79" s="463"/>
      <c r="R79" s="463"/>
      <c r="S79" s="494"/>
    </row>
    <row r="80" spans="3:19">
      <c r="C80" s="463"/>
      <c r="D80" s="463"/>
      <c r="E80" s="463"/>
      <c r="F80" s="463"/>
      <c r="G80" s="463"/>
      <c r="H80" s="463"/>
      <c r="I80" s="463"/>
      <c r="J80" s="463"/>
      <c r="K80" s="463"/>
      <c r="L80" s="463"/>
      <c r="M80" s="463"/>
      <c r="N80" s="463"/>
      <c r="O80" s="463"/>
      <c r="P80" s="463"/>
      <c r="Q80" s="463"/>
      <c r="R80" s="463"/>
      <c r="S80" s="494"/>
    </row>
    <row r="81" spans="3:19">
      <c r="C81" s="494"/>
      <c r="D81" s="463"/>
      <c r="E81" s="463"/>
      <c r="F81" s="463"/>
      <c r="G81" s="463"/>
      <c r="H81" s="463"/>
      <c r="I81" s="463"/>
      <c r="J81" s="1258"/>
      <c r="K81" s="1258"/>
      <c r="L81" s="463"/>
      <c r="M81" s="463"/>
      <c r="N81" s="463"/>
      <c r="O81" s="463"/>
      <c r="P81" s="463"/>
      <c r="Q81" s="463"/>
      <c r="R81" s="463"/>
      <c r="S81" s="494"/>
    </row>
    <row r="82" spans="3:19">
      <c r="C82" s="463"/>
      <c r="D82" s="463"/>
      <c r="E82" s="463"/>
      <c r="F82" s="463"/>
      <c r="G82" s="463"/>
      <c r="H82" s="463"/>
      <c r="I82" s="463"/>
      <c r="J82" s="1258"/>
      <c r="K82" s="1258"/>
      <c r="L82" s="463"/>
      <c r="M82" s="1258"/>
      <c r="N82" s="1258"/>
      <c r="O82" s="1258"/>
      <c r="P82" s="1258"/>
      <c r="Q82" s="463"/>
      <c r="R82" s="463"/>
      <c r="S82" s="494"/>
    </row>
    <row r="83" spans="3:19">
      <c r="C83" s="463"/>
      <c r="D83" s="463"/>
      <c r="E83" s="463"/>
      <c r="F83" s="463"/>
      <c r="G83" s="463"/>
      <c r="H83" s="463"/>
      <c r="I83" s="463"/>
      <c r="J83" s="1257"/>
      <c r="K83" s="1257"/>
      <c r="L83" s="463"/>
      <c r="M83" s="463"/>
      <c r="N83" s="463"/>
      <c r="O83" s="463"/>
      <c r="P83" s="463"/>
      <c r="Q83" s="463"/>
      <c r="R83" s="463"/>
      <c r="S83" s="463"/>
    </row>
    <row r="84" spans="3:19">
      <c r="C84" s="463"/>
      <c r="D84" s="463"/>
      <c r="E84" s="463"/>
      <c r="F84" s="463"/>
      <c r="G84" s="463"/>
      <c r="H84" s="494"/>
      <c r="I84" s="494"/>
      <c r="J84" s="1258"/>
      <c r="K84" s="1258"/>
      <c r="L84" s="463"/>
      <c r="M84" s="463"/>
      <c r="N84" s="463"/>
      <c r="O84" s="463"/>
      <c r="P84" s="463"/>
      <c r="Q84" s="463"/>
      <c r="R84" s="463"/>
      <c r="S84" s="463"/>
    </row>
    <row r="85" spans="3:19">
      <c r="C85" s="494"/>
      <c r="D85" s="463"/>
      <c r="E85" s="463"/>
      <c r="F85" s="463"/>
      <c r="G85" s="496"/>
      <c r="H85" s="507"/>
      <c r="I85" s="494"/>
      <c r="J85" s="1258"/>
      <c r="K85" s="1258"/>
      <c r="L85" s="463"/>
      <c r="M85" s="463"/>
      <c r="N85" s="463"/>
      <c r="O85" s="463"/>
      <c r="P85" s="463"/>
      <c r="Q85" s="463"/>
      <c r="R85" s="463"/>
      <c r="S85" s="463"/>
    </row>
    <row r="86" spans="3:19">
      <c r="C86" s="463"/>
      <c r="D86" s="463"/>
      <c r="E86" s="463"/>
      <c r="F86" s="463"/>
      <c r="G86" s="463"/>
      <c r="H86" s="463"/>
      <c r="I86" s="494"/>
      <c r="J86" s="1258"/>
      <c r="K86" s="1258"/>
      <c r="L86" s="463"/>
      <c r="M86" s="463"/>
      <c r="N86" s="463"/>
      <c r="O86" s="463"/>
      <c r="P86" s="463"/>
      <c r="Q86" s="463"/>
      <c r="R86" s="463"/>
      <c r="S86" s="463"/>
    </row>
    <row r="87" spans="3:19">
      <c r="C87" s="494"/>
      <c r="D87" s="463"/>
      <c r="E87" s="463"/>
      <c r="F87" s="463"/>
      <c r="G87" s="496"/>
      <c r="H87" s="499"/>
      <c r="I87" s="494"/>
      <c r="J87" s="1258"/>
      <c r="K87" s="1258"/>
      <c r="L87" s="463"/>
      <c r="M87" s="463"/>
      <c r="N87" s="463"/>
      <c r="O87" s="463"/>
      <c r="P87" s="463"/>
      <c r="Q87" s="463"/>
      <c r="R87" s="463"/>
      <c r="S87" s="463"/>
    </row>
    <row r="88" spans="3:19">
      <c r="C88" s="463"/>
      <c r="D88" s="463"/>
      <c r="E88" s="463"/>
      <c r="F88" s="463"/>
      <c r="G88" s="463"/>
      <c r="H88" s="463"/>
      <c r="I88" s="463"/>
      <c r="J88" s="1258"/>
      <c r="K88" s="1258"/>
      <c r="L88" s="463"/>
      <c r="M88" s="463"/>
      <c r="N88" s="463"/>
      <c r="O88" s="463"/>
      <c r="P88" s="463"/>
      <c r="Q88" s="463"/>
      <c r="R88" s="463"/>
      <c r="S88" s="463"/>
    </row>
    <row r="89" spans="3:19">
      <c r="C89" s="463"/>
      <c r="D89" s="463"/>
      <c r="E89" s="463"/>
      <c r="F89" s="463"/>
      <c r="G89" s="463"/>
      <c r="H89" s="463"/>
      <c r="I89" s="463"/>
      <c r="J89" s="1257"/>
      <c r="K89" s="1257"/>
      <c r="L89" s="463"/>
      <c r="M89" s="463"/>
      <c r="N89" s="463"/>
      <c r="O89" s="463"/>
      <c r="P89" s="463"/>
      <c r="Q89" s="463"/>
      <c r="R89" s="463"/>
      <c r="S89" s="463"/>
    </row>
  </sheetData>
  <customSheetViews>
    <customSheetView guid="{B21478FB-9ACB-45B8-8FD5-2F18F035D5FD}" state="hidden">
      <pageMargins left="0.7" right="0.7" top="0.75" bottom="0.75" header="0.3" footer="0.3"/>
      <pageSetup paperSize="9" orientation="portrait" r:id="rId1"/>
    </customSheetView>
  </customSheetViews>
  <mergeCells count="32">
    <mergeCell ref="P35:Q35"/>
    <mergeCell ref="P36:Q36"/>
    <mergeCell ref="N38:O38"/>
    <mergeCell ref="Q38:R38"/>
    <mergeCell ref="D3:L3"/>
    <mergeCell ref="G33:H33"/>
    <mergeCell ref="D33:E33"/>
    <mergeCell ref="J33:K33"/>
    <mergeCell ref="N33:O33"/>
    <mergeCell ref="D1:L1"/>
    <mergeCell ref="D45:L45"/>
    <mergeCell ref="K46:L46"/>
    <mergeCell ref="D47:L47"/>
    <mergeCell ref="J88:K88"/>
    <mergeCell ref="G79:H79"/>
    <mergeCell ref="G75:H75"/>
    <mergeCell ref="G77:H77"/>
    <mergeCell ref="J81:K81"/>
    <mergeCell ref="I75:J75"/>
    <mergeCell ref="D74:E74"/>
    <mergeCell ref="J73:K73"/>
    <mergeCell ref="J40:K40"/>
    <mergeCell ref="J35:K35"/>
    <mergeCell ref="K2:L2"/>
    <mergeCell ref="J89:K89"/>
    <mergeCell ref="M82:P82"/>
    <mergeCell ref="J83:K83"/>
    <mergeCell ref="J84:K84"/>
    <mergeCell ref="J82:K82"/>
    <mergeCell ref="J85:K85"/>
    <mergeCell ref="J86:K86"/>
    <mergeCell ref="J87:K87"/>
  </mergeCells>
  <pageMargins left="0.7" right="0.7" top="0.75" bottom="0.75" header="0.3" footer="0.3"/>
  <pageSetup paperSize="9" orientation="portrait"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E4303F44-DB3F-46CA-9BB6-C0D7962B638C}">
            <xm:f>NOT(ISERROR(SEARCH("-",H36)))</xm:f>
            <xm:f>"-"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H36:H39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/>
  </sheetViews>
  <sheetFormatPr defaultRowHeight="15.75"/>
  <cols>
    <col min="1" max="1" width="65.33203125" style="769" bestFit="1" customWidth="1"/>
    <col min="2" max="2" width="9.6640625" style="771" bestFit="1" customWidth="1"/>
    <col min="3" max="3" width="9.1640625" style="771" bestFit="1" customWidth="1"/>
    <col min="4" max="4" width="16.1640625" style="771" bestFit="1" customWidth="1"/>
    <col min="5" max="5" width="13" style="771" bestFit="1" customWidth="1"/>
    <col min="6" max="6" width="11.5" style="769" bestFit="1" customWidth="1"/>
    <col min="7" max="7" width="11.33203125" style="769" bestFit="1" customWidth="1"/>
    <col min="8" max="8" width="7.6640625" style="769" bestFit="1" customWidth="1"/>
    <col min="9" max="9" width="12.83203125" style="769" bestFit="1" customWidth="1"/>
    <col min="10" max="10" width="11.6640625" style="769" bestFit="1" customWidth="1"/>
    <col min="11" max="11" width="15.5" style="769" bestFit="1" customWidth="1"/>
    <col min="12" max="16384" width="9.33203125" style="769"/>
  </cols>
  <sheetData>
    <row r="1" spans="1:5" ht="16.5" thickBot="1"/>
    <row r="2" spans="1:5" ht="16.5" thickBot="1">
      <c r="A2" s="787" t="s">
        <v>1374</v>
      </c>
      <c r="B2" s="788" t="s">
        <v>378</v>
      </c>
      <c r="C2" s="788" t="s">
        <v>1373</v>
      </c>
      <c r="D2" s="788" t="s">
        <v>1380</v>
      </c>
      <c r="E2" s="789" t="s">
        <v>1377</v>
      </c>
    </row>
    <row r="3" spans="1:5">
      <c r="A3" s="776" t="s">
        <v>1319</v>
      </c>
      <c r="B3" s="772"/>
      <c r="C3" s="772"/>
      <c r="D3" s="772"/>
      <c r="E3" s="782"/>
    </row>
    <row r="4" spans="1:5">
      <c r="A4" s="778" t="s">
        <v>1321</v>
      </c>
      <c r="B4" s="774" t="s">
        <v>1220</v>
      </c>
      <c r="C4" s="774">
        <v>85.8</v>
      </c>
      <c r="D4" s="773"/>
      <c r="E4" s="782"/>
    </row>
    <row r="5" spans="1:5">
      <c r="A5" s="779" t="s">
        <v>1322</v>
      </c>
      <c r="B5" s="773" t="s">
        <v>1323</v>
      </c>
      <c r="C5" s="773">
        <v>9</v>
      </c>
      <c r="D5" s="773"/>
      <c r="E5" s="782">
        <f>C5</f>
        <v>9</v>
      </c>
    </row>
    <row r="6" spans="1:5">
      <c r="A6" s="779" t="s">
        <v>1324</v>
      </c>
      <c r="B6" s="773" t="s">
        <v>1325</v>
      </c>
      <c r="C6" s="773">
        <v>4</v>
      </c>
      <c r="D6" s="773"/>
      <c r="E6" s="782"/>
    </row>
    <row r="7" spans="1:5">
      <c r="A7" s="779" t="s">
        <v>1326</v>
      </c>
      <c r="B7" s="773" t="s">
        <v>1327</v>
      </c>
      <c r="C7" s="773">
        <v>8</v>
      </c>
      <c r="D7" s="773"/>
      <c r="E7" s="782"/>
    </row>
    <row r="8" spans="1:5">
      <c r="A8" s="779" t="s">
        <v>1328</v>
      </c>
      <c r="B8" s="773" t="s">
        <v>1329</v>
      </c>
      <c r="C8" s="773">
        <v>210</v>
      </c>
      <c r="D8" s="773"/>
      <c r="E8" s="782"/>
    </row>
    <row r="9" spans="1:5">
      <c r="A9" s="779" t="s">
        <v>1330</v>
      </c>
      <c r="B9" s="773" t="s">
        <v>1327</v>
      </c>
      <c r="C9" s="773">
        <v>12</v>
      </c>
      <c r="D9" s="773"/>
      <c r="E9" s="782"/>
    </row>
    <row r="10" spans="1:5">
      <c r="A10" s="779" t="s">
        <v>1331</v>
      </c>
      <c r="B10" s="773" t="s">
        <v>1332</v>
      </c>
      <c r="C10" s="773">
        <v>12</v>
      </c>
      <c r="D10" s="773"/>
      <c r="E10" s="782"/>
    </row>
    <row r="11" spans="1:5">
      <c r="A11" s="779" t="s">
        <v>1333</v>
      </c>
      <c r="B11" s="773" t="s">
        <v>1336</v>
      </c>
      <c r="C11" s="773">
        <v>48</v>
      </c>
      <c r="D11" s="773"/>
      <c r="E11" s="782"/>
    </row>
    <row r="12" spans="1:5">
      <c r="A12" s="779" t="s">
        <v>1334</v>
      </c>
      <c r="B12" s="773" t="s">
        <v>1336</v>
      </c>
      <c r="C12" s="773">
        <v>12</v>
      </c>
      <c r="D12" s="773"/>
      <c r="E12" s="782"/>
    </row>
    <row r="13" spans="1:5">
      <c r="A13" s="779" t="s">
        <v>1335</v>
      </c>
      <c r="B13" s="773" t="s">
        <v>1336</v>
      </c>
      <c r="C13" s="773">
        <v>72</v>
      </c>
      <c r="D13" s="773"/>
      <c r="E13" s="782"/>
    </row>
    <row r="14" spans="1:5">
      <c r="A14" s="780"/>
      <c r="E14" s="777"/>
    </row>
    <row r="15" spans="1:5">
      <c r="A15" s="781" t="s">
        <v>1375</v>
      </c>
      <c r="E15" s="777"/>
    </row>
    <row r="16" spans="1:5">
      <c r="A16" s="778" t="s">
        <v>1337</v>
      </c>
      <c r="B16" s="774" t="s">
        <v>1338</v>
      </c>
      <c r="C16" s="774">
        <v>90.72</v>
      </c>
      <c r="D16" s="773"/>
      <c r="E16" s="782"/>
    </row>
    <row r="17" spans="1:7">
      <c r="A17" s="780" t="s">
        <v>1322</v>
      </c>
      <c r="B17" s="771" t="s">
        <v>184</v>
      </c>
      <c r="C17" s="771">
        <v>10</v>
      </c>
      <c r="D17" s="771" t="s">
        <v>1383</v>
      </c>
      <c r="E17" s="777">
        <v>10</v>
      </c>
      <c r="G17" s="769" t="s">
        <v>1384</v>
      </c>
    </row>
    <row r="18" spans="1:7">
      <c r="A18" s="780" t="s">
        <v>1324</v>
      </c>
      <c r="B18" s="771" t="s">
        <v>1327</v>
      </c>
      <c r="C18" s="771">
        <v>4</v>
      </c>
      <c r="E18" s="777"/>
    </row>
    <row r="19" spans="1:7">
      <c r="A19" s="780" t="s">
        <v>1326</v>
      </c>
      <c r="B19" s="771" t="s">
        <v>1325</v>
      </c>
      <c r="C19" s="771">
        <v>8</v>
      </c>
      <c r="E19" s="777"/>
    </row>
    <row r="20" spans="1:7">
      <c r="A20" s="780" t="s">
        <v>1382</v>
      </c>
      <c r="B20" s="771" t="s">
        <v>1329</v>
      </c>
      <c r="C20" s="771">
        <v>210</v>
      </c>
      <c r="D20" s="771">
        <v>15.56</v>
      </c>
      <c r="E20" s="777">
        <f>D20*C20/3</f>
        <v>1089.2</v>
      </c>
      <c r="G20" s="729" t="s">
        <v>1378</v>
      </c>
    </row>
    <row r="21" spans="1:7">
      <c r="A21" s="780" t="s">
        <v>1339</v>
      </c>
      <c r="B21" s="771" t="s">
        <v>1332</v>
      </c>
      <c r="C21" s="771">
        <v>6</v>
      </c>
      <c r="E21" s="777"/>
    </row>
    <row r="22" spans="1:7">
      <c r="A22" s="780" t="s">
        <v>1340</v>
      </c>
      <c r="B22" s="771" t="s">
        <v>1327</v>
      </c>
      <c r="C22" s="771">
        <v>26</v>
      </c>
      <c r="D22" s="771">
        <v>10.79</v>
      </c>
      <c r="E22" s="777">
        <f>D22*C22</f>
        <v>280.53999999999996</v>
      </c>
      <c r="G22" s="729" t="s">
        <v>1392</v>
      </c>
    </row>
    <row r="23" spans="1:7">
      <c r="A23" s="780" t="s">
        <v>1341</v>
      </c>
      <c r="B23" s="771" t="s">
        <v>1342</v>
      </c>
      <c r="C23" s="771">
        <v>288</v>
      </c>
      <c r="D23" s="771">
        <v>2</v>
      </c>
      <c r="E23" s="777">
        <f>D23*C23/2.5</f>
        <v>230.4</v>
      </c>
      <c r="G23" s="729" t="s">
        <v>1390</v>
      </c>
    </row>
    <row r="24" spans="1:7">
      <c r="A24" s="780" t="s">
        <v>1343</v>
      </c>
      <c r="B24" s="771" t="s">
        <v>1344</v>
      </c>
      <c r="C24" s="771">
        <v>1452</v>
      </c>
      <c r="D24" s="771">
        <v>1.7</v>
      </c>
      <c r="E24" s="777">
        <f>C24*D24</f>
        <v>2468.4</v>
      </c>
      <c r="G24" s="729" t="s">
        <v>1379</v>
      </c>
    </row>
    <row r="25" spans="1:7">
      <c r="A25" s="780" t="s">
        <v>1345</v>
      </c>
      <c r="B25" s="771" t="s">
        <v>1344</v>
      </c>
      <c r="C25" s="771">
        <v>48</v>
      </c>
      <c r="D25" s="771">
        <v>2.25</v>
      </c>
      <c r="E25" s="777">
        <f>D25*C25</f>
        <v>108</v>
      </c>
      <c r="G25" s="729" t="s">
        <v>1381</v>
      </c>
    </row>
    <row r="26" spans="1:7">
      <c r="A26" s="780"/>
      <c r="E26" s="777"/>
    </row>
    <row r="27" spans="1:7">
      <c r="A27" s="780"/>
      <c r="E27" s="777"/>
    </row>
    <row r="28" spans="1:7">
      <c r="A28" s="781" t="s">
        <v>1376</v>
      </c>
      <c r="B28" s="771" t="s">
        <v>1346</v>
      </c>
      <c r="E28" s="777"/>
    </row>
    <row r="29" spans="1:7">
      <c r="A29" s="778" t="s">
        <v>1347</v>
      </c>
      <c r="B29" s="774" t="s">
        <v>1353</v>
      </c>
      <c r="C29" s="773">
        <v>0.65</v>
      </c>
      <c r="D29" s="773"/>
      <c r="E29" s="782"/>
    </row>
    <row r="30" spans="1:7">
      <c r="A30" s="780" t="s">
        <v>1349</v>
      </c>
      <c r="B30" s="771" t="s">
        <v>1350</v>
      </c>
      <c r="C30" s="771">
        <v>143</v>
      </c>
      <c r="D30" s="771" t="s">
        <v>1383</v>
      </c>
      <c r="E30" s="777">
        <f>C30</f>
        <v>143</v>
      </c>
      <c r="G30" s="769" t="s">
        <v>1384</v>
      </c>
    </row>
    <row r="31" spans="1:7">
      <c r="A31" s="780" t="s">
        <v>1351</v>
      </c>
      <c r="B31" s="771" t="s">
        <v>1348</v>
      </c>
      <c r="C31" s="771">
        <v>0.59</v>
      </c>
      <c r="D31" s="771" t="s">
        <v>1383</v>
      </c>
      <c r="E31" s="777">
        <f>C31*1000</f>
        <v>590</v>
      </c>
      <c r="G31" s="769" t="s">
        <v>1384</v>
      </c>
    </row>
    <row r="32" spans="1:7">
      <c r="A32" s="780" t="s">
        <v>1352</v>
      </c>
      <c r="B32" s="771" t="s">
        <v>1353</v>
      </c>
      <c r="C32" s="771">
        <v>0.44</v>
      </c>
      <c r="D32" s="771" t="s">
        <v>1383</v>
      </c>
      <c r="E32" s="777">
        <f>C32*1000</f>
        <v>440</v>
      </c>
      <c r="G32" s="769" t="s">
        <v>1391</v>
      </c>
    </row>
    <row r="33" spans="1:7">
      <c r="A33" s="780" t="s">
        <v>1354</v>
      </c>
      <c r="B33" s="771" t="s">
        <v>1325</v>
      </c>
      <c r="C33" s="771">
        <v>6</v>
      </c>
      <c r="E33" s="777"/>
    </row>
    <row r="34" spans="1:7">
      <c r="A34" s="780"/>
      <c r="E34" s="777"/>
    </row>
    <row r="35" spans="1:7">
      <c r="A35" s="781" t="s">
        <v>1320</v>
      </c>
      <c r="E35" s="777"/>
    </row>
    <row r="36" spans="1:7">
      <c r="A36" s="778" t="s">
        <v>1355</v>
      </c>
      <c r="B36" s="774" t="s">
        <v>1356</v>
      </c>
      <c r="C36" s="774">
        <v>5.44</v>
      </c>
      <c r="D36" s="773"/>
      <c r="E36" s="782"/>
    </row>
    <row r="37" spans="1:7">
      <c r="A37" s="780" t="s">
        <v>1357</v>
      </c>
      <c r="B37" s="771" t="s">
        <v>1358</v>
      </c>
      <c r="C37" s="771">
        <v>16.32</v>
      </c>
      <c r="D37" s="771" t="s">
        <v>1383</v>
      </c>
      <c r="E37" s="777">
        <f>C37</f>
        <v>16.32</v>
      </c>
      <c r="G37" s="769" t="s">
        <v>1384</v>
      </c>
    </row>
    <row r="38" spans="1:7">
      <c r="A38" s="780" t="s">
        <v>1359</v>
      </c>
      <c r="B38" s="771" t="s">
        <v>1350</v>
      </c>
      <c r="C38" s="771">
        <v>16.32</v>
      </c>
      <c r="D38" s="771" t="s">
        <v>1383</v>
      </c>
      <c r="E38" s="777">
        <f>C38</f>
        <v>16.32</v>
      </c>
      <c r="G38" s="769" t="s">
        <v>1384</v>
      </c>
    </row>
    <row r="39" spans="1:7">
      <c r="A39" s="780" t="s">
        <v>1352</v>
      </c>
      <c r="B39" s="771" t="s">
        <v>1360</v>
      </c>
      <c r="C39" s="771">
        <v>0.11</v>
      </c>
      <c r="D39" s="771" t="s">
        <v>1383</v>
      </c>
      <c r="E39" s="777">
        <f>C39*1000</f>
        <v>110</v>
      </c>
      <c r="G39" s="769" t="s">
        <v>1384</v>
      </c>
    </row>
    <row r="40" spans="1:7">
      <c r="A40" s="780" t="s">
        <v>1361</v>
      </c>
      <c r="B40" s="771" t="s">
        <v>1327</v>
      </c>
      <c r="C40" s="771">
        <v>125</v>
      </c>
      <c r="D40" s="771">
        <v>1.1000000000000001</v>
      </c>
      <c r="E40" s="777">
        <f>C40*D40</f>
        <v>137.5</v>
      </c>
      <c r="G40" s="729" t="s">
        <v>1385</v>
      </c>
    </row>
    <row r="41" spans="1:7">
      <c r="A41" s="780" t="s">
        <v>1387</v>
      </c>
      <c r="B41" s="771" t="s">
        <v>1362</v>
      </c>
      <c r="C41" s="771">
        <v>54</v>
      </c>
      <c r="D41" s="771">
        <v>2</v>
      </c>
      <c r="E41" s="777">
        <f>C41*D41</f>
        <v>108</v>
      </c>
      <c r="G41" s="729" t="s">
        <v>1386</v>
      </c>
    </row>
    <row r="42" spans="1:7">
      <c r="A42" s="780" t="s">
        <v>1363</v>
      </c>
      <c r="B42" s="771" t="s">
        <v>1362</v>
      </c>
      <c r="C42" s="771">
        <v>54</v>
      </c>
      <c r="D42" s="771">
        <v>0.17499999999999999</v>
      </c>
      <c r="E42" s="777">
        <f>C42*D42</f>
        <v>9.4499999999999993</v>
      </c>
      <c r="G42" s="729" t="s">
        <v>1389</v>
      </c>
    </row>
    <row r="43" spans="1:7">
      <c r="A43" s="783" t="s">
        <v>1364</v>
      </c>
      <c r="B43" s="775" t="s">
        <v>1365</v>
      </c>
      <c r="C43" s="775">
        <v>10.87</v>
      </c>
      <c r="D43" s="773"/>
      <c r="E43" s="782"/>
    </row>
    <row r="44" spans="1:7">
      <c r="A44" s="780" t="s">
        <v>1366</v>
      </c>
      <c r="B44" s="771" t="s">
        <v>1350</v>
      </c>
      <c r="C44" s="771">
        <v>26.63</v>
      </c>
      <c r="D44" s="771" t="s">
        <v>1383</v>
      </c>
      <c r="E44" s="777">
        <f>C44</f>
        <v>26.63</v>
      </c>
      <c r="G44" s="769" t="s">
        <v>1384</v>
      </c>
    </row>
    <row r="45" spans="1:7">
      <c r="A45" s="780" t="s">
        <v>1367</v>
      </c>
      <c r="B45" s="771" t="s">
        <v>1348</v>
      </c>
      <c r="C45" s="771">
        <v>7.0000000000000007E-2</v>
      </c>
      <c r="D45" s="771" t="s">
        <v>1383</v>
      </c>
      <c r="E45" s="777">
        <f>C45*1000</f>
        <v>70</v>
      </c>
      <c r="G45" s="769" t="s">
        <v>1384</v>
      </c>
    </row>
    <row r="46" spans="1:7">
      <c r="A46" s="783" t="s">
        <v>1368</v>
      </c>
      <c r="B46" s="775" t="s">
        <v>1369</v>
      </c>
      <c r="C46" s="775">
        <v>10.87</v>
      </c>
      <c r="D46" s="773"/>
      <c r="E46" s="782"/>
    </row>
    <row r="47" spans="1:7">
      <c r="A47" s="780" t="s">
        <v>1366</v>
      </c>
      <c r="B47" s="771" t="s">
        <v>1370</v>
      </c>
      <c r="C47" s="771">
        <v>10.54</v>
      </c>
      <c r="D47" s="771" t="s">
        <v>1383</v>
      </c>
      <c r="E47" s="777">
        <f>C47</f>
        <v>10.54</v>
      </c>
      <c r="G47" s="769" t="s">
        <v>1384</v>
      </c>
    </row>
    <row r="48" spans="1:7">
      <c r="A48" s="780" t="s">
        <v>1371</v>
      </c>
      <c r="B48" s="771" t="s">
        <v>1372</v>
      </c>
      <c r="C48" s="771">
        <v>0.02</v>
      </c>
      <c r="D48" s="771" t="s">
        <v>1383</v>
      </c>
      <c r="E48" s="777">
        <f>C48*1000</f>
        <v>20</v>
      </c>
      <c r="G48" s="769" t="s">
        <v>1384</v>
      </c>
    </row>
    <row r="49" spans="1:7" ht="16.5" thickBot="1">
      <c r="A49" s="784"/>
      <c r="B49" s="785"/>
      <c r="C49" s="785"/>
      <c r="D49" s="785"/>
      <c r="E49" s="786"/>
    </row>
    <row r="50" spans="1:7">
      <c r="A50" s="769" t="s">
        <v>1388</v>
      </c>
    </row>
    <row r="51" spans="1:7">
      <c r="A51" s="770" t="s">
        <v>1291</v>
      </c>
      <c r="B51" s="771">
        <v>50</v>
      </c>
      <c r="C51" s="771" t="s">
        <v>1220</v>
      </c>
      <c r="D51" s="771">
        <v>1</v>
      </c>
      <c r="E51" s="771" t="s">
        <v>1220</v>
      </c>
      <c r="F51" s="769" t="s">
        <v>380</v>
      </c>
    </row>
    <row r="52" spans="1:7">
      <c r="A52" s="770" t="s">
        <v>1393</v>
      </c>
      <c r="B52" s="790">
        <f>SUM(E18,E19,E20,E22,E23,E33,)</f>
        <v>1600.14</v>
      </c>
      <c r="C52" s="771" t="s">
        <v>184</v>
      </c>
      <c r="D52" s="790">
        <f>B52/$B$51</f>
        <v>32.002800000000001</v>
      </c>
      <c r="E52" s="771" t="s">
        <v>187</v>
      </c>
    </row>
    <row r="53" spans="1:7">
      <c r="A53" s="770" t="s">
        <v>1394</v>
      </c>
      <c r="B53" s="790">
        <f>SUM(E21,E17,E41)</f>
        <v>118</v>
      </c>
      <c r="C53" s="771" t="s">
        <v>184</v>
      </c>
      <c r="D53" s="790">
        <f t="shared" ref="D53:D58" si="0">B53/$B$51</f>
        <v>2.36</v>
      </c>
      <c r="E53" s="771" t="s">
        <v>187</v>
      </c>
      <c r="F53" s="791">
        <v>3140000000</v>
      </c>
      <c r="G53" s="769" t="s">
        <v>1400</v>
      </c>
    </row>
    <row r="54" spans="1:7">
      <c r="A54" s="770" t="s">
        <v>1395</v>
      </c>
      <c r="B54" s="790">
        <f>SUM(E32,E39,E45,E48)</f>
        <v>640</v>
      </c>
      <c r="C54" s="771" t="s">
        <v>184</v>
      </c>
      <c r="D54" s="790">
        <f t="shared" si="0"/>
        <v>12.8</v>
      </c>
      <c r="E54" s="771" t="s">
        <v>187</v>
      </c>
    </row>
    <row r="55" spans="1:7">
      <c r="A55" s="770" t="s">
        <v>1396</v>
      </c>
      <c r="B55" s="790">
        <f>SUM(E30,E37,E44,E47)</f>
        <v>196.48999999999998</v>
      </c>
      <c r="C55" s="771" t="s">
        <v>184</v>
      </c>
      <c r="D55" s="790">
        <f t="shared" si="0"/>
        <v>3.9297999999999997</v>
      </c>
      <c r="E55" s="771" t="s">
        <v>187</v>
      </c>
    </row>
    <row r="56" spans="1:7">
      <c r="A56" s="770" t="s">
        <v>1397</v>
      </c>
      <c r="B56" s="790">
        <f>E31</f>
        <v>590</v>
      </c>
      <c r="C56" s="771" t="s">
        <v>184</v>
      </c>
      <c r="D56" s="790">
        <f t="shared" si="0"/>
        <v>11.8</v>
      </c>
      <c r="E56" s="771" t="s">
        <v>187</v>
      </c>
    </row>
    <row r="57" spans="1:7">
      <c r="A57" s="770" t="s">
        <v>1398</v>
      </c>
      <c r="B57" s="790">
        <f>E40</f>
        <v>137.5</v>
      </c>
      <c r="C57" s="771" t="s">
        <v>184</v>
      </c>
      <c r="D57" s="790">
        <f t="shared" si="0"/>
        <v>2.75</v>
      </c>
      <c r="E57" s="771" t="s">
        <v>187</v>
      </c>
    </row>
    <row r="58" spans="1:7">
      <c r="A58" s="770" t="s">
        <v>1399</v>
      </c>
      <c r="B58" s="790">
        <f>SUM(E24,E25)</f>
        <v>2576.4</v>
      </c>
      <c r="C58" s="771" t="s">
        <v>184</v>
      </c>
      <c r="D58" s="790">
        <f t="shared" si="0"/>
        <v>51.527999999999999</v>
      </c>
      <c r="E58" s="771" t="s">
        <v>187</v>
      </c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</customSheetView>
  </customSheetViews>
  <phoneticPr fontId="104" type="noConversion"/>
  <hyperlinks>
    <hyperlink ref="G20" r:id="rId1"/>
    <hyperlink ref="G24" r:id="rId2"/>
    <hyperlink ref="G25" r:id="rId3"/>
    <hyperlink ref="G40" r:id="rId4"/>
    <hyperlink ref="G41" r:id="rId5"/>
    <hyperlink ref="G42" r:id="rId6" location="position=1&amp;type=item&amp;tracking_id=d7791958-eab7-487b-8a8b-5f2849ca03c2"/>
    <hyperlink ref="G23" r:id="rId7"/>
    <hyperlink ref="G22" r:id="rId8"/>
  </hyperlink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>
    <tabColor theme="5" tint="0.39997558519241921"/>
  </sheetPr>
  <dimension ref="A1:M438"/>
  <sheetViews>
    <sheetView workbookViewId="0"/>
  </sheetViews>
  <sheetFormatPr defaultRowHeight="12.75"/>
  <cols>
    <col min="1" max="1" width="9.33203125" style="78"/>
    <col min="2" max="2" width="46" style="78" customWidth="1"/>
    <col min="3" max="3" width="15.83203125" style="78" customWidth="1"/>
    <col min="4" max="4" width="24.5" style="78" bestFit="1" customWidth="1"/>
    <col min="5" max="5" width="17.1640625" style="78" customWidth="1"/>
    <col min="6" max="6" width="25.33203125" style="78" customWidth="1"/>
    <col min="7" max="7" width="29.5" style="78" bestFit="1" customWidth="1"/>
    <col min="8" max="8" width="29.33203125" style="78" bestFit="1" customWidth="1"/>
    <col min="9" max="9" width="18.5" style="78" customWidth="1"/>
    <col min="10" max="10" width="9.33203125" style="78"/>
    <col min="11" max="11" width="2.1640625" style="78" customWidth="1"/>
    <col min="12" max="12" width="14.1640625" style="78" customWidth="1"/>
    <col min="13" max="13" width="10" style="78" bestFit="1" customWidth="1"/>
    <col min="14" max="16384" width="9.33203125" style="78"/>
  </cols>
  <sheetData>
    <row r="1" spans="1:6">
      <c r="B1" s="78" t="s">
        <v>688</v>
      </c>
      <c r="C1" s="79" t="s">
        <v>689</v>
      </c>
      <c r="D1" s="80">
        <v>15</v>
      </c>
    </row>
    <row r="2" spans="1:6">
      <c r="C2" s="79" t="s">
        <v>197</v>
      </c>
      <c r="D2" s="80">
        <f>D4+D5+D6</f>
        <v>646</v>
      </c>
    </row>
    <row r="3" spans="1:6">
      <c r="C3" s="79" t="s">
        <v>690</v>
      </c>
      <c r="D3" s="81">
        <f>D2/D1</f>
        <v>43.06666666666667</v>
      </c>
    </row>
    <row r="4" spans="1:6">
      <c r="C4" s="79" t="s">
        <v>198</v>
      </c>
      <c r="D4" s="80">
        <v>343</v>
      </c>
    </row>
    <row r="5" spans="1:6">
      <c r="C5" s="79" t="s">
        <v>199</v>
      </c>
      <c r="D5" s="80">
        <v>300</v>
      </c>
    </row>
    <row r="6" spans="1:6">
      <c r="C6" s="79" t="s">
        <v>200</v>
      </c>
      <c r="D6" s="80">
        <v>3</v>
      </c>
    </row>
    <row r="7" spans="1:6">
      <c r="B7" s="82" t="s">
        <v>201</v>
      </c>
    </row>
    <row r="8" spans="1:6">
      <c r="B8" s="78" t="s">
        <v>202</v>
      </c>
      <c r="C8" s="78" t="s">
        <v>203</v>
      </c>
      <c r="D8" s="78" t="s">
        <v>204</v>
      </c>
    </row>
    <row r="9" spans="1:6">
      <c r="A9" s="83" t="s">
        <v>205</v>
      </c>
      <c r="B9" s="83" t="s">
        <v>206</v>
      </c>
      <c r="C9" s="83" t="s">
        <v>22</v>
      </c>
      <c r="D9" s="84">
        <f>D15+D25+D35+D44</f>
        <v>1705720736974262.5</v>
      </c>
      <c r="E9" s="85"/>
      <c r="F9" s="83"/>
    </row>
    <row r="10" spans="1:6" ht="17.25">
      <c r="A10" s="80" t="s">
        <v>207</v>
      </c>
      <c r="B10" s="78" t="s">
        <v>208</v>
      </c>
      <c r="C10" s="79" t="s">
        <v>692</v>
      </c>
      <c r="D10" s="79">
        <f>5.55*365</f>
        <v>2025.75</v>
      </c>
      <c r="E10" s="79"/>
    </row>
    <row r="11" spans="1:6">
      <c r="C11" s="78" t="s">
        <v>209</v>
      </c>
      <c r="D11" s="86">
        <v>3600000</v>
      </c>
      <c r="E11" s="86"/>
    </row>
    <row r="12" spans="1:6">
      <c r="C12" s="79" t="s">
        <v>210</v>
      </c>
      <c r="D12" s="87">
        <v>0.14799999999999999</v>
      </c>
      <c r="E12" s="87"/>
      <c r="F12" s="88"/>
    </row>
    <row r="13" spans="1:6">
      <c r="C13" s="78" t="s">
        <v>211</v>
      </c>
      <c r="D13" s="86">
        <f>D10*D11*10000*(1-D12)</f>
        <v>62133804000000</v>
      </c>
      <c r="E13" s="89"/>
    </row>
    <row r="14" spans="1:6">
      <c r="C14" s="78" t="s">
        <v>212</v>
      </c>
      <c r="D14" s="78">
        <v>1</v>
      </c>
    </row>
    <row r="15" spans="1:6">
      <c r="C15" s="78" t="s">
        <v>213</v>
      </c>
      <c r="D15" s="90">
        <f>D13*D14</f>
        <v>62133804000000</v>
      </c>
      <c r="E15" s="89"/>
    </row>
    <row r="16" spans="1:6">
      <c r="C16" s="91" t="s">
        <v>214</v>
      </c>
      <c r="D16" s="91">
        <v>1</v>
      </c>
      <c r="E16" s="89"/>
    </row>
    <row r="17" spans="1:6">
      <c r="C17" s="91" t="s">
        <v>213</v>
      </c>
      <c r="D17" s="92">
        <f>D15*D16</f>
        <v>62133804000000</v>
      </c>
      <c r="E17" s="89"/>
    </row>
    <row r="19" spans="1:6">
      <c r="A19" s="80" t="s">
        <v>215</v>
      </c>
      <c r="B19" s="78" t="s">
        <v>216</v>
      </c>
      <c r="C19" s="79" t="s">
        <v>217</v>
      </c>
      <c r="D19" s="79">
        <v>1.74</v>
      </c>
      <c r="E19" s="79"/>
    </row>
    <row r="20" spans="1:6" ht="17.25">
      <c r="C20" s="78" t="s">
        <v>218</v>
      </c>
      <c r="D20" s="78">
        <v>1.2</v>
      </c>
      <c r="E20" s="78" t="s">
        <v>219</v>
      </c>
    </row>
    <row r="21" spans="1:6">
      <c r="C21" s="78" t="s">
        <v>220</v>
      </c>
      <c r="D21" s="78">
        <f>D19*(10/6)</f>
        <v>2.9</v>
      </c>
      <c r="E21" s="89"/>
    </row>
    <row r="22" spans="1:6">
      <c r="C22" s="78" t="s">
        <v>221</v>
      </c>
      <c r="D22" s="78">
        <v>1E-3</v>
      </c>
    </row>
    <row r="23" spans="1:6">
      <c r="C23" s="78" t="s">
        <v>211</v>
      </c>
      <c r="D23" s="86">
        <f>10000*D20*D21^3*D22*(60*60*24*365)</f>
        <v>9229578048</v>
      </c>
      <c r="E23" s="93"/>
    </row>
    <row r="24" spans="1:6" ht="15">
      <c r="C24" s="78" t="s">
        <v>222</v>
      </c>
      <c r="D24" s="94">
        <v>1860</v>
      </c>
      <c r="E24" s="94"/>
      <c r="F24" s="95"/>
    </row>
    <row r="25" spans="1:6">
      <c r="C25" s="78" t="s">
        <v>223</v>
      </c>
      <c r="D25" s="90">
        <f>D23*D24</f>
        <v>17167015169280</v>
      </c>
      <c r="E25" s="93"/>
    </row>
    <row r="26" spans="1:6">
      <c r="C26" s="91" t="s">
        <v>214</v>
      </c>
      <c r="D26" s="91">
        <v>1</v>
      </c>
      <c r="E26" s="93"/>
    </row>
    <row r="27" spans="1:6">
      <c r="C27" s="91" t="s">
        <v>213</v>
      </c>
      <c r="D27" s="92">
        <f>D25*D26</f>
        <v>17167015169280</v>
      </c>
      <c r="E27" s="93"/>
    </row>
    <row r="29" spans="1:6">
      <c r="A29" s="80" t="s">
        <v>224</v>
      </c>
      <c r="B29" s="78" t="s">
        <v>225</v>
      </c>
      <c r="C29" s="79" t="s">
        <v>226</v>
      </c>
      <c r="D29" s="79">
        <v>1383</v>
      </c>
      <c r="E29" s="79"/>
    </row>
    <row r="30" spans="1:6">
      <c r="B30" s="78" t="s">
        <v>227</v>
      </c>
      <c r="C30" s="79" t="s">
        <v>228</v>
      </c>
      <c r="D30" s="79">
        <f>D29*10000</f>
        <v>13830000</v>
      </c>
      <c r="E30" s="79"/>
    </row>
    <row r="31" spans="1:6">
      <c r="C31" s="78" t="s">
        <v>229</v>
      </c>
      <c r="D31" s="86">
        <v>4960</v>
      </c>
      <c r="E31" s="86"/>
    </row>
    <row r="32" spans="1:6" ht="17.25">
      <c r="C32" s="78" t="s">
        <v>230</v>
      </c>
      <c r="D32" s="78">
        <v>1</v>
      </c>
    </row>
    <row r="33" spans="1:6">
      <c r="C33" s="78" t="s">
        <v>231</v>
      </c>
      <c r="D33" s="86">
        <f>D30*D31*D32</f>
        <v>68596800000</v>
      </c>
      <c r="E33" s="86"/>
    </row>
    <row r="34" spans="1:6" ht="15">
      <c r="C34" s="78" t="s">
        <v>222</v>
      </c>
      <c r="D34" s="94">
        <v>23500</v>
      </c>
      <c r="E34" s="96"/>
      <c r="F34" s="95"/>
    </row>
    <row r="35" spans="1:6">
      <c r="C35" s="78" t="s">
        <v>223</v>
      </c>
      <c r="D35" s="90">
        <f>D33*D34</f>
        <v>1612024800000000</v>
      </c>
      <c r="E35" s="84"/>
    </row>
    <row r="36" spans="1:6">
      <c r="C36" s="91" t="s">
        <v>214</v>
      </c>
      <c r="D36" s="91">
        <v>1</v>
      </c>
      <c r="E36" s="86"/>
    </row>
    <row r="37" spans="1:6">
      <c r="C37" s="91" t="s">
        <v>213</v>
      </c>
      <c r="D37" s="92">
        <f>D35*D36</f>
        <v>1612024800000000</v>
      </c>
      <c r="E37" s="86"/>
    </row>
    <row r="39" spans="1:6">
      <c r="A39" s="80" t="s">
        <v>232</v>
      </c>
      <c r="B39" s="97" t="s">
        <v>233</v>
      </c>
      <c r="C39" s="97" t="s">
        <v>234</v>
      </c>
      <c r="D39" s="78">
        <f xml:space="preserve"> (3*D2*365/15)</f>
        <v>47158</v>
      </c>
    </row>
    <row r="40" spans="1:6">
      <c r="B40" s="78" t="s">
        <v>227</v>
      </c>
      <c r="C40" s="97" t="s">
        <v>235</v>
      </c>
      <c r="D40" s="78">
        <v>1</v>
      </c>
    </row>
    <row r="41" spans="1:6">
      <c r="C41" s="97" t="s">
        <v>236</v>
      </c>
      <c r="D41" s="86">
        <v>4960</v>
      </c>
    </row>
    <row r="42" spans="1:6">
      <c r="C42" s="97" t="s">
        <v>237</v>
      </c>
      <c r="D42" s="86">
        <f>D39*D40*D41</f>
        <v>233903680</v>
      </c>
    </row>
    <row r="43" spans="1:6" ht="15">
      <c r="C43" s="78" t="s">
        <v>222</v>
      </c>
      <c r="D43" s="98">
        <v>61542.93</v>
      </c>
      <c r="E43" s="86"/>
      <c r="F43" s="99"/>
    </row>
    <row r="44" spans="1:6">
      <c r="C44" s="78" t="s">
        <v>223</v>
      </c>
      <c r="D44" s="100">
        <f>D42*D43</f>
        <v>14395117804982.4</v>
      </c>
    </row>
    <row r="45" spans="1:6">
      <c r="C45" s="91" t="s">
        <v>214</v>
      </c>
      <c r="D45" s="91">
        <v>1</v>
      </c>
      <c r="F45" s="99"/>
    </row>
    <row r="46" spans="1:6">
      <c r="C46" s="91" t="s">
        <v>213</v>
      </c>
      <c r="D46" s="92">
        <f>D44*D45</f>
        <v>14395117804982.4</v>
      </c>
    </row>
    <row r="47" spans="1:6" s="82" customFormat="1">
      <c r="A47" s="82" t="s">
        <v>238</v>
      </c>
      <c r="B47" s="82" t="s">
        <v>239</v>
      </c>
      <c r="D47" s="101">
        <f>D35+D44</f>
        <v>1626419917804982.5</v>
      </c>
    </row>
    <row r="48" spans="1:6">
      <c r="D48" s="86"/>
    </row>
    <row r="49" spans="1:6">
      <c r="B49" s="78" t="s">
        <v>202</v>
      </c>
      <c r="C49" s="78" t="s">
        <v>203</v>
      </c>
      <c r="D49" s="78" t="s">
        <v>204</v>
      </c>
    </row>
    <row r="50" spans="1:6" s="83" customFormat="1">
      <c r="B50" s="83" t="s">
        <v>240</v>
      </c>
      <c r="D50" s="84">
        <f>D56</f>
        <v>8773038892800</v>
      </c>
      <c r="E50" s="84"/>
    </row>
    <row r="51" spans="1:6">
      <c r="A51" s="80" t="s">
        <v>241</v>
      </c>
      <c r="B51" s="78" t="s">
        <v>242</v>
      </c>
      <c r="C51" s="79" t="s">
        <v>243</v>
      </c>
      <c r="D51" s="79">
        <v>80</v>
      </c>
      <c r="E51" s="79"/>
    </row>
    <row r="52" spans="1:6">
      <c r="C52" s="79" t="s">
        <v>244</v>
      </c>
      <c r="D52" s="79">
        <v>0.02</v>
      </c>
      <c r="E52" s="79"/>
    </row>
    <row r="53" spans="1:6">
      <c r="C53" s="78" t="s">
        <v>245</v>
      </c>
      <c r="D53" s="86">
        <v>5400</v>
      </c>
      <c r="E53" s="86"/>
    </row>
    <row r="54" spans="1:6">
      <c r="C54" s="78" t="s">
        <v>237</v>
      </c>
      <c r="D54" s="86">
        <f>D51*D52*D53*4186</f>
        <v>36167040</v>
      </c>
      <c r="E54" s="86"/>
    </row>
    <row r="55" spans="1:6">
      <c r="C55" s="78" t="s">
        <v>246</v>
      </c>
      <c r="D55" s="86">
        <v>242570</v>
      </c>
      <c r="E55" s="86"/>
      <c r="F55" s="99"/>
    </row>
    <row r="56" spans="1:6">
      <c r="C56" s="78" t="s">
        <v>223</v>
      </c>
      <c r="D56" s="90">
        <f>D54*D55</f>
        <v>8773038892800</v>
      </c>
    </row>
    <row r="57" spans="1:6">
      <c r="C57" s="91" t="s">
        <v>214</v>
      </c>
      <c r="D57" s="91">
        <v>0</v>
      </c>
    </row>
    <row r="58" spans="1:6">
      <c r="C58" s="91" t="s">
        <v>213</v>
      </c>
      <c r="D58" s="92">
        <f>D56*D57</f>
        <v>0</v>
      </c>
    </row>
    <row r="59" spans="1:6" s="82" customFormat="1">
      <c r="A59" s="82" t="s">
        <v>247</v>
      </c>
      <c r="B59" s="82" t="s">
        <v>241</v>
      </c>
      <c r="D59" s="101">
        <f>D56</f>
        <v>8773038892800</v>
      </c>
    </row>
    <row r="60" spans="1:6">
      <c r="D60" s="86"/>
    </row>
    <row r="61" spans="1:6">
      <c r="B61" s="78" t="s">
        <v>202</v>
      </c>
      <c r="C61" s="78" t="s">
        <v>203</v>
      </c>
      <c r="D61" s="78" t="s">
        <v>204</v>
      </c>
    </row>
    <row r="62" spans="1:6" s="83" customFormat="1">
      <c r="B62" s="83" t="s">
        <v>248</v>
      </c>
      <c r="D62" s="84"/>
      <c r="E62" s="84"/>
    </row>
    <row r="63" spans="1:6">
      <c r="D63" s="86"/>
      <c r="E63" s="86"/>
    </row>
    <row r="64" spans="1:6" ht="15">
      <c r="A64" s="78" t="s">
        <v>249</v>
      </c>
      <c r="B64" s="78" t="s">
        <v>250</v>
      </c>
      <c r="C64" s="79" t="s">
        <v>251</v>
      </c>
      <c r="D64" s="102">
        <v>3000</v>
      </c>
      <c r="E64" s="86"/>
      <c r="F64" s="103"/>
    </row>
    <row r="65" spans="1:6">
      <c r="C65" s="79" t="s">
        <v>252</v>
      </c>
      <c r="D65" s="102">
        <v>20</v>
      </c>
      <c r="E65" s="86"/>
    </row>
    <row r="66" spans="1:6">
      <c r="C66" s="78" t="s">
        <v>253</v>
      </c>
      <c r="D66" s="86">
        <f>(D64/D65)/15</f>
        <v>10</v>
      </c>
      <c r="E66" s="86"/>
    </row>
    <row r="67" spans="1:6">
      <c r="B67" s="78" t="s">
        <v>254</v>
      </c>
      <c r="C67" s="78" t="s">
        <v>255</v>
      </c>
      <c r="D67" s="86">
        <f>D66*0.56*4900*4186</f>
        <v>114863840.00000001</v>
      </c>
      <c r="E67" s="86"/>
    </row>
    <row r="68" spans="1:6">
      <c r="C68" s="78" t="s">
        <v>256</v>
      </c>
      <c r="D68" s="86">
        <v>19050</v>
      </c>
      <c r="E68" s="86"/>
    </row>
    <row r="69" spans="1:6">
      <c r="C69" s="78" t="s">
        <v>257</v>
      </c>
      <c r="D69" s="90">
        <f>D67*D68</f>
        <v>2188156152000.0002</v>
      </c>
      <c r="E69" s="86"/>
    </row>
    <row r="70" spans="1:6" ht="15.75">
      <c r="C70" s="91" t="s">
        <v>214</v>
      </c>
      <c r="D70" s="91">
        <v>0.7</v>
      </c>
      <c r="E70" s="86"/>
      <c r="F70" s="104"/>
    </row>
    <row r="71" spans="1:6">
      <c r="C71" s="91" t="s">
        <v>213</v>
      </c>
      <c r="D71" s="92">
        <f>D69*D70</f>
        <v>1531709306400</v>
      </c>
      <c r="E71" s="86"/>
    </row>
    <row r="72" spans="1:6">
      <c r="C72" s="105"/>
      <c r="D72" s="106"/>
      <c r="E72" s="86"/>
    </row>
    <row r="73" spans="1:6" ht="60">
      <c r="A73" s="107" t="s">
        <v>92</v>
      </c>
      <c r="B73" s="108" t="s">
        <v>258</v>
      </c>
      <c r="C73" s="109" t="s">
        <v>259</v>
      </c>
      <c r="D73" s="110">
        <f>151.09*D4</f>
        <v>51823.87</v>
      </c>
      <c r="E73" s="79"/>
    </row>
    <row r="74" spans="1:6" ht="45">
      <c r="A74" s="107"/>
      <c r="B74" s="108" t="s">
        <v>260</v>
      </c>
      <c r="C74" s="109" t="s">
        <v>261</v>
      </c>
      <c r="D74" s="110">
        <f>D73/15</f>
        <v>3454.9246666666668</v>
      </c>
      <c r="E74" s="79"/>
    </row>
    <row r="75" spans="1:6" ht="45">
      <c r="B75" s="111"/>
      <c r="C75" s="112" t="s">
        <v>262</v>
      </c>
      <c r="D75" s="113">
        <v>85880000000</v>
      </c>
      <c r="E75" s="113"/>
    </row>
    <row r="76" spans="1:6" ht="15">
      <c r="B76" s="111"/>
      <c r="C76" s="78" t="s">
        <v>223</v>
      </c>
      <c r="D76" s="90">
        <f>D74*D75</f>
        <v>296708930373333.31</v>
      </c>
      <c r="E76" s="86"/>
    </row>
    <row r="77" spans="1:6" ht="15">
      <c r="B77" s="108">
        <f>85000/15</f>
        <v>5666.666666666667</v>
      </c>
      <c r="C77" s="91" t="s">
        <v>214</v>
      </c>
      <c r="D77" s="91">
        <v>0.19</v>
      </c>
      <c r="E77" s="86"/>
    </row>
    <row r="78" spans="1:6" ht="15">
      <c r="B78" s="108"/>
      <c r="C78" s="91" t="s">
        <v>213</v>
      </c>
      <c r="D78" s="92">
        <f>D76*D77</f>
        <v>56374696770933.328</v>
      </c>
      <c r="E78" s="86"/>
    </row>
    <row r="79" spans="1:6" ht="15">
      <c r="B79" s="108"/>
      <c r="C79" s="114"/>
    </row>
    <row r="80" spans="1:6" ht="60">
      <c r="A80" s="107" t="s">
        <v>93</v>
      </c>
      <c r="B80" s="108" t="s">
        <v>263</v>
      </c>
      <c r="C80" s="109" t="s">
        <v>259</v>
      </c>
      <c r="D80" s="110">
        <f>251.45*D5</f>
        <v>75435</v>
      </c>
      <c r="E80" s="79"/>
    </row>
    <row r="81" spans="1:5" ht="45">
      <c r="A81" s="107"/>
      <c r="B81" s="108" t="s">
        <v>264</v>
      </c>
      <c r="C81" s="109" t="s">
        <v>261</v>
      </c>
      <c r="D81" s="110">
        <f>D80/15</f>
        <v>5029</v>
      </c>
      <c r="E81" s="79"/>
    </row>
    <row r="82" spans="1:5" ht="45">
      <c r="B82" s="111"/>
      <c r="C82" s="112" t="s">
        <v>262</v>
      </c>
      <c r="D82" s="113">
        <v>85880000000</v>
      </c>
      <c r="E82" s="113"/>
    </row>
    <row r="83" spans="1:5" ht="15">
      <c r="B83" s="111"/>
      <c r="C83" s="78" t="s">
        <v>223</v>
      </c>
      <c r="D83" s="90">
        <f>D81*D82</f>
        <v>431890520000000</v>
      </c>
      <c r="E83" s="86"/>
    </row>
    <row r="84" spans="1:5" ht="15">
      <c r="B84" s="108">
        <f>85000/15</f>
        <v>5666.666666666667</v>
      </c>
      <c r="C84" s="91" t="s">
        <v>214</v>
      </c>
      <c r="D84" s="91">
        <v>0.19</v>
      </c>
      <c r="E84" s="86"/>
    </row>
    <row r="85" spans="1:5" ht="15">
      <c r="B85" s="108"/>
      <c r="C85" s="91" t="s">
        <v>213</v>
      </c>
      <c r="D85" s="92">
        <f>D83*D84</f>
        <v>82059198800000</v>
      </c>
      <c r="E85" s="86"/>
    </row>
    <row r="86" spans="1:5">
      <c r="D86" s="86"/>
      <c r="E86" s="86"/>
    </row>
    <row r="87" spans="1:5" ht="60">
      <c r="A87" s="107" t="s">
        <v>265</v>
      </c>
      <c r="B87" s="108" t="s">
        <v>266</v>
      </c>
      <c r="C87" s="109" t="s">
        <v>267</v>
      </c>
      <c r="D87" s="110">
        <f>414.54*D6</f>
        <v>1243.6200000000001</v>
      </c>
      <c r="E87" s="79"/>
    </row>
    <row r="88" spans="1:5" ht="45">
      <c r="A88" s="107"/>
      <c r="B88" s="108" t="s">
        <v>268</v>
      </c>
      <c r="C88" s="109" t="s">
        <v>261</v>
      </c>
      <c r="D88" s="110">
        <f>D87/15</f>
        <v>82.908000000000001</v>
      </c>
      <c r="E88" s="79"/>
    </row>
    <row r="89" spans="1:5" ht="45">
      <c r="B89" s="111"/>
      <c r="C89" s="112" t="s">
        <v>262</v>
      </c>
      <c r="D89" s="113">
        <v>85880000000</v>
      </c>
      <c r="E89" s="113"/>
    </row>
    <row r="90" spans="1:5" ht="15">
      <c r="B90" s="111"/>
      <c r="C90" s="78" t="s">
        <v>223</v>
      </c>
      <c r="D90" s="90">
        <f>D88*D89</f>
        <v>7120139040000</v>
      </c>
      <c r="E90" s="86"/>
    </row>
    <row r="91" spans="1:5" ht="15">
      <c r="B91" s="108">
        <f>85000/15</f>
        <v>5666.666666666667</v>
      </c>
      <c r="C91" s="91" t="s">
        <v>214</v>
      </c>
      <c r="D91" s="91">
        <v>0.19</v>
      </c>
      <c r="E91" s="86"/>
    </row>
    <row r="92" spans="1:5" ht="15">
      <c r="B92" s="108"/>
      <c r="C92" s="91" t="s">
        <v>213</v>
      </c>
      <c r="D92" s="92">
        <f>D90*D91</f>
        <v>1352826417600</v>
      </c>
      <c r="E92" s="86"/>
    </row>
    <row r="93" spans="1:5" ht="15">
      <c r="B93" s="108"/>
      <c r="C93" s="114"/>
    </row>
    <row r="94" spans="1:5" ht="30">
      <c r="A94" s="78" t="s">
        <v>269</v>
      </c>
      <c r="B94" s="108" t="s">
        <v>140</v>
      </c>
      <c r="C94" s="109" t="s">
        <v>270</v>
      </c>
      <c r="D94" s="80">
        <f>45/15</f>
        <v>3</v>
      </c>
      <c r="E94" s="79"/>
    </row>
    <row r="95" spans="1:5" ht="45">
      <c r="B95" s="108"/>
      <c r="C95" s="112" t="s">
        <v>271</v>
      </c>
      <c r="D95" s="78">
        <f>D94*1000</f>
        <v>3000</v>
      </c>
    </row>
    <row r="96" spans="1:5" ht="45">
      <c r="B96" s="108"/>
      <c r="C96" s="112" t="s">
        <v>262</v>
      </c>
      <c r="D96" s="86">
        <v>7227600000</v>
      </c>
      <c r="E96" s="86"/>
    </row>
    <row r="97" spans="1:6" ht="15">
      <c r="B97" s="108"/>
      <c r="C97" s="78" t="s">
        <v>223</v>
      </c>
      <c r="D97" s="90">
        <f>D95*D96</f>
        <v>21682800000000</v>
      </c>
      <c r="E97" s="86"/>
    </row>
    <row r="98" spans="1:6" ht="15">
      <c r="B98" s="108"/>
      <c r="C98" s="91" t="s">
        <v>214</v>
      </c>
      <c r="D98" s="91">
        <v>0.02</v>
      </c>
      <c r="E98" s="86"/>
    </row>
    <row r="99" spans="1:6" ht="15">
      <c r="B99" s="108"/>
      <c r="C99" s="91" t="s">
        <v>213</v>
      </c>
      <c r="D99" s="92">
        <f>D97*D98</f>
        <v>433656000000</v>
      </c>
      <c r="E99" s="86"/>
    </row>
    <row r="100" spans="1:6" ht="15">
      <c r="B100" s="108"/>
      <c r="D100" s="86"/>
      <c r="E100" s="86"/>
    </row>
    <row r="101" spans="1:6" ht="15">
      <c r="A101" s="78" t="s">
        <v>272</v>
      </c>
      <c r="B101" s="108" t="s">
        <v>273</v>
      </c>
      <c r="C101" s="79" t="s">
        <v>274</v>
      </c>
      <c r="D101" s="115">
        <f>3/15</f>
        <v>0.2</v>
      </c>
      <c r="E101" s="102"/>
      <c r="F101" s="103"/>
    </row>
    <row r="102" spans="1:6" ht="15">
      <c r="B102" s="108"/>
      <c r="C102" s="79" t="s">
        <v>275</v>
      </c>
      <c r="D102" s="102">
        <f>120*D101/3</f>
        <v>8</v>
      </c>
      <c r="E102" s="102"/>
    </row>
    <row r="103" spans="1:6" ht="30">
      <c r="B103" s="108"/>
      <c r="C103" s="112" t="s">
        <v>276</v>
      </c>
      <c r="D103" s="86">
        <f>D102*2451*4186</f>
        <v>82079088</v>
      </c>
      <c r="E103" s="86"/>
    </row>
    <row r="104" spans="1:6" ht="15">
      <c r="B104" s="108"/>
      <c r="C104" s="78" t="s">
        <v>212</v>
      </c>
      <c r="D104" s="86">
        <v>1993900</v>
      </c>
    </row>
    <row r="105" spans="1:6" ht="15">
      <c r="B105" s="108"/>
      <c r="C105" s="78" t="s">
        <v>223</v>
      </c>
      <c r="D105" s="90">
        <f>D103*D104</f>
        <v>163657493563200</v>
      </c>
    </row>
    <row r="106" spans="1:6" ht="15">
      <c r="B106" s="108"/>
      <c r="C106" s="91" t="s">
        <v>214</v>
      </c>
      <c r="D106" s="91">
        <v>0.02</v>
      </c>
    </row>
    <row r="107" spans="1:6" ht="15">
      <c r="B107" s="108"/>
      <c r="C107" s="91" t="s">
        <v>213</v>
      </c>
      <c r="D107" s="92">
        <f>D105*D106</f>
        <v>3273149871264</v>
      </c>
    </row>
    <row r="108" spans="1:6" ht="15">
      <c r="B108" s="116"/>
      <c r="C108" s="114"/>
    </row>
    <row r="109" spans="1:6" ht="30">
      <c r="A109" s="117" t="s">
        <v>277</v>
      </c>
      <c r="B109" s="112" t="s">
        <v>278</v>
      </c>
      <c r="C109" s="109" t="s">
        <v>279</v>
      </c>
      <c r="D109" s="79">
        <f>1.88*D4</f>
        <v>644.83999999999992</v>
      </c>
      <c r="E109" s="79"/>
    </row>
    <row r="110" spans="1:6" ht="45">
      <c r="B110" s="112"/>
      <c r="C110" s="112" t="s">
        <v>271</v>
      </c>
      <c r="D110" s="78">
        <f>D109/15</f>
        <v>42.989333333333327</v>
      </c>
    </row>
    <row r="111" spans="1:6" ht="45">
      <c r="B111" s="112"/>
      <c r="C111" s="112" t="s">
        <v>262</v>
      </c>
      <c r="D111" s="113">
        <v>1520000000000</v>
      </c>
      <c r="E111" s="113"/>
      <c r="F111" s="99"/>
    </row>
    <row r="112" spans="1:6" ht="15">
      <c r="B112" s="112"/>
      <c r="C112" s="78" t="s">
        <v>257</v>
      </c>
      <c r="D112" s="90">
        <f>D110*D111</f>
        <v>65343786666666.656</v>
      </c>
      <c r="E112" s="86"/>
    </row>
    <row r="113" spans="1:6" ht="15">
      <c r="B113" s="112"/>
      <c r="C113" s="91" t="s">
        <v>214</v>
      </c>
      <c r="D113" s="91">
        <v>0.47</v>
      </c>
      <c r="E113" s="86"/>
    </row>
    <row r="114" spans="1:6" ht="15">
      <c r="B114" s="112"/>
      <c r="C114" s="91" t="s">
        <v>213</v>
      </c>
      <c r="D114" s="92">
        <f>D112*D113</f>
        <v>30711579733333.328</v>
      </c>
      <c r="E114" s="86"/>
    </row>
    <row r="115" spans="1:6" ht="15">
      <c r="B115" s="112"/>
      <c r="C115" s="105"/>
      <c r="D115" s="106"/>
      <c r="E115" s="86"/>
    </row>
    <row r="116" spans="1:6" ht="15">
      <c r="B116" s="116"/>
      <c r="C116" s="114"/>
    </row>
    <row r="117" spans="1:6" ht="45">
      <c r="A117" s="117" t="s">
        <v>280</v>
      </c>
      <c r="B117" s="112" t="s">
        <v>281</v>
      </c>
      <c r="C117" s="109" t="s">
        <v>282</v>
      </c>
      <c r="D117" s="79">
        <f>7.96*D5</f>
        <v>2388</v>
      </c>
      <c r="E117" s="79" t="s">
        <v>693</v>
      </c>
    </row>
    <row r="118" spans="1:6" ht="45">
      <c r="B118" s="112"/>
      <c r="C118" s="112" t="s">
        <v>271</v>
      </c>
      <c r="D118" s="78">
        <f>D117/15</f>
        <v>159.19999999999999</v>
      </c>
    </row>
    <row r="119" spans="1:6" ht="45">
      <c r="B119" s="112"/>
      <c r="C119" s="112" t="s">
        <v>262</v>
      </c>
      <c r="D119" s="113">
        <v>1520000000000</v>
      </c>
      <c r="E119" s="113"/>
      <c r="F119" s="99"/>
    </row>
    <row r="120" spans="1:6" ht="15">
      <c r="B120" s="112"/>
      <c r="C120" s="78" t="s">
        <v>257</v>
      </c>
      <c r="D120" s="90">
        <f>D118*D119</f>
        <v>241983999999999.97</v>
      </c>
      <c r="E120" s="86"/>
    </row>
    <row r="121" spans="1:6" ht="15">
      <c r="B121" s="112"/>
      <c r="C121" s="91" t="s">
        <v>214</v>
      </c>
      <c r="D121" s="91">
        <v>0.47</v>
      </c>
      <c r="E121" s="86"/>
    </row>
    <row r="122" spans="1:6" ht="15">
      <c r="B122" s="112"/>
      <c r="C122" s="91" t="s">
        <v>213</v>
      </c>
      <c r="D122" s="92">
        <f>D120*D121</f>
        <v>113732479999999.98</v>
      </c>
      <c r="E122" s="86"/>
    </row>
    <row r="123" spans="1:6" ht="15">
      <c r="B123" s="112"/>
      <c r="C123" s="91"/>
      <c r="D123" s="92"/>
      <c r="E123" s="86"/>
    </row>
    <row r="124" spans="1:6" ht="15">
      <c r="B124" s="116"/>
      <c r="C124" s="114"/>
    </row>
    <row r="125" spans="1:6" ht="15">
      <c r="B125" s="116"/>
      <c r="C125" s="114"/>
    </row>
    <row r="126" spans="1:6" ht="15">
      <c r="B126" s="116"/>
      <c r="C126" s="114"/>
    </row>
    <row r="127" spans="1:6" ht="45">
      <c r="A127" s="117" t="s">
        <v>283</v>
      </c>
      <c r="B127" s="112" t="s">
        <v>284</v>
      </c>
      <c r="C127" s="109" t="s">
        <v>282</v>
      </c>
      <c r="D127" s="79">
        <f>9.95*D6</f>
        <v>29.849999999999998</v>
      </c>
      <c r="E127" s="79"/>
    </row>
    <row r="128" spans="1:6" ht="45">
      <c r="B128" s="112"/>
      <c r="C128" s="112" t="s">
        <v>271</v>
      </c>
      <c r="D128" s="78">
        <f>D127/15</f>
        <v>1.9899999999999998</v>
      </c>
    </row>
    <row r="129" spans="1:6" ht="45">
      <c r="B129" s="112"/>
      <c r="C129" s="112" t="s">
        <v>262</v>
      </c>
      <c r="D129" s="113">
        <v>1520000000000</v>
      </c>
      <c r="E129" s="113"/>
      <c r="F129" s="99"/>
    </row>
    <row r="130" spans="1:6" ht="15">
      <c r="B130" s="112"/>
      <c r="C130" s="78" t="s">
        <v>257</v>
      </c>
      <c r="D130" s="90">
        <f>D128*D129</f>
        <v>3024799999999.9995</v>
      </c>
      <c r="E130" s="86"/>
    </row>
    <row r="131" spans="1:6" ht="15">
      <c r="B131" s="112"/>
      <c r="C131" s="91" t="s">
        <v>214</v>
      </c>
      <c r="D131" s="91">
        <v>0.47</v>
      </c>
      <c r="E131" s="86"/>
    </row>
    <row r="132" spans="1:6" ht="15">
      <c r="B132" s="112"/>
      <c r="C132" s="91" t="s">
        <v>213</v>
      </c>
      <c r="D132" s="92">
        <f>D130*D131</f>
        <v>1421655999999.9998</v>
      </c>
      <c r="E132" s="86"/>
    </row>
    <row r="133" spans="1:6" ht="15">
      <c r="B133" s="112"/>
      <c r="C133" s="105"/>
      <c r="D133" s="106"/>
      <c r="E133" s="86"/>
    </row>
    <row r="134" spans="1:6" ht="15">
      <c r="A134" s="117" t="s">
        <v>285</v>
      </c>
      <c r="B134" s="112" t="s">
        <v>286</v>
      </c>
      <c r="C134" s="105"/>
      <c r="D134" s="106"/>
      <c r="E134" s="86"/>
    </row>
    <row r="135" spans="1:6" ht="30">
      <c r="B135" s="118"/>
      <c r="C135" s="109" t="s">
        <v>287</v>
      </c>
      <c r="D135" s="102">
        <f>((9.82*1000)*D5)</f>
        <v>2946000</v>
      </c>
      <c r="E135" s="86"/>
    </row>
    <row r="136" spans="1:6" ht="45">
      <c r="B136" s="112"/>
      <c r="C136" s="112" t="s">
        <v>288</v>
      </c>
      <c r="D136" s="106">
        <f>D135/15</f>
        <v>196400</v>
      </c>
      <c r="E136" s="86"/>
    </row>
    <row r="137" spans="1:6" ht="45">
      <c r="B137" s="112"/>
      <c r="C137" s="112" t="s">
        <v>289</v>
      </c>
      <c r="D137" s="86">
        <v>978000000</v>
      </c>
      <c r="E137" s="97"/>
    </row>
    <row r="138" spans="1:6" ht="15">
      <c r="B138" s="112"/>
      <c r="C138" s="78" t="s">
        <v>257</v>
      </c>
      <c r="D138" s="90">
        <f>D137*D136</f>
        <v>192079200000000</v>
      </c>
      <c r="E138" s="119"/>
    </row>
    <row r="139" spans="1:6" ht="15">
      <c r="B139" s="112"/>
      <c r="C139" s="91" t="s">
        <v>214</v>
      </c>
      <c r="D139" s="91">
        <v>0.17</v>
      </c>
      <c r="E139" s="86"/>
    </row>
    <row r="140" spans="1:6" ht="15">
      <c r="B140" s="112"/>
      <c r="C140" s="91" t="s">
        <v>213</v>
      </c>
      <c r="D140" s="92">
        <f>D139*D138</f>
        <v>32653464000000.004</v>
      </c>
      <c r="E140" s="86"/>
    </row>
    <row r="141" spans="1:6" ht="15">
      <c r="B141" s="112"/>
      <c r="C141" s="105"/>
      <c r="D141" s="106"/>
      <c r="E141" s="86"/>
    </row>
    <row r="142" spans="1:6" ht="15">
      <c r="A142" s="117" t="s">
        <v>290</v>
      </c>
      <c r="B142" s="112" t="s">
        <v>291</v>
      </c>
      <c r="C142" s="105"/>
      <c r="D142" s="106"/>
      <c r="E142" s="86"/>
    </row>
    <row r="143" spans="1:6" ht="30">
      <c r="B143" s="118"/>
      <c r="C143" s="109" t="s">
        <v>287</v>
      </c>
      <c r="D143" s="102">
        <f>(14.73*D5)*1000</f>
        <v>4419000</v>
      </c>
      <c r="E143" s="86"/>
    </row>
    <row r="144" spans="1:6" ht="45">
      <c r="B144" s="112"/>
      <c r="C144" s="120" t="s">
        <v>288</v>
      </c>
      <c r="D144" s="106">
        <f>D143/15</f>
        <v>294600</v>
      </c>
      <c r="E144" s="86"/>
    </row>
    <row r="145" spans="1:5" ht="45">
      <c r="B145" s="112"/>
      <c r="C145" s="112" t="s">
        <v>289</v>
      </c>
      <c r="D145" s="121">
        <v>2080000000</v>
      </c>
      <c r="E145" s="97"/>
    </row>
    <row r="146" spans="1:5" ht="15">
      <c r="B146" s="112"/>
      <c r="C146" s="78" t="s">
        <v>257</v>
      </c>
      <c r="D146" s="90">
        <f>D145*D144</f>
        <v>612768000000000</v>
      </c>
      <c r="E146" s="119"/>
    </row>
    <row r="147" spans="1:5" ht="15">
      <c r="B147" s="112"/>
      <c r="C147" s="91" t="s">
        <v>214</v>
      </c>
      <c r="D147" s="91">
        <v>0.17</v>
      </c>
      <c r="E147" s="122"/>
    </row>
    <row r="148" spans="1:5" ht="15">
      <c r="B148" s="112"/>
      <c r="C148" s="91" t="s">
        <v>213</v>
      </c>
      <c r="D148" s="92">
        <f>D147*D146</f>
        <v>104170560000000</v>
      </c>
    </row>
    <row r="149" spans="1:5" ht="15">
      <c r="B149" s="112"/>
      <c r="C149" s="105"/>
      <c r="D149" s="106"/>
      <c r="E149" s="86"/>
    </row>
    <row r="150" spans="1:5" ht="15">
      <c r="B150" s="112"/>
      <c r="C150" s="105"/>
      <c r="D150" s="106"/>
      <c r="E150" s="86"/>
    </row>
    <row r="151" spans="1:5" ht="15">
      <c r="A151" s="117" t="s">
        <v>292</v>
      </c>
      <c r="B151" s="112" t="s">
        <v>293</v>
      </c>
      <c r="C151" s="105"/>
      <c r="D151" s="106"/>
      <c r="E151" s="86"/>
    </row>
    <row r="152" spans="1:5" ht="30">
      <c r="B152" s="118"/>
      <c r="C152" s="109" t="s">
        <v>287</v>
      </c>
      <c r="D152" s="102">
        <f>((40.91*1000)*D4)</f>
        <v>14032130</v>
      </c>
      <c r="E152" s="86"/>
    </row>
    <row r="153" spans="1:5" ht="45">
      <c r="B153" s="112"/>
      <c r="C153" s="120" t="s">
        <v>288</v>
      </c>
      <c r="D153" s="106">
        <f>D152/15</f>
        <v>935475.33333333337</v>
      </c>
      <c r="E153" s="86"/>
    </row>
    <row r="154" spans="1:5" ht="45">
      <c r="B154" s="112"/>
      <c r="C154" s="112" t="s">
        <v>289</v>
      </c>
      <c r="D154" s="86">
        <v>978000000</v>
      </c>
      <c r="E154" s="97"/>
    </row>
    <row r="155" spans="1:5" ht="15">
      <c r="B155" s="112"/>
      <c r="C155" s="78" t="s">
        <v>257</v>
      </c>
      <c r="D155" s="90">
        <f>D154*D153</f>
        <v>914894876000000</v>
      </c>
      <c r="E155" s="119"/>
    </row>
    <row r="156" spans="1:5" ht="15">
      <c r="B156" s="112"/>
      <c r="C156" s="91" t="s">
        <v>214</v>
      </c>
      <c r="D156" s="91">
        <v>0.17</v>
      </c>
      <c r="E156" s="86"/>
    </row>
    <row r="157" spans="1:5" ht="15">
      <c r="B157" s="112"/>
      <c r="C157" s="91" t="s">
        <v>213</v>
      </c>
      <c r="D157" s="92">
        <f>D156*D155</f>
        <v>155532128920000</v>
      </c>
      <c r="E157" s="86"/>
    </row>
    <row r="158" spans="1:5" ht="15">
      <c r="B158" s="112"/>
      <c r="C158" s="118"/>
      <c r="D158" s="118"/>
      <c r="E158" s="118"/>
    </row>
    <row r="159" spans="1:5" ht="15">
      <c r="A159" s="117" t="s">
        <v>294</v>
      </c>
      <c r="B159" s="112" t="s">
        <v>295</v>
      </c>
      <c r="C159" s="105"/>
      <c r="D159" s="106"/>
      <c r="E159" s="86"/>
    </row>
    <row r="160" spans="1:5" ht="30">
      <c r="B160" s="118"/>
      <c r="C160" s="109" t="s">
        <v>287</v>
      </c>
      <c r="D160" s="102">
        <f>((27.27*1000)*D4)</f>
        <v>9353610</v>
      </c>
      <c r="E160" s="86"/>
    </row>
    <row r="161" spans="1:5" ht="45">
      <c r="B161" s="112"/>
      <c r="C161" s="120" t="s">
        <v>288</v>
      </c>
      <c r="D161" s="106">
        <f>D160/15</f>
        <v>623574</v>
      </c>
      <c r="E161" s="86"/>
    </row>
    <row r="162" spans="1:5" ht="45">
      <c r="B162" s="112"/>
      <c r="C162" s="112" t="s">
        <v>289</v>
      </c>
      <c r="D162" s="86">
        <v>2080000000</v>
      </c>
      <c r="E162" s="97"/>
    </row>
    <row r="163" spans="1:5" ht="15">
      <c r="B163" s="112"/>
      <c r="C163" s="78" t="s">
        <v>257</v>
      </c>
      <c r="D163" s="90">
        <f>D162*D161</f>
        <v>1297033920000000</v>
      </c>
      <c r="E163" s="119"/>
    </row>
    <row r="164" spans="1:5" ht="15">
      <c r="B164" s="112"/>
      <c r="C164" s="91" t="s">
        <v>214</v>
      </c>
      <c r="D164" s="91">
        <v>0.17</v>
      </c>
      <c r="E164" s="86"/>
    </row>
    <row r="165" spans="1:5" ht="15">
      <c r="B165" s="112"/>
      <c r="C165" s="91" t="s">
        <v>213</v>
      </c>
      <c r="D165" s="92">
        <f>D164*D163</f>
        <v>220495766400000.03</v>
      </c>
      <c r="E165" s="86"/>
    </row>
    <row r="166" spans="1:5" ht="15">
      <c r="B166" s="112"/>
      <c r="C166" s="105"/>
      <c r="D166" s="106"/>
      <c r="E166" s="86"/>
    </row>
    <row r="167" spans="1:5" ht="15">
      <c r="B167" s="112"/>
      <c r="C167" s="114"/>
    </row>
    <row r="168" spans="1:5" ht="45">
      <c r="A168" s="78" t="s">
        <v>296</v>
      </c>
      <c r="B168" s="112" t="s">
        <v>297</v>
      </c>
      <c r="C168" s="109" t="s">
        <v>298</v>
      </c>
      <c r="D168" s="123">
        <v>2.1800000000000002</v>
      </c>
      <c r="E168" s="105"/>
    </row>
    <row r="169" spans="1:5" ht="30">
      <c r="B169" s="112"/>
      <c r="C169" s="109" t="s">
        <v>299</v>
      </c>
      <c r="D169" s="79">
        <f>D4/15</f>
        <v>22.866666666666667</v>
      </c>
    </row>
    <row r="170" spans="1:5" ht="45">
      <c r="B170" s="112"/>
      <c r="C170" s="112" t="s">
        <v>300</v>
      </c>
      <c r="D170" s="78">
        <v>1</v>
      </c>
    </row>
    <row r="171" spans="1:5" ht="45">
      <c r="B171" s="112"/>
      <c r="C171" s="112" t="s">
        <v>288</v>
      </c>
      <c r="D171" s="78">
        <f>D168*D169*D170</f>
        <v>49.849333333333341</v>
      </c>
    </row>
    <row r="172" spans="1:5" ht="15">
      <c r="B172" s="112"/>
      <c r="C172" s="78" t="s">
        <v>301</v>
      </c>
      <c r="D172" s="113">
        <v>3575000000</v>
      </c>
      <c r="E172" s="113"/>
    </row>
    <row r="173" spans="1:5" ht="15">
      <c r="B173" s="112"/>
      <c r="C173" s="78" t="s">
        <v>257</v>
      </c>
      <c r="D173" s="90">
        <f>D171*D172</f>
        <v>178211366666.66669</v>
      </c>
      <c r="E173" s="86"/>
    </row>
    <row r="174" spans="1:5" ht="15">
      <c r="B174" s="112"/>
      <c r="C174" s="91" t="s">
        <v>214</v>
      </c>
      <c r="D174" s="91">
        <v>0.01</v>
      </c>
      <c r="E174" s="86"/>
    </row>
    <row r="175" spans="1:5" ht="15">
      <c r="B175" s="112"/>
      <c r="C175" s="91" t="s">
        <v>213</v>
      </c>
      <c r="D175" s="92">
        <f>D173*D174</f>
        <v>1782113666.666667</v>
      </c>
      <c r="E175" s="86"/>
    </row>
    <row r="176" spans="1:5" ht="15">
      <c r="B176" s="112"/>
      <c r="C176" s="114"/>
    </row>
    <row r="177" spans="1:5" ht="45">
      <c r="A177" s="78" t="s">
        <v>302</v>
      </c>
      <c r="B177" s="112" t="s">
        <v>303</v>
      </c>
      <c r="C177" s="109" t="s">
        <v>298</v>
      </c>
      <c r="D177" s="123">
        <v>6.55</v>
      </c>
      <c r="E177" s="79"/>
    </row>
    <row r="178" spans="1:5" ht="30">
      <c r="B178" s="112"/>
      <c r="C178" s="109" t="s">
        <v>299</v>
      </c>
      <c r="D178" s="79">
        <f>D5/15</f>
        <v>20</v>
      </c>
    </row>
    <row r="179" spans="1:5" ht="45">
      <c r="B179" s="112"/>
      <c r="C179" s="112" t="s">
        <v>300</v>
      </c>
      <c r="D179" s="78">
        <v>1</v>
      </c>
    </row>
    <row r="180" spans="1:5" ht="45">
      <c r="B180" s="112"/>
      <c r="C180" s="112" t="s">
        <v>288</v>
      </c>
      <c r="D180" s="78">
        <f>D177*D178*D179</f>
        <v>131</v>
      </c>
    </row>
    <row r="181" spans="1:5" ht="15">
      <c r="B181" s="112"/>
      <c r="C181" s="78" t="s">
        <v>301</v>
      </c>
      <c r="D181" s="113">
        <v>3575000000</v>
      </c>
      <c r="E181" s="113"/>
    </row>
    <row r="182" spans="1:5" ht="15">
      <c r="B182" s="112"/>
      <c r="C182" s="78" t="s">
        <v>257</v>
      </c>
      <c r="D182" s="90">
        <f>D180*D181</f>
        <v>468325000000</v>
      </c>
      <c r="E182" s="86"/>
    </row>
    <row r="183" spans="1:5" ht="15">
      <c r="B183" s="112"/>
      <c r="C183" s="91" t="s">
        <v>214</v>
      </c>
      <c r="D183" s="91">
        <v>0.01</v>
      </c>
      <c r="E183" s="86"/>
    </row>
    <row r="184" spans="1:5" ht="15">
      <c r="B184" s="112"/>
      <c r="C184" s="91" t="s">
        <v>213</v>
      </c>
      <c r="D184" s="92">
        <f>D182*D183</f>
        <v>4683250000</v>
      </c>
      <c r="E184" s="86"/>
    </row>
    <row r="185" spans="1:5" ht="15">
      <c r="B185" s="112"/>
      <c r="D185" s="86"/>
      <c r="E185" s="86"/>
    </row>
    <row r="186" spans="1:5" ht="45">
      <c r="A186" s="78" t="s">
        <v>304</v>
      </c>
      <c r="B186" s="112" t="s">
        <v>305</v>
      </c>
      <c r="C186" s="109" t="s">
        <v>298</v>
      </c>
      <c r="D186" s="79">
        <v>13.09</v>
      </c>
      <c r="E186" s="79"/>
    </row>
    <row r="187" spans="1:5" ht="30">
      <c r="B187" s="112"/>
      <c r="C187" s="109" t="s">
        <v>299</v>
      </c>
      <c r="D187" s="79">
        <f>D6/15</f>
        <v>0.2</v>
      </c>
    </row>
    <row r="188" spans="1:5" ht="45">
      <c r="B188" s="112"/>
      <c r="C188" s="112" t="s">
        <v>300</v>
      </c>
      <c r="D188" s="78">
        <v>1</v>
      </c>
    </row>
    <row r="189" spans="1:5" ht="45">
      <c r="B189" s="112"/>
      <c r="C189" s="112" t="s">
        <v>288</v>
      </c>
      <c r="D189" s="78">
        <f>D186*D187*D188</f>
        <v>2.6180000000000003</v>
      </c>
    </row>
    <row r="190" spans="1:5" ht="15">
      <c r="B190" s="112"/>
      <c r="C190" s="78" t="s">
        <v>301</v>
      </c>
      <c r="D190" s="113">
        <v>3575000000</v>
      </c>
      <c r="E190" s="113"/>
    </row>
    <row r="191" spans="1:5" ht="15">
      <c r="B191" s="112"/>
      <c r="C191" s="78" t="s">
        <v>257</v>
      </c>
      <c r="D191" s="90">
        <f>D189*D190</f>
        <v>9359350000.0000019</v>
      </c>
      <c r="E191" s="86"/>
    </row>
    <row r="192" spans="1:5" ht="15">
      <c r="B192" s="112"/>
      <c r="C192" s="91" t="s">
        <v>214</v>
      </c>
      <c r="D192" s="91">
        <v>0.01</v>
      </c>
      <c r="E192" s="86"/>
    </row>
    <row r="193" spans="1:5" ht="15">
      <c r="B193" s="112"/>
      <c r="C193" s="91" t="s">
        <v>213</v>
      </c>
      <c r="D193" s="92">
        <f>D191*D192</f>
        <v>93593500.000000015</v>
      </c>
      <c r="E193" s="86"/>
    </row>
    <row r="194" spans="1:5" ht="15">
      <c r="B194" s="112"/>
      <c r="C194" s="83" t="s">
        <v>306</v>
      </c>
      <c r="D194" s="84">
        <f>D173+D182+D191</f>
        <v>655895716666.66675</v>
      </c>
      <c r="E194" s="86"/>
    </row>
    <row r="195" spans="1:5" ht="15">
      <c r="B195" s="112"/>
      <c r="D195" s="86"/>
      <c r="E195" s="86"/>
    </row>
    <row r="196" spans="1:5" ht="45">
      <c r="A196" s="78" t="s">
        <v>307</v>
      </c>
      <c r="B196" s="112" t="s">
        <v>308</v>
      </c>
      <c r="C196" s="109" t="s">
        <v>309</v>
      </c>
      <c r="D196" s="79">
        <v>2</v>
      </c>
      <c r="E196" s="79"/>
    </row>
    <row r="197" spans="1:5" ht="30">
      <c r="B197" s="112"/>
      <c r="C197" s="109" t="s">
        <v>299</v>
      </c>
      <c r="D197" s="79">
        <f>D4/15</f>
        <v>22.866666666666667</v>
      </c>
    </row>
    <row r="198" spans="1:5" ht="30">
      <c r="B198" s="112"/>
      <c r="C198" s="112" t="s">
        <v>310</v>
      </c>
      <c r="D198" s="78">
        <v>1</v>
      </c>
    </row>
    <row r="199" spans="1:5" ht="45">
      <c r="B199" s="112"/>
      <c r="C199" s="112" t="s">
        <v>288</v>
      </c>
      <c r="D199" s="78">
        <f>D196*D197*D198</f>
        <v>45.733333333333334</v>
      </c>
    </row>
    <row r="200" spans="1:5" ht="15">
      <c r="B200" s="112"/>
      <c r="C200" s="78" t="s">
        <v>311</v>
      </c>
      <c r="D200" s="124">
        <v>3575000000</v>
      </c>
      <c r="E200" s="113"/>
    </row>
    <row r="201" spans="1:5" ht="15">
      <c r="B201" s="112"/>
      <c r="C201" s="78" t="s">
        <v>257</v>
      </c>
      <c r="D201" s="90">
        <f>D199*D200</f>
        <v>163496666666.66666</v>
      </c>
      <c r="E201" s="86"/>
    </row>
    <row r="202" spans="1:5" ht="15">
      <c r="B202" s="112"/>
      <c r="C202" s="91" t="s">
        <v>214</v>
      </c>
      <c r="D202" s="91">
        <v>0.01</v>
      </c>
      <c r="E202" s="86"/>
    </row>
    <row r="203" spans="1:5" ht="15">
      <c r="B203" s="112"/>
      <c r="C203" s="91" t="s">
        <v>213</v>
      </c>
      <c r="D203" s="92">
        <f>D201*D202</f>
        <v>1634966666.6666665</v>
      </c>
      <c r="E203" s="86"/>
    </row>
    <row r="204" spans="1:5" ht="15">
      <c r="B204" s="112"/>
      <c r="C204" s="114"/>
    </row>
    <row r="205" spans="1:5" ht="45">
      <c r="A205" s="78" t="s">
        <v>312</v>
      </c>
      <c r="B205" s="112" t="s">
        <v>313</v>
      </c>
      <c r="C205" s="109" t="s">
        <v>309</v>
      </c>
      <c r="D205" s="79">
        <v>1.0900000000000001</v>
      </c>
      <c r="E205" s="79"/>
    </row>
    <row r="206" spans="1:5" ht="30">
      <c r="B206" s="112"/>
      <c r="C206" s="109" t="s">
        <v>299</v>
      </c>
      <c r="D206" s="79">
        <f>D5/15</f>
        <v>20</v>
      </c>
    </row>
    <row r="207" spans="1:5" ht="30">
      <c r="B207" s="112"/>
      <c r="C207" s="112" t="s">
        <v>310</v>
      </c>
      <c r="D207" s="78">
        <v>1</v>
      </c>
    </row>
    <row r="208" spans="1:5" ht="45">
      <c r="B208" s="112"/>
      <c r="C208" s="112" t="s">
        <v>288</v>
      </c>
      <c r="D208" s="78">
        <f>D205*D206*D207</f>
        <v>21.8</v>
      </c>
    </row>
    <row r="209" spans="1:5" ht="15">
      <c r="B209" s="112"/>
      <c r="C209" s="78" t="s">
        <v>301</v>
      </c>
      <c r="D209" s="124">
        <v>3575000000</v>
      </c>
      <c r="E209" s="113"/>
    </row>
    <row r="210" spans="1:5" ht="15">
      <c r="B210" s="112"/>
      <c r="C210" s="78" t="s">
        <v>257</v>
      </c>
      <c r="D210" s="90">
        <f>D208*D209</f>
        <v>77935000000</v>
      </c>
      <c r="E210" s="86"/>
    </row>
    <row r="211" spans="1:5" ht="15">
      <c r="B211" s="112"/>
      <c r="C211" s="91" t="s">
        <v>214</v>
      </c>
      <c r="D211" s="91">
        <v>0.01</v>
      </c>
      <c r="E211" s="86"/>
    </row>
    <row r="212" spans="1:5" ht="15">
      <c r="B212" s="112"/>
      <c r="C212" s="91" t="s">
        <v>213</v>
      </c>
      <c r="D212" s="92">
        <f>D210*D211</f>
        <v>779350000</v>
      </c>
      <c r="E212" s="86"/>
    </row>
    <row r="213" spans="1:5" ht="15">
      <c r="B213" s="112"/>
      <c r="D213" s="86"/>
      <c r="E213" s="86"/>
    </row>
    <row r="214" spans="1:5" ht="45">
      <c r="A214" s="78" t="s">
        <v>314</v>
      </c>
      <c r="B214" s="112" t="s">
        <v>315</v>
      </c>
      <c r="C214" s="109" t="s">
        <v>309</v>
      </c>
      <c r="D214" s="79">
        <v>1.0900000000000001</v>
      </c>
      <c r="E214" s="79"/>
    </row>
    <row r="215" spans="1:5" ht="30">
      <c r="B215" s="112"/>
      <c r="C215" s="109" t="s">
        <v>299</v>
      </c>
      <c r="D215" s="79">
        <f>D6/15</f>
        <v>0.2</v>
      </c>
    </row>
    <row r="216" spans="1:5" ht="30">
      <c r="B216" s="112"/>
      <c r="C216" s="112" t="s">
        <v>310</v>
      </c>
      <c r="D216" s="78">
        <v>1</v>
      </c>
    </row>
    <row r="217" spans="1:5" ht="45">
      <c r="B217" s="112"/>
      <c r="C217" s="112" t="s">
        <v>288</v>
      </c>
      <c r="D217" s="78">
        <f>D214*D215*D216</f>
        <v>0.21800000000000003</v>
      </c>
    </row>
    <row r="218" spans="1:5" ht="15">
      <c r="B218" s="112"/>
      <c r="C218" s="78" t="s">
        <v>301</v>
      </c>
      <c r="D218" s="124">
        <v>3575000000</v>
      </c>
      <c r="E218" s="113"/>
    </row>
    <row r="219" spans="1:5" ht="15">
      <c r="B219" s="112"/>
      <c r="C219" s="78" t="s">
        <v>257</v>
      </c>
      <c r="D219" s="90">
        <f>D217*D218</f>
        <v>779350000.00000012</v>
      </c>
      <c r="E219" s="86"/>
    </row>
    <row r="220" spans="1:5" ht="15">
      <c r="B220" s="112"/>
      <c r="C220" s="91" t="s">
        <v>214</v>
      </c>
      <c r="D220" s="91">
        <v>0.01</v>
      </c>
      <c r="E220" s="86"/>
    </row>
    <row r="221" spans="1:5" ht="15">
      <c r="B221" s="112"/>
      <c r="C221" s="91" t="s">
        <v>213</v>
      </c>
      <c r="D221" s="92">
        <f>D219*D220</f>
        <v>7793500.0000000009</v>
      </c>
      <c r="E221" s="86"/>
    </row>
    <row r="222" spans="1:5" ht="15">
      <c r="B222" s="112"/>
      <c r="C222" s="83" t="s">
        <v>316</v>
      </c>
      <c r="D222" s="84">
        <f>D201+D210+D219</f>
        <v>242211016666.66666</v>
      </c>
      <c r="E222" s="86"/>
    </row>
    <row r="223" spans="1:5" ht="15">
      <c r="B223" s="112"/>
      <c r="C223" s="114"/>
    </row>
    <row r="224" spans="1:5" ht="45">
      <c r="A224" s="78" t="s">
        <v>317</v>
      </c>
      <c r="B224" s="112" t="s">
        <v>318</v>
      </c>
      <c r="C224" s="109" t="s">
        <v>271</v>
      </c>
      <c r="D224" s="79">
        <f>(((15*200)*6)/20)/15</f>
        <v>60</v>
      </c>
      <c r="E224" s="79" t="s">
        <v>319</v>
      </c>
    </row>
    <row r="225" spans="1:6" ht="45">
      <c r="B225" s="112"/>
      <c r="C225" s="112" t="s">
        <v>262</v>
      </c>
      <c r="D225" s="86">
        <v>10100000000000</v>
      </c>
      <c r="E225" s="86"/>
    </row>
    <row r="226" spans="1:6" ht="15">
      <c r="B226" s="112"/>
      <c r="C226" s="78" t="s">
        <v>257</v>
      </c>
      <c r="D226" s="90">
        <f>D224*D225</f>
        <v>606000000000000</v>
      </c>
      <c r="E226" s="86"/>
    </row>
    <row r="227" spans="1:6" ht="15">
      <c r="B227" s="112"/>
      <c r="C227" s="91" t="s">
        <v>214</v>
      </c>
      <c r="D227" s="91">
        <v>0.01</v>
      </c>
      <c r="E227" s="86"/>
    </row>
    <row r="228" spans="1:6" ht="15">
      <c r="B228" s="112"/>
      <c r="C228" s="91" t="s">
        <v>213</v>
      </c>
      <c r="D228" s="92">
        <f>D226*D227</f>
        <v>6060000000000</v>
      </c>
      <c r="E228" s="86"/>
    </row>
    <row r="229" spans="1:6" ht="15">
      <c r="B229" s="112"/>
      <c r="C229" s="112"/>
    </row>
    <row r="230" spans="1:6">
      <c r="A230" s="78" t="s">
        <v>320</v>
      </c>
      <c r="B230" s="78" t="s">
        <v>321</v>
      </c>
      <c r="C230" s="125" t="s">
        <v>322</v>
      </c>
      <c r="D230" s="79">
        <f>120/15</f>
        <v>8</v>
      </c>
      <c r="E230" s="79"/>
    </row>
    <row r="231" spans="1:6" ht="15">
      <c r="B231" s="112"/>
      <c r="C231" s="126" t="s">
        <v>323</v>
      </c>
      <c r="D231" s="86">
        <f>31400000</f>
        <v>31400000</v>
      </c>
      <c r="E231" s="86"/>
    </row>
    <row r="232" spans="1:6">
      <c r="C232" s="126" t="s">
        <v>324</v>
      </c>
      <c r="D232" s="86">
        <f>D230*D231</f>
        <v>251200000</v>
      </c>
      <c r="E232" s="86"/>
    </row>
    <row r="233" spans="1:6">
      <c r="C233" s="89" t="s">
        <v>246</v>
      </c>
      <c r="D233" s="86">
        <v>85573.8</v>
      </c>
      <c r="E233" s="127"/>
      <c r="F233" s="128"/>
    </row>
    <row r="234" spans="1:6">
      <c r="C234" s="78" t="s">
        <v>257</v>
      </c>
      <c r="D234" s="90">
        <f>D232*D233</f>
        <v>21496138560000</v>
      </c>
      <c r="E234" s="86"/>
    </row>
    <row r="235" spans="1:6" ht="15">
      <c r="B235" s="112"/>
      <c r="C235" s="91" t="s">
        <v>214</v>
      </c>
      <c r="D235" s="91">
        <v>0.01</v>
      </c>
      <c r="E235" s="86"/>
    </row>
    <row r="236" spans="1:6" ht="15">
      <c r="B236" s="112"/>
      <c r="C236" s="91" t="s">
        <v>213</v>
      </c>
      <c r="D236" s="92">
        <f>D234*D235</f>
        <v>214961385600</v>
      </c>
      <c r="E236" s="86"/>
    </row>
    <row r="238" spans="1:6">
      <c r="A238" s="78" t="s">
        <v>325</v>
      </c>
      <c r="B238" s="78" t="s">
        <v>326</v>
      </c>
      <c r="C238" s="79" t="s">
        <v>327</v>
      </c>
      <c r="D238" s="79">
        <f>2400</f>
        <v>2400</v>
      </c>
      <c r="E238" s="79"/>
    </row>
    <row r="239" spans="1:6">
      <c r="C239" s="79" t="s">
        <v>328</v>
      </c>
      <c r="D239" s="79">
        <f>D238/15</f>
        <v>160</v>
      </c>
      <c r="E239" s="79"/>
    </row>
    <row r="240" spans="1:6">
      <c r="C240" s="78" t="s">
        <v>329</v>
      </c>
      <c r="D240" s="86">
        <v>3600000</v>
      </c>
    </row>
    <row r="241" spans="1:11">
      <c r="C241" s="78" t="s">
        <v>330</v>
      </c>
      <c r="D241" s="86">
        <f>D239*D240</f>
        <v>576000000</v>
      </c>
    </row>
    <row r="242" spans="1:11">
      <c r="C242" s="78" t="s">
        <v>246</v>
      </c>
      <c r="D242" s="86">
        <v>191520</v>
      </c>
      <c r="F242" s="99"/>
    </row>
    <row r="243" spans="1:11">
      <c r="C243" s="78" t="s">
        <v>223</v>
      </c>
      <c r="D243" s="90">
        <f>D241*D242</f>
        <v>110315520000000</v>
      </c>
    </row>
    <row r="244" spans="1:11" ht="15">
      <c r="B244" s="112"/>
      <c r="C244" s="91" t="s">
        <v>214</v>
      </c>
      <c r="D244" s="91">
        <v>0.35</v>
      </c>
      <c r="E244" s="86"/>
      <c r="F244" s="99"/>
    </row>
    <row r="245" spans="1:11" ht="15">
      <c r="B245" s="112"/>
      <c r="C245" s="91" t="s">
        <v>213</v>
      </c>
      <c r="D245" s="92">
        <f>D243*D244</f>
        <v>38610432000000</v>
      </c>
      <c r="E245" s="86"/>
    </row>
    <row r="247" spans="1:11">
      <c r="A247" s="78" t="s">
        <v>331</v>
      </c>
      <c r="B247" s="78" t="s">
        <v>332</v>
      </c>
      <c r="C247" s="79" t="s">
        <v>333</v>
      </c>
      <c r="D247" s="79">
        <f>180/15</f>
        <v>12</v>
      </c>
    </row>
    <row r="248" spans="1:11">
      <c r="C248" s="78" t="s">
        <v>334</v>
      </c>
      <c r="D248" s="78">
        <v>12000</v>
      </c>
    </row>
    <row r="249" spans="1:11" ht="45.75" thickBot="1">
      <c r="C249" s="112" t="s">
        <v>271</v>
      </c>
      <c r="D249" s="78">
        <f>(D247*2730)/D248</f>
        <v>2.73</v>
      </c>
    </row>
    <row r="250" spans="1:11" ht="45.75" thickBot="1">
      <c r="C250" s="112" t="s">
        <v>262</v>
      </c>
      <c r="D250" s="86">
        <v>10100000000000</v>
      </c>
      <c r="E250" s="129"/>
    </row>
    <row r="251" spans="1:11">
      <c r="C251" s="78" t="s">
        <v>223</v>
      </c>
      <c r="D251" s="90">
        <f>D249*D250</f>
        <v>27573000000000</v>
      </c>
      <c r="E251" s="86"/>
    </row>
    <row r="252" spans="1:11" ht="15">
      <c r="B252" s="112"/>
      <c r="C252" s="91" t="s">
        <v>214</v>
      </c>
      <c r="D252" s="91">
        <v>0.01</v>
      </c>
      <c r="E252" s="86"/>
    </row>
    <row r="253" spans="1:11" ht="15">
      <c r="B253" s="112"/>
      <c r="C253" s="91" t="s">
        <v>213</v>
      </c>
      <c r="D253" s="92">
        <f>D251*D252</f>
        <v>275730000000</v>
      </c>
      <c r="E253" s="86"/>
    </row>
    <row r="254" spans="1:11">
      <c r="D254" s="86"/>
      <c r="E254" s="86"/>
    </row>
    <row r="255" spans="1:11">
      <c r="A255" s="78" t="s">
        <v>335</v>
      </c>
      <c r="B255" s="78" t="s">
        <v>336</v>
      </c>
      <c r="C255" s="79" t="s">
        <v>337</v>
      </c>
      <c r="D255" s="102">
        <f>180/15</f>
        <v>12</v>
      </c>
      <c r="E255" s="86"/>
      <c r="F255" s="130"/>
      <c r="G255" s="130"/>
      <c r="H255" s="130"/>
      <c r="I255" s="130"/>
      <c r="J255" s="130"/>
      <c r="K255" s="130"/>
    </row>
    <row r="256" spans="1:11">
      <c r="C256" s="78" t="s">
        <v>334</v>
      </c>
      <c r="D256" s="86">
        <v>4000</v>
      </c>
      <c r="E256" s="86"/>
    </row>
    <row r="257" spans="1:11">
      <c r="C257" s="79" t="s">
        <v>338</v>
      </c>
      <c r="D257" s="131">
        <f>180/15</f>
        <v>12</v>
      </c>
      <c r="E257" s="86"/>
      <c r="F257" s="132"/>
      <c r="G257" s="132"/>
      <c r="H257" s="132"/>
      <c r="I257" s="132"/>
      <c r="J257" s="132"/>
      <c r="K257" s="132"/>
    </row>
    <row r="258" spans="1:11">
      <c r="C258" s="78" t="s">
        <v>334</v>
      </c>
      <c r="D258" s="86">
        <v>500</v>
      </c>
      <c r="E258" s="86"/>
    </row>
    <row r="259" spans="1:11">
      <c r="C259" s="79" t="s">
        <v>339</v>
      </c>
      <c r="D259" s="102">
        <f>36/15</f>
        <v>2.4</v>
      </c>
      <c r="E259" s="86"/>
    </row>
    <row r="260" spans="1:11">
      <c r="C260" s="79" t="s">
        <v>334</v>
      </c>
      <c r="D260" s="102">
        <v>500</v>
      </c>
      <c r="E260" s="86"/>
    </row>
    <row r="261" spans="1:11" ht="45.75" thickBot="1">
      <c r="C261" s="112" t="s">
        <v>271</v>
      </c>
      <c r="D261" s="86">
        <f>(432*D255/D256)+(195*D257/D258)+(180*D259/D260)</f>
        <v>6.84</v>
      </c>
      <c r="E261" s="86"/>
    </row>
    <row r="262" spans="1:11" ht="45.75" thickBot="1">
      <c r="C262" s="112" t="s">
        <v>262</v>
      </c>
      <c r="D262" s="86">
        <v>10100000000000</v>
      </c>
      <c r="E262" s="129"/>
    </row>
    <row r="263" spans="1:11">
      <c r="C263" s="78" t="s">
        <v>257</v>
      </c>
      <c r="D263" s="90">
        <f>D261*D262</f>
        <v>69084000000000</v>
      </c>
      <c r="E263" s="86"/>
    </row>
    <row r="264" spans="1:11" ht="15">
      <c r="B264" s="112"/>
      <c r="C264" s="91" t="s">
        <v>214</v>
      </c>
      <c r="D264" s="91">
        <v>0.01</v>
      </c>
      <c r="E264" s="86"/>
    </row>
    <row r="265" spans="1:11" ht="15">
      <c r="B265" s="112"/>
      <c r="C265" s="91" t="s">
        <v>213</v>
      </c>
      <c r="D265" s="92">
        <f>D263*D264</f>
        <v>690840000000</v>
      </c>
      <c r="E265" s="86"/>
    </row>
    <row r="266" spans="1:11">
      <c r="D266" s="86"/>
      <c r="E266" s="86"/>
    </row>
    <row r="267" spans="1:11" ht="15">
      <c r="A267" s="78" t="s">
        <v>340</v>
      </c>
      <c r="B267" s="78" t="s">
        <v>341</v>
      </c>
      <c r="C267" s="79" t="s">
        <v>342</v>
      </c>
      <c r="D267" s="79">
        <v>3467.82</v>
      </c>
      <c r="F267" s="103"/>
    </row>
    <row r="268" spans="1:11" ht="15">
      <c r="C268" s="79" t="s">
        <v>343</v>
      </c>
      <c r="D268" s="133">
        <v>3.87</v>
      </c>
      <c r="F268" s="103"/>
    </row>
    <row r="269" spans="1:11" ht="15.75" thickBot="1">
      <c r="C269" s="79" t="s">
        <v>344</v>
      </c>
      <c r="D269" s="79">
        <f>(D267/D268)/15</f>
        <v>59.738501291989664</v>
      </c>
      <c r="F269" s="103"/>
    </row>
    <row r="270" spans="1:11" ht="45.75" thickBot="1">
      <c r="C270" s="112" t="s">
        <v>345</v>
      </c>
      <c r="D270" s="86">
        <v>3146400000000</v>
      </c>
      <c r="E270" s="129"/>
      <c r="F270" s="134"/>
    </row>
    <row r="271" spans="1:11">
      <c r="C271" s="78" t="s">
        <v>223</v>
      </c>
      <c r="D271" s="90">
        <f>D269*D270</f>
        <v>187961220465116.28</v>
      </c>
      <c r="E271" s="86"/>
    </row>
    <row r="272" spans="1:11" ht="15">
      <c r="B272" s="112"/>
      <c r="C272" s="91" t="s">
        <v>214</v>
      </c>
      <c r="D272" s="91">
        <v>0</v>
      </c>
      <c r="E272" s="86"/>
    </row>
    <row r="273" spans="1:8" ht="15">
      <c r="B273" s="112"/>
      <c r="C273" s="91" t="s">
        <v>213</v>
      </c>
      <c r="D273" s="92">
        <f>D271*D272</f>
        <v>0</v>
      </c>
      <c r="E273" s="86"/>
    </row>
    <row r="274" spans="1:8">
      <c r="D274" s="86"/>
      <c r="E274" s="86"/>
    </row>
    <row r="275" spans="1:8" ht="15">
      <c r="A275" s="78" t="s">
        <v>346</v>
      </c>
      <c r="B275" s="78" t="s">
        <v>347</v>
      </c>
      <c r="C275" s="79" t="s">
        <v>342</v>
      </c>
      <c r="D275" s="79">
        <v>1038.54</v>
      </c>
      <c r="E275" s="86"/>
      <c r="F275" s="103"/>
    </row>
    <row r="276" spans="1:8" ht="15">
      <c r="C276" s="79" t="s">
        <v>343</v>
      </c>
      <c r="D276" s="133">
        <v>3.87</v>
      </c>
      <c r="E276" s="86"/>
      <c r="F276" s="103"/>
    </row>
    <row r="277" spans="1:8" ht="15">
      <c r="C277" s="79" t="s">
        <v>344</v>
      </c>
      <c r="D277" s="79">
        <f>(D275/D276)/15</f>
        <v>17.890439276485786</v>
      </c>
      <c r="E277" s="86"/>
      <c r="F277" s="103"/>
    </row>
    <row r="278" spans="1:8" ht="45">
      <c r="C278" s="112" t="s">
        <v>345</v>
      </c>
      <c r="D278" s="86">
        <v>3146400000000</v>
      </c>
      <c r="E278" s="86"/>
      <c r="F278" s="134"/>
    </row>
    <row r="279" spans="1:8">
      <c r="C279" s="78" t="s">
        <v>223</v>
      </c>
      <c r="D279" s="90">
        <f>D277*D278</f>
        <v>56290478139534.875</v>
      </c>
      <c r="E279" s="86"/>
    </row>
    <row r="280" spans="1:8" ht="15">
      <c r="B280" s="112"/>
      <c r="C280" s="91" t="s">
        <v>214</v>
      </c>
      <c r="D280" s="91">
        <v>0</v>
      </c>
      <c r="E280" s="86"/>
    </row>
    <row r="281" spans="1:8" ht="15">
      <c r="B281" s="112"/>
      <c r="C281" s="91" t="s">
        <v>213</v>
      </c>
      <c r="D281" s="92">
        <f>D279*D280</f>
        <v>0</v>
      </c>
      <c r="E281" s="86"/>
    </row>
    <row r="282" spans="1:8">
      <c r="D282" s="86"/>
      <c r="E282" s="86"/>
    </row>
    <row r="283" spans="1:8" ht="15">
      <c r="A283" s="83"/>
      <c r="B283" s="135" t="s">
        <v>348</v>
      </c>
      <c r="C283" s="83"/>
      <c r="D283" s="84">
        <f>D289+D298+D307+D315+D323</f>
        <v>1195150715052532.3</v>
      </c>
      <c r="E283" s="84"/>
      <c r="F283" s="83"/>
      <c r="G283" s="83"/>
      <c r="H283" s="83"/>
    </row>
    <row r="284" spans="1:8">
      <c r="A284" s="78" t="s">
        <v>349</v>
      </c>
      <c r="B284" s="78" t="s">
        <v>350</v>
      </c>
      <c r="C284" s="79" t="s">
        <v>351</v>
      </c>
      <c r="D284" s="79">
        <f>((8*120)/8)/15</f>
        <v>8</v>
      </c>
      <c r="E284" s="79"/>
    </row>
    <row r="285" spans="1:8">
      <c r="C285" s="78" t="s">
        <v>352</v>
      </c>
      <c r="D285" s="78">
        <v>2500</v>
      </c>
    </row>
    <row r="286" spans="1:8">
      <c r="C286" s="78" t="s">
        <v>353</v>
      </c>
      <c r="D286" s="78">
        <f>4186</f>
        <v>4186</v>
      </c>
    </row>
    <row r="287" spans="1:8">
      <c r="C287" s="78" t="s">
        <v>324</v>
      </c>
      <c r="D287" s="78">
        <f>D284*D285*D286</f>
        <v>83720000</v>
      </c>
    </row>
    <row r="288" spans="1:8" ht="15">
      <c r="B288" s="103"/>
      <c r="C288" s="136" t="s">
        <v>246</v>
      </c>
      <c r="D288" s="86">
        <v>2128000</v>
      </c>
      <c r="E288" s="99"/>
    </row>
    <row r="289" spans="1:5">
      <c r="C289" s="78" t="s">
        <v>257</v>
      </c>
      <c r="D289" s="90">
        <f>D287*D288</f>
        <v>178156160000000</v>
      </c>
      <c r="E289" s="86"/>
    </row>
    <row r="290" spans="1:5" ht="15">
      <c r="B290" s="112"/>
      <c r="C290" s="91" t="s">
        <v>214</v>
      </c>
      <c r="D290" s="91">
        <v>0.5</v>
      </c>
      <c r="E290" s="86"/>
    </row>
    <row r="291" spans="1:5" ht="15">
      <c r="B291" s="112"/>
      <c r="C291" s="91" t="s">
        <v>213</v>
      </c>
      <c r="D291" s="92">
        <f>D289*D290</f>
        <v>89078080000000</v>
      </c>
      <c r="E291" s="86"/>
    </row>
    <row r="292" spans="1:5">
      <c r="D292" s="86"/>
      <c r="E292" s="86"/>
    </row>
    <row r="293" spans="1:5">
      <c r="A293" s="78" t="s">
        <v>354</v>
      </c>
      <c r="B293" s="78" t="s">
        <v>355</v>
      </c>
      <c r="C293" s="79" t="s">
        <v>351</v>
      </c>
      <c r="D293" s="79">
        <f>((4*264)/8)/15</f>
        <v>8.8000000000000007</v>
      </c>
      <c r="E293" s="79"/>
    </row>
    <row r="294" spans="1:5">
      <c r="C294" s="78" t="s">
        <v>352</v>
      </c>
      <c r="D294" s="78">
        <v>2500</v>
      </c>
    </row>
    <row r="295" spans="1:5">
      <c r="C295" s="78" t="s">
        <v>356</v>
      </c>
      <c r="D295" s="78">
        <f>4186</f>
        <v>4186</v>
      </c>
    </row>
    <row r="296" spans="1:5" ht="13.5" thickBot="1">
      <c r="C296" s="78" t="s">
        <v>324</v>
      </c>
      <c r="D296" s="78">
        <f>D293*D294*D295</f>
        <v>92092000</v>
      </c>
    </row>
    <row r="297" spans="1:5" ht="15.75" thickBot="1">
      <c r="C297" s="136" t="s">
        <v>246</v>
      </c>
      <c r="D297" s="129">
        <v>5745600</v>
      </c>
      <c r="E297" s="99"/>
    </row>
    <row r="298" spans="1:5">
      <c r="C298" s="78" t="s">
        <v>257</v>
      </c>
      <c r="D298" s="90">
        <f>D296*D297</f>
        <v>529123795200000</v>
      </c>
      <c r="E298" s="86"/>
    </row>
    <row r="299" spans="1:5" ht="15">
      <c r="B299" s="112"/>
      <c r="C299" s="91" t="s">
        <v>214</v>
      </c>
      <c r="D299" s="91">
        <v>0.5</v>
      </c>
      <c r="E299" s="86"/>
    </row>
    <row r="300" spans="1:5" ht="15">
      <c r="B300" s="112"/>
      <c r="C300" s="91" t="s">
        <v>213</v>
      </c>
      <c r="D300" s="92">
        <f>D298*D299</f>
        <v>264561897600000</v>
      </c>
      <c r="E300" s="86"/>
    </row>
    <row r="301" spans="1:5">
      <c r="D301" s="86"/>
      <c r="E301" s="86"/>
    </row>
    <row r="302" spans="1:5">
      <c r="A302" s="78" t="s">
        <v>357</v>
      </c>
      <c r="B302" s="78" t="s">
        <v>358</v>
      </c>
      <c r="C302" s="79" t="s">
        <v>351</v>
      </c>
      <c r="D302" s="79">
        <f>12/15</f>
        <v>0.8</v>
      </c>
      <c r="E302" s="79"/>
    </row>
    <row r="303" spans="1:5">
      <c r="C303" s="78" t="s">
        <v>352</v>
      </c>
      <c r="D303" s="78">
        <v>2.4</v>
      </c>
    </row>
    <row r="304" spans="1:5">
      <c r="C304" s="78" t="s">
        <v>356</v>
      </c>
      <c r="D304" s="78">
        <f>4186</f>
        <v>4186</v>
      </c>
    </row>
    <row r="305" spans="1:6" ht="13.5" thickBot="1">
      <c r="C305" s="78" t="s">
        <v>324</v>
      </c>
      <c r="D305" s="78">
        <f>D302*D303*D304</f>
        <v>8037.12</v>
      </c>
    </row>
    <row r="306" spans="1:6" ht="15.75" thickBot="1">
      <c r="C306" s="136" t="s">
        <v>246</v>
      </c>
      <c r="D306" s="129">
        <v>7068000</v>
      </c>
      <c r="F306" s="99"/>
    </row>
    <row r="307" spans="1:6">
      <c r="C307" s="78" t="s">
        <v>223</v>
      </c>
      <c r="D307" s="90">
        <f>D305*D306</f>
        <v>56806364160</v>
      </c>
    </row>
    <row r="308" spans="1:6" ht="15">
      <c r="B308" s="112"/>
      <c r="C308" s="91" t="s">
        <v>214</v>
      </c>
      <c r="D308" s="91">
        <v>0.5</v>
      </c>
      <c r="E308" s="86"/>
    </row>
    <row r="309" spans="1:6" ht="15">
      <c r="B309" s="112"/>
      <c r="C309" s="91" t="s">
        <v>213</v>
      </c>
      <c r="D309" s="92">
        <f>D307*D308</f>
        <v>28403182080</v>
      </c>
      <c r="E309" s="86"/>
    </row>
    <row r="311" spans="1:6" ht="15.75">
      <c r="A311" s="78" t="s">
        <v>359</v>
      </c>
      <c r="B311" s="78" t="s">
        <v>360</v>
      </c>
      <c r="C311" s="137" t="s">
        <v>361</v>
      </c>
      <c r="D311" s="79">
        <f>3000/15</f>
        <v>200</v>
      </c>
      <c r="E311" s="79"/>
    </row>
    <row r="312" spans="1:6" ht="15.75">
      <c r="C312" s="137" t="s">
        <v>362</v>
      </c>
      <c r="D312" s="79">
        <f>D386</f>
        <v>3.87</v>
      </c>
    </row>
    <row r="313" spans="1:6" ht="16.5" thickBot="1">
      <c r="C313" s="134" t="s">
        <v>363</v>
      </c>
      <c r="D313" s="78">
        <f>D311/D312</f>
        <v>51.679586563307495</v>
      </c>
    </row>
    <row r="314" spans="1:6" ht="16.5" thickBot="1">
      <c r="C314" s="136" t="s">
        <v>364</v>
      </c>
      <c r="D314" s="86">
        <v>3146400000000</v>
      </c>
      <c r="E314" s="129"/>
      <c r="F314" s="134"/>
    </row>
    <row r="315" spans="1:6">
      <c r="C315" s="78" t="s">
        <v>257</v>
      </c>
      <c r="D315" s="90">
        <f>D313*D314</f>
        <v>162604651162790.72</v>
      </c>
      <c r="E315" s="86"/>
    </row>
    <row r="316" spans="1:6" ht="15">
      <c r="B316" s="112"/>
      <c r="C316" s="91" t="s">
        <v>214</v>
      </c>
      <c r="D316" s="91">
        <v>0</v>
      </c>
      <c r="E316" s="86"/>
    </row>
    <row r="317" spans="1:6" ht="15">
      <c r="B317" s="112"/>
      <c r="C317" s="91" t="s">
        <v>213</v>
      </c>
      <c r="D317" s="92">
        <f>D315*D316</f>
        <v>0</v>
      </c>
      <c r="E317" s="86"/>
    </row>
    <row r="319" spans="1:6" ht="15.75">
      <c r="A319" s="78" t="s">
        <v>365</v>
      </c>
      <c r="B319" s="78" t="s">
        <v>366</v>
      </c>
      <c r="C319" s="137" t="s">
        <v>361</v>
      </c>
      <c r="D319" s="79">
        <f>6000/15</f>
        <v>400</v>
      </c>
      <c r="E319" s="79"/>
    </row>
    <row r="320" spans="1:6" ht="15.75">
      <c r="C320" s="134" t="s">
        <v>362</v>
      </c>
      <c r="D320" s="78">
        <f>D386</f>
        <v>3.87</v>
      </c>
    </row>
    <row r="321" spans="1:13" ht="16.5" thickBot="1">
      <c r="C321" s="134" t="s">
        <v>363</v>
      </c>
      <c r="D321" s="78">
        <f>D319/D320</f>
        <v>103.35917312661499</v>
      </c>
    </row>
    <row r="322" spans="1:13" ht="16.5" thickBot="1">
      <c r="C322" s="136" t="s">
        <v>364</v>
      </c>
      <c r="D322" s="86">
        <v>3146400000000</v>
      </c>
      <c r="E322" s="129"/>
      <c r="F322" s="134"/>
    </row>
    <row r="323" spans="1:13">
      <c r="C323" s="78" t="s">
        <v>257</v>
      </c>
      <c r="D323" s="90">
        <f>D321*D322</f>
        <v>325209302325581.44</v>
      </c>
      <c r="E323" s="86"/>
    </row>
    <row r="324" spans="1:13" ht="15">
      <c r="B324" s="112"/>
      <c r="C324" s="91" t="s">
        <v>214</v>
      </c>
      <c r="D324" s="91">
        <v>0</v>
      </c>
      <c r="E324" s="86"/>
    </row>
    <row r="325" spans="1:13" ht="15">
      <c r="B325" s="112"/>
      <c r="C325" s="91" t="s">
        <v>213</v>
      </c>
      <c r="D325" s="92">
        <f>D323*D324</f>
        <v>0</v>
      </c>
      <c r="E325" s="86"/>
    </row>
    <row r="326" spans="1:13">
      <c r="E326" s="138"/>
    </row>
    <row r="327" spans="1:13" s="82" customFormat="1">
      <c r="B327" s="82" t="s">
        <v>367</v>
      </c>
      <c r="C327" s="82" t="s">
        <v>368</v>
      </c>
      <c r="D327" s="82" t="s">
        <v>369</v>
      </c>
      <c r="E327" s="82" t="s">
        <v>370</v>
      </c>
      <c r="F327" s="82" t="s">
        <v>371</v>
      </c>
      <c r="G327" s="82" t="s">
        <v>372</v>
      </c>
    </row>
    <row r="328" spans="1:13" s="82" customFormat="1">
      <c r="B328" s="82" t="s">
        <v>373</v>
      </c>
      <c r="C328" s="82" t="s">
        <v>374</v>
      </c>
      <c r="D328" s="139">
        <f>D4/15</f>
        <v>22.866666666666667</v>
      </c>
      <c r="E328" s="139">
        <f>38*D328</f>
        <v>868.93333333333339</v>
      </c>
      <c r="F328" s="140">
        <v>14100000</v>
      </c>
      <c r="G328" s="101">
        <f>E328*F328</f>
        <v>12251960000</v>
      </c>
    </row>
    <row r="329" spans="1:13" s="82" customFormat="1">
      <c r="B329" s="82" t="s">
        <v>375</v>
      </c>
      <c r="C329" s="82" t="s">
        <v>374</v>
      </c>
      <c r="D329" s="139">
        <f>(53)/15</f>
        <v>3.5333333333333332</v>
      </c>
      <c r="E329" s="139">
        <f>60*D329</f>
        <v>212</v>
      </c>
      <c r="F329" s="140">
        <v>14100000</v>
      </c>
      <c r="G329" s="101">
        <f>E329*F329</f>
        <v>2989200000</v>
      </c>
    </row>
    <row r="330" spans="1:13" s="82" customFormat="1">
      <c r="B330" s="82" t="s">
        <v>376</v>
      </c>
      <c r="C330" s="82" t="s">
        <v>374</v>
      </c>
      <c r="D330" s="139">
        <f>D6/15</f>
        <v>0.2</v>
      </c>
      <c r="E330" s="139">
        <f>120*D330</f>
        <v>24</v>
      </c>
      <c r="F330" s="140">
        <v>14100000</v>
      </c>
      <c r="G330" s="101">
        <f>E330*F330</f>
        <v>338400000</v>
      </c>
    </row>
    <row r="331" spans="1:13">
      <c r="B331" s="82" t="s">
        <v>377</v>
      </c>
      <c r="E331" s="141">
        <f>SUM(E328:E330)</f>
        <v>1104.9333333333334</v>
      </c>
      <c r="G331" s="86">
        <f>SUM(G328:G330)</f>
        <v>15579560000</v>
      </c>
    </row>
    <row r="336" spans="1:13" s="142" customFormat="1" ht="15.75" customHeight="1">
      <c r="A336" s="142" t="s">
        <v>205</v>
      </c>
      <c r="B336" s="142" t="s">
        <v>202</v>
      </c>
      <c r="C336" s="142" t="s">
        <v>378</v>
      </c>
      <c r="D336" s="142" t="s">
        <v>379</v>
      </c>
      <c r="E336" s="143" t="s">
        <v>380</v>
      </c>
      <c r="F336" s="142" t="s">
        <v>381</v>
      </c>
      <c r="G336" s="142" t="s">
        <v>214</v>
      </c>
      <c r="H336" s="144" t="s">
        <v>382</v>
      </c>
      <c r="I336" s="144" t="s">
        <v>383</v>
      </c>
      <c r="J336" s="142" t="s">
        <v>384</v>
      </c>
      <c r="L336" s="144" t="s">
        <v>385</v>
      </c>
      <c r="M336" s="144" t="s">
        <v>386</v>
      </c>
    </row>
    <row r="337" spans="1:13">
      <c r="A337" s="145" t="s">
        <v>238</v>
      </c>
      <c r="B337" s="145" t="s">
        <v>206</v>
      </c>
      <c r="C337" s="145"/>
      <c r="D337" s="145"/>
      <c r="E337" s="146" t="s">
        <v>387</v>
      </c>
      <c r="F337" s="101">
        <f>F340+F341+F339+F338</f>
        <v>1705720736974262.5</v>
      </c>
      <c r="G337" s="145"/>
      <c r="H337" s="147" t="s">
        <v>238</v>
      </c>
      <c r="I337" s="148">
        <f>I340+I341</f>
        <v>1626419917804982.5</v>
      </c>
      <c r="J337" s="148">
        <f t="shared" ref="J337:J345" si="0">F337-I337</f>
        <v>79300819169280</v>
      </c>
      <c r="L337" s="150">
        <f>(F337/F$377)*100</f>
        <v>20.701399874525396</v>
      </c>
      <c r="M337" s="150">
        <f>F337/$D$389</f>
        <v>516.88507181038256</v>
      </c>
    </row>
    <row r="338" spans="1:13">
      <c r="A338" s="78" t="s">
        <v>207</v>
      </c>
      <c r="B338" s="78" t="s">
        <v>208</v>
      </c>
      <c r="C338" s="78" t="s">
        <v>388</v>
      </c>
      <c r="D338" s="86">
        <f>D15</f>
        <v>62133804000000</v>
      </c>
      <c r="E338" s="78">
        <f>D14</f>
        <v>1</v>
      </c>
      <c r="F338" s="86">
        <f>D338*E338</f>
        <v>62133804000000</v>
      </c>
      <c r="G338" s="151">
        <f>D16</f>
        <v>1</v>
      </c>
      <c r="I338" s="86">
        <f>F338*G338</f>
        <v>62133804000000</v>
      </c>
      <c r="J338" s="86">
        <f t="shared" si="0"/>
        <v>0</v>
      </c>
      <c r="L338" s="149">
        <f>(F338/F$377)*100</f>
        <v>0.75408400358141026</v>
      </c>
      <c r="M338" s="150">
        <f t="shared" ref="M338:M377" si="1">F338/$D$389</f>
        <v>18.828425454545453</v>
      </c>
    </row>
    <row r="339" spans="1:13">
      <c r="A339" s="78" t="s">
        <v>215</v>
      </c>
      <c r="B339" s="78" t="s">
        <v>216</v>
      </c>
      <c r="C339" s="78" t="s">
        <v>388</v>
      </c>
      <c r="D339" s="86">
        <f>D23</f>
        <v>9229578048</v>
      </c>
      <c r="E339" s="86">
        <f>D24</f>
        <v>1860</v>
      </c>
      <c r="F339" s="86">
        <f>D339*E339</f>
        <v>17167015169280</v>
      </c>
      <c r="G339" s="151">
        <f>D26</f>
        <v>1</v>
      </c>
      <c r="H339" s="89"/>
      <c r="I339" s="86">
        <f>F339*G339</f>
        <v>17167015169280</v>
      </c>
      <c r="J339" s="86">
        <f t="shared" si="0"/>
        <v>0</v>
      </c>
      <c r="L339" s="149">
        <f t="shared" ref="L339:L348" si="2">(F339/F$377)*100</f>
        <v>0.20834667596391593</v>
      </c>
      <c r="M339" s="150">
        <f t="shared" si="1"/>
        <v>5.2021258088727276</v>
      </c>
    </row>
    <row r="340" spans="1:13">
      <c r="A340" s="78" t="s">
        <v>224</v>
      </c>
      <c r="B340" s="78" t="s">
        <v>225</v>
      </c>
      <c r="C340" s="78" t="s">
        <v>388</v>
      </c>
      <c r="D340" s="86">
        <f>D33</f>
        <v>68596800000</v>
      </c>
      <c r="E340" s="86">
        <f>D34</f>
        <v>23500</v>
      </c>
      <c r="F340" s="86">
        <f>D340*E340</f>
        <v>1612024800000000</v>
      </c>
      <c r="G340" s="151">
        <f>D36</f>
        <v>1</v>
      </c>
      <c r="H340" s="89"/>
      <c r="I340" s="86">
        <f>F340*G340</f>
        <v>1612024800000000</v>
      </c>
      <c r="J340" s="86">
        <f t="shared" si="0"/>
        <v>0</v>
      </c>
      <c r="L340" s="149">
        <f t="shared" si="2"/>
        <v>19.564263521617349</v>
      </c>
      <c r="M340" s="150">
        <f t="shared" si="1"/>
        <v>488.49236363636362</v>
      </c>
    </row>
    <row r="341" spans="1:13">
      <c r="A341" s="78" t="s">
        <v>232</v>
      </c>
      <c r="B341" s="78" t="s">
        <v>233</v>
      </c>
      <c r="C341" s="78" t="s">
        <v>388</v>
      </c>
      <c r="D341" s="86">
        <f>D42</f>
        <v>233903680</v>
      </c>
      <c r="E341" s="86">
        <f>D43</f>
        <v>61542.93</v>
      </c>
      <c r="F341" s="86">
        <f>D341*E341</f>
        <v>14395117804982.4</v>
      </c>
      <c r="G341" s="151">
        <f>D45</f>
        <v>1</v>
      </c>
      <c r="H341" s="89"/>
      <c r="I341" s="86">
        <f>F341*G341</f>
        <v>14395117804982.4</v>
      </c>
      <c r="J341" s="86">
        <f t="shared" si="0"/>
        <v>0</v>
      </c>
      <c r="L341" s="149">
        <f t="shared" si="2"/>
        <v>0.1747056733627185</v>
      </c>
      <c r="M341" s="150">
        <f t="shared" si="1"/>
        <v>4.362156910600727</v>
      </c>
    </row>
    <row r="342" spans="1:13">
      <c r="A342" s="145" t="s">
        <v>247</v>
      </c>
      <c r="B342" s="145" t="s">
        <v>240</v>
      </c>
      <c r="C342" s="145"/>
      <c r="D342" s="145"/>
      <c r="E342" s="146" t="s">
        <v>389</v>
      </c>
      <c r="F342" s="101">
        <f>F343</f>
        <v>8773038892800</v>
      </c>
      <c r="G342" s="145"/>
      <c r="H342" s="145"/>
      <c r="I342" s="148">
        <f>I343</f>
        <v>0</v>
      </c>
      <c r="J342" s="148">
        <f t="shared" si="0"/>
        <v>8773038892800</v>
      </c>
      <c r="L342" s="150">
        <f t="shared" si="2"/>
        <v>0.10647357583092848</v>
      </c>
      <c r="M342" s="150">
        <f>F342/$D$389</f>
        <v>2.6584966341818181</v>
      </c>
    </row>
    <row r="343" spans="1:13">
      <c r="A343" s="78" t="s">
        <v>241</v>
      </c>
      <c r="B343" s="78" t="s">
        <v>242</v>
      </c>
      <c r="C343" s="78" t="s">
        <v>388</v>
      </c>
      <c r="D343" s="86">
        <f>D54</f>
        <v>36167040</v>
      </c>
      <c r="E343" s="86">
        <f>D55</f>
        <v>242570</v>
      </c>
      <c r="F343" s="86">
        <f>D343*E343</f>
        <v>8773038892800</v>
      </c>
      <c r="G343" s="151">
        <v>0</v>
      </c>
      <c r="I343" s="86">
        <v>0</v>
      </c>
      <c r="J343" s="86">
        <f t="shared" si="0"/>
        <v>8773038892800</v>
      </c>
      <c r="L343" s="149">
        <f t="shared" si="2"/>
        <v>0.10647357583092848</v>
      </c>
      <c r="M343" s="150">
        <f t="shared" si="1"/>
        <v>2.6584966341818181</v>
      </c>
    </row>
    <row r="344" spans="1:13">
      <c r="A344" s="145" t="s">
        <v>390</v>
      </c>
      <c r="B344" s="145" t="s">
        <v>248</v>
      </c>
      <c r="C344" s="145"/>
      <c r="D344" s="145"/>
      <c r="E344" s="146" t="s">
        <v>391</v>
      </c>
      <c r="F344" s="101">
        <f>SUM(F345:F370)</f>
        <v>5329995085693184</v>
      </c>
      <c r="G344" s="145"/>
      <c r="H344" s="152"/>
      <c r="I344" s="153">
        <f>SUM(I345:I370)</f>
        <v>930385102568846.38</v>
      </c>
      <c r="J344" s="148">
        <f t="shared" si="0"/>
        <v>4399609983124337.5</v>
      </c>
      <c r="L344" s="150">
        <f t="shared" si="2"/>
        <v>64.687235844899476</v>
      </c>
      <c r="M344" s="150">
        <f t="shared" si="1"/>
        <v>1615.1500259676316</v>
      </c>
    </row>
    <row r="345" spans="1:13">
      <c r="A345" s="78" t="s">
        <v>249</v>
      </c>
      <c r="B345" s="78" t="str">
        <f>B64</f>
        <v>Muda de Tifton-85 kg/ha</v>
      </c>
      <c r="C345" s="78" t="s">
        <v>388</v>
      </c>
      <c r="D345" s="86">
        <f>D67</f>
        <v>114863840.00000001</v>
      </c>
      <c r="E345" s="86">
        <f>D68</f>
        <v>19050</v>
      </c>
      <c r="F345" s="86">
        <f>D345*E345</f>
        <v>2188156152000.0002</v>
      </c>
      <c r="G345" s="141">
        <v>0.7</v>
      </c>
      <c r="H345" s="89"/>
      <c r="I345" s="86">
        <f>F345*G345</f>
        <v>1531709306400</v>
      </c>
      <c r="J345" s="86">
        <f t="shared" si="0"/>
        <v>656446845600.00024</v>
      </c>
      <c r="L345" s="149">
        <f t="shared" si="2"/>
        <v>2.6556454704776373E-2</v>
      </c>
      <c r="M345" s="150">
        <f t="shared" si="1"/>
        <v>0.66307762181818186</v>
      </c>
    </row>
    <row r="346" spans="1:13">
      <c r="A346" s="78" t="s">
        <v>92</v>
      </c>
      <c r="B346" s="78" t="str">
        <f>B73</f>
        <v>Volumoso Cana de açúcar - Cordeiro</v>
      </c>
      <c r="C346" s="78" t="s">
        <v>184</v>
      </c>
      <c r="D346" s="86">
        <f>D74</f>
        <v>3454.9246666666668</v>
      </c>
      <c r="E346" s="86">
        <f>D75</f>
        <v>85880000000</v>
      </c>
      <c r="F346" s="86">
        <f t="shared" ref="F346:F370" si="3">D346*E346</f>
        <v>296708930373333.31</v>
      </c>
      <c r="G346" s="78">
        <v>0.19</v>
      </c>
      <c r="I346" s="86">
        <f t="shared" ref="I346:I370" si="4">F346*G346</f>
        <v>56374696770933.328</v>
      </c>
      <c r="J346" s="86">
        <f t="shared" ref="J346:J370" si="5">F346-I346</f>
        <v>240334233602400</v>
      </c>
      <c r="L346" s="149">
        <f t="shared" si="2"/>
        <v>3.6009940436655237</v>
      </c>
      <c r="M346" s="150">
        <f t="shared" si="1"/>
        <v>89.911797082828272</v>
      </c>
    </row>
    <row r="347" spans="1:13">
      <c r="A347" s="78" t="s">
        <v>93</v>
      </c>
      <c r="B347" s="78" t="str">
        <f>B80</f>
        <v>Volumoso Cana de açúcar - Matrizes</v>
      </c>
      <c r="D347" s="86">
        <f>D81</f>
        <v>5029</v>
      </c>
      <c r="E347" s="86">
        <f>D82</f>
        <v>85880000000</v>
      </c>
      <c r="F347" s="86">
        <f t="shared" si="3"/>
        <v>431890520000000</v>
      </c>
      <c r="G347" s="78">
        <v>0.19</v>
      </c>
      <c r="I347" s="86">
        <f t="shared" si="4"/>
        <v>82059198800000</v>
      </c>
      <c r="J347" s="86">
        <f t="shared" si="5"/>
        <v>349831321200000</v>
      </c>
      <c r="L347" s="149">
        <f t="shared" si="2"/>
        <v>5.2416190779250718</v>
      </c>
      <c r="M347" s="150">
        <f t="shared" si="1"/>
        <v>130.87591515151516</v>
      </c>
    </row>
    <row r="348" spans="1:13">
      <c r="A348" s="78" t="s">
        <v>265</v>
      </c>
      <c r="B348" s="78" t="str">
        <f>B87</f>
        <v>Volumoso Cana de açúcar - Reprodutores</v>
      </c>
      <c r="D348" s="86">
        <f>D88</f>
        <v>82.908000000000001</v>
      </c>
      <c r="E348" s="86">
        <f>D89</f>
        <v>85880000000</v>
      </c>
      <c r="F348" s="86">
        <f t="shared" si="3"/>
        <v>7120139040000</v>
      </c>
      <c r="G348" s="78">
        <v>0.19</v>
      </c>
      <c r="I348" s="86">
        <f t="shared" si="4"/>
        <v>1352826417600</v>
      </c>
      <c r="J348" s="86">
        <f t="shared" si="5"/>
        <v>5767312622400</v>
      </c>
      <c r="L348" s="149">
        <f t="shared" si="2"/>
        <v>8.641323414448436E-2</v>
      </c>
      <c r="M348" s="150">
        <f t="shared" si="1"/>
        <v>2.1576178909090911</v>
      </c>
    </row>
    <row r="349" spans="1:13">
      <c r="A349" s="78" t="s">
        <v>269</v>
      </c>
      <c r="B349" s="78" t="str">
        <f>B94</f>
        <v>Calcário</v>
      </c>
      <c r="C349" s="78" t="s">
        <v>184</v>
      </c>
      <c r="D349" s="86">
        <f>D95</f>
        <v>3000</v>
      </c>
      <c r="E349" s="86">
        <f>D96</f>
        <v>7227600000</v>
      </c>
      <c r="F349" s="86">
        <f t="shared" si="3"/>
        <v>21682800000000</v>
      </c>
      <c r="G349" s="78">
        <v>0.01</v>
      </c>
      <c r="I349" s="86">
        <f t="shared" si="4"/>
        <v>216828000000</v>
      </c>
      <c r="J349" s="86">
        <f t="shared" si="5"/>
        <v>21465972000000</v>
      </c>
      <c r="L349" s="149">
        <f t="shared" ref="L349:L359" si="6">(F349/F$377)*100</f>
        <v>0.2631522871648902</v>
      </c>
      <c r="M349" s="150">
        <f t="shared" si="1"/>
        <v>6.5705454545454547</v>
      </c>
    </row>
    <row r="350" spans="1:13">
      <c r="A350" s="78" t="s">
        <v>272</v>
      </c>
      <c r="B350" s="78" t="str">
        <f>B101</f>
        <v>Reprodutor</v>
      </c>
      <c r="C350" s="78" t="s">
        <v>388</v>
      </c>
      <c r="D350" s="86">
        <f>D103</f>
        <v>82079088</v>
      </c>
      <c r="E350" s="86">
        <f>D104</f>
        <v>1993900</v>
      </c>
      <c r="F350" s="86">
        <f>D350*E350</f>
        <v>163657493563200</v>
      </c>
      <c r="G350" s="141">
        <v>0.5</v>
      </c>
      <c r="H350" s="89"/>
      <c r="I350" s="86">
        <f t="shared" si="4"/>
        <v>81828746781600</v>
      </c>
      <c r="J350" s="86">
        <f t="shared" si="5"/>
        <v>81828746781600</v>
      </c>
      <c r="L350" s="149">
        <f t="shared" si="6"/>
        <v>1.9862215093451665</v>
      </c>
      <c r="M350" s="150">
        <f t="shared" si="1"/>
        <v>49.593179867636366</v>
      </c>
    </row>
    <row r="351" spans="1:13">
      <c r="A351" s="78" t="s">
        <v>277</v>
      </c>
      <c r="B351" s="78" t="str">
        <f>B109</f>
        <v>Sal Mineral Cordeiros</v>
      </c>
      <c r="D351" s="86">
        <f>D110</f>
        <v>42.989333333333327</v>
      </c>
      <c r="E351" s="86">
        <f>D111</f>
        <v>1520000000000</v>
      </c>
      <c r="F351" s="86">
        <f>D351*E351</f>
        <v>65343786666666.656</v>
      </c>
      <c r="G351" s="141">
        <v>0.47</v>
      </c>
      <c r="H351" s="89"/>
      <c r="I351" s="86">
        <f t="shared" si="4"/>
        <v>30711579733333.328</v>
      </c>
      <c r="J351" s="86">
        <f t="shared" si="5"/>
        <v>34632206933333.328</v>
      </c>
      <c r="L351" s="149">
        <f t="shared" si="6"/>
        <v>0.79304180794675905</v>
      </c>
      <c r="M351" s="150">
        <f t="shared" si="1"/>
        <v>19.80114747474747</v>
      </c>
    </row>
    <row r="352" spans="1:13">
      <c r="A352" s="78" t="s">
        <v>280</v>
      </c>
      <c r="B352" s="78" t="str">
        <f>B117</f>
        <v>Sal Mineral Matrizes</v>
      </c>
      <c r="D352" s="86">
        <f>D118</f>
        <v>159.19999999999999</v>
      </c>
      <c r="E352" s="86">
        <f>D119</f>
        <v>1520000000000</v>
      </c>
      <c r="F352" s="86">
        <f>D352*E352</f>
        <v>241983999999999.97</v>
      </c>
      <c r="G352" s="141">
        <v>0.47</v>
      </c>
      <c r="H352" s="89"/>
      <c r="I352" s="86">
        <f t="shared" si="4"/>
        <v>113732479999999.98</v>
      </c>
      <c r="J352" s="86">
        <f t="shared" si="5"/>
        <v>128251519999999.98</v>
      </c>
      <c r="L352" s="149">
        <f t="shared" si="6"/>
        <v>2.9368274880231695</v>
      </c>
      <c r="M352" s="150">
        <f t="shared" si="1"/>
        <v>73.328484848484834</v>
      </c>
    </row>
    <row r="353" spans="1:13">
      <c r="A353" s="78" t="s">
        <v>283</v>
      </c>
      <c r="B353" s="78" t="str">
        <f>B127</f>
        <v>Sal Mineral Reprodutores</v>
      </c>
      <c r="D353" s="86">
        <f>D128</f>
        <v>1.9899999999999998</v>
      </c>
      <c r="E353" s="86">
        <f>D129</f>
        <v>1520000000000</v>
      </c>
      <c r="F353" s="86">
        <f>D353*E353</f>
        <v>3024799999999.9995</v>
      </c>
      <c r="G353" s="141">
        <v>0.47</v>
      </c>
      <c r="H353" s="89"/>
      <c r="I353" s="86">
        <f t="shared" si="4"/>
        <v>1421655999999.9998</v>
      </c>
      <c r="J353" s="86">
        <f t="shared" si="5"/>
        <v>1603143999999.9998</v>
      </c>
      <c r="L353" s="149">
        <f t="shared" si="6"/>
        <v>3.6710343600289616E-2</v>
      </c>
      <c r="M353" s="150">
        <f t="shared" si="1"/>
        <v>0.91660606060606042</v>
      </c>
    </row>
    <row r="354" spans="1:13">
      <c r="A354" s="78" t="s">
        <v>285</v>
      </c>
      <c r="B354" s="78" t="str">
        <f>B134</f>
        <v>Concentrado Matrizes- milho kg/ano</v>
      </c>
      <c r="C354" s="78" t="s">
        <v>184</v>
      </c>
      <c r="D354" s="86">
        <f>D136</f>
        <v>196400</v>
      </c>
      <c r="E354" s="86">
        <f>D137</f>
        <v>978000000</v>
      </c>
      <c r="F354" s="86">
        <f t="shared" si="3"/>
        <v>192079200000000</v>
      </c>
      <c r="G354" s="78">
        <v>0.17</v>
      </c>
      <c r="I354" s="86">
        <f t="shared" si="4"/>
        <v>32653464000000.004</v>
      </c>
      <c r="J354" s="86">
        <f t="shared" si="5"/>
        <v>159425736000000</v>
      </c>
      <c r="L354" s="149">
        <f t="shared" si="6"/>
        <v>2.3311602190124141</v>
      </c>
      <c r="M354" s="150">
        <f t="shared" si="1"/>
        <v>58.205818181818181</v>
      </c>
    </row>
    <row r="355" spans="1:13">
      <c r="A355" s="78" t="s">
        <v>290</v>
      </c>
      <c r="B355" s="78" t="str">
        <f>B142</f>
        <v>Concentrado Matrizes- soja kg/ano</v>
      </c>
      <c r="D355" s="86">
        <f>D144</f>
        <v>294600</v>
      </c>
      <c r="E355" s="86">
        <f>D145</f>
        <v>2080000000</v>
      </c>
      <c r="F355" s="86">
        <f t="shared" si="3"/>
        <v>612768000000000</v>
      </c>
      <c r="G355" s="154">
        <v>0.17</v>
      </c>
      <c r="I355" s="86">
        <f t="shared" si="4"/>
        <v>104170560000000</v>
      </c>
      <c r="J355" s="86">
        <f t="shared" si="5"/>
        <v>508597440000000</v>
      </c>
      <c r="L355" s="149">
        <f t="shared" si="6"/>
        <v>7.4368301465426709</v>
      </c>
      <c r="M355" s="150">
        <f t="shared" si="1"/>
        <v>185.68727272727273</v>
      </c>
    </row>
    <row r="356" spans="1:13">
      <c r="A356" s="78" t="s">
        <v>292</v>
      </c>
      <c r="B356" s="78" t="str">
        <f>B151</f>
        <v>Concentrado Cordeiro- milho kg/ano</v>
      </c>
      <c r="D356" s="86">
        <f>D153</f>
        <v>935475.33333333337</v>
      </c>
      <c r="E356" s="86">
        <f>D154</f>
        <v>978000000</v>
      </c>
      <c r="F356" s="86">
        <f t="shared" si="3"/>
        <v>914894876000000</v>
      </c>
      <c r="G356" s="154">
        <v>0.17</v>
      </c>
      <c r="I356" s="86">
        <f t="shared" si="4"/>
        <v>155532128920000</v>
      </c>
      <c r="J356" s="86">
        <f t="shared" si="5"/>
        <v>759362747080000</v>
      </c>
      <c r="L356" s="149">
        <f t="shared" si="6"/>
        <v>11.103578833676398</v>
      </c>
      <c r="M356" s="150">
        <f t="shared" si="1"/>
        <v>277.24087151515153</v>
      </c>
    </row>
    <row r="357" spans="1:13">
      <c r="A357" s="78" t="s">
        <v>294</v>
      </c>
      <c r="B357" s="78" t="str">
        <f>B159</f>
        <v>Concentrado Cordeiro- soja kg/ano</v>
      </c>
      <c r="D357" s="86">
        <f>D161</f>
        <v>623574</v>
      </c>
      <c r="E357" s="86">
        <f>D162</f>
        <v>2080000000</v>
      </c>
      <c r="F357" s="86">
        <f t="shared" si="3"/>
        <v>1297033920000000</v>
      </c>
      <c r="G357" s="154">
        <v>0.17</v>
      </c>
      <c r="I357" s="86">
        <f t="shared" si="4"/>
        <v>220495766400000.03</v>
      </c>
      <c r="J357" s="86">
        <f t="shared" si="5"/>
        <v>1076538153600000</v>
      </c>
      <c r="L357" s="149">
        <f t="shared" si="6"/>
        <v>15.741391452139169</v>
      </c>
      <c r="M357" s="150">
        <f t="shared" si="1"/>
        <v>393.04058181818181</v>
      </c>
    </row>
    <row r="358" spans="1:13">
      <c r="A358" s="78" t="s">
        <v>296</v>
      </c>
      <c r="B358" s="78" t="str">
        <f>B168</f>
        <v>Vermifugo cordeiro</v>
      </c>
      <c r="C358" s="78" t="s">
        <v>184</v>
      </c>
      <c r="D358" s="86">
        <f>D171</f>
        <v>49.849333333333341</v>
      </c>
      <c r="E358" s="86">
        <f>D172</f>
        <v>3575000000</v>
      </c>
      <c r="F358" s="86">
        <f t="shared" si="3"/>
        <v>178211366666.66669</v>
      </c>
      <c r="G358" s="105">
        <v>0.01</v>
      </c>
      <c r="I358" s="86">
        <f t="shared" si="4"/>
        <v>1782113666.666667</v>
      </c>
      <c r="J358" s="86">
        <f t="shared" si="5"/>
        <v>176429253000.00003</v>
      </c>
      <c r="L358" s="155">
        <f t="shared" si="6"/>
        <v>2.162853908956141E-3</v>
      </c>
      <c r="M358" s="150">
        <f t="shared" si="1"/>
        <v>5.4003444444444451E-2</v>
      </c>
    </row>
    <row r="359" spans="1:13">
      <c r="A359" s="78" t="s">
        <v>302</v>
      </c>
      <c r="B359" s="78" t="str">
        <f>B177</f>
        <v>Vermifugo matrizes</v>
      </c>
      <c r="C359" s="78" t="s">
        <v>184</v>
      </c>
      <c r="D359" s="86">
        <f>D180</f>
        <v>131</v>
      </c>
      <c r="E359" s="86">
        <f>D181</f>
        <v>3575000000</v>
      </c>
      <c r="F359" s="86">
        <f t="shared" si="3"/>
        <v>468325000000</v>
      </c>
      <c r="G359" s="105">
        <v>0.01</v>
      </c>
      <c r="I359" s="86">
        <f t="shared" si="4"/>
        <v>4683250000</v>
      </c>
      <c r="J359" s="86">
        <f t="shared" si="5"/>
        <v>463641750000</v>
      </c>
      <c r="L359" s="155">
        <f t="shared" si="6"/>
        <v>5.6838044388407951E-3</v>
      </c>
      <c r="M359" s="150">
        <f t="shared" si="1"/>
        <v>0.14191666666666666</v>
      </c>
    </row>
    <row r="360" spans="1:13">
      <c r="A360" s="78" t="s">
        <v>304</v>
      </c>
      <c r="B360" s="78" t="str">
        <f>B186</f>
        <v>Vermifugo reprodutor</v>
      </c>
      <c r="D360" s="86">
        <f>D189</f>
        <v>2.6180000000000003</v>
      </c>
      <c r="E360" s="86">
        <f>D190</f>
        <v>3575000000</v>
      </c>
      <c r="F360" s="86">
        <f t="shared" si="3"/>
        <v>9359350000.0000019</v>
      </c>
      <c r="G360" s="105">
        <v>0.01</v>
      </c>
      <c r="I360" s="86">
        <f t="shared" si="4"/>
        <v>93593500.000000015</v>
      </c>
      <c r="J360" s="86">
        <f t="shared" si="5"/>
        <v>9265756500.0000019</v>
      </c>
      <c r="L360" s="155"/>
      <c r="M360" s="150">
        <f t="shared" si="1"/>
        <v>2.8361666666666674E-3</v>
      </c>
    </row>
    <row r="361" spans="1:13">
      <c r="A361" s="78" t="s">
        <v>307</v>
      </c>
      <c r="B361" s="78" t="str">
        <f>B196</f>
        <v>Vacina cordeiro</v>
      </c>
      <c r="C361" s="78" t="s">
        <v>187</v>
      </c>
      <c r="D361" s="86">
        <f>D199</f>
        <v>45.733333333333334</v>
      </c>
      <c r="E361" s="86">
        <f>D172</f>
        <v>3575000000</v>
      </c>
      <c r="F361" s="86">
        <f t="shared" si="3"/>
        <v>163496666666.66666</v>
      </c>
      <c r="G361" s="105">
        <v>0.01</v>
      </c>
      <c r="I361" s="86">
        <f t="shared" si="4"/>
        <v>1634966666.6666665</v>
      </c>
      <c r="J361" s="86">
        <f t="shared" si="5"/>
        <v>161861700000</v>
      </c>
      <c r="L361" s="149">
        <f>(F361/F$377)*100</f>
        <v>1.9842696412441653E-3</v>
      </c>
      <c r="M361" s="150">
        <f t="shared" si="1"/>
        <v>4.954444444444444E-2</v>
      </c>
    </row>
    <row r="362" spans="1:13">
      <c r="A362" s="78" t="s">
        <v>312</v>
      </c>
      <c r="B362" s="78" t="str">
        <f>B205</f>
        <v>Vacina matrizes</v>
      </c>
      <c r="C362" s="78" t="s">
        <v>187</v>
      </c>
      <c r="D362" s="86">
        <f>D208</f>
        <v>21.8</v>
      </c>
      <c r="E362" s="86">
        <f>D200</f>
        <v>3575000000</v>
      </c>
      <c r="F362" s="86">
        <f t="shared" si="3"/>
        <v>77935000000</v>
      </c>
      <c r="G362" s="105">
        <v>0.01</v>
      </c>
      <c r="I362" s="86">
        <f t="shared" si="4"/>
        <v>779350000</v>
      </c>
      <c r="J362" s="86">
        <f t="shared" si="5"/>
        <v>77155650000</v>
      </c>
      <c r="L362" s="149">
        <f>(F362/F$377)*100</f>
        <v>9.4585447913533849E-4</v>
      </c>
      <c r="M362" s="150">
        <f t="shared" si="1"/>
        <v>2.3616666666666668E-2</v>
      </c>
    </row>
    <row r="363" spans="1:13">
      <c r="A363" s="78" t="s">
        <v>314</v>
      </c>
      <c r="B363" s="78" t="str">
        <f>B214</f>
        <v>Vacina reprodutor</v>
      </c>
      <c r="D363" s="86">
        <f>D217</f>
        <v>0.21800000000000003</v>
      </c>
      <c r="E363" s="86">
        <f>D218</f>
        <v>3575000000</v>
      </c>
      <c r="F363" s="86">
        <f t="shared" si="3"/>
        <v>779350000.00000012</v>
      </c>
      <c r="G363" s="105">
        <v>0.01</v>
      </c>
      <c r="I363" s="86">
        <f t="shared" si="4"/>
        <v>7793500.0000000009</v>
      </c>
      <c r="J363" s="86">
        <f t="shared" si="5"/>
        <v>771556500.00000012</v>
      </c>
      <c r="L363" s="149">
        <f>(F363/F$377)*100</f>
        <v>9.4585447913533869E-6</v>
      </c>
      <c r="M363" s="150">
        <f t="shared" si="1"/>
        <v>2.361666666666667E-4</v>
      </c>
    </row>
    <row r="364" spans="1:13">
      <c r="A364" s="78" t="s">
        <v>317</v>
      </c>
      <c r="B364" s="78" t="str">
        <f>B224</f>
        <v xml:space="preserve">Arame </v>
      </c>
      <c r="C364" s="78" t="s">
        <v>184</v>
      </c>
      <c r="D364" s="86">
        <f>D224</f>
        <v>60</v>
      </c>
      <c r="E364" s="86">
        <f>D225</f>
        <v>10100000000000</v>
      </c>
      <c r="F364" s="86">
        <f t="shared" si="3"/>
        <v>606000000000000</v>
      </c>
      <c r="G364" s="105">
        <v>0.01</v>
      </c>
      <c r="I364" s="86">
        <f t="shared" si="4"/>
        <v>6060000000000</v>
      </c>
      <c r="J364" s="86">
        <f t="shared" si="5"/>
        <v>599940000000000</v>
      </c>
      <c r="L364" s="149">
        <f t="shared" ref="L364:L377" si="7">(F364/F$377)*100</f>
        <v>7.3546906313724918</v>
      </c>
      <c r="M364" s="150">
        <f t="shared" si="1"/>
        <v>183.63636363636363</v>
      </c>
    </row>
    <row r="365" spans="1:13">
      <c r="A365" s="78" t="s">
        <v>320</v>
      </c>
      <c r="B365" s="78" t="str">
        <f>B230</f>
        <v xml:space="preserve">Combustível Diesel </v>
      </c>
      <c r="C365" s="78" t="s">
        <v>388</v>
      </c>
      <c r="D365" s="86">
        <f>D232</f>
        <v>251200000</v>
      </c>
      <c r="E365" s="86">
        <f>D233</f>
        <v>85573.8</v>
      </c>
      <c r="F365" s="86">
        <f t="shared" si="3"/>
        <v>21496138560000</v>
      </c>
      <c r="G365" s="105">
        <v>0.01</v>
      </c>
      <c r="I365" s="86">
        <f t="shared" si="4"/>
        <v>214961385600</v>
      </c>
      <c r="J365" s="86">
        <f t="shared" si="5"/>
        <v>21281177174400</v>
      </c>
      <c r="L365" s="149">
        <f t="shared" si="7"/>
        <v>0.26088687933649662</v>
      </c>
      <c r="M365" s="150">
        <f t="shared" si="1"/>
        <v>6.5139813818181818</v>
      </c>
    </row>
    <row r="366" spans="1:13">
      <c r="A366" s="78" t="s">
        <v>325</v>
      </c>
      <c r="B366" s="78" t="str">
        <f>B238</f>
        <v xml:space="preserve"> Energia elétrica</v>
      </c>
      <c r="C366" s="78" t="s">
        <v>388</v>
      </c>
      <c r="D366" s="86">
        <f>D241</f>
        <v>576000000</v>
      </c>
      <c r="E366" s="86">
        <f>D242</f>
        <v>191520</v>
      </c>
      <c r="F366" s="86">
        <f t="shared" si="3"/>
        <v>110315520000000</v>
      </c>
      <c r="G366" s="105">
        <v>0.35</v>
      </c>
      <c r="I366" s="86">
        <f t="shared" si="4"/>
        <v>38610432000000</v>
      </c>
      <c r="J366" s="86">
        <f t="shared" si="5"/>
        <v>71705088000000</v>
      </c>
      <c r="L366" s="149">
        <f t="shared" si="7"/>
        <v>1.3388391442887537</v>
      </c>
      <c r="M366" s="150">
        <f t="shared" si="1"/>
        <v>33.428945454545456</v>
      </c>
    </row>
    <row r="367" spans="1:13">
      <c r="A367" s="78" t="s">
        <v>331</v>
      </c>
      <c r="B367" s="89" t="str">
        <f>B247</f>
        <v>Depreciação Máquinas aço</v>
      </c>
      <c r="C367" s="78" t="s">
        <v>184</v>
      </c>
      <c r="D367" s="86">
        <f>D249</f>
        <v>2.73</v>
      </c>
      <c r="E367" s="86">
        <f>D250</f>
        <v>10100000000000</v>
      </c>
      <c r="F367" s="86">
        <f t="shared" si="3"/>
        <v>27573000000000</v>
      </c>
      <c r="G367" s="78">
        <v>0.01</v>
      </c>
      <c r="I367" s="86">
        <f t="shared" si="4"/>
        <v>275730000000</v>
      </c>
      <c r="J367" s="86">
        <f t="shared" si="5"/>
        <v>27297270000000</v>
      </c>
      <c r="L367" s="149">
        <f t="shared" si="7"/>
        <v>0.33463842372744834</v>
      </c>
      <c r="M367" s="150">
        <f t="shared" si="1"/>
        <v>8.3554545454545455</v>
      </c>
    </row>
    <row r="368" spans="1:13">
      <c r="A368" s="78" t="s">
        <v>335</v>
      </c>
      <c r="B368" s="89" t="str">
        <f>B255</f>
        <v>Depreciação Equipamentos  aço</v>
      </c>
      <c r="C368" s="78" t="s">
        <v>184</v>
      </c>
      <c r="D368" s="86">
        <f>D261</f>
        <v>6.84</v>
      </c>
      <c r="E368" s="86">
        <f>D262</f>
        <v>10100000000000</v>
      </c>
      <c r="F368" s="86">
        <f t="shared" si="3"/>
        <v>69084000000000</v>
      </c>
      <c r="G368" s="78">
        <v>0.01</v>
      </c>
      <c r="I368" s="86">
        <f t="shared" si="4"/>
        <v>690840000000</v>
      </c>
      <c r="J368" s="86">
        <f t="shared" si="5"/>
        <v>68393160000000</v>
      </c>
      <c r="L368" s="149">
        <f t="shared" si="7"/>
        <v>0.83843473197646401</v>
      </c>
      <c r="M368" s="150">
        <f t="shared" si="1"/>
        <v>20.934545454545454</v>
      </c>
    </row>
    <row r="369" spans="1:13" ht="13.9" customHeight="1">
      <c r="A369" s="78" t="s">
        <v>340</v>
      </c>
      <c r="B369" s="89" t="str">
        <f>B267</f>
        <v>Depreciação Instalações</v>
      </c>
      <c r="C369" s="78" t="s">
        <v>392</v>
      </c>
      <c r="D369" s="86">
        <f>D269</f>
        <v>59.738501291989664</v>
      </c>
      <c r="E369" s="86">
        <f>D270</f>
        <v>3146400000000</v>
      </c>
      <c r="F369" s="86">
        <f t="shared" si="3"/>
        <v>187961220465116.28</v>
      </c>
      <c r="G369" s="78">
        <v>0.01</v>
      </c>
      <c r="I369" s="86">
        <f t="shared" si="4"/>
        <v>1879612204651.1628</v>
      </c>
      <c r="J369" s="86">
        <f t="shared" si="5"/>
        <v>186081608260465.13</v>
      </c>
      <c r="L369" s="149">
        <f t="shared" si="7"/>
        <v>2.2811825531619307</v>
      </c>
      <c r="M369" s="150">
        <f t="shared" si="1"/>
        <v>56.957945595489782</v>
      </c>
    </row>
    <row r="370" spans="1:13" ht="10.9" customHeight="1">
      <c r="A370" s="78" t="s">
        <v>346</v>
      </c>
      <c r="B370" s="89" t="str">
        <f>B275</f>
        <v>Manutenção Máq. Equip.</v>
      </c>
      <c r="C370" s="78" t="s">
        <v>392</v>
      </c>
      <c r="D370" s="86">
        <f>D277</f>
        <v>17.890439276485786</v>
      </c>
      <c r="E370" s="86">
        <f>D278</f>
        <v>3146400000000</v>
      </c>
      <c r="F370" s="86">
        <f t="shared" si="3"/>
        <v>56290478139534.875</v>
      </c>
      <c r="G370" s="78">
        <v>0.01</v>
      </c>
      <c r="I370" s="86">
        <f t="shared" si="4"/>
        <v>562904781395.34875</v>
      </c>
      <c r="J370" s="86">
        <f t="shared" si="5"/>
        <v>55727573358139.523</v>
      </c>
      <c r="L370" s="149">
        <f t="shared" si="7"/>
        <v>0.68316675281900197</v>
      </c>
      <c r="M370" s="150">
        <f t="shared" si="1"/>
        <v>17.057720648343903</v>
      </c>
    </row>
    <row r="371" spans="1:13">
      <c r="A371" s="145" t="s">
        <v>393</v>
      </c>
      <c r="B371" s="145" t="s">
        <v>348</v>
      </c>
      <c r="C371" s="145"/>
      <c r="D371" s="145"/>
      <c r="E371" s="146" t="s">
        <v>394</v>
      </c>
      <c r="F371" s="156">
        <f>SUM(F372:F376)</f>
        <v>1195150715052532.3</v>
      </c>
      <c r="G371" s="145"/>
      <c r="H371" s="147"/>
      <c r="I371" s="153">
        <f>SUM(I372:I376)</f>
        <v>495135733094912</v>
      </c>
      <c r="J371" s="148">
        <f t="shared" ref="J371:J377" si="8">F371-I371</f>
        <v>700014981957620.25</v>
      </c>
      <c r="L371" s="150">
        <f t="shared" si="7"/>
        <v>14.504890704744215</v>
      </c>
      <c r="M371" s="150">
        <f t="shared" si="1"/>
        <v>362.1668833492522</v>
      </c>
    </row>
    <row r="372" spans="1:13">
      <c r="A372" s="78" t="s">
        <v>349</v>
      </c>
      <c r="B372" s="78" t="str">
        <f>B284</f>
        <v>Mão-de-obra diarista</v>
      </c>
      <c r="C372" s="78" t="s">
        <v>388</v>
      </c>
      <c r="D372" s="86">
        <f>D287</f>
        <v>83720000</v>
      </c>
      <c r="E372" s="86">
        <f>D288</f>
        <v>2128000</v>
      </c>
      <c r="F372" s="86">
        <f>D372*E372</f>
        <v>178156160000000</v>
      </c>
      <c r="G372" s="141">
        <v>0.7</v>
      </c>
      <c r="I372" s="86">
        <f>F372*G372</f>
        <v>124709311999999.98</v>
      </c>
      <c r="J372" s="86">
        <f t="shared" si="8"/>
        <v>53446848000000.016</v>
      </c>
      <c r="L372" s="149">
        <f t="shared" si="7"/>
        <v>2.1621838958305259</v>
      </c>
      <c r="M372" s="150">
        <f t="shared" si="1"/>
        <v>53.986715151515149</v>
      </c>
    </row>
    <row r="373" spans="1:13">
      <c r="A373" s="78" t="s">
        <v>354</v>
      </c>
      <c r="B373" s="78" t="str">
        <f>B293</f>
        <v>Mão-de-obra Registrado</v>
      </c>
      <c r="C373" s="78" t="s">
        <v>388</v>
      </c>
      <c r="D373" s="86">
        <f>D296</f>
        <v>92092000</v>
      </c>
      <c r="E373" s="86">
        <f>D297</f>
        <v>5745600</v>
      </c>
      <c r="F373" s="86">
        <f>D373*E373</f>
        <v>529123795200000</v>
      </c>
      <c r="G373" s="141">
        <v>0.7</v>
      </c>
      <c r="I373" s="86">
        <f>F373*G373</f>
        <v>370386656640000</v>
      </c>
      <c r="J373" s="86">
        <f t="shared" si="8"/>
        <v>158737138560000</v>
      </c>
      <c r="L373" s="149">
        <f t="shared" si="7"/>
        <v>6.4216861706166615</v>
      </c>
      <c r="M373" s="150">
        <f t="shared" si="1"/>
        <v>160.34054399999999</v>
      </c>
    </row>
    <row r="374" spans="1:13">
      <c r="A374" s="78" t="s">
        <v>357</v>
      </c>
      <c r="B374" s="78" t="str">
        <f>B302</f>
        <v>Assitência Técnica</v>
      </c>
      <c r="C374" s="78" t="s">
        <v>388</v>
      </c>
      <c r="D374" s="86">
        <f>D305</f>
        <v>8037.12</v>
      </c>
      <c r="E374" s="86">
        <f>D306</f>
        <v>7068000</v>
      </c>
      <c r="F374" s="86">
        <f>D374*E374</f>
        <v>56806364160</v>
      </c>
      <c r="G374" s="141">
        <v>0.7</v>
      </c>
      <c r="I374" s="86">
        <f>F374*G374</f>
        <v>39764454912</v>
      </c>
      <c r="J374" s="86">
        <f t="shared" si="8"/>
        <v>17041909248</v>
      </c>
      <c r="L374" s="149">
        <f t="shared" si="7"/>
        <v>6.8942777935624756E-4</v>
      </c>
      <c r="M374" s="150">
        <f t="shared" si="1"/>
        <v>1.7214049745454544E-2</v>
      </c>
    </row>
    <row r="375" spans="1:13">
      <c r="A375" s="78" t="s">
        <v>359</v>
      </c>
      <c r="B375" s="78" t="str">
        <f>B311</f>
        <v>Encargos sociais</v>
      </c>
      <c r="C375" s="78" t="s">
        <v>392</v>
      </c>
      <c r="D375" s="86">
        <f>D313</f>
        <v>51.679586563307495</v>
      </c>
      <c r="E375" s="86">
        <f>D314</f>
        <v>3146400000000</v>
      </c>
      <c r="F375" s="86">
        <f>D375*E375</f>
        <v>162604651162790.72</v>
      </c>
      <c r="G375" s="141">
        <v>0</v>
      </c>
      <c r="H375" s="157"/>
      <c r="I375" s="86">
        <f>F375*G375</f>
        <v>0</v>
      </c>
      <c r="J375" s="86">
        <f t="shared" si="8"/>
        <v>162604651162790.72</v>
      </c>
      <c r="L375" s="149">
        <f t="shared" si="7"/>
        <v>1.9734437368392226</v>
      </c>
      <c r="M375" s="150">
        <f t="shared" si="1"/>
        <v>49.274136715997187</v>
      </c>
    </row>
    <row r="376" spans="1:13">
      <c r="A376" s="78" t="s">
        <v>365</v>
      </c>
      <c r="B376" s="78" t="str">
        <f>B319</f>
        <v>Encargos Financeiros</v>
      </c>
      <c r="C376" s="78" t="s">
        <v>392</v>
      </c>
      <c r="D376" s="86">
        <f>D321</f>
        <v>103.35917312661499</v>
      </c>
      <c r="E376" s="86">
        <f>D322</f>
        <v>3146400000000</v>
      </c>
      <c r="F376" s="86">
        <f>D376*E376</f>
        <v>325209302325581.44</v>
      </c>
      <c r="G376" s="141">
        <v>0</v>
      </c>
      <c r="H376" s="157"/>
      <c r="I376" s="86">
        <f>F376*G376</f>
        <v>0</v>
      </c>
      <c r="J376" s="86">
        <f t="shared" si="8"/>
        <v>325209302325581.44</v>
      </c>
      <c r="L376" s="149">
        <f t="shared" si="7"/>
        <v>3.9468874736784452</v>
      </c>
      <c r="M376" s="150">
        <f t="shared" si="1"/>
        <v>98.548273431994375</v>
      </c>
    </row>
    <row r="377" spans="1:13">
      <c r="A377" s="158" t="s">
        <v>395</v>
      </c>
      <c r="B377" s="158" t="s">
        <v>396</v>
      </c>
      <c r="C377" s="145"/>
      <c r="D377" s="150"/>
      <c r="E377" s="159" t="s">
        <v>397</v>
      </c>
      <c r="F377" s="160">
        <f>F337+F342+F344+F371</f>
        <v>8239639576612778</v>
      </c>
      <c r="G377" s="150"/>
      <c r="H377" s="161"/>
      <c r="I377" s="162">
        <f>I371+I344+I337</f>
        <v>3051940753468741</v>
      </c>
      <c r="J377" s="148">
        <f t="shared" si="8"/>
        <v>5187698823144037</v>
      </c>
      <c r="L377" s="149">
        <f t="shared" si="7"/>
        <v>100</v>
      </c>
      <c r="M377" s="150">
        <f t="shared" si="1"/>
        <v>2496.8604777614478</v>
      </c>
    </row>
    <row r="378" spans="1:13">
      <c r="M378" s="86"/>
    </row>
    <row r="379" spans="1:13">
      <c r="A379" s="78" t="s">
        <v>398</v>
      </c>
      <c r="J379" s="141"/>
    </row>
    <row r="380" spans="1:13" ht="15">
      <c r="B380" s="78" t="s">
        <v>367</v>
      </c>
      <c r="C380" s="78" t="s">
        <v>368</v>
      </c>
      <c r="D380" s="78" t="s">
        <v>25</v>
      </c>
      <c r="E380" s="89" t="s">
        <v>399</v>
      </c>
      <c r="F380" s="78" t="s">
        <v>400</v>
      </c>
      <c r="G380" s="103"/>
      <c r="H380" s="103"/>
      <c r="I380" s="103"/>
      <c r="J380" s="163"/>
      <c r="K380" s="103"/>
      <c r="L380" s="103"/>
    </row>
    <row r="381" spans="1:13" ht="15">
      <c r="B381" s="78" t="s">
        <v>198</v>
      </c>
      <c r="C381" s="78" t="s">
        <v>401</v>
      </c>
      <c r="D381" s="141">
        <f>E328</f>
        <v>868.93333333333339</v>
      </c>
      <c r="E381" s="86">
        <v>14100000</v>
      </c>
      <c r="F381" s="160">
        <f>D381*E381</f>
        <v>12251960000</v>
      </c>
      <c r="G381" s="103"/>
      <c r="H381" s="103"/>
      <c r="I381" s="103"/>
      <c r="J381" s="164"/>
      <c r="K381" s="165"/>
      <c r="L381" s="103"/>
    </row>
    <row r="382" spans="1:13" ht="15">
      <c r="B382" s="78" t="s">
        <v>199</v>
      </c>
      <c r="C382" s="78" t="s">
        <v>401</v>
      </c>
      <c r="D382" s="141">
        <f>E329</f>
        <v>212</v>
      </c>
      <c r="E382" s="86">
        <v>14100000</v>
      </c>
      <c r="F382" s="160">
        <f>D382*E382</f>
        <v>2989200000</v>
      </c>
      <c r="G382" s="103"/>
      <c r="H382" s="103"/>
      <c r="I382" s="103"/>
      <c r="J382" s="103"/>
      <c r="K382" s="103"/>
      <c r="L382" s="103"/>
    </row>
    <row r="383" spans="1:13" ht="15">
      <c r="B383" s="78" t="s">
        <v>376</v>
      </c>
      <c r="C383" s="78" t="s">
        <v>401</v>
      </c>
      <c r="D383" s="141">
        <f>E330</f>
        <v>24</v>
      </c>
      <c r="E383" s="86">
        <v>14100000</v>
      </c>
      <c r="F383" s="160">
        <f>D383*E383</f>
        <v>338400000</v>
      </c>
      <c r="G383" s="163"/>
      <c r="H383" s="103"/>
      <c r="I383" s="103"/>
      <c r="J383" s="163"/>
      <c r="K383" s="103"/>
      <c r="L383" s="163"/>
    </row>
    <row r="384" spans="1:13" ht="15">
      <c r="D384" s="139">
        <f>SUM(D381:D383)</f>
        <v>1104.9333333333334</v>
      </c>
      <c r="E384" s="121" t="s">
        <v>402</v>
      </c>
      <c r="F384" s="160">
        <f>SUM(F381:F383)</f>
        <v>15579560000</v>
      </c>
      <c r="G384" s="163"/>
      <c r="H384" s="103"/>
      <c r="I384" s="103"/>
      <c r="J384" s="163"/>
      <c r="K384" s="103"/>
      <c r="L384" s="163"/>
    </row>
    <row r="385" spans="2:12" ht="15">
      <c r="D385" s="141"/>
      <c r="E385" s="121"/>
      <c r="F385" s="166"/>
      <c r="G385" s="163"/>
      <c r="H385" s="103"/>
      <c r="I385" s="103"/>
      <c r="J385" s="163"/>
      <c r="K385" s="103"/>
      <c r="L385" s="163"/>
    </row>
    <row r="386" spans="2:12" ht="15.75">
      <c r="B386" s="134" t="s">
        <v>403</v>
      </c>
      <c r="C386" s="78" t="s">
        <v>404</v>
      </c>
      <c r="D386" s="103">
        <v>3.87</v>
      </c>
      <c r="E386" s="167">
        <f>1/D386</f>
        <v>0.25839793281653745</v>
      </c>
      <c r="F386" s="103" t="s">
        <v>405</v>
      </c>
      <c r="G386" s="163"/>
      <c r="H386" s="103"/>
      <c r="I386" s="103"/>
      <c r="J386" s="103"/>
      <c r="K386" s="103"/>
      <c r="L386" s="163"/>
    </row>
    <row r="387" spans="2:12" ht="15">
      <c r="B387" s="78" t="s">
        <v>406</v>
      </c>
      <c r="C387" s="78" t="s">
        <v>23</v>
      </c>
      <c r="D387" s="168">
        <v>8.9600000000000009</v>
      </c>
      <c r="F387" s="164"/>
      <c r="G387" s="163"/>
      <c r="H387" s="103"/>
      <c r="I387" s="103"/>
      <c r="J387" s="103"/>
      <c r="K387" s="164"/>
      <c r="L387" s="163"/>
    </row>
    <row r="388" spans="2:12" ht="15.75">
      <c r="B388" s="134" t="s">
        <v>407</v>
      </c>
      <c r="C388" s="78" t="s">
        <v>408</v>
      </c>
      <c r="D388" s="169">
        <f>((D381*D387)+(D382*4.33)+(20.83*D383))*E386</f>
        <v>2378.1712316968133</v>
      </c>
      <c r="E388" s="78" t="s">
        <v>694</v>
      </c>
      <c r="F388" s="103"/>
      <c r="G388" s="103"/>
      <c r="H388" s="103"/>
      <c r="I388" s="164"/>
      <c r="J388" s="103"/>
      <c r="K388" s="103"/>
      <c r="L388" s="103"/>
    </row>
    <row r="389" spans="2:12" ht="15.75" thickBot="1">
      <c r="B389" s="89" t="s">
        <v>409</v>
      </c>
      <c r="D389" s="164">
        <v>3300000000000</v>
      </c>
      <c r="G389" s="103"/>
      <c r="H389" s="103"/>
      <c r="I389" s="103"/>
      <c r="J389" s="103"/>
      <c r="K389" s="103"/>
      <c r="L389" s="103"/>
    </row>
    <row r="390" spans="2:12" ht="16.5" thickBot="1">
      <c r="F390" s="320" t="s">
        <v>695</v>
      </c>
      <c r="G390" s="321"/>
    </row>
    <row r="391" spans="2:12" ht="31.5">
      <c r="B391" s="89" t="s">
        <v>410</v>
      </c>
      <c r="F391" s="175" t="s">
        <v>696</v>
      </c>
      <c r="G391" s="322">
        <v>18.59</v>
      </c>
      <c r="H391" s="323">
        <f t="shared" ref="H391:H396" si="9">G391*E$386</f>
        <v>4.8036175710594309</v>
      </c>
      <c r="I391" s="324">
        <f t="shared" ref="I391:I396" si="10">H391*D$409</f>
        <v>5.0433554588502458</v>
      </c>
    </row>
    <row r="392" spans="2:12" ht="31.5">
      <c r="B392" s="89" t="s">
        <v>238</v>
      </c>
      <c r="C392" s="86">
        <f>F337</f>
        <v>1705720736974262.5</v>
      </c>
      <c r="D392" s="86">
        <f>I337</f>
        <v>1626419917804982.5</v>
      </c>
      <c r="E392" s="78" t="s">
        <v>238</v>
      </c>
      <c r="F392" s="325" t="s">
        <v>697</v>
      </c>
      <c r="G392" s="322">
        <v>8.92</v>
      </c>
      <c r="H392" s="323">
        <f t="shared" si="9"/>
        <v>2.3049095607235142</v>
      </c>
      <c r="I392" s="324">
        <f t="shared" si="10"/>
        <v>2.4199424794483164</v>
      </c>
    </row>
    <row r="393" spans="2:12" ht="31.5">
      <c r="B393" s="89" t="s">
        <v>247</v>
      </c>
      <c r="C393" s="86">
        <f>F342</f>
        <v>8773038892800</v>
      </c>
      <c r="D393" s="86">
        <f>J342</f>
        <v>8773038892800</v>
      </c>
      <c r="E393" s="78" t="s">
        <v>247</v>
      </c>
      <c r="F393" s="175" t="s">
        <v>698</v>
      </c>
      <c r="G393" s="322">
        <v>6.92</v>
      </c>
      <c r="H393" s="323">
        <f t="shared" si="9"/>
        <v>1.788113695090439</v>
      </c>
      <c r="I393" s="324">
        <f t="shared" si="10"/>
        <v>1.8773544795720118</v>
      </c>
    </row>
    <row r="394" spans="2:12" ht="31.5">
      <c r="B394" s="89" t="s">
        <v>390</v>
      </c>
      <c r="C394" s="86">
        <f>F344</f>
        <v>5329995085693184</v>
      </c>
      <c r="D394" s="86">
        <f>C394-D395</f>
        <v>4399609983124337.5</v>
      </c>
      <c r="E394" s="78" t="s">
        <v>411</v>
      </c>
      <c r="F394" s="175" t="s">
        <v>699</v>
      </c>
      <c r="G394" s="322">
        <v>8.18</v>
      </c>
      <c r="H394" s="323">
        <f t="shared" si="9"/>
        <v>2.1136950904392764</v>
      </c>
      <c r="I394" s="324">
        <f t="shared" si="10"/>
        <v>2.2191849194940838</v>
      </c>
    </row>
    <row r="395" spans="2:12" ht="31.5">
      <c r="B395" s="89" t="s">
        <v>412</v>
      </c>
      <c r="D395" s="164">
        <f>I344</f>
        <v>930385102568846.38</v>
      </c>
      <c r="E395" s="89" t="s">
        <v>412</v>
      </c>
      <c r="F395" s="175" t="s">
        <v>700</v>
      </c>
      <c r="G395" s="322">
        <v>8.66</v>
      </c>
      <c r="H395" s="323">
        <f t="shared" si="9"/>
        <v>2.2377260981912142</v>
      </c>
      <c r="I395" s="324">
        <f t="shared" si="10"/>
        <v>2.3494060394643963</v>
      </c>
    </row>
    <row r="396" spans="2:12" ht="16.5" thickBot="1">
      <c r="B396" s="89" t="s">
        <v>393</v>
      </c>
      <c r="C396" s="86">
        <f>F371</f>
        <v>1195150715052532.3</v>
      </c>
      <c r="D396" s="86">
        <f>C396-D397</f>
        <v>700014981957620.25</v>
      </c>
      <c r="E396" s="78" t="s">
        <v>413</v>
      </c>
      <c r="F396" s="326" t="s">
        <v>701</v>
      </c>
      <c r="G396" s="327">
        <v>5.91</v>
      </c>
      <c r="H396" s="323">
        <f t="shared" si="9"/>
        <v>1.5271317829457363</v>
      </c>
      <c r="I396" s="324">
        <f t="shared" si="10"/>
        <v>1.6033475396344785</v>
      </c>
    </row>
    <row r="397" spans="2:12" ht="15.75">
      <c r="B397" s="89" t="s">
        <v>414</v>
      </c>
      <c r="D397" s="86">
        <f>I371</f>
        <v>495135733094912</v>
      </c>
      <c r="E397" s="89" t="s">
        <v>414</v>
      </c>
      <c r="F397" s="134"/>
      <c r="H397" s="86"/>
      <c r="I397" s="86"/>
    </row>
    <row r="398" spans="2:12">
      <c r="B398" s="89" t="s">
        <v>395</v>
      </c>
      <c r="C398" s="86">
        <f>C392+C393+C394+C396</f>
        <v>8239639576612778</v>
      </c>
      <c r="D398" s="86">
        <f>SUM(D392:D397)</f>
        <v>8160338757443498</v>
      </c>
      <c r="E398" s="78" t="s">
        <v>395</v>
      </c>
      <c r="G398" s="89"/>
      <c r="H398" s="86"/>
    </row>
    <row r="399" spans="2:12">
      <c r="B399" s="89" t="s">
        <v>415</v>
      </c>
      <c r="C399" s="86">
        <f>F384</f>
        <v>15579560000</v>
      </c>
      <c r="D399" s="86">
        <f>C399</f>
        <v>15579560000</v>
      </c>
      <c r="E399" s="89" t="s">
        <v>416</v>
      </c>
      <c r="G399" s="89"/>
      <c r="H399" s="86"/>
    </row>
    <row r="400" spans="2:12">
      <c r="B400" s="89" t="s">
        <v>417</v>
      </c>
      <c r="C400" s="86">
        <f>C394+C396</f>
        <v>6525145800745716</v>
      </c>
    </row>
    <row r="401" spans="2:10">
      <c r="F401" s="105"/>
      <c r="G401" s="105"/>
      <c r="H401" s="105"/>
      <c r="I401" s="105"/>
      <c r="J401" s="105"/>
    </row>
    <row r="402" spans="2:10" ht="15.75">
      <c r="B402" s="170" t="s">
        <v>418</v>
      </c>
      <c r="C402" s="170" t="s">
        <v>419</v>
      </c>
      <c r="D402" s="170" t="s">
        <v>420</v>
      </c>
      <c r="E402" s="170"/>
      <c r="F402" s="171"/>
      <c r="G402" s="171"/>
      <c r="H402" s="171"/>
      <c r="I402" s="171"/>
      <c r="J402" s="105"/>
    </row>
    <row r="403" spans="2:10" ht="16.5" thickBot="1">
      <c r="B403" s="170" t="s">
        <v>421</v>
      </c>
      <c r="C403" s="134" t="s">
        <v>422</v>
      </c>
      <c r="D403" s="172">
        <f>C398/C399</f>
        <v>528874.98598245252</v>
      </c>
      <c r="E403" s="172"/>
      <c r="F403" s="173"/>
      <c r="G403" s="174"/>
      <c r="H403" s="174"/>
      <c r="I403" s="174"/>
      <c r="J403" s="105"/>
    </row>
    <row r="404" spans="2:10" ht="15.75">
      <c r="B404" s="175" t="s">
        <v>423</v>
      </c>
      <c r="C404" s="175" t="s">
        <v>424</v>
      </c>
      <c r="D404" s="176">
        <f>(C392/C398)*100</f>
        <v>20.701399874525396</v>
      </c>
      <c r="E404" s="170"/>
      <c r="F404" s="328"/>
      <c r="G404" s="178"/>
      <c r="H404" s="171"/>
      <c r="I404" s="171"/>
      <c r="J404" s="105"/>
    </row>
    <row r="405" spans="2:10" ht="15.75">
      <c r="B405" s="175" t="s">
        <v>425</v>
      </c>
      <c r="C405" s="175" t="s">
        <v>426</v>
      </c>
      <c r="D405" s="176">
        <f>C398/C400</f>
        <v>1.2627517956259497</v>
      </c>
      <c r="E405" s="170"/>
      <c r="F405" s="329"/>
      <c r="G405" s="178"/>
      <c r="H405" s="171"/>
      <c r="I405" s="171"/>
      <c r="J405" s="105"/>
    </row>
    <row r="406" spans="2:10" ht="15.75">
      <c r="B406" s="175" t="s">
        <v>427</v>
      </c>
      <c r="C406" s="175" t="s">
        <v>428</v>
      </c>
      <c r="D406" s="176">
        <f>C400/(C392+C393)</f>
        <v>3.8058731344450556</v>
      </c>
      <c r="E406" s="170"/>
      <c r="F406" s="329"/>
      <c r="G406" s="178"/>
      <c r="H406" s="171"/>
      <c r="I406" s="171"/>
      <c r="J406" s="105"/>
    </row>
    <row r="407" spans="2:10" ht="15.75">
      <c r="B407" s="175" t="s">
        <v>429</v>
      </c>
      <c r="C407" s="175" t="s">
        <v>430</v>
      </c>
      <c r="D407" s="176">
        <f>(C400+C393)/C392</f>
        <v>3.8305911970261199</v>
      </c>
      <c r="E407" s="176"/>
      <c r="F407" s="329"/>
      <c r="G407" s="178"/>
      <c r="H407" s="178"/>
      <c r="I407" s="171"/>
      <c r="J407" s="105"/>
    </row>
    <row r="408" spans="2:10" ht="32.25" thickBot="1">
      <c r="B408" s="175" t="s">
        <v>431</v>
      </c>
      <c r="C408" s="175" t="s">
        <v>432</v>
      </c>
      <c r="D408" s="176">
        <f>D405/D407</f>
        <v>0.32964932321838136</v>
      </c>
      <c r="E408" s="176"/>
      <c r="F408" s="330"/>
      <c r="G408" s="178"/>
      <c r="H408" s="178"/>
      <c r="I408" s="171"/>
      <c r="J408" s="105"/>
    </row>
    <row r="409" spans="2:10" ht="31.5">
      <c r="B409" s="175" t="s">
        <v>433</v>
      </c>
      <c r="C409" s="175" t="s">
        <v>434</v>
      </c>
      <c r="D409" s="176">
        <f>C398/(D388*D389)</f>
        <v>1.0499077797606484</v>
      </c>
      <c r="E409" s="170"/>
      <c r="F409" s="177"/>
      <c r="G409" s="178"/>
      <c r="H409" s="171"/>
      <c r="I409" s="171"/>
      <c r="J409" s="105"/>
    </row>
    <row r="410" spans="2:10" ht="31.5">
      <c r="B410" s="175" t="s">
        <v>435</v>
      </c>
      <c r="C410" s="175" t="s">
        <v>436</v>
      </c>
      <c r="D410" s="176">
        <f>100*(C392+D395+D397)/C398</f>
        <v>38.002166763770497</v>
      </c>
      <c r="E410" s="170"/>
      <c r="F410" s="177"/>
      <c r="G410" s="178"/>
      <c r="H410" s="171"/>
      <c r="I410" s="171"/>
      <c r="J410" s="105"/>
    </row>
    <row r="411" spans="2:10" ht="31.5">
      <c r="B411" s="175" t="s">
        <v>437</v>
      </c>
      <c r="C411" s="175" t="s">
        <v>438</v>
      </c>
      <c r="D411" s="176">
        <f>(C393+(C394-D395)+(C396-D397))/(C392+D395+D397)</f>
        <v>1.6314289030312707</v>
      </c>
      <c r="E411" s="170"/>
      <c r="F411" s="177"/>
      <c r="G411" s="178"/>
      <c r="H411" s="171"/>
      <c r="I411" s="171"/>
      <c r="J411" s="105"/>
    </row>
    <row r="412" spans="2:10">
      <c r="F412" s="105"/>
      <c r="G412" s="105"/>
      <c r="H412" s="105"/>
      <c r="I412" s="105"/>
      <c r="J412" s="105"/>
    </row>
    <row r="413" spans="2:10">
      <c r="F413" s="105"/>
      <c r="G413" s="105"/>
      <c r="H413" s="105"/>
      <c r="I413" s="105"/>
      <c r="J413" s="105"/>
    </row>
    <row r="414" spans="2:10" ht="15.75">
      <c r="B414" s="179" t="s">
        <v>439</v>
      </c>
    </row>
    <row r="415" spans="2:10">
      <c r="B415" s="78" t="s">
        <v>440</v>
      </c>
      <c r="C415" s="78">
        <v>2451</v>
      </c>
      <c r="D415" s="86">
        <f>4186*C415</f>
        <v>10259886</v>
      </c>
    </row>
    <row r="416" spans="2:10">
      <c r="B416" s="78" t="s">
        <v>441</v>
      </c>
      <c r="C416" s="78">
        <v>30</v>
      </c>
    </row>
    <row r="417" spans="2:5">
      <c r="B417" s="78" t="s">
        <v>442</v>
      </c>
      <c r="C417" s="180">
        <v>0.5</v>
      </c>
    </row>
    <row r="418" spans="2:5">
      <c r="C418" s="78" t="s">
        <v>385</v>
      </c>
    </row>
    <row r="419" spans="2:5">
      <c r="B419" s="78" t="s">
        <v>443</v>
      </c>
      <c r="C419" s="78">
        <v>11.08</v>
      </c>
    </row>
    <row r="420" spans="2:5">
      <c r="B420" s="78" t="s">
        <v>444</v>
      </c>
      <c r="C420" s="78">
        <v>20.03</v>
      </c>
    </row>
    <row r="421" spans="2:5">
      <c r="B421" s="78" t="s">
        <v>445</v>
      </c>
      <c r="C421" s="78">
        <v>6.76</v>
      </c>
    </row>
    <row r="422" spans="2:5">
      <c r="B422" s="78" t="s">
        <v>446</v>
      </c>
      <c r="C422" s="78">
        <v>10.23</v>
      </c>
    </row>
    <row r="423" spans="2:5">
      <c r="B423" s="78" t="s">
        <v>447</v>
      </c>
      <c r="C423" s="78">
        <v>10.96</v>
      </c>
    </row>
    <row r="424" spans="2:5">
      <c r="B424" s="78" t="s">
        <v>448</v>
      </c>
      <c r="C424" s="78">
        <v>8.24</v>
      </c>
    </row>
    <row r="425" spans="2:5">
      <c r="B425" s="78" t="s">
        <v>449</v>
      </c>
      <c r="C425" s="78">
        <v>32.54</v>
      </c>
    </row>
    <row r="426" spans="2:5">
      <c r="B426" s="78" t="s">
        <v>450</v>
      </c>
      <c r="C426" s="78">
        <f>SUM(C419:C425)</f>
        <v>99.84</v>
      </c>
    </row>
    <row r="430" spans="2:5">
      <c r="B430" s="78" t="s">
        <v>451</v>
      </c>
      <c r="C430" s="78" t="s">
        <v>452</v>
      </c>
      <c r="D430" s="78" t="s">
        <v>453</v>
      </c>
      <c r="E430" s="78" t="s">
        <v>454</v>
      </c>
    </row>
    <row r="432" spans="2:5">
      <c r="B432" s="78" t="s">
        <v>455</v>
      </c>
      <c r="C432" s="78">
        <v>12.2</v>
      </c>
      <c r="D432" s="78">
        <v>13.6</v>
      </c>
      <c r="E432" s="78">
        <v>14.2</v>
      </c>
    </row>
    <row r="434" spans="2:5">
      <c r="B434" s="78" t="s">
        <v>456</v>
      </c>
      <c r="C434" s="78">
        <v>12.2</v>
      </c>
      <c r="D434" s="78">
        <v>13</v>
      </c>
      <c r="E434" s="78">
        <v>13.4</v>
      </c>
    </row>
    <row r="436" spans="2:5">
      <c r="B436" s="78" t="s">
        <v>457</v>
      </c>
      <c r="C436" s="78">
        <v>56</v>
      </c>
      <c r="D436" s="78">
        <v>59</v>
      </c>
      <c r="E436" s="78">
        <v>64.7</v>
      </c>
    </row>
    <row r="438" spans="2:5">
      <c r="B438" s="78" t="s">
        <v>458</v>
      </c>
      <c r="C438" s="78">
        <v>29</v>
      </c>
      <c r="D438" s="78">
        <v>23</v>
      </c>
      <c r="E438" s="78">
        <v>21.8</v>
      </c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</customSheetView>
  </customSheetViews>
  <conditionalFormatting sqref="F404:F408">
    <cfRule type="uniqueValues" dxfId="0" priority="1"/>
  </conditionalFormatting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5">
    <tabColor theme="0"/>
  </sheetPr>
  <dimension ref="A1:AA668"/>
  <sheetViews>
    <sheetView tabSelected="1" zoomScaleNormal="100" workbookViewId="0">
      <selection activeCell="F15" sqref="F15"/>
    </sheetView>
  </sheetViews>
  <sheetFormatPr defaultRowHeight="12.75" outlineLevelRow="1"/>
  <cols>
    <col min="1" max="1" width="7" style="803" customWidth="1"/>
    <col min="2" max="2" width="42" style="803" customWidth="1"/>
    <col min="3" max="3" width="13.33203125" style="803" customWidth="1"/>
    <col min="4" max="4" width="14.83203125" style="803" customWidth="1"/>
    <col min="5" max="5" width="19.83203125" style="803" customWidth="1"/>
    <col min="6" max="6" width="13.83203125" style="803" customWidth="1"/>
    <col min="7" max="7" width="22.1640625" style="803" customWidth="1"/>
    <col min="8" max="8" width="12.1640625" style="804" customWidth="1"/>
    <col min="9" max="9" width="16.5" style="804" customWidth="1"/>
    <col min="10" max="10" width="13" style="805" customWidth="1"/>
    <col min="11" max="11" width="14.1640625" style="860" customWidth="1"/>
    <col min="12" max="12" width="12" style="43" customWidth="1"/>
    <col min="13" max="13" width="12.33203125" style="804" customWidth="1"/>
    <col min="14" max="14" width="9.33203125" style="804"/>
    <col min="15" max="15" width="10" style="804" bestFit="1" customWidth="1"/>
    <col min="16" max="16" width="11.5" style="804" customWidth="1"/>
    <col min="17" max="17" width="11.33203125" style="804" customWidth="1"/>
    <col min="18" max="18" width="10.1640625" style="804" bestFit="1" customWidth="1"/>
    <col min="19" max="21" width="10" style="804" bestFit="1" customWidth="1"/>
    <col min="22" max="24" width="9.33203125" style="804"/>
    <col min="25" max="25" width="13.6640625" style="804" bestFit="1" customWidth="1"/>
    <col min="26" max="26" width="10.83203125" style="804" customWidth="1"/>
    <col min="27" max="29" width="9.33203125" style="804"/>
    <col min="30" max="30" width="21.1640625" style="804" bestFit="1" customWidth="1"/>
    <col min="31" max="16384" width="9.33203125" style="804"/>
  </cols>
  <sheetData>
    <row r="1" spans="1:27" ht="15" thickBot="1">
      <c r="A1" s="1272"/>
      <c r="B1" s="1272"/>
      <c r="C1" s="1272"/>
      <c r="D1" s="1272"/>
      <c r="E1" s="1272"/>
      <c r="F1" s="1272"/>
      <c r="G1" s="1272"/>
      <c r="H1" s="1272"/>
      <c r="I1" s="1272"/>
      <c r="J1" s="1272"/>
      <c r="K1" s="1272"/>
      <c r="O1" s="819"/>
      <c r="P1" s="819"/>
      <c r="Q1" s="820"/>
      <c r="R1" s="821"/>
      <c r="W1" s="821"/>
      <c r="X1" s="821"/>
      <c r="Z1" s="822"/>
      <c r="AA1" s="821"/>
    </row>
    <row r="2" spans="1:27" ht="13.5" customHeight="1" thickBot="1">
      <c r="A2" s="862" t="s">
        <v>1648</v>
      </c>
      <c r="B2" s="863"/>
      <c r="C2" s="864"/>
      <c r="D2" s="864"/>
      <c r="E2" s="864"/>
      <c r="F2" s="864"/>
      <c r="G2" s="864"/>
      <c r="H2" s="864"/>
      <c r="I2" s="865"/>
      <c r="J2" s="865"/>
      <c r="K2" s="866"/>
      <c r="L2" s="865"/>
      <c r="M2" s="867"/>
      <c r="O2" s="819"/>
      <c r="P2" s="823"/>
      <c r="Q2" s="820"/>
      <c r="R2" s="821"/>
      <c r="W2" s="821"/>
      <c r="X2" s="821"/>
      <c r="Z2" s="822"/>
      <c r="AA2" s="821"/>
    </row>
    <row r="3" spans="1:27" ht="13.5" customHeight="1">
      <c r="A3" s="868"/>
      <c r="B3" s="869"/>
      <c r="C3" s="870"/>
      <c r="D3" s="1275" t="s">
        <v>1609</v>
      </c>
      <c r="E3" s="1275"/>
      <c r="F3" s="871">
        <f>E76</f>
        <v>2356000000000</v>
      </c>
      <c r="G3" s="872" t="s">
        <v>1556</v>
      </c>
      <c r="H3" s="870"/>
      <c r="I3" s="824"/>
      <c r="J3" s="824"/>
      <c r="K3" s="806"/>
      <c r="L3" s="824"/>
      <c r="M3" s="873"/>
      <c r="O3" s="819"/>
      <c r="P3" s="823"/>
      <c r="Q3" s="820"/>
      <c r="R3" s="821"/>
      <c r="W3" s="821"/>
      <c r="X3" s="821"/>
      <c r="Z3" s="822"/>
      <c r="AA3" s="821"/>
    </row>
    <row r="4" spans="1:27" ht="12">
      <c r="A4" s="868"/>
      <c r="B4" s="874"/>
      <c r="C4" s="870"/>
      <c r="D4" s="1273" t="s">
        <v>1185</v>
      </c>
      <c r="E4" s="1273"/>
      <c r="F4" s="875">
        <v>1.2E+25</v>
      </c>
      <c r="G4" s="870" t="s">
        <v>1590</v>
      </c>
      <c r="I4" s="824"/>
      <c r="J4" s="824"/>
      <c r="K4" s="824"/>
      <c r="L4" s="824"/>
      <c r="M4" s="873"/>
      <c r="Y4" s="824"/>
      <c r="Z4" s="808"/>
    </row>
    <row r="5" spans="1:27" ht="12.75" customHeight="1">
      <c r="A5" s="876"/>
      <c r="B5" s="877"/>
      <c r="C5" s="877"/>
      <c r="D5" s="1274" t="s">
        <v>1188</v>
      </c>
      <c r="E5" s="1274"/>
      <c r="F5" s="878">
        <v>3.6541999999999999</v>
      </c>
      <c r="G5" s="879" t="s">
        <v>1591</v>
      </c>
      <c r="H5" s="880"/>
      <c r="I5" s="881"/>
      <c r="J5" s="881"/>
      <c r="K5" s="882"/>
      <c r="L5" s="881"/>
      <c r="M5" s="883"/>
      <c r="Y5" s="824"/>
      <c r="Z5" s="808"/>
    </row>
    <row r="6" spans="1:27" ht="12.75" customHeight="1">
      <c r="A6" s="884"/>
      <c r="B6" s="870"/>
      <c r="C6" s="870"/>
      <c r="D6" s="870"/>
      <c r="E6" s="870"/>
      <c r="F6" s="870"/>
      <c r="G6" s="885"/>
      <c r="I6" s="824" t="s">
        <v>521</v>
      </c>
      <c r="J6" s="824" t="s">
        <v>521</v>
      </c>
      <c r="K6" s="806"/>
      <c r="L6" s="824"/>
      <c r="M6" s="873" t="s">
        <v>1572</v>
      </c>
      <c r="Y6" s="824"/>
      <c r="Z6" s="808"/>
    </row>
    <row r="7" spans="1:27" ht="12">
      <c r="A7" s="884"/>
      <c r="B7" s="870"/>
      <c r="C7" s="870"/>
      <c r="D7" s="870"/>
      <c r="E7" s="886"/>
      <c r="F7" s="887" t="s">
        <v>517</v>
      </c>
      <c r="G7" s="887" t="s">
        <v>518</v>
      </c>
      <c r="H7" s="824" t="s">
        <v>521</v>
      </c>
      <c r="I7" s="824" t="s">
        <v>1582</v>
      </c>
      <c r="J7" s="824" t="s">
        <v>1581</v>
      </c>
      <c r="K7" s="824" t="s">
        <v>1221</v>
      </c>
      <c r="L7" s="824" t="s">
        <v>1223</v>
      </c>
      <c r="M7" s="873" t="s">
        <v>1573</v>
      </c>
      <c r="Y7" s="824"/>
      <c r="Z7" s="808"/>
    </row>
    <row r="8" spans="1:27" ht="12">
      <c r="A8" s="884"/>
      <c r="B8" s="870"/>
      <c r="C8" s="870"/>
      <c r="D8" s="886" t="s">
        <v>519</v>
      </c>
      <c r="E8" s="886" t="s">
        <v>520</v>
      </c>
      <c r="F8" s="887" t="s">
        <v>521</v>
      </c>
      <c r="G8" s="887" t="s">
        <v>1527</v>
      </c>
      <c r="H8" s="824" t="s">
        <v>1574</v>
      </c>
      <c r="I8" s="824" t="s">
        <v>1559</v>
      </c>
      <c r="J8" s="824" t="s">
        <v>1501</v>
      </c>
      <c r="K8" s="824" t="s">
        <v>1222</v>
      </c>
      <c r="L8" s="824" t="s">
        <v>1232</v>
      </c>
      <c r="M8" s="873" t="s">
        <v>1233</v>
      </c>
      <c r="Y8" s="824"/>
      <c r="Z8" s="808"/>
    </row>
    <row r="9" spans="1:27" ht="12">
      <c r="A9" s="888" t="s">
        <v>523</v>
      </c>
      <c r="B9" s="889" t="s">
        <v>461</v>
      </c>
      <c r="C9" s="879" t="s">
        <v>524</v>
      </c>
      <c r="D9" s="889" t="s">
        <v>525</v>
      </c>
      <c r="E9" s="889" t="s">
        <v>526</v>
      </c>
      <c r="F9" s="890" t="s">
        <v>527</v>
      </c>
      <c r="G9" s="891"/>
      <c r="H9" s="881" t="s">
        <v>31</v>
      </c>
      <c r="I9" s="881" t="s">
        <v>31</v>
      </c>
      <c r="J9" s="881" t="s">
        <v>31</v>
      </c>
      <c r="K9" s="881" t="s">
        <v>31</v>
      </c>
      <c r="L9" s="890" t="s">
        <v>527</v>
      </c>
      <c r="M9" s="892" t="s">
        <v>527</v>
      </c>
      <c r="Y9" s="824"/>
      <c r="Z9" s="808"/>
    </row>
    <row r="10" spans="1:27">
      <c r="A10" s="893"/>
      <c r="B10" s="894"/>
      <c r="C10" s="895"/>
      <c r="D10" s="894"/>
      <c r="E10" s="894"/>
      <c r="F10" s="896"/>
      <c r="G10" s="896"/>
      <c r="H10" s="897">
        <f>SUM(H11,H21)</f>
        <v>1.8178465580916452E-2</v>
      </c>
      <c r="I10" s="898"/>
      <c r="J10" s="899"/>
      <c r="K10" s="900"/>
      <c r="L10" s="900"/>
      <c r="M10" s="901"/>
    </row>
    <row r="11" spans="1:27">
      <c r="A11" s="902" t="s">
        <v>529</v>
      </c>
      <c r="B11" s="894"/>
      <c r="C11" s="903"/>
      <c r="D11" s="904"/>
      <c r="E11" s="904"/>
      <c r="F11" s="905">
        <f>(MAX(F12:F15))+F16</f>
        <v>15.496107622049951</v>
      </c>
      <c r="G11" s="905">
        <f t="shared" ref="G11:G21" si="0">F11/$E$76*10000000000000</f>
        <v>65.772952555390276</v>
      </c>
      <c r="H11" s="906">
        <f t="shared" ref="H11:H21" si="1">F11*10000000000000*100/$K$87</f>
        <v>1.2018116694062777E-2</v>
      </c>
      <c r="I11" s="907"/>
      <c r="J11" s="907">
        <f>F11*10000000000000/$M$87*100</f>
        <v>4.2291415270050474E-2</v>
      </c>
      <c r="K11" s="908"/>
      <c r="L11" s="908"/>
      <c r="M11" s="909"/>
    </row>
    <row r="12" spans="1:27" ht="12">
      <c r="A12" s="888">
        <v>1</v>
      </c>
      <c r="B12" s="910" t="str">
        <f>B109</f>
        <v>Sun</v>
      </c>
      <c r="C12" s="911" t="s">
        <v>388</v>
      </c>
      <c r="D12" s="912">
        <f>C116</f>
        <v>1401600</v>
      </c>
      <c r="E12" s="913">
        <f>C117</f>
        <v>1</v>
      </c>
      <c r="F12" s="914">
        <f>D12*E12/10000000000000</f>
        <v>1.4016000000000001E-7</v>
      </c>
      <c r="G12" s="914">
        <f t="shared" si="0"/>
        <v>5.9490662139219012E-7</v>
      </c>
      <c r="H12" s="915">
        <f t="shared" si="1"/>
        <v>1.0870208680294419E-10</v>
      </c>
      <c r="I12" s="824"/>
      <c r="J12" s="916"/>
      <c r="K12" s="917">
        <v>1</v>
      </c>
      <c r="L12" s="918">
        <f>F12*K12</f>
        <v>1.4016000000000001E-7</v>
      </c>
      <c r="M12" s="919">
        <f>F12-L12</f>
        <v>0</v>
      </c>
    </row>
    <row r="13" spans="1:27" ht="12">
      <c r="A13" s="888">
        <v>2</v>
      </c>
      <c r="B13" s="910" t="str">
        <f>B119</f>
        <v>Rain, geopotential energy</v>
      </c>
      <c r="C13" s="911" t="s">
        <v>388</v>
      </c>
      <c r="D13" s="912">
        <f>C129</f>
        <v>4421145.6000000006</v>
      </c>
      <c r="E13" s="912">
        <f>C130</f>
        <v>13000</v>
      </c>
      <c r="F13" s="914">
        <f>D13*E13/10000000000000</f>
        <v>5.7474892800000003E-3</v>
      </c>
      <c r="G13" s="914">
        <f t="shared" si="0"/>
        <v>2.4395115789473686E-2</v>
      </c>
      <c r="H13" s="915">
        <f t="shared" si="1"/>
        <v>4.4575062686469125E-6</v>
      </c>
      <c r="I13" s="824"/>
      <c r="J13" s="916"/>
      <c r="K13" s="917">
        <v>1</v>
      </c>
      <c r="L13" s="918">
        <f>F13*K13</f>
        <v>5.7474892800000003E-3</v>
      </c>
      <c r="M13" s="919">
        <f>F13-L13</f>
        <v>0</v>
      </c>
    </row>
    <row r="14" spans="1:27" ht="12">
      <c r="A14" s="888">
        <v>3</v>
      </c>
      <c r="B14" s="910" t="s">
        <v>1273</v>
      </c>
      <c r="C14" s="911" t="s">
        <v>388</v>
      </c>
      <c r="D14" s="912">
        <f>C142</f>
        <v>6631718.3999999994</v>
      </c>
      <c r="E14" s="912">
        <f>C143</f>
        <v>9710</v>
      </c>
      <c r="F14" s="914">
        <f>D14*E14/10000000000000</f>
        <v>6.4393985663999996E-3</v>
      </c>
      <c r="G14" s="914">
        <f t="shared" si="0"/>
        <v>2.733191242105263E-2</v>
      </c>
      <c r="H14" s="915">
        <f t="shared" si="1"/>
        <v>4.994121446372483E-6</v>
      </c>
      <c r="I14" s="824"/>
      <c r="J14" s="916"/>
      <c r="K14" s="917">
        <v>1</v>
      </c>
      <c r="L14" s="918">
        <f>F14*K14</f>
        <v>6.4393985663999996E-3</v>
      </c>
      <c r="M14" s="919">
        <f>F14-L14</f>
        <v>0</v>
      </c>
    </row>
    <row r="15" spans="1:27" ht="12">
      <c r="A15" s="888">
        <v>4</v>
      </c>
      <c r="B15" s="910" t="str">
        <f>B145</f>
        <v>Wind, kinetic energy</v>
      </c>
      <c r="C15" s="911" t="s">
        <v>388</v>
      </c>
      <c r="D15" s="912">
        <f>C153</f>
        <v>1125747462</v>
      </c>
      <c r="E15" s="912">
        <f>C334</f>
        <v>1280</v>
      </c>
      <c r="F15" s="914">
        <f>E15*D15/10000000000000</f>
        <v>0.144095675136</v>
      </c>
      <c r="G15" s="914">
        <f t="shared" si="0"/>
        <v>0.6116115243463498</v>
      </c>
      <c r="H15" s="915">
        <f t="shared" si="1"/>
        <v>1.117544277009298E-4</v>
      </c>
      <c r="I15" s="824"/>
      <c r="J15" s="916"/>
      <c r="K15" s="917">
        <v>1</v>
      </c>
      <c r="L15" s="918">
        <f>F15*K15</f>
        <v>0.144095675136</v>
      </c>
      <c r="M15" s="919">
        <f>F15-L15</f>
        <v>0</v>
      </c>
    </row>
    <row r="16" spans="1:27" ht="12">
      <c r="A16" s="888">
        <v>5</v>
      </c>
      <c r="B16" s="910" t="s">
        <v>1274</v>
      </c>
      <c r="C16" s="911" t="s">
        <v>388</v>
      </c>
      <c r="D16" s="912">
        <f>IF(D17&gt;SUM(D18:D20),D17,SUM(D18:D20))</f>
        <v>119937593335.26523</v>
      </c>
      <c r="E16" s="912">
        <f>C358</f>
        <v>1280</v>
      </c>
      <c r="F16" s="914">
        <f>D16*E16/10000000000000</f>
        <v>15.352011946913951</v>
      </c>
      <c r="G16" s="914">
        <f t="shared" si="0"/>
        <v>65.161341031043932</v>
      </c>
      <c r="H16" s="915">
        <f t="shared" si="1"/>
        <v>1.1906362266361848E-2</v>
      </c>
      <c r="I16" s="824"/>
      <c r="J16" s="916"/>
      <c r="K16" s="917">
        <v>1</v>
      </c>
      <c r="L16" s="918">
        <f>K16*F16</f>
        <v>15.352011946913951</v>
      </c>
      <c r="M16" s="919">
        <f>F16-L16</f>
        <v>0</v>
      </c>
    </row>
    <row r="17" spans="1:26" ht="12" hidden="1" outlineLevel="1">
      <c r="A17" s="920">
        <v>6</v>
      </c>
      <c r="B17" s="910" t="s">
        <v>1583</v>
      </c>
      <c r="C17" s="911" t="s">
        <v>388</v>
      </c>
      <c r="D17" s="912">
        <f>C357</f>
        <v>3116852798.8338184</v>
      </c>
      <c r="E17" s="912">
        <f>C358</f>
        <v>1280</v>
      </c>
      <c r="F17" s="914">
        <f t="shared" ref="F17:F20" si="2">D17*E17/10000000000000</f>
        <v>0.39895715825072875</v>
      </c>
      <c r="G17" s="914">
        <f t="shared" si="0"/>
        <v>1.6933665460557246</v>
      </c>
      <c r="H17" s="915">
        <f t="shared" si="1"/>
        <v>3.0941406711491626E-4</v>
      </c>
      <c r="I17" s="824"/>
      <c r="J17" s="916"/>
      <c r="K17" s="917"/>
      <c r="L17" s="918"/>
      <c r="M17" s="919"/>
    </row>
    <row r="18" spans="1:26" ht="12" hidden="1" outlineLevel="1">
      <c r="A18" s="921"/>
      <c r="B18" s="910" t="s">
        <v>1585</v>
      </c>
      <c r="C18" s="911" t="s">
        <v>388</v>
      </c>
      <c r="D18" s="912">
        <f>C159*C332</f>
        <v>213978090.74628028</v>
      </c>
      <c r="E18" s="912">
        <f>C358</f>
        <v>1280</v>
      </c>
      <c r="F18" s="914">
        <f t="shared" si="2"/>
        <v>2.7389195615523877E-2</v>
      </c>
      <c r="G18" s="914">
        <f t="shared" si="0"/>
        <v>0.11625295252769048</v>
      </c>
      <c r="H18" s="915">
        <f t="shared" si="1"/>
        <v>2.1241885839479842E-5</v>
      </c>
      <c r="I18" s="824"/>
      <c r="J18" s="916"/>
      <c r="K18" s="917"/>
      <c r="L18" s="918"/>
      <c r="M18" s="919"/>
    </row>
    <row r="19" spans="1:26" ht="12" hidden="1" outlineLevel="1">
      <c r="A19" s="921"/>
      <c r="B19" s="922" t="s">
        <v>1586</v>
      </c>
      <c r="C19" s="911" t="s">
        <v>388</v>
      </c>
      <c r="D19" s="912">
        <f>C320*C159</f>
        <v>14386423744.089802</v>
      </c>
      <c r="E19" s="912">
        <f>C358</f>
        <v>1280</v>
      </c>
      <c r="F19" s="914">
        <f t="shared" si="2"/>
        <v>1.8414622392434945</v>
      </c>
      <c r="G19" s="914">
        <f t="shared" si="0"/>
        <v>7.8160536470436943</v>
      </c>
      <c r="H19" s="915">
        <f t="shared" si="1"/>
        <v>1.4281591622045543E-3</v>
      </c>
      <c r="I19" s="824"/>
      <c r="J19" s="916"/>
      <c r="K19" s="917"/>
      <c r="L19" s="918"/>
      <c r="M19" s="919"/>
    </row>
    <row r="20" spans="1:26" ht="12" hidden="1" outlineLevel="1">
      <c r="A20" s="921"/>
      <c r="B20" s="922" t="s">
        <v>1587</v>
      </c>
      <c r="C20" s="911" t="s">
        <v>388</v>
      </c>
      <c r="D20" s="912">
        <f>C326*C159</f>
        <v>105337191500.42915</v>
      </c>
      <c r="E20" s="912">
        <f>C358</f>
        <v>1280</v>
      </c>
      <c r="F20" s="914">
        <f t="shared" si="2"/>
        <v>13.483160512054932</v>
      </c>
      <c r="G20" s="914">
        <f t="shared" si="0"/>
        <v>57.229034431472542</v>
      </c>
      <c r="H20" s="915">
        <f t="shared" si="1"/>
        <v>1.0456961218317812E-2</v>
      </c>
      <c r="I20" s="824"/>
      <c r="J20" s="916"/>
      <c r="K20" s="917"/>
      <c r="L20" s="918"/>
      <c r="M20" s="919"/>
    </row>
    <row r="21" spans="1:26" ht="12" collapsed="1">
      <c r="A21" s="902" t="s">
        <v>534</v>
      </c>
      <c r="B21" s="895"/>
      <c r="C21" s="903"/>
      <c r="D21" s="923"/>
      <c r="E21" s="923"/>
      <c r="F21" s="905">
        <f>SUM(F24:F26)</f>
        <v>7.9431271779230022</v>
      </c>
      <c r="G21" s="905">
        <f t="shared" si="0"/>
        <v>33.714461705955017</v>
      </c>
      <c r="H21" s="906">
        <f t="shared" si="1"/>
        <v>6.1603488868536768E-3</v>
      </c>
      <c r="I21" s="907"/>
      <c r="J21" s="907">
        <f>F21*10000000000000/$M$87*100</f>
        <v>2.1678094797584192E-2</v>
      </c>
      <c r="K21" s="924"/>
      <c r="L21" s="925"/>
      <c r="M21" s="926"/>
    </row>
    <row r="22" spans="1:26" ht="12" hidden="1">
      <c r="A22" s="920"/>
      <c r="B22" s="927"/>
      <c r="C22" s="911"/>
      <c r="D22" s="912"/>
      <c r="E22" s="912"/>
      <c r="F22" s="914"/>
      <c r="G22" s="914"/>
      <c r="H22" s="914"/>
      <c r="I22" s="824"/>
      <c r="J22" s="916"/>
      <c r="K22" s="917"/>
      <c r="L22" s="918"/>
      <c r="M22" s="919"/>
    </row>
    <row r="23" spans="1:26" ht="12" hidden="1">
      <c r="A23" s="920"/>
      <c r="B23" s="927"/>
      <c r="C23" s="911"/>
      <c r="D23" s="912"/>
      <c r="E23" s="912"/>
      <c r="F23" s="914"/>
      <c r="G23" s="914"/>
      <c r="H23" s="914"/>
      <c r="I23" s="824"/>
      <c r="J23" s="916"/>
      <c r="K23" s="917"/>
      <c r="L23" s="918"/>
      <c r="M23" s="919"/>
    </row>
    <row r="24" spans="1:26" ht="12" collapsed="1">
      <c r="A24" s="888">
        <v>7</v>
      </c>
      <c r="B24" s="910" t="str">
        <f>B360</f>
        <v>Groundwater</v>
      </c>
      <c r="C24" s="911" t="s">
        <v>388</v>
      </c>
      <c r="D24" s="912">
        <f>C368</f>
        <v>922171.24937142851</v>
      </c>
      <c r="E24" s="912">
        <f>C369</f>
        <v>97409</v>
      </c>
      <c r="F24" s="914">
        <f>D24*E24/10000000000000</f>
        <v>8.9827779230021478E-3</v>
      </c>
      <c r="G24" s="914">
        <f>F24/$E$76*10000000000000</f>
        <v>3.8127240759771426E-2</v>
      </c>
      <c r="H24" s="915">
        <f>F24*10000000000000*100/$K$87</f>
        <v>6.9666574309200223E-6</v>
      </c>
      <c r="I24" s="824"/>
      <c r="J24" s="916"/>
      <c r="K24" s="917">
        <v>1</v>
      </c>
      <c r="L24" s="918">
        <f>K24*F24</f>
        <v>8.9827779230021478E-3</v>
      </c>
      <c r="M24" s="919">
        <f>F24-L24</f>
        <v>0</v>
      </c>
    </row>
    <row r="25" spans="1:26" ht="12">
      <c r="A25" s="920">
        <v>8</v>
      </c>
      <c r="B25" s="928" t="s">
        <v>1272</v>
      </c>
      <c r="C25" s="911" t="s">
        <v>388</v>
      </c>
      <c r="D25" s="912">
        <f>C394</f>
        <v>610318800</v>
      </c>
      <c r="E25" s="912">
        <f>C395</f>
        <v>130000</v>
      </c>
      <c r="F25" s="914">
        <f>D25*E25/10000000000000</f>
        <v>7.9341444000000001</v>
      </c>
      <c r="G25" s="914">
        <f>F25/$E$76*10000000000000</f>
        <v>33.676334465195247</v>
      </c>
      <c r="H25" s="915">
        <f>F25*10000000000000*100/$K$87</f>
        <v>6.1533822294227566E-3</v>
      </c>
      <c r="I25" s="824"/>
      <c r="J25" s="916"/>
      <c r="K25" s="917">
        <v>0</v>
      </c>
      <c r="L25" s="918">
        <f>K25*F25</f>
        <v>0</v>
      </c>
      <c r="M25" s="919">
        <f>F25-L25</f>
        <v>7.9341444000000001</v>
      </c>
    </row>
    <row r="26" spans="1:26" ht="12">
      <c r="A26" s="920">
        <v>9</v>
      </c>
      <c r="B26" s="929" t="s">
        <v>535</v>
      </c>
      <c r="C26" s="930" t="s">
        <v>388</v>
      </c>
      <c r="D26" s="931">
        <f>C406</f>
        <v>0</v>
      </c>
      <c r="E26" s="931">
        <f>C407</f>
        <v>130000</v>
      </c>
      <c r="F26" s="932">
        <f>D26*E26/10000000000000</f>
        <v>0</v>
      </c>
      <c r="G26" s="932">
        <f>F26/$E$76*10000000000000</f>
        <v>0</v>
      </c>
      <c r="H26" s="933">
        <f>F26*10000000000000*100/$K$87</f>
        <v>0</v>
      </c>
      <c r="I26" s="824"/>
      <c r="J26" s="916"/>
      <c r="K26" s="934">
        <v>0</v>
      </c>
      <c r="L26" s="935">
        <f>K26*F26</f>
        <v>0</v>
      </c>
      <c r="M26" s="936">
        <f>F26-L26</f>
        <v>0</v>
      </c>
    </row>
    <row r="27" spans="1:26" ht="12">
      <c r="A27" s="893"/>
      <c r="B27" s="937" t="s">
        <v>536</v>
      </c>
      <c r="C27" s="938"/>
      <c r="D27" s="938"/>
      <c r="E27" s="938"/>
      <c r="F27" s="939">
        <f>F11+F21</f>
        <v>23.439234799972954</v>
      </c>
      <c r="G27" s="939">
        <f>SUM(G21+G11)</f>
        <v>99.487414261345293</v>
      </c>
      <c r="H27" s="940">
        <f>F27*10000000000000*100/$K$87</f>
        <v>1.8178465580916455E-2</v>
      </c>
      <c r="I27" s="941"/>
      <c r="J27" s="907"/>
      <c r="K27" s="942"/>
      <c r="L27" s="943"/>
      <c r="M27" s="944"/>
    </row>
    <row r="28" spans="1:26" ht="12">
      <c r="A28" s="888"/>
      <c r="B28" s="885"/>
      <c r="C28" s="945"/>
      <c r="D28" s="946"/>
      <c r="E28" s="946"/>
      <c r="F28" s="947"/>
      <c r="G28" s="948"/>
      <c r="H28" s="949"/>
      <c r="I28" s="900"/>
      <c r="J28" s="899"/>
      <c r="K28" s="950"/>
      <c r="L28" s="951"/>
      <c r="M28" s="952"/>
      <c r="U28" s="825"/>
    </row>
    <row r="29" spans="1:26" s="825" customFormat="1" ht="14.25">
      <c r="A29" s="953" t="s">
        <v>537</v>
      </c>
      <c r="B29" s="954"/>
      <c r="C29" s="955"/>
      <c r="D29" s="956"/>
      <c r="E29" s="956"/>
      <c r="F29" s="957">
        <f>SUM(F45:F51,F52,F55,F56,F57,F39,F30,F61)</f>
        <v>128916.12772501646</v>
      </c>
      <c r="G29" s="957">
        <f>SUM(G30,G38,G39,G45:G52,G55:G57,G61)</f>
        <v>388297.57041159063</v>
      </c>
      <c r="H29" s="958">
        <f t="shared" ref="H29:H76" si="3">F29*10000000000000*100/$K$87</f>
        <v>99.981821534419083</v>
      </c>
      <c r="I29" s="907">
        <f>SUM(I30:I61)</f>
        <v>100.00000000000001</v>
      </c>
      <c r="J29" s="907">
        <f>SUM(J30:J61)</f>
        <v>99.936030489932349</v>
      </c>
      <c r="K29" s="959"/>
      <c r="L29" s="960"/>
      <c r="M29" s="961"/>
      <c r="Q29" s="819"/>
      <c r="R29" s="819"/>
      <c r="S29" s="820"/>
      <c r="T29" s="821"/>
    </row>
    <row r="30" spans="1:26" s="850" customFormat="1" ht="15">
      <c r="A30" s="962">
        <v>21</v>
      </c>
      <c r="B30" s="963" t="str">
        <f>B595</f>
        <v>Buildings</v>
      </c>
      <c r="C30" s="964"/>
      <c r="D30" s="965"/>
      <c r="E30" s="965"/>
      <c r="F30" s="966">
        <f>SUM(F31:F38)</f>
        <v>565.37458850999997</v>
      </c>
      <c r="G30" s="966">
        <f>SUM(G31:G38)</f>
        <v>2399.7223620967743</v>
      </c>
      <c r="H30" s="967">
        <f t="shared" si="3"/>
        <v>0.43848029107015463</v>
      </c>
      <c r="I30" s="968"/>
      <c r="J30" s="968">
        <f>F30*10000000000000/$M$87*100</f>
        <v>1.5429998351190621</v>
      </c>
      <c r="K30" s="969"/>
      <c r="L30" s="970">
        <f>SUM(L31:L38)</f>
        <v>0</v>
      </c>
      <c r="M30" s="971">
        <f>SUM(M31:M38)</f>
        <v>565.37458850999997</v>
      </c>
      <c r="O30" s="851"/>
      <c r="Q30" s="852"/>
      <c r="R30" s="852"/>
      <c r="S30" s="853"/>
      <c r="T30" s="854"/>
    </row>
    <row r="31" spans="1:26" ht="12" outlineLevel="1">
      <c r="A31" s="972">
        <v>20.100000000000001</v>
      </c>
      <c r="B31" s="973" t="s">
        <v>729</v>
      </c>
      <c r="C31" s="825" t="s">
        <v>187</v>
      </c>
      <c r="D31" s="974">
        <f t="shared" ref="D31:D37" si="4">C603</f>
        <v>960084</v>
      </c>
      <c r="E31" s="974">
        <f t="shared" ref="E31:E37" si="5">E603</f>
        <v>668800000</v>
      </c>
      <c r="F31" s="975">
        <f t="shared" ref="F31:F37" si="6">D31*E31/10000000000000</f>
        <v>64.210417919999998</v>
      </c>
      <c r="G31" s="975">
        <f t="shared" ref="G31:G38" si="7">F31/$E$76*10000000000000</f>
        <v>272.53997419354835</v>
      </c>
      <c r="H31" s="976">
        <f t="shared" si="3"/>
        <v>4.9798847191732047E-2</v>
      </c>
      <c r="I31" s="916"/>
      <c r="J31" s="916"/>
      <c r="K31" s="977" t="s">
        <v>1192</v>
      </c>
      <c r="L31" s="978">
        <f t="shared" ref="L31:L38" si="8">IFERROR(F31*(K31/100),0)</f>
        <v>0</v>
      </c>
      <c r="M31" s="979">
        <f t="shared" ref="M31:M38" si="9">F31-L31</f>
        <v>64.210417919999998</v>
      </c>
      <c r="O31" s="805"/>
    </row>
    <row r="32" spans="1:26" ht="14.25" outlineLevel="1">
      <c r="A32" s="972">
        <v>20.2</v>
      </c>
      <c r="B32" s="973" t="s">
        <v>1416</v>
      </c>
      <c r="C32" s="825" t="s">
        <v>187</v>
      </c>
      <c r="D32" s="974">
        <f t="shared" si="4"/>
        <v>70800</v>
      </c>
      <c r="E32" s="974">
        <f t="shared" si="5"/>
        <v>2386400000</v>
      </c>
      <c r="F32" s="975">
        <f t="shared" si="6"/>
        <v>16.895712</v>
      </c>
      <c r="G32" s="975">
        <f t="shared" si="7"/>
        <v>71.713548387096779</v>
      </c>
      <c r="H32" s="976">
        <f t="shared" si="3"/>
        <v>1.3103589843190253E-2</v>
      </c>
      <c r="I32" s="916"/>
      <c r="J32" s="916"/>
      <c r="K32" s="977" t="s">
        <v>1192</v>
      </c>
      <c r="L32" s="978">
        <f t="shared" si="8"/>
        <v>0</v>
      </c>
      <c r="M32" s="979">
        <f t="shared" si="9"/>
        <v>16.895712</v>
      </c>
      <c r="N32" s="826"/>
      <c r="O32" s="819"/>
      <c r="P32" s="820"/>
      <c r="Q32" s="821"/>
      <c r="W32" s="821"/>
      <c r="X32" s="821"/>
      <c r="Y32" s="820"/>
      <c r="Z32" s="821"/>
    </row>
    <row r="33" spans="1:26" ht="14.25" outlineLevel="1">
      <c r="A33" s="972">
        <v>20.3</v>
      </c>
      <c r="B33" s="973" t="s">
        <v>1417</v>
      </c>
      <c r="C33" s="825" t="s">
        <v>187</v>
      </c>
      <c r="D33" s="974">
        <f t="shared" si="4"/>
        <v>384000</v>
      </c>
      <c r="E33" s="974">
        <f t="shared" si="5"/>
        <v>851200000</v>
      </c>
      <c r="F33" s="975">
        <f t="shared" si="6"/>
        <v>32.686079999999997</v>
      </c>
      <c r="G33" s="975">
        <f t="shared" si="7"/>
        <v>138.73548387096773</v>
      </c>
      <c r="H33" s="976">
        <f t="shared" si="3"/>
        <v>2.5349922270319479E-2</v>
      </c>
      <c r="I33" s="916"/>
      <c r="J33" s="916"/>
      <c r="K33" s="977" t="s">
        <v>1192</v>
      </c>
      <c r="L33" s="978">
        <f t="shared" si="8"/>
        <v>0</v>
      </c>
      <c r="M33" s="979">
        <f t="shared" si="9"/>
        <v>32.686079999999997</v>
      </c>
      <c r="N33" s="826"/>
      <c r="O33" s="819"/>
      <c r="P33" s="827"/>
      <c r="Q33" s="821"/>
      <c r="W33" s="821"/>
      <c r="X33" s="821"/>
      <c r="Y33" s="820"/>
      <c r="Z33" s="821"/>
    </row>
    <row r="34" spans="1:26" ht="14.25" outlineLevel="1">
      <c r="A34" s="972">
        <v>20.399999999999999</v>
      </c>
      <c r="B34" s="973" t="s">
        <v>1418</v>
      </c>
      <c r="C34" s="825" t="s">
        <v>187</v>
      </c>
      <c r="D34" s="974">
        <f t="shared" si="4"/>
        <v>117894</v>
      </c>
      <c r="E34" s="974">
        <f t="shared" si="5"/>
        <v>1573200000</v>
      </c>
      <c r="F34" s="975">
        <f t="shared" si="6"/>
        <v>18.547084080000001</v>
      </c>
      <c r="G34" s="975">
        <f t="shared" si="7"/>
        <v>78.722767741935485</v>
      </c>
      <c r="H34" s="976">
        <f t="shared" si="3"/>
        <v>1.4384323227780139E-2</v>
      </c>
      <c r="I34" s="916"/>
      <c r="J34" s="916"/>
      <c r="K34" s="977" t="s">
        <v>1192</v>
      </c>
      <c r="L34" s="978">
        <f t="shared" si="8"/>
        <v>0</v>
      </c>
      <c r="M34" s="979">
        <f t="shared" si="9"/>
        <v>18.547084080000001</v>
      </c>
      <c r="O34" s="826"/>
      <c r="X34" s="819"/>
    </row>
    <row r="35" spans="1:26" ht="12" outlineLevel="1">
      <c r="A35" s="972">
        <v>20.5</v>
      </c>
      <c r="B35" s="973" t="s">
        <v>1419</v>
      </c>
      <c r="C35" s="825" t="s">
        <v>187</v>
      </c>
      <c r="D35" s="974">
        <f t="shared" si="4"/>
        <v>354000</v>
      </c>
      <c r="E35" s="974">
        <f t="shared" si="5"/>
        <v>1276800000</v>
      </c>
      <c r="F35" s="975">
        <f t="shared" si="6"/>
        <v>45.198720000000002</v>
      </c>
      <c r="G35" s="975">
        <f t="shared" si="7"/>
        <v>191.84516129032258</v>
      </c>
      <c r="H35" s="976">
        <f t="shared" si="3"/>
        <v>3.5054189389426157E-2</v>
      </c>
      <c r="I35" s="916"/>
      <c r="J35" s="916"/>
      <c r="K35" s="977" t="s">
        <v>1192</v>
      </c>
      <c r="L35" s="978">
        <f t="shared" si="8"/>
        <v>0</v>
      </c>
      <c r="M35" s="979">
        <f t="shared" si="9"/>
        <v>45.198720000000002</v>
      </c>
    </row>
    <row r="36" spans="1:26" ht="12" outlineLevel="1">
      <c r="A36" s="972">
        <v>20.6</v>
      </c>
      <c r="B36" s="973" t="s">
        <v>1420</v>
      </c>
      <c r="C36" s="825" t="s">
        <v>187</v>
      </c>
      <c r="D36" s="974">
        <f t="shared" si="4"/>
        <v>82500</v>
      </c>
      <c r="E36" s="974">
        <f t="shared" si="5"/>
        <v>1763200000</v>
      </c>
      <c r="F36" s="975">
        <f t="shared" si="6"/>
        <v>14.5464</v>
      </c>
      <c r="G36" s="975">
        <f t="shared" si="7"/>
        <v>61.741935483870968</v>
      </c>
      <c r="H36" s="976">
        <f t="shared" si="3"/>
        <v>1.128156418001104E-2</v>
      </c>
      <c r="I36" s="916"/>
      <c r="J36" s="916"/>
      <c r="K36" s="977" t="s">
        <v>1192</v>
      </c>
      <c r="L36" s="978">
        <f t="shared" si="8"/>
        <v>0</v>
      </c>
      <c r="M36" s="979">
        <f t="shared" si="9"/>
        <v>14.5464</v>
      </c>
    </row>
    <row r="37" spans="1:26" ht="12" outlineLevel="1">
      <c r="A37" s="972">
        <v>20.7</v>
      </c>
      <c r="B37" s="973" t="s">
        <v>1421</v>
      </c>
      <c r="C37" s="825" t="s">
        <v>187</v>
      </c>
      <c r="D37" s="974">
        <f t="shared" si="4"/>
        <v>1545840</v>
      </c>
      <c r="E37" s="974">
        <f t="shared" si="5"/>
        <v>2325600000</v>
      </c>
      <c r="F37" s="975">
        <f t="shared" si="6"/>
        <v>359.50055040000001</v>
      </c>
      <c r="G37" s="975">
        <f t="shared" si="7"/>
        <v>1525.8936774193548</v>
      </c>
      <c r="H37" s="976">
        <f t="shared" si="3"/>
        <v>0.27881321372208201</v>
      </c>
      <c r="I37" s="916"/>
      <c r="J37" s="916"/>
      <c r="K37" s="977" t="s">
        <v>1192</v>
      </c>
      <c r="L37" s="978">
        <f t="shared" si="8"/>
        <v>0</v>
      </c>
      <c r="M37" s="979">
        <f t="shared" si="9"/>
        <v>359.50055040000001</v>
      </c>
    </row>
    <row r="38" spans="1:26" ht="12" outlineLevel="1">
      <c r="A38" s="972"/>
      <c r="B38" s="973" t="s">
        <v>1296</v>
      </c>
      <c r="C38" s="825" t="s">
        <v>187</v>
      </c>
      <c r="D38" s="974"/>
      <c r="E38" s="974"/>
      <c r="F38" s="975">
        <f>C622/10000000000000</f>
        <v>13.78962411</v>
      </c>
      <c r="G38" s="975">
        <f t="shared" si="7"/>
        <v>58.52981370967742</v>
      </c>
      <c r="H38" s="976">
        <f t="shared" si="3"/>
        <v>1.0694641245613527E-2</v>
      </c>
      <c r="I38" s="916"/>
      <c r="J38" s="916"/>
      <c r="K38" s="977" t="s">
        <v>1192</v>
      </c>
      <c r="L38" s="978">
        <f t="shared" si="8"/>
        <v>0</v>
      </c>
      <c r="M38" s="979">
        <f t="shared" si="9"/>
        <v>13.78962411</v>
      </c>
    </row>
    <row r="39" spans="1:26" s="850" customFormat="1" ht="12">
      <c r="A39" s="962">
        <v>20</v>
      </c>
      <c r="B39" s="980" t="str">
        <f>B532</f>
        <v>Labor</v>
      </c>
      <c r="C39" s="964"/>
      <c r="D39" s="965"/>
      <c r="E39" s="965"/>
      <c r="F39" s="966">
        <f>SUM(F40:F44)</f>
        <v>25356.747817108466</v>
      </c>
      <c r="G39" s="966">
        <f>SUM(G40:G45)</f>
        <v>107626.26491985218</v>
      </c>
      <c r="H39" s="981">
        <f t="shared" si="3"/>
        <v>19.66560646586537</v>
      </c>
      <c r="I39" s="968"/>
      <c r="J39" s="968"/>
      <c r="K39" s="982"/>
      <c r="L39" s="970">
        <f>SUM(L40:L44)</f>
        <v>0.40498855097184921</v>
      </c>
      <c r="M39" s="971">
        <f>SUM(M40:M44)</f>
        <v>25356.342828557496</v>
      </c>
    </row>
    <row r="40" spans="1:26" ht="12" outlineLevel="1">
      <c r="A40" s="972">
        <v>19.100000000000001</v>
      </c>
      <c r="B40" s="983" t="s">
        <v>1264</v>
      </c>
      <c r="C40" s="825" t="s">
        <v>388</v>
      </c>
      <c r="D40" s="974">
        <f>C549</f>
        <v>147634987.5</v>
      </c>
      <c r="E40" s="974">
        <f>C550</f>
        <v>31222.812953117449</v>
      </c>
      <c r="F40" s="975">
        <f t="shared" ref="F40:F44" si="10">D40*E40/10000000000000</f>
        <v>0.4609579600048333</v>
      </c>
      <c r="G40" s="975">
        <f t="shared" ref="G40:G56" si="11">F40/$E$76*10000000000000</f>
        <v>1.9565278438235707</v>
      </c>
      <c r="H40" s="976">
        <f t="shared" si="3"/>
        <v>3.5749923074310409E-4</v>
      </c>
      <c r="I40" s="916">
        <f>F40*10000000000000/$L$87*100</f>
        <v>4.9942190436005158E-4</v>
      </c>
      <c r="J40" s="916"/>
      <c r="K40" s="977">
        <v>5</v>
      </c>
      <c r="L40" s="978">
        <f t="shared" ref="L40:L51" si="12">IFERROR(F40*(K40/100),0)</f>
        <v>2.3047898000241665E-2</v>
      </c>
      <c r="M40" s="979">
        <f t="shared" ref="M40:M76" si="13">F40-L40</f>
        <v>0.43791006200459165</v>
      </c>
    </row>
    <row r="41" spans="1:26" ht="12" outlineLevel="1">
      <c r="A41" s="972">
        <v>19.2</v>
      </c>
      <c r="B41" s="973" t="s">
        <v>1271</v>
      </c>
      <c r="C41" s="825" t="s">
        <v>388</v>
      </c>
      <c r="D41" s="974">
        <f>C592</f>
        <v>101485384</v>
      </c>
      <c r="E41" s="974">
        <f>C593</f>
        <v>31222.812953117449</v>
      </c>
      <c r="F41" s="975">
        <f t="shared" si="10"/>
        <v>0.31686591621072985</v>
      </c>
      <c r="G41" s="975">
        <f t="shared" si="11"/>
        <v>1.3449317326431656</v>
      </c>
      <c r="H41" s="976">
        <f t="shared" si="3"/>
        <v>2.4574761935525967E-4</v>
      </c>
      <c r="I41" s="916">
        <f>F41*10000000000000/$L$87*100</f>
        <v>3.4330631647861321E-4</v>
      </c>
      <c r="J41" s="916"/>
      <c r="K41" s="977">
        <v>5</v>
      </c>
      <c r="L41" s="978">
        <f t="shared" si="12"/>
        <v>1.5843295810536492E-2</v>
      </c>
      <c r="M41" s="979">
        <f t="shared" si="13"/>
        <v>0.30102262040019334</v>
      </c>
    </row>
    <row r="42" spans="1:26" ht="12" outlineLevel="1">
      <c r="A42" s="972">
        <v>19.3</v>
      </c>
      <c r="B42" s="973" t="s">
        <v>1603</v>
      </c>
      <c r="C42" s="825" t="s">
        <v>388</v>
      </c>
      <c r="D42" s="974">
        <f>[1]MANPOWER!$D$30</f>
        <v>1467336539.0749602</v>
      </c>
      <c r="E42" s="974">
        <f>[1]MANPOWER!$E$30</f>
        <v>172802689.21277723</v>
      </c>
      <c r="F42" s="975">
        <f>D42*E42/10000000000000</f>
        <v>25355.969993232251</v>
      </c>
      <c r="G42" s="975">
        <f>F42/$E$76*10000000000000</f>
        <v>107622.96261983129</v>
      </c>
      <c r="H42" s="976">
        <f>F42*10000000000000*100/$K$87</f>
        <v>19.665003219015269</v>
      </c>
      <c r="I42" s="916"/>
      <c r="J42" s="916">
        <f t="shared" ref="J42:J50" si="14">F42*10000000000000/$M$87*100</f>
        <v>69.200594285551702</v>
      </c>
      <c r="K42" s="977">
        <f>[1]MANPOWER!$H$10</f>
        <v>1.4438310080773322E-3</v>
      </c>
      <c r="L42" s="978">
        <f t="shared" si="12"/>
        <v>0.36609735716107106</v>
      </c>
      <c r="M42" s="979">
        <f t="shared" si="13"/>
        <v>25355.603895875091</v>
      </c>
    </row>
    <row r="43" spans="1:26" ht="12" outlineLevel="1">
      <c r="A43" s="972">
        <v>19.399999999999999</v>
      </c>
      <c r="B43" s="973" t="s">
        <v>1190</v>
      </c>
      <c r="C43" s="825" t="s">
        <v>388</v>
      </c>
      <c r="D43" s="974">
        <f>C563</f>
        <v>0</v>
      </c>
      <c r="E43" s="974">
        <f>C564</f>
        <v>31222.812953117449</v>
      </c>
      <c r="F43" s="975">
        <f>D43*E43/10000000000000</f>
        <v>0</v>
      </c>
      <c r="G43" s="975">
        <f t="shared" si="11"/>
        <v>0</v>
      </c>
      <c r="H43" s="976">
        <f t="shared" si="3"/>
        <v>0</v>
      </c>
      <c r="I43" s="916"/>
      <c r="J43" s="916">
        <f t="shared" si="14"/>
        <v>0</v>
      </c>
      <c r="K43" s="977">
        <f>K564</f>
        <v>5</v>
      </c>
      <c r="L43" s="978">
        <f t="shared" si="12"/>
        <v>0</v>
      </c>
      <c r="M43" s="979">
        <f t="shared" si="13"/>
        <v>0</v>
      </c>
    </row>
    <row r="44" spans="1:26" ht="12" outlineLevel="1">
      <c r="A44" s="972">
        <v>19.5</v>
      </c>
      <c r="B44" s="973" t="s">
        <v>1191</v>
      </c>
      <c r="C44" s="825" t="s">
        <v>388</v>
      </c>
      <c r="D44" s="974">
        <f>C578</f>
        <v>0</v>
      </c>
      <c r="E44" s="974">
        <f>C579</f>
        <v>31222.812953117449</v>
      </c>
      <c r="F44" s="975">
        <f t="shared" si="10"/>
        <v>0</v>
      </c>
      <c r="G44" s="975">
        <f t="shared" si="11"/>
        <v>0</v>
      </c>
      <c r="H44" s="976">
        <f t="shared" si="3"/>
        <v>0</v>
      </c>
      <c r="I44" s="916"/>
      <c r="J44" s="916">
        <f t="shared" si="14"/>
        <v>0</v>
      </c>
      <c r="K44" s="977">
        <f>K593</f>
        <v>5</v>
      </c>
      <c r="L44" s="978">
        <f t="shared" si="12"/>
        <v>0</v>
      </c>
      <c r="M44" s="979">
        <f t="shared" si="13"/>
        <v>0</v>
      </c>
    </row>
    <row r="45" spans="1:26" ht="12">
      <c r="A45" s="984">
        <v>10</v>
      </c>
      <c r="B45" s="910" t="str">
        <f>B409</f>
        <v>Wood</v>
      </c>
      <c r="C45" s="911" t="s">
        <v>388</v>
      </c>
      <c r="D45" s="912">
        <f>C414</f>
        <v>75003.297969599997</v>
      </c>
      <c r="E45" s="912">
        <f>C415</f>
        <v>26400</v>
      </c>
      <c r="F45" s="985">
        <f>D45*E45/10000000000000</f>
        <v>1.9800870663974399E-4</v>
      </c>
      <c r="G45" s="985">
        <f t="shared" si="11"/>
        <v>8.4044442546580644E-4</v>
      </c>
      <c r="H45" s="981">
        <f t="shared" si="3"/>
        <v>1.5356706347668495E-7</v>
      </c>
      <c r="I45" s="916"/>
      <c r="J45" s="916">
        <f t="shared" si="14"/>
        <v>5.4039818539148892E-7</v>
      </c>
      <c r="K45" s="986" t="s">
        <v>1192</v>
      </c>
      <c r="L45" s="987">
        <f t="shared" si="12"/>
        <v>0</v>
      </c>
      <c r="M45" s="988">
        <f t="shared" si="13"/>
        <v>1.9800870663974399E-4</v>
      </c>
    </row>
    <row r="46" spans="1:26" ht="14.25">
      <c r="A46" s="984">
        <v>11</v>
      </c>
      <c r="B46" s="910" t="str">
        <f>B417</f>
        <v>Natural gas</v>
      </c>
      <c r="C46" s="911" t="s">
        <v>388</v>
      </c>
      <c r="D46" s="912">
        <f>C423</f>
        <v>971327.49999999988</v>
      </c>
      <c r="E46" s="912">
        <f>C424</f>
        <v>29000</v>
      </c>
      <c r="F46" s="985">
        <f t="shared" ref="F46:F54" si="15">D46*E46/10000000000000</f>
        <v>2.8168497499999998E-3</v>
      </c>
      <c r="G46" s="985">
        <f t="shared" si="11"/>
        <v>1.1956068548387096E-2</v>
      </c>
      <c r="H46" s="981">
        <f t="shared" si="3"/>
        <v>2.1846278969417208E-6</v>
      </c>
      <c r="I46" s="916"/>
      <c r="J46" s="916">
        <f t="shared" si="14"/>
        <v>7.6876442417756354E-6</v>
      </c>
      <c r="K46" s="986" t="s">
        <v>1192</v>
      </c>
      <c r="L46" s="987">
        <f t="shared" si="12"/>
        <v>0</v>
      </c>
      <c r="M46" s="988">
        <f t="shared" si="13"/>
        <v>2.8168497499999998E-3</v>
      </c>
      <c r="O46" s="819"/>
      <c r="P46" s="819"/>
      <c r="Q46" s="828"/>
      <c r="R46" s="821"/>
      <c r="W46" s="819"/>
      <c r="X46" s="821"/>
      <c r="Y46" s="828"/>
      <c r="Z46" s="821"/>
    </row>
    <row r="47" spans="1:26" ht="14.25">
      <c r="A47" s="984">
        <v>12</v>
      </c>
      <c r="B47" s="910" t="str">
        <f>B426</f>
        <v>Wooden shave (litter)</v>
      </c>
      <c r="C47" s="911" t="s">
        <v>388</v>
      </c>
      <c r="D47" s="912">
        <f>C432</f>
        <v>349949599999.99994</v>
      </c>
      <c r="E47" s="912">
        <f>C433</f>
        <v>38000</v>
      </c>
      <c r="F47" s="985">
        <f t="shared" si="15"/>
        <v>1329.8084799999997</v>
      </c>
      <c r="G47" s="985">
        <f t="shared" si="11"/>
        <v>5644.348387096773</v>
      </c>
      <c r="H47" s="981">
        <f t="shared" si="3"/>
        <v>1.0313424430953997</v>
      </c>
      <c r="I47" s="916"/>
      <c r="J47" s="916">
        <f t="shared" si="14"/>
        <v>3.629265105082871</v>
      </c>
      <c r="K47" s="986">
        <f>K433</f>
        <v>43</v>
      </c>
      <c r="L47" s="987">
        <f t="shared" si="12"/>
        <v>571.81764639999983</v>
      </c>
      <c r="M47" s="988">
        <f t="shared" si="13"/>
        <v>757.99083359999986</v>
      </c>
      <c r="O47" s="819"/>
      <c r="P47" s="819"/>
      <c r="Q47" s="829"/>
      <c r="R47" s="821"/>
      <c r="W47" s="819"/>
      <c r="X47" s="821"/>
      <c r="Y47" s="822"/>
      <c r="Z47" s="821"/>
    </row>
    <row r="48" spans="1:26" ht="12">
      <c r="A48" s="984">
        <v>13</v>
      </c>
      <c r="B48" s="910" t="str">
        <f>B435</f>
        <v>Fuel</v>
      </c>
      <c r="C48" s="911" t="s">
        <v>388</v>
      </c>
      <c r="D48" s="912">
        <f>C439</f>
        <v>0</v>
      </c>
      <c r="E48" s="912">
        <f>C440</f>
        <v>140970</v>
      </c>
      <c r="F48" s="985">
        <f t="shared" si="15"/>
        <v>0</v>
      </c>
      <c r="G48" s="985">
        <f t="shared" si="11"/>
        <v>0</v>
      </c>
      <c r="H48" s="981">
        <f t="shared" si="3"/>
        <v>0</v>
      </c>
      <c r="I48" s="916"/>
      <c r="J48" s="916">
        <f t="shared" si="14"/>
        <v>0</v>
      </c>
      <c r="K48" s="986" t="s">
        <v>1192</v>
      </c>
      <c r="L48" s="987">
        <f t="shared" si="12"/>
        <v>0</v>
      </c>
      <c r="M48" s="988">
        <f t="shared" si="13"/>
        <v>0</v>
      </c>
    </row>
    <row r="49" spans="1:15" ht="12">
      <c r="A49" s="984">
        <v>14</v>
      </c>
      <c r="B49" s="910" t="str">
        <f>B442</f>
        <v>Hydroelectric power</v>
      </c>
      <c r="C49" s="911" t="s">
        <v>388</v>
      </c>
      <c r="D49" s="912">
        <f>C446</f>
        <v>39952440000</v>
      </c>
      <c r="E49" s="912">
        <f>C447</f>
        <v>64500</v>
      </c>
      <c r="F49" s="985">
        <f t="shared" si="15"/>
        <v>257.69323800000001</v>
      </c>
      <c r="G49" s="985">
        <f t="shared" si="11"/>
        <v>1093.7743548387098</v>
      </c>
      <c r="H49" s="981">
        <f t="shared" si="3"/>
        <v>0.19985582709480421</v>
      </c>
      <c r="I49" s="916"/>
      <c r="J49" s="916">
        <f t="shared" si="14"/>
        <v>0.70328704513090157</v>
      </c>
      <c r="K49" s="986">
        <f>K447</f>
        <v>65</v>
      </c>
      <c r="L49" s="987">
        <f t="shared" si="12"/>
        <v>167.50060470000003</v>
      </c>
      <c r="M49" s="988">
        <f t="shared" si="13"/>
        <v>90.192633299999983</v>
      </c>
    </row>
    <row r="50" spans="1:15" ht="12">
      <c r="A50" s="984">
        <v>15</v>
      </c>
      <c r="B50" s="910" t="str">
        <f>B449</f>
        <v>Pesticides and vaccines</v>
      </c>
      <c r="C50" s="911" t="s">
        <v>187</v>
      </c>
      <c r="D50" s="912">
        <f>C452</f>
        <v>0</v>
      </c>
      <c r="E50" s="912">
        <f>C453</f>
        <v>11248000000</v>
      </c>
      <c r="F50" s="985">
        <f>D50*E50/10000000000000</f>
        <v>0</v>
      </c>
      <c r="G50" s="985">
        <f t="shared" si="11"/>
        <v>0</v>
      </c>
      <c r="H50" s="981">
        <f t="shared" si="3"/>
        <v>0</v>
      </c>
      <c r="I50" s="916"/>
      <c r="J50" s="916">
        <f t="shared" si="14"/>
        <v>0</v>
      </c>
      <c r="K50" s="986" t="s">
        <v>1192</v>
      </c>
      <c r="L50" s="987">
        <f t="shared" si="12"/>
        <v>0</v>
      </c>
      <c r="M50" s="988">
        <f t="shared" si="13"/>
        <v>0</v>
      </c>
    </row>
    <row r="51" spans="1:15" ht="12">
      <c r="A51" s="984">
        <v>16</v>
      </c>
      <c r="B51" s="928" t="s">
        <v>1435</v>
      </c>
      <c r="C51" s="911" t="s">
        <v>187</v>
      </c>
      <c r="D51" s="912">
        <f>C463</f>
        <v>96959681280</v>
      </c>
      <c r="E51" s="912">
        <f>C464</f>
        <v>464360</v>
      </c>
      <c r="F51" s="985">
        <f>D51*E51/10000000000000</f>
        <v>4502.4197599180798</v>
      </c>
      <c r="G51" s="985">
        <f t="shared" si="11"/>
        <v>19110.440407122576</v>
      </c>
      <c r="H51" s="981">
        <f t="shared" si="3"/>
        <v>3.4918837297795826</v>
      </c>
      <c r="I51" s="916">
        <f>F51*10000000000000/$L$87*100</f>
        <v>4.8781174116247747</v>
      </c>
      <c r="J51" s="916"/>
      <c r="K51" s="986">
        <v>16</v>
      </c>
      <c r="L51" s="987">
        <f t="shared" si="12"/>
        <v>720.38716158689283</v>
      </c>
      <c r="M51" s="988">
        <f t="shared" si="13"/>
        <v>3782.0325983311868</v>
      </c>
    </row>
    <row r="52" spans="1:15" s="850" customFormat="1" ht="12">
      <c r="A52" s="962">
        <v>17</v>
      </c>
      <c r="B52" s="963" t="s">
        <v>541</v>
      </c>
      <c r="C52" s="989"/>
      <c r="D52" s="990"/>
      <c r="E52" s="990"/>
      <c r="F52" s="985">
        <f>SUM(F53:F54)</f>
        <v>46791.083139775874</v>
      </c>
      <c r="G52" s="985">
        <f t="shared" si="11"/>
        <v>198603.91825032205</v>
      </c>
      <c r="H52" s="967">
        <f t="shared" si="3"/>
        <v>36.289157969917916</v>
      </c>
      <c r="I52" s="966">
        <f>F52*10000000000000/$L$87*100</f>
        <v>50.695494765924728</v>
      </c>
      <c r="J52" s="991"/>
      <c r="K52" s="992"/>
      <c r="L52" s="987">
        <f>SUM(L53:L56)</f>
        <v>13021.328033971149</v>
      </c>
      <c r="M52" s="988">
        <f t="shared" si="13"/>
        <v>33769.755105804725</v>
      </c>
    </row>
    <row r="53" spans="1:15" ht="12" outlineLevel="1">
      <c r="A53" s="972">
        <v>17.100000000000001</v>
      </c>
      <c r="B53" s="910" t="s">
        <v>1080</v>
      </c>
      <c r="C53" s="911" t="s">
        <v>184</v>
      </c>
      <c r="D53" s="912">
        <f>C467</f>
        <v>4483821353137.2373</v>
      </c>
      <c r="E53" s="912">
        <f>E467</f>
        <v>51000</v>
      </c>
      <c r="F53" s="914">
        <f>D53*E53/10000000000000</f>
        <v>22867.48890099991</v>
      </c>
      <c r="G53" s="914">
        <f t="shared" si="11"/>
        <v>97060.648985568376</v>
      </c>
      <c r="H53" s="976">
        <f t="shared" si="3"/>
        <v>17.735043974613692</v>
      </c>
      <c r="I53" s="916"/>
      <c r="J53" s="916"/>
      <c r="K53" s="914">
        <f>K467</f>
        <v>22</v>
      </c>
      <c r="L53" s="918">
        <f>IFERROR(F53*(K53/100),0)</f>
        <v>5030.8475582199799</v>
      </c>
      <c r="M53" s="919">
        <f t="shared" si="13"/>
        <v>17836.641342779931</v>
      </c>
    </row>
    <row r="54" spans="1:15" ht="12" outlineLevel="1">
      <c r="A54" s="972">
        <v>17.2</v>
      </c>
      <c r="B54" s="910" t="s">
        <v>1081</v>
      </c>
      <c r="C54" s="911" t="s">
        <v>184</v>
      </c>
      <c r="D54" s="912">
        <f>C468</f>
        <v>2601521774551.54</v>
      </c>
      <c r="E54" s="912">
        <f>E468</f>
        <v>91960</v>
      </c>
      <c r="F54" s="914">
        <f t="shared" si="15"/>
        <v>23923.594238775961</v>
      </c>
      <c r="G54" s="914">
        <f t="shared" si="11"/>
        <v>101543.26926475366</v>
      </c>
      <c r="H54" s="976">
        <f t="shared" si="3"/>
        <v>18.554113995304224</v>
      </c>
      <c r="I54" s="916"/>
      <c r="J54" s="916"/>
      <c r="K54" s="986">
        <f>K468</f>
        <v>33.4</v>
      </c>
      <c r="L54" s="918">
        <f>IFERROR(F54*(K54/100),0)</f>
        <v>7990.4804757511702</v>
      </c>
      <c r="M54" s="919">
        <f t="shared" si="13"/>
        <v>15933.11376302479</v>
      </c>
    </row>
    <row r="55" spans="1:15" ht="12">
      <c r="A55" s="984">
        <v>18</v>
      </c>
      <c r="B55" s="910" t="str">
        <f>B470</f>
        <v>Mechanical equipment</v>
      </c>
      <c r="C55" s="825" t="s">
        <v>187</v>
      </c>
      <c r="D55" s="974">
        <f>C489</f>
        <v>454926.66666666669</v>
      </c>
      <c r="E55" s="974">
        <f>C490</f>
        <v>1824000000</v>
      </c>
      <c r="F55" s="966">
        <f>D55*E55/10000000000000</f>
        <v>82.978623999999996</v>
      </c>
      <c r="G55" s="966">
        <f t="shared" si="11"/>
        <v>352.20129032258063</v>
      </c>
      <c r="H55" s="981">
        <f t="shared" si="3"/>
        <v>6.4354663162363504E-2</v>
      </c>
      <c r="I55" s="916"/>
      <c r="J55" s="916">
        <f>F55*10000000000000/$M$87*100</f>
        <v>0.22646225308398707</v>
      </c>
      <c r="K55" s="977" t="s">
        <v>1192</v>
      </c>
      <c r="L55" s="978">
        <f>IFERROR(F55*(K55/100),0)</f>
        <v>0</v>
      </c>
      <c r="M55" s="979">
        <f t="shared" si="13"/>
        <v>82.978623999999996</v>
      </c>
    </row>
    <row r="56" spans="1:15" ht="12">
      <c r="A56" s="972">
        <v>18.100000000000001</v>
      </c>
      <c r="B56" s="973" t="s">
        <v>1296</v>
      </c>
      <c r="C56" s="825"/>
      <c r="D56" s="974"/>
      <c r="E56" s="974"/>
      <c r="F56" s="966">
        <f>C494/10000000000000</f>
        <v>6.9148853333333333</v>
      </c>
      <c r="G56" s="966">
        <f t="shared" si="11"/>
        <v>29.350107526881718</v>
      </c>
      <c r="H56" s="981">
        <f t="shared" si="3"/>
        <v>5.3628885968636259E-3</v>
      </c>
      <c r="I56" s="916"/>
      <c r="J56" s="916">
        <f>F56*10000000000000/$M$87*100</f>
        <v>1.8871854423665589E-2</v>
      </c>
      <c r="K56" s="977" t="s">
        <v>1192</v>
      </c>
      <c r="L56" s="978">
        <f>IFERROR(F56*(K56/100),0)</f>
        <v>0</v>
      </c>
      <c r="M56" s="979">
        <f t="shared" si="13"/>
        <v>6.9148853333333333</v>
      </c>
    </row>
    <row r="57" spans="1:15" s="850" customFormat="1" ht="12">
      <c r="A57" s="962">
        <v>19</v>
      </c>
      <c r="B57" s="980" t="s">
        <v>1234</v>
      </c>
      <c r="C57" s="964"/>
      <c r="D57" s="965"/>
      <c r="E57" s="965"/>
      <c r="F57" s="966">
        <f>SUM(F58:F60)</f>
        <v>1034.3418041940715</v>
      </c>
      <c r="G57" s="966">
        <f>SUM(G58:G60)</f>
        <v>4390.2453488712708</v>
      </c>
      <c r="H57" s="967">
        <f t="shared" si="3"/>
        <v>0.80219115713054989</v>
      </c>
      <c r="I57" s="991">
        <f>F57*10000000000000/$L$87*100</f>
        <v>1.1206509018835435</v>
      </c>
      <c r="J57" s="991"/>
      <c r="K57" s="969"/>
      <c r="L57" s="970">
        <f>SUM(L58:L60)</f>
        <v>2.0487020444659255E-2</v>
      </c>
      <c r="M57" s="971">
        <f t="shared" si="13"/>
        <v>1034.3213171736268</v>
      </c>
    </row>
    <row r="58" spans="1:15" ht="12" outlineLevel="1">
      <c r="A58" s="972">
        <v>19.100000000000001</v>
      </c>
      <c r="B58" s="973" t="s">
        <v>542</v>
      </c>
      <c r="C58" s="825" t="s">
        <v>187</v>
      </c>
      <c r="D58" s="974">
        <f>C507</f>
        <v>1235294.1176470588</v>
      </c>
      <c r="E58" s="974">
        <f>C508</f>
        <v>5092000000</v>
      </c>
      <c r="F58" s="975">
        <f>D58*E58/10000000000000</f>
        <v>629.01176470588234</v>
      </c>
      <c r="G58" s="975">
        <f>F58/$E$76*10000000000000</f>
        <v>2669.8292220113849</v>
      </c>
      <c r="H58" s="976">
        <f t="shared" si="3"/>
        <v>0.48783455655773345</v>
      </c>
      <c r="I58" s="916"/>
      <c r="J58" s="916"/>
      <c r="K58" s="977" t="s">
        <v>1192</v>
      </c>
      <c r="L58" s="978">
        <f>IFERROR(F58*(K58/100),0)</f>
        <v>0</v>
      </c>
      <c r="M58" s="979">
        <f t="shared" si="13"/>
        <v>629.01176470588234</v>
      </c>
    </row>
    <row r="59" spans="1:15" ht="12" outlineLevel="1">
      <c r="A59" s="972">
        <v>19.2</v>
      </c>
      <c r="B59" s="973" t="s">
        <v>543</v>
      </c>
      <c r="C59" s="825" t="s">
        <v>388</v>
      </c>
      <c r="D59" s="974">
        <f>C519</f>
        <v>131231099.99999999</v>
      </c>
      <c r="E59" s="974">
        <f>C520</f>
        <v>31222.812953117449</v>
      </c>
      <c r="F59" s="975">
        <f>D59*E59/10000000000000</f>
        <v>0.40974040889318508</v>
      </c>
      <c r="G59" s="975">
        <f>F59/$E$76*10000000000000</f>
        <v>1.7391358611765071</v>
      </c>
      <c r="H59" s="976">
        <f t="shared" si="3"/>
        <v>3.1777709399387024E-4</v>
      </c>
      <c r="I59" s="916"/>
      <c r="J59" s="916"/>
      <c r="K59" s="977">
        <v>5</v>
      </c>
      <c r="L59" s="978">
        <f>IFERROR(F59*(K59/100),0)</f>
        <v>2.0487020444659255E-2</v>
      </c>
      <c r="M59" s="979">
        <f t="shared" si="13"/>
        <v>0.38925338844852581</v>
      </c>
    </row>
    <row r="60" spans="1:15" ht="12" outlineLevel="1">
      <c r="A60" s="972">
        <v>19.3</v>
      </c>
      <c r="B60" s="973" t="s">
        <v>538</v>
      </c>
      <c r="C60" s="825" t="s">
        <v>388</v>
      </c>
      <c r="D60" s="974">
        <f>C529</f>
        <v>28723863167.999996</v>
      </c>
      <c r="E60" s="974">
        <f>C530</f>
        <v>140970</v>
      </c>
      <c r="F60" s="975">
        <f>D60*E60/10000000000000</f>
        <v>404.92029907929594</v>
      </c>
      <c r="G60" s="975">
        <f>F60/$E$76*10000000000000</f>
        <v>1718.6769909987095</v>
      </c>
      <c r="H60" s="976">
        <f t="shared" si="3"/>
        <v>0.31403882347882245</v>
      </c>
      <c r="I60" s="916"/>
      <c r="J60" s="916"/>
      <c r="K60" s="977" t="s">
        <v>1192</v>
      </c>
      <c r="L60" s="978">
        <f>IFERROR(F60*(K60/100),0)</f>
        <v>0</v>
      </c>
      <c r="M60" s="979">
        <f t="shared" si="13"/>
        <v>404.92029907929594</v>
      </c>
    </row>
    <row r="61" spans="1:15" s="850" customFormat="1" ht="12">
      <c r="A61" s="962">
        <v>20</v>
      </c>
      <c r="B61" s="980" t="str">
        <f>B624</f>
        <v>Services</v>
      </c>
      <c r="C61" s="964" t="s">
        <v>545</v>
      </c>
      <c r="D61" s="965"/>
      <c r="E61" s="965"/>
      <c r="F61" s="966">
        <f>SUM(F62:F76)</f>
        <v>48988.762373318168</v>
      </c>
      <c r="G61" s="966">
        <f>F61</f>
        <v>48988.762373318168</v>
      </c>
      <c r="H61" s="967">
        <f t="shared" si="3"/>
        <v>37.993583760511122</v>
      </c>
      <c r="I61" s="991">
        <f>SUM(I62:I76)</f>
        <v>43.304894192346133</v>
      </c>
      <c r="J61" s="991">
        <f>SUM(J62:J76)</f>
        <v>24.614541883497736</v>
      </c>
      <c r="K61" s="969"/>
      <c r="L61" s="970">
        <f>SUM(L62:L76)</f>
        <v>8328.0896034640882</v>
      </c>
      <c r="M61" s="971">
        <f t="shared" si="13"/>
        <v>40660.672769854078</v>
      </c>
    </row>
    <row r="62" spans="1:15" ht="12" outlineLevel="1">
      <c r="A62" s="972">
        <v>22.1</v>
      </c>
      <c r="B62" s="973" t="str">
        <f>B628</f>
        <v>Labor</v>
      </c>
      <c r="C62" s="825" t="s">
        <v>545</v>
      </c>
      <c r="D62" s="974">
        <f>EMERGY!C628</f>
        <v>27874.750150511736</v>
      </c>
      <c r="E62" s="974"/>
      <c r="F62" s="975">
        <f>D62*$E$76/10000000000000</f>
        <v>6567.2911354605649</v>
      </c>
      <c r="G62" s="993">
        <f>F62/$E$76*10000000000000</f>
        <v>27874.750150511736</v>
      </c>
      <c r="H62" s="976">
        <f t="shared" si="3"/>
        <v>5.0933094396906409</v>
      </c>
      <c r="I62" s="916">
        <f>F62*10000000000000/$L$87*100</f>
        <v>7.1152888765045095</v>
      </c>
      <c r="J62" s="916"/>
      <c r="K62" s="994">
        <v>17</v>
      </c>
      <c r="L62" s="978">
        <f t="shared" ref="L62:L76" si="16">IFERROR(F62*(K62/100),0)</f>
        <v>1116.4394930282961</v>
      </c>
      <c r="M62" s="979">
        <f t="shared" si="13"/>
        <v>5450.8516424322688</v>
      </c>
      <c r="O62" s="844"/>
    </row>
    <row r="63" spans="1:15" ht="12" outlineLevel="1">
      <c r="A63" s="972">
        <v>22.2</v>
      </c>
      <c r="B63" s="973" t="str">
        <f>B629</f>
        <v>Technical assistance</v>
      </c>
      <c r="C63" s="825" t="s">
        <v>545</v>
      </c>
      <c r="D63" s="974">
        <f>EMERGY!C629</f>
        <v>440.55470417601663</v>
      </c>
      <c r="E63" s="974"/>
      <c r="F63" s="975">
        <f t="shared" ref="F63:F76" si="17">D63*$E$76/10000000000000</f>
        <v>103.79468830386951</v>
      </c>
      <c r="G63" s="993">
        <f t="shared" ref="G63:G76" si="18">F63/$E$76*10000000000000</f>
        <v>440.55470417601657</v>
      </c>
      <c r="H63" s="976">
        <f t="shared" si="3"/>
        <v>8.0498710171887561E-2</v>
      </c>
      <c r="I63" s="916">
        <f>F63*10000000000000/$L$87*100</f>
        <v>0.11245568011155063</v>
      </c>
      <c r="J63" s="916"/>
      <c r="K63" s="994">
        <v>17</v>
      </c>
      <c r="L63" s="978">
        <f t="shared" si="16"/>
        <v>17.645097011657818</v>
      </c>
      <c r="M63" s="979">
        <f t="shared" si="13"/>
        <v>86.149591292211682</v>
      </c>
    </row>
    <row r="64" spans="1:15" ht="12" outlineLevel="1">
      <c r="A64" s="972">
        <v>22.3</v>
      </c>
      <c r="B64" s="973" t="str">
        <f>B630</f>
        <v>Transport</v>
      </c>
      <c r="C64" s="825" t="s">
        <v>545</v>
      </c>
      <c r="D64" s="974">
        <f>EMERGY!C630</f>
        <v>10494.222025285972</v>
      </c>
      <c r="E64" s="974"/>
      <c r="F64" s="975">
        <f t="shared" si="17"/>
        <v>2472.4387091573749</v>
      </c>
      <c r="G64" s="993">
        <f t="shared" si="18"/>
        <v>10494.222025285972</v>
      </c>
      <c r="H64" s="976">
        <f t="shared" si="3"/>
        <v>1.9175174598871594</v>
      </c>
      <c r="I64" s="916">
        <f>F64*10000000000000/$L$87*100</f>
        <v>2.6787476422533993</v>
      </c>
      <c r="J64" s="916"/>
      <c r="K64" s="994">
        <v>17</v>
      </c>
      <c r="L64" s="978">
        <f t="shared" si="16"/>
        <v>420.31458055675375</v>
      </c>
      <c r="M64" s="979">
        <f t="shared" si="13"/>
        <v>2052.1241286006211</v>
      </c>
    </row>
    <row r="65" spans="1:13" ht="12" outlineLevel="1">
      <c r="A65" s="972">
        <v>22.4</v>
      </c>
      <c r="B65" s="973" t="str">
        <f t="shared" ref="B65:B76" si="19">B631</f>
        <v>Hydroeletric power</v>
      </c>
      <c r="C65" s="825" t="s">
        <v>545</v>
      </c>
      <c r="D65" s="974">
        <f>EMERGY!C631</f>
        <v>1214.8103552077062</v>
      </c>
      <c r="E65" s="974"/>
      <c r="F65" s="975">
        <f t="shared" si="17"/>
        <v>286.20931968693554</v>
      </c>
      <c r="G65" s="993">
        <f t="shared" si="18"/>
        <v>1214.8103552077059</v>
      </c>
      <c r="H65" s="976">
        <f t="shared" si="3"/>
        <v>0.2219716774573407</v>
      </c>
      <c r="I65" s="916"/>
      <c r="J65" s="916">
        <f>F65*10000000000000/$M$87*100</f>
        <v>0.78111210171355172</v>
      </c>
      <c r="K65" s="994">
        <v>17</v>
      </c>
      <c r="L65" s="978">
        <f t="shared" si="16"/>
        <v>48.655584346779044</v>
      </c>
      <c r="M65" s="979">
        <f t="shared" si="13"/>
        <v>237.55373534015649</v>
      </c>
    </row>
    <row r="66" spans="1:13" ht="12" outlineLevel="1">
      <c r="A66" s="972">
        <v>22.5</v>
      </c>
      <c r="B66" s="973" t="str">
        <f t="shared" si="19"/>
        <v>Fuel</v>
      </c>
      <c r="C66" s="825" t="s">
        <v>545</v>
      </c>
      <c r="D66" s="974">
        <f>EMERGY!C632</f>
        <v>0</v>
      </c>
      <c r="E66" s="974"/>
      <c r="F66" s="975">
        <f t="shared" si="17"/>
        <v>0</v>
      </c>
      <c r="G66" s="993">
        <f t="shared" si="18"/>
        <v>0</v>
      </c>
      <c r="H66" s="976">
        <f t="shared" si="3"/>
        <v>0</v>
      </c>
      <c r="I66" s="916"/>
      <c r="J66" s="916">
        <f>F66*10000000000000/$M$87*100</f>
        <v>0</v>
      </c>
      <c r="K66" s="994">
        <v>17</v>
      </c>
      <c r="L66" s="978">
        <f t="shared" si="16"/>
        <v>0</v>
      </c>
      <c r="M66" s="979">
        <f t="shared" si="13"/>
        <v>0</v>
      </c>
    </row>
    <row r="67" spans="1:13" ht="12" outlineLevel="1">
      <c r="A67" s="972">
        <v>22.6</v>
      </c>
      <c r="B67" s="973" t="str">
        <f t="shared" si="19"/>
        <v>Heating</v>
      </c>
      <c r="C67" s="825" t="s">
        <v>545</v>
      </c>
      <c r="D67" s="974">
        <f>EMERGY!C633</f>
        <v>3078.2059000602044</v>
      </c>
      <c r="E67" s="974"/>
      <c r="F67" s="975">
        <f t="shared" si="17"/>
        <v>725.22531005418421</v>
      </c>
      <c r="G67" s="993">
        <f t="shared" si="18"/>
        <v>3078.2059000602044</v>
      </c>
      <c r="H67" s="976">
        <f t="shared" si="3"/>
        <v>0.56245365728597352</v>
      </c>
      <c r="I67" s="916"/>
      <c r="J67" s="916">
        <f>F67*10000000000000/$M$87*100</f>
        <v>1.9792586306131521</v>
      </c>
      <c r="K67" s="994">
        <v>17</v>
      </c>
      <c r="L67" s="978">
        <f t="shared" si="16"/>
        <v>123.28830270921132</v>
      </c>
      <c r="M67" s="979">
        <f t="shared" si="13"/>
        <v>601.93700734497293</v>
      </c>
    </row>
    <row r="68" spans="1:13" ht="12" outlineLevel="1">
      <c r="A68" s="972">
        <v>22.7</v>
      </c>
      <c r="B68" s="973" t="str">
        <f t="shared" si="19"/>
        <v>Litter</v>
      </c>
      <c r="C68" s="825" t="s">
        <v>545</v>
      </c>
      <c r="D68" s="974">
        <f>EMERGY!C634</f>
        <v>57.194461167971106</v>
      </c>
      <c r="E68" s="974"/>
      <c r="F68" s="975">
        <f t="shared" si="17"/>
        <v>13.475015051173992</v>
      </c>
      <c r="G68" s="993">
        <f t="shared" si="18"/>
        <v>57.194461167971106</v>
      </c>
      <c r="H68" s="976">
        <f t="shared" si="3"/>
        <v>1.0450643948085722E-2</v>
      </c>
      <c r="I68" s="916"/>
      <c r="J68" s="916">
        <f>F68*10000000000000/$M$87*100</f>
        <v>3.6775522679545751E-2</v>
      </c>
      <c r="K68" s="994">
        <v>17</v>
      </c>
      <c r="L68" s="978">
        <f t="shared" si="16"/>
        <v>2.2907525586995789</v>
      </c>
      <c r="M68" s="979">
        <f t="shared" si="13"/>
        <v>11.184262492474414</v>
      </c>
    </row>
    <row r="69" spans="1:13" ht="12" outlineLevel="1">
      <c r="A69" s="972">
        <v>22.8</v>
      </c>
      <c r="B69" s="973" t="str">
        <f t="shared" si="19"/>
        <v>Nutrition</v>
      </c>
      <c r="C69" s="825" t="s">
        <v>545</v>
      </c>
      <c r="D69" s="974">
        <f>EMERGY!C635</f>
        <v>104619.61324675496</v>
      </c>
      <c r="E69" s="974"/>
      <c r="F69" s="975">
        <f t="shared" si="17"/>
        <v>24648.38088093547</v>
      </c>
      <c r="G69" s="993">
        <f t="shared" si="18"/>
        <v>104619.61324675496</v>
      </c>
      <c r="H69" s="976">
        <f t="shared" si="3"/>
        <v>19.116227440578466</v>
      </c>
      <c r="I69" s="916">
        <f>F69*10000000000000/$L$87*100</f>
        <v>26.705127987852961</v>
      </c>
      <c r="J69" s="916"/>
      <c r="K69" s="994">
        <v>17</v>
      </c>
      <c r="L69" s="978">
        <f t="shared" si="16"/>
        <v>4190.2247497590306</v>
      </c>
      <c r="M69" s="979">
        <f t="shared" si="13"/>
        <v>20458.156131176438</v>
      </c>
    </row>
    <row r="70" spans="1:13" ht="12" outlineLevel="1">
      <c r="A70" s="972">
        <v>22.9</v>
      </c>
      <c r="B70" s="973" t="str">
        <f t="shared" si="19"/>
        <v>1-day-chicks</v>
      </c>
      <c r="C70" s="825" t="s">
        <v>545</v>
      </c>
      <c r="D70" s="974">
        <f>EMERGY!C636</f>
        <v>21962.673088500902</v>
      </c>
      <c r="E70" s="974"/>
      <c r="F70" s="975">
        <f t="shared" si="17"/>
        <v>5174.4057796508132</v>
      </c>
      <c r="G70" s="993">
        <f t="shared" si="18"/>
        <v>21962.673088500906</v>
      </c>
      <c r="H70" s="976">
        <f t="shared" si="3"/>
        <v>4.0130472760649178</v>
      </c>
      <c r="I70" s="916">
        <f>F70*10000000000000/$L$87*100</f>
        <v>5.6061762950742198</v>
      </c>
      <c r="J70" s="916"/>
      <c r="K70" s="994">
        <v>17</v>
      </c>
      <c r="L70" s="978">
        <f t="shared" si="16"/>
        <v>879.64898254063826</v>
      </c>
      <c r="M70" s="979">
        <f t="shared" si="13"/>
        <v>4294.7567971101753</v>
      </c>
    </row>
    <row r="71" spans="1:13" ht="12" outlineLevel="1">
      <c r="A71" s="995" t="s">
        <v>1615</v>
      </c>
      <c r="B71" s="973" t="str">
        <f t="shared" si="19"/>
        <v>Sanity</v>
      </c>
      <c r="C71" s="825" t="s">
        <v>545</v>
      </c>
      <c r="D71" s="974">
        <f>EMERGY!C637</f>
        <v>92.655027092113201</v>
      </c>
      <c r="E71" s="974"/>
      <c r="F71" s="975">
        <f t="shared" si="17"/>
        <v>21.829524382901869</v>
      </c>
      <c r="G71" s="993">
        <f t="shared" si="18"/>
        <v>92.655027092113187</v>
      </c>
      <c r="H71" s="976">
        <f t="shared" si="3"/>
        <v>1.6930043195898869E-2</v>
      </c>
      <c r="I71" s="916"/>
      <c r="J71" s="916">
        <f>F71*10000000000000/$M$87*100</f>
        <v>5.9576346740864122E-2</v>
      </c>
      <c r="K71" s="994">
        <v>17</v>
      </c>
      <c r="L71" s="978">
        <f t="shared" si="16"/>
        <v>3.7110191450933181</v>
      </c>
      <c r="M71" s="979">
        <f t="shared" si="13"/>
        <v>18.118505237808552</v>
      </c>
    </row>
    <row r="72" spans="1:13" ht="12" outlineLevel="1">
      <c r="A72" s="995" t="s">
        <v>1616</v>
      </c>
      <c r="B72" s="973" t="str">
        <f t="shared" si="19"/>
        <v>Maintenance</v>
      </c>
      <c r="C72" s="825" t="s">
        <v>545</v>
      </c>
      <c r="D72" s="974">
        <f>EMERGY!C638</f>
        <v>90.319686935580961</v>
      </c>
      <c r="E72" s="974"/>
      <c r="F72" s="975">
        <f t="shared" si="17"/>
        <v>21.279318242022875</v>
      </c>
      <c r="G72" s="993">
        <f t="shared" si="18"/>
        <v>90.319686935580961</v>
      </c>
      <c r="H72" s="976">
        <f t="shared" si="3"/>
        <v>1.6503326902481769E-2</v>
      </c>
      <c r="I72" s="916"/>
      <c r="J72" s="916">
        <f>F72*10000000000000/$M$87*100</f>
        <v>5.8074744083243493E-2</v>
      </c>
      <c r="K72" s="994">
        <v>17</v>
      </c>
      <c r="L72" s="978">
        <f t="shared" si="16"/>
        <v>3.617484101143889</v>
      </c>
      <c r="M72" s="979">
        <f t="shared" si="13"/>
        <v>17.661834140878987</v>
      </c>
    </row>
    <row r="73" spans="1:13" ht="12" outlineLevel="1">
      <c r="A73" s="995" t="s">
        <v>1617</v>
      </c>
      <c r="B73" s="973" t="str">
        <f t="shared" si="19"/>
        <v>Rate, insurances and certifications</v>
      </c>
      <c r="C73" s="825" t="s">
        <v>545</v>
      </c>
      <c r="D73" s="974">
        <f>EMERGY!C639</f>
        <v>1061.6974516994142</v>
      </c>
      <c r="E73" s="974"/>
      <c r="F73" s="975">
        <f t="shared" si="17"/>
        <v>250.135919620382</v>
      </c>
      <c r="G73" s="993">
        <f t="shared" si="18"/>
        <v>1061.6974516994142</v>
      </c>
      <c r="H73" s="976">
        <f t="shared" si="3"/>
        <v>0.1939946949708122</v>
      </c>
      <c r="I73" s="916"/>
      <c r="J73" s="916">
        <f>F73*10000000000000/$M$87*100</f>
        <v>0.68266188572212028</v>
      </c>
      <c r="K73" s="994">
        <v>17</v>
      </c>
      <c r="L73" s="978">
        <f t="shared" si="16"/>
        <v>42.523106335464945</v>
      </c>
      <c r="M73" s="979">
        <f t="shared" si="13"/>
        <v>207.61281328491705</v>
      </c>
    </row>
    <row r="74" spans="1:13" ht="12" outlineLevel="1">
      <c r="A74" s="995" t="s">
        <v>1618</v>
      </c>
      <c r="B74" s="973" t="str">
        <f t="shared" si="19"/>
        <v>Depreciation</v>
      </c>
      <c r="C74" s="825" t="s">
        <v>545</v>
      </c>
      <c r="D74" s="974">
        <f>EMERGY!C640</f>
        <v>8457.5812161348567</v>
      </c>
      <c r="E74" s="974"/>
      <c r="F74" s="975">
        <f t="shared" si="17"/>
        <v>1992.6061345213725</v>
      </c>
      <c r="G74" s="993">
        <f t="shared" si="18"/>
        <v>8457.5812161348586</v>
      </c>
      <c r="H74" s="976">
        <f t="shared" si="3"/>
        <v>1.54537988726328</v>
      </c>
      <c r="I74" s="916"/>
      <c r="J74" s="916">
        <f>F74*10000000000000/$M$87*100</f>
        <v>5.438148440888634</v>
      </c>
      <c r="K74" s="994">
        <v>17</v>
      </c>
      <c r="L74" s="978">
        <f t="shared" si="16"/>
        <v>338.74304286863332</v>
      </c>
      <c r="M74" s="979">
        <f t="shared" si="13"/>
        <v>1653.8630916527391</v>
      </c>
    </row>
    <row r="75" spans="1:13" ht="12" outlineLevel="1">
      <c r="A75" s="995" t="s">
        <v>1619</v>
      </c>
      <c r="B75" s="973" t="str">
        <f t="shared" si="19"/>
        <v>Production factors cost</v>
      </c>
      <c r="C75" s="825" t="s">
        <v>545</v>
      </c>
      <c r="D75" s="974">
        <f>EMERGY!C641</f>
        <v>24228.853401674092</v>
      </c>
      <c r="E75" s="974"/>
      <c r="F75" s="975">
        <f t="shared" si="17"/>
        <v>5708.317861434416</v>
      </c>
      <c r="G75" s="993">
        <f t="shared" si="18"/>
        <v>24228.853401674092</v>
      </c>
      <c r="H75" s="976">
        <f t="shared" si="3"/>
        <v>4.4271265958364774</v>
      </c>
      <c r="I75" s="916"/>
      <c r="J75" s="916">
        <f>F75*10000000000000/$M$87*100</f>
        <v>15.578934211056627</v>
      </c>
      <c r="K75" s="994">
        <v>17</v>
      </c>
      <c r="L75" s="978">
        <f t="shared" si="16"/>
        <v>970.41403644385082</v>
      </c>
      <c r="M75" s="979">
        <f t="shared" si="13"/>
        <v>4737.9038249905652</v>
      </c>
    </row>
    <row r="76" spans="1:13" ht="12" outlineLevel="1">
      <c r="A76" s="995" t="s">
        <v>1620</v>
      </c>
      <c r="B76" s="973" t="str">
        <f t="shared" si="19"/>
        <v>Miscellaneous</v>
      </c>
      <c r="C76" s="825" t="s">
        <v>545</v>
      </c>
      <c r="D76" s="974">
        <f>EMERGY!C642</f>
        <v>4258.7978642473745</v>
      </c>
      <c r="E76" s="996">
        <f>C644</f>
        <v>2356000000000</v>
      </c>
      <c r="F76" s="975">
        <f t="shared" si="17"/>
        <v>1003.3727768166814</v>
      </c>
      <c r="G76" s="993">
        <f t="shared" si="18"/>
        <v>4258.7978642473745</v>
      </c>
      <c r="H76" s="976">
        <f t="shared" si="3"/>
        <v>0.7781729072576915</v>
      </c>
      <c r="I76" s="916">
        <f>F76*10000000000000/$L$87*100</f>
        <v>1.0870977105494952</v>
      </c>
      <c r="J76" s="916"/>
      <c r="K76" s="994">
        <v>17</v>
      </c>
      <c r="L76" s="978">
        <f t="shared" si="16"/>
        <v>170.57337205883584</v>
      </c>
      <c r="M76" s="979">
        <f t="shared" si="13"/>
        <v>832.79940475784554</v>
      </c>
    </row>
    <row r="77" spans="1:13" ht="12">
      <c r="A77" s="893"/>
      <c r="B77" s="997"/>
      <c r="C77" s="895"/>
      <c r="D77" s="998"/>
      <c r="E77" s="999" t="s">
        <v>1542</v>
      </c>
      <c r="F77" s="1000" t="s">
        <v>1557</v>
      </c>
      <c r="G77" s="1001"/>
      <c r="H77" s="1002">
        <f>SUM(H27+H29)</f>
        <v>100</v>
      </c>
      <c r="I77" s="1003">
        <f>SUM(I30:I61,I21,I11)</f>
        <v>100.00000000000001</v>
      </c>
      <c r="J77" s="1003">
        <f>SUM(J30:J61,J21,J11)</f>
        <v>99.999999999999986</v>
      </c>
      <c r="K77" s="1004"/>
      <c r="L77" s="1004"/>
      <c r="M77" s="1005"/>
    </row>
    <row r="78" spans="1:13" ht="12">
      <c r="A78" s="902" t="s">
        <v>1580</v>
      </c>
      <c r="B78" s="1006"/>
      <c r="C78" s="895"/>
      <c r="D78" s="894"/>
      <c r="E78" s="998"/>
      <c r="F78" s="894"/>
      <c r="G78" s="1007"/>
      <c r="H78" s="900"/>
      <c r="I78" s="900"/>
      <c r="J78" s="899"/>
      <c r="K78" s="898"/>
      <c r="L78" s="900"/>
      <c r="M78" s="1008"/>
    </row>
    <row r="79" spans="1:13" ht="12">
      <c r="A79" s="921">
        <v>23</v>
      </c>
      <c r="B79" s="803" t="s">
        <v>850</v>
      </c>
      <c r="C79" s="885" t="s">
        <v>184</v>
      </c>
      <c r="D79" s="1009">
        <f>C650</f>
        <v>255406.69440000001</v>
      </c>
      <c r="E79" s="1010"/>
      <c r="F79" s="875"/>
      <c r="G79" s="875"/>
      <c r="H79" s="824"/>
      <c r="I79" s="824"/>
      <c r="J79" s="916"/>
      <c r="K79" s="804"/>
      <c r="L79" s="824"/>
      <c r="M79" s="873"/>
    </row>
    <row r="80" spans="1:13" ht="12">
      <c r="A80" s="921">
        <v>23</v>
      </c>
      <c r="B80" s="803" t="s">
        <v>850</v>
      </c>
      <c r="C80" s="885" t="s">
        <v>388</v>
      </c>
      <c r="D80" s="1009">
        <f>C659</f>
        <v>2728509716275.2007</v>
      </c>
      <c r="E80" s="1009"/>
      <c r="F80" s="1009"/>
      <c r="G80" s="1011"/>
      <c r="H80" s="824"/>
      <c r="I80" s="824"/>
      <c r="J80" s="824"/>
      <c r="K80" s="804"/>
      <c r="L80" s="824"/>
      <c r="M80" s="873"/>
    </row>
    <row r="81" spans="1:13" ht="12">
      <c r="A81" s="921">
        <v>23</v>
      </c>
      <c r="B81" s="803" t="s">
        <v>845</v>
      </c>
      <c r="C81" s="885" t="s">
        <v>184</v>
      </c>
      <c r="D81" s="1009">
        <f>C662</f>
        <v>20899.999999999996</v>
      </c>
      <c r="E81" s="1009"/>
      <c r="F81" s="1009"/>
      <c r="G81" s="1011"/>
      <c r="H81" s="824"/>
      <c r="I81" s="824"/>
      <c r="J81" s="824"/>
      <c r="K81" s="804"/>
      <c r="L81" s="824"/>
      <c r="M81" s="873"/>
    </row>
    <row r="82" spans="1:13" ht="12">
      <c r="A82" s="921">
        <v>23</v>
      </c>
      <c r="B82" s="803" t="s">
        <v>845</v>
      </c>
      <c r="C82" s="885" t="s">
        <v>388</v>
      </c>
      <c r="D82" s="1009">
        <f>C666</f>
        <v>349949599999.99994</v>
      </c>
      <c r="E82" s="1009"/>
      <c r="F82" s="1009"/>
      <c r="G82" s="1011"/>
      <c r="H82" s="824"/>
      <c r="I82" s="824"/>
      <c r="J82" s="824"/>
      <c r="K82" s="804"/>
      <c r="L82" s="824"/>
      <c r="M82" s="873"/>
    </row>
    <row r="83" spans="1:13" ht="12">
      <c r="A83" s="888"/>
      <c r="B83" s="870"/>
      <c r="C83" s="870"/>
      <c r="D83" s="1012"/>
      <c r="E83" s="870"/>
      <c r="F83" s="1009"/>
      <c r="G83" s="1011"/>
      <c r="H83" s="824"/>
      <c r="I83" s="824"/>
      <c r="J83" s="824"/>
      <c r="K83" s="804"/>
      <c r="L83" s="881"/>
      <c r="M83" s="883"/>
    </row>
    <row r="84" spans="1:13" ht="12">
      <c r="A84" s="1013" t="s">
        <v>549</v>
      </c>
      <c r="B84" s="1014"/>
      <c r="C84" s="1015"/>
      <c r="D84" s="1014"/>
      <c r="E84" s="1014"/>
      <c r="F84" s="1014"/>
      <c r="G84" s="1014"/>
      <c r="H84" s="1016" t="s">
        <v>1453</v>
      </c>
      <c r="I84" s="1017"/>
      <c r="J84" s="1017"/>
      <c r="K84" s="900"/>
      <c r="L84" s="1018" t="s">
        <v>1452</v>
      </c>
      <c r="M84" s="1019"/>
    </row>
    <row r="85" spans="1:13" ht="12">
      <c r="A85" s="902"/>
      <c r="B85" s="1020" t="s">
        <v>550</v>
      </c>
      <c r="C85" s="1020" t="s">
        <v>1558</v>
      </c>
      <c r="D85" s="1020" t="s">
        <v>551</v>
      </c>
      <c r="E85" s="1021" t="s">
        <v>524</v>
      </c>
      <c r="F85" s="1021"/>
      <c r="G85" s="1022"/>
      <c r="H85" s="1023" t="s">
        <v>552</v>
      </c>
      <c r="I85" s="1017"/>
      <c r="J85" s="1017"/>
      <c r="K85" s="824"/>
      <c r="L85" s="1024" t="s">
        <v>552</v>
      </c>
      <c r="M85" s="1025"/>
    </row>
    <row r="86" spans="1:13" ht="12">
      <c r="A86" s="902"/>
      <c r="B86" s="1015"/>
      <c r="C86" s="997"/>
      <c r="D86" s="997"/>
      <c r="E86" s="1026"/>
      <c r="F86" s="1026"/>
      <c r="G86" s="1015" t="s">
        <v>22</v>
      </c>
      <c r="H86" s="1015" t="s">
        <v>1559</v>
      </c>
      <c r="I86" s="1027" t="s">
        <v>1501</v>
      </c>
      <c r="J86" s="1027"/>
      <c r="K86" s="1015" t="s">
        <v>22</v>
      </c>
      <c r="L86" s="1015" t="s">
        <v>1559</v>
      </c>
      <c r="M86" s="1028" t="s">
        <v>1501</v>
      </c>
    </row>
    <row r="87" spans="1:13" ht="12">
      <c r="A87" s="984"/>
      <c r="B87" s="945" t="s">
        <v>521</v>
      </c>
      <c r="C87" s="945" t="s">
        <v>395</v>
      </c>
      <c r="D87" s="945" t="s">
        <v>1457</v>
      </c>
      <c r="E87" s="1029" t="s">
        <v>1541</v>
      </c>
      <c r="F87" s="1029"/>
      <c r="G87" s="946">
        <f>SUM(G93:G96)</f>
        <v>7.9950804586498253E+17</v>
      </c>
      <c r="H87" s="946">
        <f>SUM(H93:H96)</f>
        <v>5.2328622527764237E+17</v>
      </c>
      <c r="I87" s="1030">
        <f>SUM(I93:I96)</f>
        <v>2.7532288549400682E+17</v>
      </c>
      <c r="J87" s="1030"/>
      <c r="K87" s="1030">
        <f>SUM(K93:K96)</f>
        <v>1.2893956695981642E+18</v>
      </c>
      <c r="L87" s="1030">
        <f>SUM(L93:L96)</f>
        <v>9.2298306498088998E+17</v>
      </c>
      <c r="M87" s="1031">
        <f>SUM(M93:M96)</f>
        <v>3.6641260461727405E+17</v>
      </c>
    </row>
    <row r="88" spans="1:13" ht="12">
      <c r="A88" s="984"/>
      <c r="B88" s="1032" t="s">
        <v>1466</v>
      </c>
      <c r="C88" s="945" t="s">
        <v>380</v>
      </c>
      <c r="D88" s="945" t="s">
        <v>1560</v>
      </c>
      <c r="E88" s="1029" t="s">
        <v>388</v>
      </c>
      <c r="F88" s="1033"/>
      <c r="G88" s="946">
        <f>G87/$D$80</f>
        <v>293020.04720599763</v>
      </c>
      <c r="H88" s="946">
        <f>H87/$D$80</f>
        <v>191784.62959333041</v>
      </c>
      <c r="I88" s="946">
        <f>I87/$D$80</f>
        <v>100905.95750923741</v>
      </c>
      <c r="J88" s="1034"/>
      <c r="K88" s="946">
        <f>K87/$D$80</f>
        <v>472564.07477938931</v>
      </c>
      <c r="L88" s="946">
        <f>L87/$D$80</f>
        <v>338273.69551789307</v>
      </c>
      <c r="M88" s="1035">
        <f>M87/$D$80</f>
        <v>134290.37926149619</v>
      </c>
    </row>
    <row r="89" spans="1:13" ht="12">
      <c r="A89" s="984"/>
      <c r="B89" s="1032" t="s">
        <v>1466</v>
      </c>
      <c r="C89" s="945" t="s">
        <v>380</v>
      </c>
      <c r="D89" s="1036" t="s">
        <v>1560</v>
      </c>
      <c r="E89" s="1029" t="s">
        <v>184</v>
      </c>
      <c r="F89" s="1033"/>
      <c r="G89" s="946">
        <f>G87/$D$79</f>
        <v>3130333164301.6733</v>
      </c>
      <c r="H89" s="946">
        <f>H87/$D$79</f>
        <v>2048835197945.5491</v>
      </c>
      <c r="I89" s="946">
        <f>I87/$D$79</f>
        <v>1077978344071.1835</v>
      </c>
      <c r="J89" s="1034"/>
      <c r="K89" s="946">
        <f>K87/$D$79</f>
        <v>5048402010868.2168</v>
      </c>
      <c r="L89" s="946">
        <f>L87/$D$79</f>
        <v>3613777889217.6523</v>
      </c>
      <c r="M89" s="1035">
        <f>M87/$D$79</f>
        <v>1434624121650.564</v>
      </c>
    </row>
    <row r="90" spans="1:13" ht="12">
      <c r="A90" s="984"/>
      <c r="B90" s="1032" t="s">
        <v>1467</v>
      </c>
      <c r="C90" s="945" t="s">
        <v>380</v>
      </c>
      <c r="D90" s="945" t="s">
        <v>1560</v>
      </c>
      <c r="E90" s="1029" t="s">
        <v>388</v>
      </c>
      <c r="F90" s="1033"/>
      <c r="G90" s="946">
        <f>G87/$D$82</f>
        <v>2284637.6902987822</v>
      </c>
      <c r="H90" s="946">
        <f>H87/$D$82</f>
        <v>1495318.8267043096</v>
      </c>
      <c r="I90" s="946">
        <f>I87/$D$82</f>
        <v>786750.10771267314</v>
      </c>
      <c r="J90" s="1034"/>
      <c r="K90" s="946">
        <f>K87/$D$82</f>
        <v>3684518.1980438451</v>
      </c>
      <c r="L90" s="946">
        <f>L87/$D$82</f>
        <v>2637474.2676685159</v>
      </c>
      <c r="M90" s="1035">
        <f>M87/$D$82</f>
        <v>1047043.9303753286</v>
      </c>
    </row>
    <row r="91" spans="1:13" ht="12">
      <c r="A91" s="984"/>
      <c r="B91" s="1032" t="s">
        <v>1467</v>
      </c>
      <c r="C91" s="945" t="s">
        <v>380</v>
      </c>
      <c r="D91" s="1036" t="s">
        <v>1560</v>
      </c>
      <c r="E91" s="1029" t="s">
        <v>184</v>
      </c>
      <c r="F91" s="1033"/>
      <c r="G91" s="946">
        <f>G87/$D$81</f>
        <v>38253973486362.805</v>
      </c>
      <c r="H91" s="946">
        <f>H87/$D$81</f>
        <v>25037618434336.961</v>
      </c>
      <c r="I91" s="1030">
        <f>SUM(G93,G95)</f>
        <v>1.449695502985151E+17</v>
      </c>
      <c r="J91" s="1034"/>
      <c r="K91" s="946">
        <f>K87/$D$81</f>
        <v>61693572708046.148</v>
      </c>
      <c r="L91" s="946">
        <f>L87/$D$81</f>
        <v>44161869137841.633</v>
      </c>
      <c r="M91" s="1031">
        <f>SUM(L93,L95)</f>
        <v>2.053662084872751E+17</v>
      </c>
    </row>
    <row r="92" spans="1:13" ht="12">
      <c r="A92" s="984"/>
      <c r="B92" s="1037" t="s">
        <v>1524</v>
      </c>
      <c r="C92" s="1038" t="s">
        <v>1525</v>
      </c>
      <c r="D92" s="1036" t="s">
        <v>1561</v>
      </c>
      <c r="E92" s="1029" t="s">
        <v>1526</v>
      </c>
      <c r="F92" s="1033"/>
      <c r="G92" s="1039">
        <f>G87/$C$110</f>
        <v>666256704887485.5</v>
      </c>
      <c r="H92" s="1039">
        <f>H87/$C$110</f>
        <v>436071854398035.31</v>
      </c>
      <c r="I92" s="1039">
        <f>I87/$C$110</f>
        <v>229435737911672.34</v>
      </c>
      <c r="J92" s="1034"/>
      <c r="K92" s="1039">
        <f>K87/$C$110</f>
        <v>1074496391331803.5</v>
      </c>
      <c r="L92" s="1039">
        <f>L87/$C$110</f>
        <v>769152554150741.63</v>
      </c>
      <c r="M92" s="1040">
        <f>M87/$C$110</f>
        <v>305343837181061.69</v>
      </c>
    </row>
    <row r="93" spans="1:13" ht="12">
      <c r="A93" s="984"/>
      <c r="B93" s="1037" t="s">
        <v>1183</v>
      </c>
      <c r="C93" s="945" t="s">
        <v>238</v>
      </c>
      <c r="D93" s="1041"/>
      <c r="E93" s="1029" t="s">
        <v>1465</v>
      </c>
      <c r="F93" s="1033"/>
      <c r="G93" s="946">
        <f>F11*10000000000000</f>
        <v>154961076220499.5</v>
      </c>
      <c r="H93" s="946">
        <v>0</v>
      </c>
      <c r="I93" s="1030">
        <f>G93</f>
        <v>154961076220499.5</v>
      </c>
      <c r="J93" s="1034"/>
      <c r="K93" s="1030">
        <f>F11*10000000000000</f>
        <v>154961076220499.5</v>
      </c>
      <c r="L93" s="946">
        <v>0</v>
      </c>
      <c r="M93" s="1031">
        <f>K93</f>
        <v>154961076220499.5</v>
      </c>
    </row>
    <row r="94" spans="1:13" ht="12">
      <c r="A94" s="984"/>
      <c r="B94" s="1037" t="s">
        <v>1184</v>
      </c>
      <c r="C94" s="945" t="s">
        <v>247</v>
      </c>
      <c r="D94" s="1042"/>
      <c r="E94" s="1029" t="s">
        <v>1465</v>
      </c>
      <c r="F94" s="1033"/>
      <c r="G94" s="946">
        <f>F21*10000000000000</f>
        <v>79431271779230.016</v>
      </c>
      <c r="H94" s="946">
        <v>0</v>
      </c>
      <c r="I94" s="1030">
        <f>G94</f>
        <v>79431271779230.016</v>
      </c>
      <c r="J94" s="1034"/>
      <c r="K94" s="1030">
        <f>F21*10000000000000</f>
        <v>79431271779230.016</v>
      </c>
      <c r="L94" s="946">
        <v>0</v>
      </c>
      <c r="M94" s="1031">
        <f>K94</f>
        <v>79431271779230.016</v>
      </c>
    </row>
    <row r="95" spans="1:13" ht="12">
      <c r="A95" s="984"/>
      <c r="B95" s="1037" t="s">
        <v>1456</v>
      </c>
      <c r="C95" s="945" t="s">
        <v>1454</v>
      </c>
      <c r="D95" s="1041"/>
      <c r="E95" s="1029" t="s">
        <v>1465</v>
      </c>
      <c r="F95" s="1033"/>
      <c r="G95" s="946">
        <f>SUM(L45:L51,L52,L55,L56,L57,L39,L30)*10000000000000</f>
        <v>1.4481458922229459E+17</v>
      </c>
      <c r="H95" s="946">
        <f>SUM(L51,L52,L57,L40:L41,)*10000000000000</f>
        <v>1.3741774573772298E+17</v>
      </c>
      <c r="I95" s="1030">
        <f>SUM(L45:L50,L42:L44,L30)*10000000000000</f>
        <v>7396843484571609</v>
      </c>
      <c r="J95" s="1034"/>
      <c r="K95" s="1030">
        <f>SUM(L45:L51,L52,L55,L56,L57,L39,L30,L61)*10000000000000</f>
        <v>2.2809548525693549E+17</v>
      </c>
      <c r="L95" s="1030">
        <f>SUM(L51,L52,L57,L40:L41,L62:L64,L69:L70,L76)*10000000000000</f>
        <v>2.053662084872751E+17</v>
      </c>
      <c r="M95" s="1031">
        <f>SUM(L45:L50,L42:L44,L30,L65:L68,L71:L75,L55:L56)*10000000000000</f>
        <v>2.2729276769660372E+16</v>
      </c>
    </row>
    <row r="96" spans="1:13" ht="12">
      <c r="A96" s="984"/>
      <c r="B96" s="945" t="s">
        <v>1224</v>
      </c>
      <c r="C96" s="945" t="s">
        <v>1455</v>
      </c>
      <c r="D96" s="1020"/>
      <c r="E96" s="1029" t="s">
        <v>1465</v>
      </c>
      <c r="F96" s="1033"/>
      <c r="G96" s="946">
        <f>SUM(M45:M51,M52,M55,M56,M57,M39,M30)*10000000000000</f>
        <v>6.5445906429468826E+17</v>
      </c>
      <c r="H96" s="946">
        <f>SUM(M51,M52,M57,M40:M41,)*10000000000000</f>
        <v>3.8586847953991942E+17</v>
      </c>
      <c r="I96" s="1030">
        <f>SUM(M45:M50,M42:M44,M30)*10000000000000</f>
        <v>2.6769164966143549E+17</v>
      </c>
      <c r="J96" s="1034"/>
      <c r="K96" s="1030">
        <f>SUM(M45:M51,M52,M55,M56,M57,M39,M30,M61)*10000000000000</f>
        <v>1.0610657919932291E+18</v>
      </c>
      <c r="L96" s="1030">
        <f>SUM(M51,M52,M57,M40:M41,M62:M64,M69:M70,M76)*10000000000000</f>
        <v>7.1761685649361485E+17</v>
      </c>
      <c r="M96" s="1031">
        <f>SUM(M45:M50,M42:M44,M30,M65:M68,M71:M75,M55:M56)*10000000000000</f>
        <v>3.4344893549961395E+17</v>
      </c>
    </row>
    <row r="97" spans="1:24" ht="12">
      <c r="A97" s="984"/>
      <c r="B97" s="1037" t="s">
        <v>1183</v>
      </c>
      <c r="C97" s="945" t="s">
        <v>238</v>
      </c>
      <c r="D97" s="804" t="s">
        <v>1500</v>
      </c>
      <c r="E97" s="1029" t="s">
        <v>31</v>
      </c>
      <c r="F97" s="1033"/>
      <c r="G97" s="1043">
        <f>(G93+G95)/(G87)</f>
        <v>0.18132344139410567</v>
      </c>
      <c r="H97" s="1043">
        <f>(H93+H95)/(H87)</f>
        <v>0.26260531827454969</v>
      </c>
      <c r="I97" s="1043">
        <f>(I93+I95)/(I87)</f>
        <v>2.7428902422121731E-2</v>
      </c>
      <c r="J97" s="1034"/>
      <c r="K97" s="1043">
        <f>(K93+K95)/(K87)</f>
        <v>0.17702126020346376</v>
      </c>
      <c r="L97" s="1043">
        <f>(L93+L95)/(L87)</f>
        <v>0.22250268317927061</v>
      </c>
      <c r="M97" s="1044">
        <f>(M93+M95)/(M87)</f>
        <v>6.2454832496234555E-2</v>
      </c>
    </row>
    <row r="98" spans="1:24" ht="12">
      <c r="A98" s="984"/>
      <c r="B98" s="1037" t="s">
        <v>1184</v>
      </c>
      <c r="C98" s="945" t="s">
        <v>247</v>
      </c>
      <c r="D98" s="945" t="s">
        <v>1458</v>
      </c>
      <c r="E98" s="1029" t="s">
        <v>31</v>
      </c>
      <c r="F98" s="1033"/>
      <c r="G98" s="1043">
        <f>G94/(G87)</f>
        <v>9.9350184391570252E-5</v>
      </c>
      <c r="H98" s="1043">
        <f>H94/(H87)</f>
        <v>0</v>
      </c>
      <c r="I98" s="1043">
        <f>I94/(I87)</f>
        <v>2.8850224941057091E-4</v>
      </c>
      <c r="J98" s="1034"/>
      <c r="K98" s="1043">
        <f>K94/(K87)</f>
        <v>6.1603488868536757E-5</v>
      </c>
      <c r="L98" s="1043">
        <f>L94/(L87)</f>
        <v>0</v>
      </c>
      <c r="M98" s="1044">
        <f>M94/(M87)</f>
        <v>2.1678094797584192E-4</v>
      </c>
    </row>
    <row r="99" spans="1:24" ht="12">
      <c r="A99" s="984"/>
      <c r="B99" s="1037" t="s">
        <v>1224</v>
      </c>
      <c r="C99" s="945" t="s">
        <v>1192</v>
      </c>
      <c r="D99" s="945" t="s">
        <v>1460</v>
      </c>
      <c r="E99" s="1029" t="s">
        <v>31</v>
      </c>
      <c r="F99" s="1033"/>
      <c r="G99" s="1043">
        <f>(G96)/(G87)</f>
        <v>0.81857720842150283</v>
      </c>
      <c r="H99" s="1043">
        <f>(H96)/(H87)</f>
        <v>0.73739468172545042</v>
      </c>
      <c r="I99" s="1043">
        <f>(I96)/(I87)</f>
        <v>0.97228259532846772</v>
      </c>
      <c r="J99" s="1034"/>
      <c r="K99" s="1043">
        <f>(K96)/(K87)</f>
        <v>0.82291713630766772</v>
      </c>
      <c r="L99" s="1043">
        <f>(L96)/(L87)</f>
        <v>0.77749731682072931</v>
      </c>
      <c r="M99" s="1044">
        <f>(M96)/(M87)</f>
        <v>0.93732838655578965</v>
      </c>
    </row>
    <row r="100" spans="1:24" ht="12">
      <c r="A100" s="984"/>
      <c r="B100" s="1037" t="s">
        <v>555</v>
      </c>
      <c r="C100" s="945" t="s">
        <v>1070</v>
      </c>
      <c r="D100" s="804" t="s">
        <v>1459</v>
      </c>
      <c r="E100" s="1029" t="s">
        <v>1464</v>
      </c>
      <c r="F100" s="1033"/>
      <c r="G100" s="1034">
        <f>(G94+G96)/(G93+G95)</f>
        <v>4.5150067322321812</v>
      </c>
      <c r="H100" s="1034">
        <f>(H94+H96)/(H93+H95)</f>
        <v>2.8079959940282548</v>
      </c>
      <c r="I100" s="1034">
        <f>(I94+I96)/(I93+I95)</f>
        <v>35.457893378682492</v>
      </c>
      <c r="J100" s="1034"/>
      <c r="K100" s="1034">
        <f>(K94+K96)/(K93+K95)</f>
        <v>4.6490389846430054</v>
      </c>
      <c r="L100" s="1034">
        <f>(L94+L96)/(L93+L95)</f>
        <v>3.49432782432695</v>
      </c>
      <c r="M100" s="1045">
        <f>(M94+M96)/(M93+M95)</f>
        <v>15.011571243270737</v>
      </c>
    </row>
    <row r="101" spans="1:24" ht="12">
      <c r="A101" s="984"/>
      <c r="B101" s="1037" t="s">
        <v>1575</v>
      </c>
      <c r="C101" s="885" t="s">
        <v>1071</v>
      </c>
      <c r="D101" s="885" t="s">
        <v>1461</v>
      </c>
      <c r="E101" s="1029" t="s">
        <v>1464</v>
      </c>
      <c r="F101" s="1033"/>
      <c r="G101" s="1034">
        <f>(G96+G95)/(G93+G94)</f>
        <v>3409.981854518157</v>
      </c>
      <c r="H101" s="1046" t="s">
        <v>1383</v>
      </c>
      <c r="I101" s="1034">
        <f>(I96+I95)/(I93+I94)</f>
        <v>1173.6240346307063</v>
      </c>
      <c r="J101" s="1034"/>
      <c r="K101" s="1034">
        <f>(K95+K96)/(K93+K94)</f>
        <v>5500.0143488116437</v>
      </c>
      <c r="L101" s="1034" t="s">
        <v>1383</v>
      </c>
      <c r="M101" s="1045">
        <f>(M95+M96)/(M93+M94)</f>
        <v>1562.2447379113967</v>
      </c>
    </row>
    <row r="102" spans="1:24" ht="12">
      <c r="A102" s="984"/>
      <c r="B102" s="1037" t="s">
        <v>1576</v>
      </c>
      <c r="C102" s="885" t="s">
        <v>1072</v>
      </c>
      <c r="D102" s="804" t="s">
        <v>1462</v>
      </c>
      <c r="E102" s="1029" t="s">
        <v>1464</v>
      </c>
      <c r="F102" s="1033"/>
      <c r="G102" s="1034">
        <f>G87/G96</f>
        <v>1.2216318628371567</v>
      </c>
      <c r="H102" s="1034">
        <f>H87/H96</f>
        <v>1.3561258641845262</v>
      </c>
      <c r="I102" s="1034">
        <f>I87/I96</f>
        <v>1.0285075602553273</v>
      </c>
      <c r="J102" s="1034"/>
      <c r="K102" s="1034">
        <f>K87/K96</f>
        <v>1.2151891799056247</v>
      </c>
      <c r="L102" s="1034">
        <f>L87/L96</f>
        <v>1.2861780720853266</v>
      </c>
      <c r="M102" s="1045">
        <f>M87/M96</f>
        <v>1.0668619603792189</v>
      </c>
    </row>
    <row r="103" spans="1:24" ht="12">
      <c r="A103" s="984"/>
      <c r="B103" s="1037" t="s">
        <v>1577</v>
      </c>
      <c r="C103" s="885" t="s">
        <v>1073</v>
      </c>
      <c r="D103" s="885" t="s">
        <v>1463</v>
      </c>
      <c r="E103" s="1029" t="s">
        <v>1464</v>
      </c>
      <c r="F103" s="1033"/>
      <c r="G103" s="1034">
        <f>G102/G100</f>
        <v>0.27057143771592834</v>
      </c>
      <c r="H103" s="1034">
        <f>H102/H100</f>
        <v>0.48295149532570181</v>
      </c>
      <c r="I103" s="1034">
        <f>I102/I100</f>
        <v>2.9006448557760977E-2</v>
      </c>
      <c r="J103" s="1034"/>
      <c r="K103" s="1047">
        <f>K102/K100</f>
        <v>0.26138502686678111</v>
      </c>
      <c r="L103" s="1047">
        <f>L102/L100</f>
        <v>0.36807596102780088</v>
      </c>
      <c r="M103" s="1048">
        <f>M102/M100</f>
        <v>7.1069306676172422E-2</v>
      </c>
    </row>
    <row r="104" spans="1:24" ht="12">
      <c r="A104" s="984"/>
      <c r="B104" s="1037" t="s">
        <v>1578</v>
      </c>
      <c r="C104" s="885" t="s">
        <v>1074</v>
      </c>
      <c r="D104" s="1049" t="s">
        <v>1571</v>
      </c>
      <c r="E104" s="1029" t="s">
        <v>1464</v>
      </c>
      <c r="F104" s="1033"/>
      <c r="G104" s="1034">
        <f>(G87)/(('Caract. produção'!G73*'Caract. produção'!D71*'Caract. produção'!D74)*E76)</f>
        <v>1.2907024931634357</v>
      </c>
      <c r="H104" s="1034">
        <f>(H87)/(('Caract. produção'!G73*'Caract. produção'!D71*'Caract. produção'!D74)*E76)</f>
        <v>0.8447780345640149</v>
      </c>
      <c r="I104" s="1034">
        <f>(I87)/(('Caract. produção'!G73*'Caract. produção'!D71*'Caract. produção'!D74)*E76)</f>
        <v>0.44447324397793159</v>
      </c>
      <c r="J104" s="1034"/>
      <c r="K104" s="1047">
        <f>(K87)/(('Caract. produção'!G73*'Caract. produção'!D71*'Caract. produção'!D74)*E76)</f>
        <v>2.0815627985631746</v>
      </c>
      <c r="L104" s="1047">
        <f>(L87)/(('Caract. produção'!G73*'Caract. produção'!D71*'Caract. produção'!D74)*E76)</f>
        <v>1.4900369662066477</v>
      </c>
      <c r="M104" s="1048">
        <f>(M87)/(('Caract. produção'!G73*'Caract. produção'!D71*'Caract. produção'!D74)*E76)</f>
        <v>0.59152583235652656</v>
      </c>
    </row>
    <row r="105" spans="1:24" ht="12">
      <c r="A105" s="984"/>
      <c r="B105" s="1037" t="s">
        <v>1579</v>
      </c>
      <c r="C105" s="885" t="s">
        <v>1231</v>
      </c>
      <c r="D105" s="885" t="s">
        <v>1570</v>
      </c>
      <c r="E105" s="1033"/>
      <c r="F105" s="1033"/>
      <c r="G105" s="1050"/>
      <c r="H105" s="1034"/>
      <c r="I105" s="1051">
        <f>(I87)/((I106*'Caract. produção'!D71*'Caract. produção'!D74)*E76)</f>
        <v>1.0000000079355622</v>
      </c>
      <c r="J105" s="1034"/>
      <c r="K105" s="1030"/>
      <c r="L105" s="1052"/>
      <c r="M105" s="1048">
        <f>(M87)/((M106*'Caract. produção'!D71*'Caract. produção'!D74)*E76)</f>
        <v>1.0001214485054761</v>
      </c>
    </row>
    <row r="106" spans="1:24" thickBot="1">
      <c r="A106" s="1053"/>
      <c r="B106" s="847"/>
      <c r="C106" s="1054"/>
      <c r="D106" s="1054" t="s">
        <v>1502</v>
      </c>
      <c r="E106" s="1055" t="s">
        <v>1610</v>
      </c>
      <c r="F106" s="1055"/>
      <c r="G106" s="1056"/>
      <c r="H106" s="1056"/>
      <c r="I106" s="1057">
        <v>1.2134119464306472</v>
      </c>
      <c r="J106" s="1058">
        <f>I106*F5</f>
        <v>4.4340499346468709</v>
      </c>
      <c r="K106" s="1056"/>
      <c r="L106" s="1059"/>
      <c r="M106" s="1060">
        <v>1.6146694231450385</v>
      </c>
      <c r="N106" s="916">
        <f>M106*F5</f>
        <v>5.9003250060565993</v>
      </c>
    </row>
    <row r="107" spans="1:24" ht="13.5" thickBot="1">
      <c r="A107" s="1061"/>
      <c r="B107" s="864"/>
      <c r="C107" s="864"/>
      <c r="D107" s="864"/>
      <c r="E107" s="864"/>
      <c r="F107" s="864"/>
      <c r="G107" s="864"/>
      <c r="H107" s="1062"/>
      <c r="I107" s="1063"/>
      <c r="J107" s="865"/>
      <c r="K107" s="866"/>
      <c r="L107" s="865"/>
      <c r="M107" s="867"/>
    </row>
    <row r="108" spans="1:24" ht="13.5" thickBot="1">
      <c r="A108" s="845" t="s">
        <v>1622</v>
      </c>
      <c r="B108" s="846"/>
      <c r="C108" s="847"/>
      <c r="D108" s="847"/>
      <c r="E108" s="847"/>
      <c r="F108" s="847"/>
      <c r="G108" s="847"/>
      <c r="H108" s="848"/>
      <c r="I108" s="848"/>
      <c r="J108" s="849"/>
      <c r="K108" s="806"/>
    </row>
    <row r="109" spans="1:24" ht="15">
      <c r="A109" s="984">
        <v>1</v>
      </c>
      <c r="B109" s="1064" t="s">
        <v>530</v>
      </c>
      <c r="C109" s="1037"/>
      <c r="D109" s="1037"/>
      <c r="E109" s="1037"/>
      <c r="F109" s="1037"/>
      <c r="G109" s="1022" t="s">
        <v>571</v>
      </c>
      <c r="H109" s="1065" t="s">
        <v>464</v>
      </c>
      <c r="I109" s="1066" t="s">
        <v>380</v>
      </c>
      <c r="J109" s="1067" t="s">
        <v>1186</v>
      </c>
      <c r="K109" s="1068" t="s">
        <v>1225</v>
      </c>
      <c r="L109" s="1069" t="s">
        <v>1193</v>
      </c>
      <c r="M109" s="1069"/>
      <c r="N109" s="1070"/>
      <c r="O109" s="1070"/>
      <c r="P109" s="1070"/>
      <c r="Q109" s="1070"/>
      <c r="R109" s="1070"/>
      <c r="S109" s="1070"/>
      <c r="T109" s="1070"/>
      <c r="U109" s="1070"/>
      <c r="V109" s="1070"/>
      <c r="W109" s="1070"/>
      <c r="X109" s="1071"/>
    </row>
    <row r="110" spans="1:24">
      <c r="A110" s="984"/>
      <c r="B110" s="1022" t="s">
        <v>566</v>
      </c>
      <c r="C110" s="1072">
        <f>SUM('Caract. produção'!C108,'Caract. produção'!C109)</f>
        <v>1200</v>
      </c>
      <c r="D110" s="1037" t="s">
        <v>1220</v>
      </c>
      <c r="E110" s="1037"/>
      <c r="F110" s="1037"/>
      <c r="G110" s="1073"/>
      <c r="H110" s="1074"/>
      <c r="I110" s="1074"/>
      <c r="J110" s="1075"/>
      <c r="K110" s="1076"/>
      <c r="L110" s="1077"/>
      <c r="X110" s="1025"/>
    </row>
    <row r="111" spans="1:24">
      <c r="A111" s="984"/>
      <c r="B111" s="1033" t="s">
        <v>572</v>
      </c>
      <c r="C111" s="1078">
        <f>C110</f>
        <v>1200</v>
      </c>
      <c r="D111" s="1037" t="s">
        <v>1220</v>
      </c>
      <c r="E111" s="945" t="s">
        <v>573</v>
      </c>
      <c r="F111" s="1037"/>
      <c r="G111" s="1079"/>
      <c r="H111" s="1074"/>
      <c r="I111" s="1074"/>
      <c r="J111" s="1075"/>
      <c r="K111" s="1076"/>
      <c r="L111" s="1077"/>
      <c r="M111" s="804" t="s">
        <v>1182</v>
      </c>
      <c r="X111" s="1025"/>
    </row>
    <row r="112" spans="1:24">
      <c r="A112" s="984"/>
      <c r="B112" s="1033" t="s">
        <v>574</v>
      </c>
      <c r="C112" s="1078">
        <v>16</v>
      </c>
      <c r="D112" s="945" t="s">
        <v>1300</v>
      </c>
      <c r="E112" s="1037"/>
      <c r="F112" s="1037"/>
      <c r="G112" s="1079"/>
      <c r="H112" s="1074"/>
      <c r="I112" s="1074"/>
      <c r="J112" s="1075"/>
      <c r="K112" s="1076"/>
      <c r="L112" s="1077"/>
      <c r="M112" s="1080"/>
      <c r="X112" s="1025"/>
    </row>
    <row r="113" spans="1:24">
      <c r="A113" s="984"/>
      <c r="B113" s="1033" t="s">
        <v>576</v>
      </c>
      <c r="C113" s="1081">
        <f>0.2</f>
        <v>0.2</v>
      </c>
      <c r="D113" s="945" t="s">
        <v>577</v>
      </c>
      <c r="E113" s="1037"/>
      <c r="F113" s="1037"/>
      <c r="G113" s="1079"/>
      <c r="H113" s="1074"/>
      <c r="I113" s="1074"/>
      <c r="J113" s="1075"/>
      <c r="K113" s="1076"/>
      <c r="L113" s="1077"/>
      <c r="X113" s="1025"/>
    </row>
    <row r="114" spans="1:24">
      <c r="A114" s="984"/>
      <c r="B114" s="1033" t="s">
        <v>578</v>
      </c>
      <c r="C114" s="1036" t="s">
        <v>1301</v>
      </c>
      <c r="D114" s="1037"/>
      <c r="E114" s="1037"/>
      <c r="F114" s="1037"/>
      <c r="G114" s="1079"/>
      <c r="H114" s="1074"/>
      <c r="I114" s="1074"/>
      <c r="J114" s="1075"/>
      <c r="K114" s="1076"/>
      <c r="L114" s="1077"/>
      <c r="X114" s="1025"/>
    </row>
    <row r="115" spans="1:24">
      <c r="A115" s="984"/>
      <c r="B115" s="1033" t="s">
        <v>580</v>
      </c>
      <c r="C115" s="1036" t="s">
        <v>1302</v>
      </c>
      <c r="D115" s="1037"/>
      <c r="E115" s="1037"/>
      <c r="F115" s="1037"/>
      <c r="G115" s="1079"/>
      <c r="H115" s="1074"/>
      <c r="I115" s="1074"/>
      <c r="J115" s="1075"/>
      <c r="K115" s="1076"/>
      <c r="L115" s="1077"/>
      <c r="X115" s="1025"/>
    </row>
    <row r="116" spans="1:24">
      <c r="A116" s="984"/>
      <c r="B116" s="1033" t="s">
        <v>580</v>
      </c>
      <c r="C116" s="1082">
        <f>C112*365*C113*C111</f>
        <v>1401600</v>
      </c>
      <c r="D116" s="1037" t="s">
        <v>583</v>
      </c>
      <c r="E116" s="1037"/>
      <c r="F116" s="1037"/>
      <c r="G116" s="1079"/>
      <c r="H116" s="1074"/>
      <c r="I116" s="1074"/>
      <c r="J116" s="1075"/>
      <c r="K116" s="1076"/>
      <c r="L116" s="1077"/>
      <c r="X116" s="1025"/>
    </row>
    <row r="117" spans="1:24">
      <c r="A117" s="984"/>
      <c r="B117" s="1033" t="s">
        <v>584</v>
      </c>
      <c r="C117" s="1083">
        <v>1</v>
      </c>
      <c r="D117" s="1037" t="s">
        <v>585</v>
      </c>
      <c r="E117" s="1037"/>
      <c r="F117" s="1037"/>
      <c r="G117" s="1084" t="s">
        <v>586</v>
      </c>
      <c r="H117" s="1074"/>
      <c r="I117" s="1074"/>
      <c r="J117" s="1075"/>
      <c r="K117" s="1076"/>
      <c r="L117" s="1077"/>
      <c r="X117" s="1025"/>
    </row>
    <row r="118" spans="1:24">
      <c r="A118" s="984"/>
      <c r="B118" s="1033"/>
      <c r="C118" s="1037"/>
      <c r="D118" s="1037"/>
      <c r="E118" s="1037"/>
      <c r="F118" s="1037"/>
      <c r="G118" s="1085"/>
      <c r="H118" s="1074"/>
      <c r="I118" s="1074"/>
      <c r="J118" s="1075"/>
      <c r="K118" s="1076"/>
      <c r="L118" s="1077"/>
      <c r="X118" s="1025"/>
    </row>
    <row r="119" spans="1:24" ht="15">
      <c r="A119" s="984">
        <v>2</v>
      </c>
      <c r="B119" s="1086" t="s">
        <v>1290</v>
      </c>
      <c r="C119" s="1087"/>
      <c r="D119" s="1087"/>
      <c r="E119" s="1087"/>
      <c r="F119" s="1087"/>
      <c r="G119" s="1085"/>
      <c r="H119" s="1074"/>
      <c r="I119" s="1074"/>
      <c r="J119" s="1075"/>
      <c r="K119" s="1076"/>
      <c r="L119" s="1077"/>
      <c r="X119" s="1025"/>
    </row>
    <row r="120" spans="1:24">
      <c r="A120" s="984"/>
      <c r="B120" s="1088" t="s">
        <v>587</v>
      </c>
      <c r="C120" s="1089">
        <f>C110</f>
        <v>1200</v>
      </c>
      <c r="D120" s="1090" t="s">
        <v>1220</v>
      </c>
      <c r="E120" s="945"/>
      <c r="F120" s="1037"/>
      <c r="G120" s="1079"/>
      <c r="H120" s="1074"/>
      <c r="I120" s="1074"/>
      <c r="J120" s="1075"/>
      <c r="K120" s="1076"/>
      <c r="L120" s="1077"/>
      <c r="M120" s="1091" t="s">
        <v>1623</v>
      </c>
      <c r="X120" s="1025"/>
    </row>
    <row r="121" spans="1:24">
      <c r="A121" s="984"/>
      <c r="B121" s="1088" t="s">
        <v>588</v>
      </c>
      <c r="C121" s="1092">
        <f>1857/1000</f>
        <v>1.857</v>
      </c>
      <c r="D121" s="1090" t="s">
        <v>497</v>
      </c>
      <c r="E121" s="945"/>
      <c r="F121" s="1037"/>
      <c r="G121" s="1079"/>
      <c r="H121" s="1074"/>
      <c r="I121" s="1074"/>
      <c r="J121" s="1075"/>
      <c r="K121" s="1076"/>
      <c r="L121" s="1077"/>
      <c r="X121" s="1025"/>
    </row>
    <row r="122" spans="1:24">
      <c r="A122" s="984"/>
      <c r="B122" s="1088" t="s">
        <v>1194</v>
      </c>
      <c r="C122" s="1089">
        <v>40</v>
      </c>
      <c r="D122" s="1090" t="s">
        <v>31</v>
      </c>
      <c r="E122" s="945" t="s">
        <v>591</v>
      </c>
      <c r="F122" s="945"/>
      <c r="G122" s="1093" t="s">
        <v>1294</v>
      </c>
      <c r="H122" s="1074"/>
      <c r="I122" s="1074"/>
      <c r="J122" s="1075"/>
      <c r="K122" s="1076"/>
      <c r="L122" s="1077"/>
      <c r="X122" s="1025"/>
    </row>
    <row r="123" spans="1:24">
      <c r="A123" s="984"/>
      <c r="B123" s="1088" t="s">
        <v>702</v>
      </c>
      <c r="C123" s="1089">
        <v>1</v>
      </c>
      <c r="D123" s="1090" t="s">
        <v>1293</v>
      </c>
      <c r="E123" s="945"/>
      <c r="F123" s="945"/>
      <c r="G123" s="1073"/>
      <c r="H123" s="1074"/>
      <c r="I123" s="1074"/>
      <c r="J123" s="1075"/>
      <c r="K123" s="1076"/>
      <c r="L123" s="1077"/>
      <c r="X123" s="1025"/>
    </row>
    <row r="124" spans="1:24">
      <c r="A124" s="984"/>
      <c r="B124" s="1088" t="s">
        <v>1282</v>
      </c>
      <c r="C124" s="1089">
        <v>4960</v>
      </c>
      <c r="D124" s="1090" t="s">
        <v>1287</v>
      </c>
      <c r="E124" s="945"/>
      <c r="F124" s="945"/>
      <c r="G124" s="1073"/>
      <c r="H124" s="1074"/>
      <c r="I124" s="1074"/>
      <c r="J124" s="1075"/>
      <c r="K124" s="1076"/>
      <c r="L124" s="1077"/>
      <c r="X124" s="1025"/>
    </row>
    <row r="125" spans="1:24">
      <c r="A125" s="984"/>
      <c r="B125" s="1088" t="s">
        <v>613</v>
      </c>
      <c r="C125" s="1094" t="s">
        <v>1423</v>
      </c>
      <c r="D125" s="910"/>
      <c r="E125" s="1037"/>
      <c r="F125" s="1037"/>
      <c r="G125" s="1073"/>
      <c r="H125" s="1074"/>
      <c r="I125" s="1074"/>
      <c r="J125" s="1075"/>
      <c r="K125" s="1076"/>
      <c r="L125" s="1077"/>
      <c r="X125" s="1025"/>
    </row>
    <row r="126" spans="1:24">
      <c r="A126" s="984"/>
      <c r="B126" s="1088"/>
      <c r="C126" s="1094" t="s">
        <v>1424</v>
      </c>
      <c r="D126" s="910"/>
      <c r="E126" s="1037"/>
      <c r="F126" s="1037"/>
      <c r="G126" s="1073"/>
      <c r="H126" s="1074"/>
      <c r="I126" s="1074"/>
      <c r="J126" s="1075"/>
      <c r="K126" s="1076"/>
      <c r="L126" s="1077"/>
      <c r="X126" s="1025"/>
    </row>
    <row r="127" spans="1:24">
      <c r="A127" s="984"/>
      <c r="B127" s="1088" t="s">
        <v>580</v>
      </c>
      <c r="C127" s="1094" t="s">
        <v>1425</v>
      </c>
      <c r="D127" s="910"/>
      <c r="E127" s="1037"/>
      <c r="F127" s="1037"/>
      <c r="G127" s="1073"/>
      <c r="H127" s="1074"/>
      <c r="I127" s="1074"/>
      <c r="J127" s="1075"/>
      <c r="K127" s="1076"/>
      <c r="L127" s="1077"/>
      <c r="X127" s="1025"/>
    </row>
    <row r="128" spans="1:24">
      <c r="A128" s="984"/>
      <c r="B128" s="1088"/>
      <c r="C128" s="1094" t="s">
        <v>1426</v>
      </c>
      <c r="D128" s="910"/>
      <c r="E128" s="1037"/>
      <c r="F128" s="1037"/>
      <c r="G128" s="1073"/>
      <c r="H128" s="1074"/>
      <c r="I128" s="1074"/>
      <c r="J128" s="1075"/>
      <c r="K128" s="1076"/>
      <c r="L128" s="1077"/>
      <c r="X128" s="1025"/>
    </row>
    <row r="129" spans="1:24">
      <c r="A129" s="984"/>
      <c r="B129" s="1088" t="s">
        <v>580</v>
      </c>
      <c r="C129" s="1089">
        <f>(C120)*C121*(C122/100)*C123*C124</f>
        <v>4421145.6000000006</v>
      </c>
      <c r="D129" s="910" t="s">
        <v>583</v>
      </c>
      <c r="E129" s="1037"/>
      <c r="F129" s="1037"/>
      <c r="G129" s="1073"/>
      <c r="H129" s="1074"/>
      <c r="I129" s="1074"/>
      <c r="J129" s="1075"/>
      <c r="K129" s="1076"/>
      <c r="L129" s="1077"/>
      <c r="X129" s="1025"/>
    </row>
    <row r="130" spans="1:24">
      <c r="A130" s="984"/>
      <c r="B130" s="1088" t="s">
        <v>584</v>
      </c>
      <c r="C130" s="1095">
        <f>I130*J130</f>
        <v>13000</v>
      </c>
      <c r="D130" s="910" t="s">
        <v>585</v>
      </c>
      <c r="E130" s="1037"/>
      <c r="F130" s="1037"/>
      <c r="G130" s="1093" t="s">
        <v>1470</v>
      </c>
      <c r="H130" s="1074">
        <v>1.2E+25</v>
      </c>
      <c r="I130" s="1074">
        <v>13000</v>
      </c>
      <c r="J130" s="1075">
        <v>1</v>
      </c>
      <c r="K130" s="1076"/>
      <c r="L130" s="1077"/>
      <c r="X130" s="1025"/>
    </row>
    <row r="131" spans="1:24">
      <c r="A131" s="984"/>
      <c r="B131" s="1088"/>
      <c r="C131" s="1082"/>
      <c r="D131" s="910"/>
      <c r="E131" s="1037"/>
      <c r="F131" s="1037"/>
      <c r="G131" s="1073"/>
      <c r="H131" s="1074"/>
      <c r="I131" s="1074"/>
      <c r="J131" s="1075"/>
      <c r="K131" s="1076"/>
      <c r="L131" s="1077"/>
      <c r="X131" s="1025"/>
    </row>
    <row r="132" spans="1:24" ht="15">
      <c r="A132" s="984">
        <v>3</v>
      </c>
      <c r="B132" s="1086" t="s">
        <v>1289</v>
      </c>
      <c r="C132" s="1096"/>
      <c r="D132" s="1097"/>
      <c r="E132" s="1087"/>
      <c r="F132" s="1087"/>
      <c r="G132" s="1085"/>
      <c r="H132" s="1074"/>
      <c r="I132" s="1074"/>
      <c r="J132" s="1075"/>
      <c r="K132" s="1076"/>
      <c r="L132" s="1077"/>
      <c r="X132" s="1025"/>
    </row>
    <row r="133" spans="1:24">
      <c r="A133" s="1098"/>
      <c r="B133" s="1088" t="s">
        <v>1291</v>
      </c>
      <c r="C133" s="1082">
        <f>C120</f>
        <v>1200</v>
      </c>
      <c r="D133" s="910" t="s">
        <v>1288</v>
      </c>
      <c r="E133" s="1037"/>
      <c r="F133" s="1037"/>
      <c r="G133" s="1073"/>
      <c r="H133" s="1074"/>
      <c r="I133" s="1074"/>
      <c r="J133" s="1075"/>
      <c r="K133" s="1076"/>
      <c r="L133" s="1077"/>
      <c r="X133" s="1025"/>
    </row>
    <row r="134" spans="1:24">
      <c r="A134" s="1098"/>
      <c r="B134" s="1088" t="s">
        <v>588</v>
      </c>
      <c r="C134" s="1082">
        <f>C121</f>
        <v>1.857</v>
      </c>
      <c r="D134" s="910" t="s">
        <v>597</v>
      </c>
      <c r="E134" s="1037"/>
      <c r="F134" s="1037"/>
      <c r="G134" s="1073"/>
      <c r="H134" s="1074"/>
      <c r="I134" s="1074"/>
      <c r="J134" s="1075"/>
      <c r="K134" s="1076"/>
      <c r="L134" s="1077"/>
      <c r="X134" s="1025"/>
    </row>
    <row r="135" spans="1:24" ht="15">
      <c r="A135" s="1098"/>
      <c r="B135" s="1088" t="s">
        <v>1292</v>
      </c>
      <c r="C135" s="1082">
        <v>60</v>
      </c>
      <c r="D135" s="910" t="s">
        <v>31</v>
      </c>
      <c r="E135" s="1037"/>
      <c r="F135" s="1037"/>
      <c r="G135" s="1093" t="s">
        <v>1294</v>
      </c>
      <c r="H135" s="1074"/>
      <c r="I135" s="1074"/>
      <c r="J135" s="1075"/>
      <c r="K135" s="1076"/>
      <c r="L135" s="1077"/>
      <c r="M135" s="1099" t="s">
        <v>1624</v>
      </c>
      <c r="X135" s="1025"/>
    </row>
    <row r="136" spans="1:24">
      <c r="A136" s="1098"/>
      <c r="B136" s="1088" t="s">
        <v>702</v>
      </c>
      <c r="C136" s="1082">
        <v>1</v>
      </c>
      <c r="D136" s="910" t="s">
        <v>1293</v>
      </c>
      <c r="E136" s="1037"/>
      <c r="F136" s="1037"/>
      <c r="G136" s="1073"/>
      <c r="H136" s="1074"/>
      <c r="I136" s="1074"/>
      <c r="J136" s="1075"/>
      <c r="K136" s="1076"/>
      <c r="L136" s="1077"/>
      <c r="X136" s="1025"/>
    </row>
    <row r="137" spans="1:24">
      <c r="A137" s="1098"/>
      <c r="B137" s="1088" t="s">
        <v>1282</v>
      </c>
      <c r="C137" s="1082">
        <v>4960</v>
      </c>
      <c r="D137" s="910" t="s">
        <v>1287</v>
      </c>
      <c r="E137" s="1037"/>
      <c r="F137" s="1037"/>
      <c r="G137" s="1073"/>
      <c r="H137" s="1074"/>
      <c r="I137" s="1074"/>
      <c r="J137" s="1075"/>
      <c r="K137" s="1076"/>
      <c r="L137" s="1077"/>
      <c r="X137" s="1025"/>
    </row>
    <row r="138" spans="1:24">
      <c r="A138" s="1098"/>
      <c r="B138" s="1088" t="s">
        <v>604</v>
      </c>
      <c r="C138" s="1082" t="s">
        <v>1427</v>
      </c>
      <c r="D138" s="910"/>
      <c r="E138" s="1037"/>
      <c r="F138" s="1037"/>
      <c r="G138" s="1073"/>
      <c r="H138" s="1074"/>
      <c r="I138" s="1074"/>
      <c r="J138" s="1075"/>
      <c r="K138" s="1076"/>
      <c r="L138" s="1077"/>
      <c r="X138" s="1025"/>
    </row>
    <row r="139" spans="1:24">
      <c r="A139" s="1098"/>
      <c r="B139" s="1088"/>
      <c r="C139" s="1082" t="s">
        <v>1428</v>
      </c>
      <c r="D139" s="910"/>
      <c r="E139" s="1037"/>
      <c r="F139" s="1037"/>
      <c r="G139" s="1073"/>
      <c r="H139" s="1074"/>
      <c r="I139" s="1074"/>
      <c r="J139" s="1075"/>
      <c r="K139" s="1076"/>
      <c r="L139" s="1077"/>
      <c r="X139" s="1025"/>
    </row>
    <row r="140" spans="1:24">
      <c r="A140" s="1098"/>
      <c r="B140" s="1088" t="s">
        <v>608</v>
      </c>
      <c r="C140" s="1082" t="s">
        <v>1429</v>
      </c>
      <c r="D140" s="910"/>
      <c r="E140" s="1037"/>
      <c r="F140" s="1037"/>
      <c r="G140" s="1073"/>
      <c r="H140" s="1074"/>
      <c r="I140" s="1074"/>
      <c r="J140" s="1075"/>
      <c r="K140" s="1076"/>
      <c r="L140" s="1077"/>
      <c r="X140" s="1025"/>
    </row>
    <row r="141" spans="1:24">
      <c r="A141" s="1098"/>
      <c r="B141" s="1088"/>
      <c r="C141" s="1082" t="s">
        <v>1430</v>
      </c>
      <c r="D141" s="910"/>
      <c r="E141" s="1037"/>
      <c r="F141" s="1037"/>
      <c r="G141" s="1073"/>
      <c r="H141" s="1074"/>
      <c r="I141" s="1074"/>
      <c r="J141" s="1075"/>
      <c r="K141" s="1076"/>
      <c r="L141" s="1077"/>
      <c r="X141" s="1025"/>
    </row>
    <row r="142" spans="1:24">
      <c r="A142" s="1098"/>
      <c r="B142" s="1088" t="s">
        <v>608</v>
      </c>
      <c r="C142" s="1082">
        <f>C133*C134*(C135/100)*C136*C137</f>
        <v>6631718.3999999994</v>
      </c>
      <c r="D142" s="910"/>
      <c r="E142" s="1037"/>
      <c r="F142" s="1037"/>
      <c r="G142" s="1073"/>
      <c r="H142" s="1074"/>
      <c r="I142" s="1074"/>
      <c r="J142" s="1075"/>
      <c r="K142" s="1076"/>
      <c r="L142" s="1077"/>
      <c r="X142" s="1025"/>
    </row>
    <row r="143" spans="1:24">
      <c r="A143" s="1098"/>
      <c r="B143" s="1088" t="s">
        <v>584</v>
      </c>
      <c r="C143" s="1095">
        <f>I143*J143</f>
        <v>9710</v>
      </c>
      <c r="D143" s="910" t="s">
        <v>585</v>
      </c>
      <c r="E143" s="1037"/>
      <c r="F143" s="1037"/>
      <c r="G143" s="1093" t="s">
        <v>1470</v>
      </c>
      <c r="H143" s="1074">
        <v>1.2E+25</v>
      </c>
      <c r="I143" s="1074">
        <v>9710</v>
      </c>
      <c r="J143" s="1075">
        <v>1</v>
      </c>
      <c r="K143" s="1076"/>
      <c r="L143" s="1077"/>
      <c r="X143" s="1025"/>
    </row>
    <row r="144" spans="1:24">
      <c r="A144" s="984"/>
      <c r="B144" s="1088"/>
      <c r="C144" s="1082"/>
      <c r="D144" s="910"/>
      <c r="E144" s="1037"/>
      <c r="F144" s="1037"/>
      <c r="G144" s="1073"/>
      <c r="H144" s="1074"/>
      <c r="I144" s="1074"/>
      <c r="J144" s="1075"/>
      <c r="K144" s="1076"/>
      <c r="L144" s="1077"/>
      <c r="X144" s="1025"/>
    </row>
    <row r="145" spans="1:24" ht="15">
      <c r="A145" s="984">
        <v>4</v>
      </c>
      <c r="B145" s="1086" t="s">
        <v>1208</v>
      </c>
      <c r="C145" s="910"/>
      <c r="D145" s="910"/>
      <c r="E145" s="1037"/>
      <c r="F145" s="1037"/>
      <c r="G145" s="1073"/>
      <c r="H145" s="1074"/>
      <c r="I145" s="1074"/>
      <c r="J145" s="1075"/>
      <c r="K145" s="1076"/>
      <c r="L145" s="1077"/>
      <c r="X145" s="1025"/>
    </row>
    <row r="146" spans="1:24">
      <c r="A146" s="984"/>
      <c r="B146" s="1088" t="s">
        <v>1209</v>
      </c>
      <c r="C146" s="1089">
        <f>C110</f>
        <v>1200</v>
      </c>
      <c r="D146" s="910" t="s">
        <v>1220</v>
      </c>
      <c r="E146" s="1037"/>
      <c r="F146" s="1037"/>
      <c r="G146" s="1073"/>
      <c r="H146" s="1074"/>
      <c r="I146" s="1074"/>
      <c r="J146" s="1075"/>
      <c r="K146" s="1076"/>
      <c r="L146" s="1077"/>
      <c r="X146" s="1025"/>
    </row>
    <row r="147" spans="1:24">
      <c r="A147" s="984"/>
      <c r="B147" s="1088" t="s">
        <v>1210</v>
      </c>
      <c r="C147" s="1089">
        <v>1.2250000000000001</v>
      </c>
      <c r="D147" s="910" t="s">
        <v>1211</v>
      </c>
      <c r="E147" s="1037"/>
      <c r="F147" s="1037"/>
      <c r="G147" s="1073"/>
      <c r="H147" s="1074"/>
      <c r="I147" s="1074"/>
      <c r="J147" s="1075"/>
      <c r="K147" s="1076"/>
      <c r="L147" s="1077"/>
      <c r="X147" s="1025"/>
    </row>
    <row r="148" spans="1:24">
      <c r="A148" s="984"/>
      <c r="B148" s="1088" t="s">
        <v>1212</v>
      </c>
      <c r="C148" s="1089">
        <v>1.74</v>
      </c>
      <c r="D148" s="910" t="s">
        <v>1213</v>
      </c>
      <c r="E148" s="1037"/>
      <c r="F148" s="1037"/>
      <c r="G148" s="1073"/>
      <c r="H148" s="1074"/>
      <c r="I148" s="1074"/>
      <c r="J148" s="1075"/>
      <c r="K148" s="1076"/>
      <c r="L148" s="1077"/>
      <c r="X148" s="1025"/>
    </row>
    <row r="149" spans="1:24">
      <c r="A149" s="984"/>
      <c r="B149" s="1088" t="s">
        <v>1214</v>
      </c>
      <c r="C149" s="1089">
        <f>C148/0.6</f>
        <v>2.9</v>
      </c>
      <c r="D149" s="910" t="s">
        <v>1213</v>
      </c>
      <c r="E149" s="1037"/>
      <c r="F149" s="1037"/>
      <c r="G149" s="1073"/>
      <c r="H149" s="1074"/>
      <c r="I149" s="1074"/>
      <c r="J149" s="1075"/>
      <c r="K149" s="1076"/>
      <c r="L149" s="1077"/>
      <c r="X149" s="1025"/>
    </row>
    <row r="150" spans="1:24">
      <c r="A150" s="984"/>
      <c r="B150" s="1088" t="s">
        <v>1215</v>
      </c>
      <c r="C150" s="1089">
        <v>1E-3</v>
      </c>
      <c r="D150" s="910"/>
      <c r="E150" s="1037"/>
      <c r="F150" s="1037"/>
      <c r="G150" s="1073"/>
      <c r="H150" s="1074"/>
      <c r="I150" s="1074"/>
      <c r="J150" s="1075"/>
      <c r="K150" s="1076"/>
      <c r="L150" s="1077"/>
      <c r="X150" s="1025"/>
    </row>
    <row r="151" spans="1:24">
      <c r="A151" s="984"/>
      <c r="B151" s="1088" t="s">
        <v>604</v>
      </c>
      <c r="C151" s="910" t="s">
        <v>1216</v>
      </c>
      <c r="D151" s="910"/>
      <c r="E151" s="1037"/>
      <c r="F151" s="1037"/>
      <c r="G151" s="1073"/>
      <c r="H151" s="1074"/>
      <c r="I151" s="1074"/>
      <c r="J151" s="1075"/>
      <c r="K151" s="1076"/>
      <c r="L151" s="1077"/>
      <c r="X151" s="1025"/>
    </row>
    <row r="152" spans="1:24">
      <c r="A152" s="984"/>
      <c r="B152" s="1088" t="s">
        <v>608</v>
      </c>
      <c r="C152" s="910" t="s">
        <v>1217</v>
      </c>
      <c r="D152" s="910"/>
      <c r="E152" s="1037"/>
      <c r="F152" s="1037"/>
      <c r="G152" s="1073"/>
      <c r="H152" s="1074"/>
      <c r="I152" s="1074"/>
      <c r="J152" s="1075"/>
      <c r="K152" s="1076"/>
      <c r="L152" s="1077"/>
      <c r="X152" s="1025"/>
    </row>
    <row r="153" spans="1:24">
      <c r="A153" s="984"/>
      <c r="B153" s="1088" t="s">
        <v>613</v>
      </c>
      <c r="C153" s="1089">
        <f>C146*C147*C150*((C149)^3)*31400000</f>
        <v>1125747462</v>
      </c>
      <c r="D153" s="910" t="s">
        <v>583</v>
      </c>
      <c r="E153" s="1037"/>
      <c r="F153" s="1037"/>
      <c r="G153" s="1073"/>
      <c r="H153" s="1074"/>
      <c r="I153" s="1074"/>
      <c r="J153" s="1075"/>
      <c r="K153" s="1076"/>
      <c r="L153" s="1077"/>
      <c r="X153" s="1025"/>
    </row>
    <row r="154" spans="1:24">
      <c r="A154" s="984"/>
      <c r="B154" s="1088" t="s">
        <v>584</v>
      </c>
      <c r="C154" s="1100">
        <f>I154*J154</f>
        <v>972.8</v>
      </c>
      <c r="D154" s="910" t="s">
        <v>585</v>
      </c>
      <c r="E154" s="1037"/>
      <c r="F154" s="1037"/>
      <c r="G154" s="1093" t="s">
        <v>1470</v>
      </c>
      <c r="H154" s="1074">
        <v>1.2E+25</v>
      </c>
      <c r="I154" s="1074">
        <v>1280</v>
      </c>
      <c r="J154" s="1075">
        <v>0.76</v>
      </c>
      <c r="K154" s="1076"/>
      <c r="L154" s="1077"/>
      <c r="X154" s="1025"/>
    </row>
    <row r="155" spans="1:24">
      <c r="A155" s="984"/>
      <c r="B155" s="1033"/>
      <c r="C155" s="1037"/>
      <c r="D155" s="1037"/>
      <c r="E155" s="1037"/>
      <c r="F155" s="1037"/>
      <c r="G155" s="1073"/>
      <c r="H155" s="1074"/>
      <c r="I155" s="1074"/>
      <c r="J155" s="1075"/>
      <c r="K155" s="1076"/>
      <c r="L155" s="1077"/>
      <c r="X155" s="1025"/>
    </row>
    <row r="156" spans="1:24" s="803" customFormat="1" ht="15">
      <c r="A156" s="984">
        <v>5</v>
      </c>
      <c r="B156" s="1086" t="s">
        <v>1274</v>
      </c>
      <c r="C156" s="1037"/>
      <c r="D156" s="1037"/>
      <c r="E156" s="1037"/>
      <c r="F156" s="1037"/>
      <c r="G156" s="1073"/>
      <c r="H156" s="1101"/>
      <c r="I156" s="1102"/>
      <c r="J156" s="1103"/>
      <c r="K156" s="1104"/>
      <c r="L156" s="884"/>
      <c r="M156" s="1050"/>
      <c r="N156" s="870"/>
      <c r="O156" s="870"/>
      <c r="P156" s="870"/>
      <c r="Q156" s="870"/>
      <c r="R156" s="870"/>
      <c r="S156" s="870"/>
      <c r="T156" s="870"/>
      <c r="U156" s="870"/>
      <c r="V156" s="870"/>
      <c r="W156" s="870"/>
      <c r="X156" s="1105"/>
    </row>
    <row r="157" spans="1:24" s="803" customFormat="1" ht="12">
      <c r="A157" s="984"/>
      <c r="B157" s="1038" t="s">
        <v>789</v>
      </c>
      <c r="C157" s="1037"/>
      <c r="D157" s="1037"/>
      <c r="E157" s="1037"/>
      <c r="F157" s="1037"/>
      <c r="G157" s="1073"/>
      <c r="H157" s="1102"/>
      <c r="I157" s="1102"/>
      <c r="J157" s="1103"/>
      <c r="K157" s="1104"/>
      <c r="L157" s="884"/>
      <c r="M157" s="1050"/>
      <c r="N157" s="870"/>
      <c r="O157" s="870"/>
      <c r="P157" s="870"/>
      <c r="Q157" s="870"/>
      <c r="R157" s="870"/>
      <c r="S157" s="870"/>
      <c r="T157" s="870"/>
      <c r="U157" s="870"/>
      <c r="V157" s="870"/>
      <c r="W157" s="870"/>
      <c r="X157" s="1105"/>
    </row>
    <row r="158" spans="1:24" s="803" customFormat="1" ht="12">
      <c r="A158" s="984"/>
      <c r="B158" s="1038"/>
      <c r="C158" s="1037"/>
      <c r="D158" s="1037"/>
      <c r="E158" s="1037"/>
      <c r="F158" s="1037"/>
      <c r="G158" s="1073"/>
      <c r="H158" s="1102"/>
      <c r="I158" s="1102"/>
      <c r="J158" s="1103"/>
      <c r="K158" s="1104"/>
      <c r="L158" s="884"/>
      <c r="M158" s="1050"/>
      <c r="N158" s="870"/>
      <c r="O158" s="870"/>
      <c r="P158" s="870"/>
      <c r="Q158" s="870"/>
      <c r="R158" s="870"/>
      <c r="S158" s="870"/>
      <c r="T158" s="870"/>
      <c r="U158" s="870"/>
      <c r="V158" s="870"/>
      <c r="W158" s="870"/>
      <c r="X158" s="1105"/>
    </row>
    <row r="159" spans="1:24" s="803" customFormat="1" ht="12">
      <c r="A159" s="984"/>
      <c r="B159" s="1033" t="s">
        <v>678</v>
      </c>
      <c r="C159" s="1037">
        <v>2.5</v>
      </c>
      <c r="D159" s="1037" t="s">
        <v>772</v>
      </c>
      <c r="E159" s="1037"/>
      <c r="F159" s="1037"/>
      <c r="G159" s="1073"/>
      <c r="H159" s="1102"/>
      <c r="I159" s="1102"/>
      <c r="J159" s="1103"/>
      <c r="K159" s="1104"/>
      <c r="L159" s="884"/>
      <c r="M159" s="1050"/>
      <c r="N159" s="870"/>
      <c r="O159" s="870"/>
      <c r="P159" s="870"/>
      <c r="Q159" s="870"/>
      <c r="R159" s="870"/>
      <c r="S159" s="870"/>
      <c r="T159" s="870"/>
      <c r="U159" s="870"/>
      <c r="V159" s="870"/>
      <c r="W159" s="870"/>
      <c r="X159" s="1105"/>
    </row>
    <row r="160" spans="1:24" s="803" customFormat="1" ht="12">
      <c r="A160" s="984"/>
      <c r="B160" s="1033" t="s">
        <v>678</v>
      </c>
      <c r="C160" s="1037">
        <v>0</v>
      </c>
      <c r="D160" s="1037" t="s">
        <v>681</v>
      </c>
      <c r="E160" s="1037"/>
      <c r="F160" s="1037"/>
      <c r="G160" s="1073"/>
      <c r="H160" s="1102"/>
      <c r="I160" s="1102"/>
      <c r="J160" s="1103"/>
      <c r="K160" s="1104"/>
      <c r="L160" s="884"/>
      <c r="M160" s="1050"/>
      <c r="N160" s="870"/>
      <c r="O160" s="870"/>
      <c r="P160" s="870"/>
      <c r="Q160" s="870"/>
      <c r="R160" s="870"/>
      <c r="S160" s="870"/>
      <c r="T160" s="870"/>
      <c r="U160" s="870"/>
      <c r="V160" s="870"/>
      <c r="W160" s="870"/>
      <c r="X160" s="1105"/>
    </row>
    <row r="161" spans="1:24" s="803" customFormat="1" ht="12">
      <c r="A161" s="984"/>
      <c r="B161" s="1033" t="s">
        <v>679</v>
      </c>
      <c r="C161" s="1037">
        <v>1.23</v>
      </c>
      <c r="D161" s="1037" t="s">
        <v>682</v>
      </c>
      <c r="E161" s="1037"/>
      <c r="F161" s="1037"/>
      <c r="G161" s="1073"/>
      <c r="H161" s="1102"/>
      <c r="I161" s="1102"/>
      <c r="J161" s="1103"/>
      <c r="K161" s="1104"/>
      <c r="L161" s="884"/>
      <c r="M161" s="1050"/>
      <c r="N161" s="870"/>
      <c r="O161" s="870"/>
      <c r="P161" s="870"/>
      <c r="Q161" s="870"/>
      <c r="R161" s="870"/>
      <c r="S161" s="870"/>
      <c r="T161" s="870"/>
      <c r="U161" s="870"/>
      <c r="V161" s="870"/>
      <c r="W161" s="870"/>
      <c r="X161" s="1105"/>
    </row>
    <row r="162" spans="1:24" s="803" customFormat="1" ht="12">
      <c r="A162" s="984"/>
      <c r="B162" s="1033" t="s">
        <v>680</v>
      </c>
      <c r="C162" s="1037">
        <v>1E-3</v>
      </c>
      <c r="D162" s="1037" t="s">
        <v>677</v>
      </c>
      <c r="E162" s="1037"/>
      <c r="F162" s="1037"/>
      <c r="G162" s="1073"/>
      <c r="H162" s="1102"/>
      <c r="I162" s="1102"/>
      <c r="J162" s="1103"/>
      <c r="K162" s="1104"/>
      <c r="L162" s="884"/>
      <c r="M162" s="1050"/>
      <c r="N162" s="870"/>
      <c r="O162" s="870"/>
      <c r="P162" s="870"/>
      <c r="Q162" s="870"/>
      <c r="R162" s="870"/>
      <c r="S162" s="870"/>
      <c r="T162" s="870"/>
      <c r="U162" s="870"/>
      <c r="V162" s="870"/>
      <c r="W162" s="870"/>
      <c r="X162" s="1105"/>
    </row>
    <row r="163" spans="1:24" s="803" customFormat="1" ht="12">
      <c r="A163" s="984"/>
      <c r="B163" s="1033"/>
      <c r="C163" s="1037"/>
      <c r="D163" s="1037"/>
      <c r="E163" s="1037"/>
      <c r="F163" s="1037"/>
      <c r="G163" s="1073"/>
      <c r="H163" s="1102"/>
      <c r="I163" s="1102"/>
      <c r="J163" s="1103"/>
      <c r="K163" s="1104"/>
      <c r="L163" s="884"/>
      <c r="M163" s="1050"/>
      <c r="N163" s="870"/>
      <c r="O163" s="870"/>
      <c r="P163" s="870"/>
      <c r="Q163" s="870"/>
      <c r="R163" s="870"/>
      <c r="S163" s="870"/>
      <c r="T163" s="870"/>
      <c r="U163" s="870"/>
      <c r="V163" s="870"/>
      <c r="W163" s="870"/>
      <c r="X163" s="1105"/>
    </row>
    <row r="164" spans="1:24" s="803" customFormat="1" ht="12">
      <c r="A164" s="1106" t="s">
        <v>802</v>
      </c>
      <c r="B164" s="1038" t="s">
        <v>796</v>
      </c>
      <c r="C164" s="1037"/>
      <c r="D164" s="1037"/>
      <c r="E164" s="1037"/>
      <c r="F164" s="1037"/>
      <c r="G164" s="1073"/>
      <c r="H164" s="1102"/>
      <c r="I164" s="1102"/>
      <c r="J164" s="1103"/>
      <c r="K164" s="1104"/>
      <c r="L164" s="884"/>
      <c r="M164" s="1050"/>
      <c r="N164" s="870"/>
      <c r="O164" s="870"/>
      <c r="P164" s="870"/>
      <c r="Q164" s="870"/>
      <c r="R164" s="870"/>
      <c r="S164" s="870"/>
      <c r="T164" s="870"/>
      <c r="U164" s="870"/>
      <c r="V164" s="870"/>
      <c r="W164" s="870"/>
      <c r="X164" s="1105"/>
    </row>
    <row r="165" spans="1:24" s="803" customFormat="1" ht="12">
      <c r="A165" s="984"/>
      <c r="B165" s="1038"/>
      <c r="C165" s="1037"/>
      <c r="D165" s="1037"/>
      <c r="E165" s="1037"/>
      <c r="F165" s="1037"/>
      <c r="G165" s="1073"/>
      <c r="H165" s="1102"/>
      <c r="I165" s="1102"/>
      <c r="J165" s="1103"/>
      <c r="K165" s="1104"/>
      <c r="L165" s="884"/>
      <c r="M165" s="1050"/>
      <c r="N165" s="870"/>
      <c r="O165" s="870"/>
      <c r="P165" s="870"/>
      <c r="Q165" s="870"/>
      <c r="R165" s="870"/>
      <c r="S165" s="870"/>
      <c r="T165" s="870"/>
      <c r="U165" s="870"/>
      <c r="V165" s="870"/>
      <c r="W165" s="870"/>
      <c r="X165" s="1105"/>
    </row>
    <row r="166" spans="1:24" s="803" customFormat="1" ht="12">
      <c r="A166" s="1106" t="s">
        <v>817</v>
      </c>
      <c r="B166" s="1038" t="s">
        <v>795</v>
      </c>
      <c r="C166" s="1037"/>
      <c r="D166" s="1037"/>
      <c r="E166" s="1037"/>
      <c r="F166" s="1037"/>
      <c r="G166" s="1073"/>
      <c r="H166" s="1102"/>
      <c r="I166" s="1102"/>
      <c r="J166" s="1103"/>
      <c r="K166" s="1104"/>
      <c r="L166" s="884"/>
      <c r="M166" s="1050"/>
      <c r="N166" s="870"/>
      <c r="O166" s="870"/>
      <c r="P166" s="870"/>
      <c r="Q166" s="870"/>
      <c r="R166" s="870"/>
      <c r="S166" s="870"/>
      <c r="T166" s="870"/>
      <c r="U166" s="870"/>
      <c r="V166" s="870"/>
      <c r="W166" s="870"/>
      <c r="X166" s="1105"/>
    </row>
    <row r="167" spans="1:24" s="803" customFormat="1" ht="12">
      <c r="A167" s="984"/>
      <c r="B167" s="824" t="s">
        <v>1042</v>
      </c>
      <c r="C167" s="804" t="s">
        <v>1496</v>
      </c>
      <c r="D167" s="1037"/>
      <c r="E167" s="1037"/>
      <c r="G167" s="1073"/>
      <c r="H167" s="1102"/>
      <c r="I167" s="1102"/>
      <c r="J167" s="1107"/>
      <c r="K167" s="1104"/>
      <c r="L167" s="884"/>
      <c r="M167" s="870" t="s">
        <v>861</v>
      </c>
      <c r="N167" s="870"/>
      <c r="O167" s="870"/>
      <c r="P167" s="870"/>
      <c r="Q167" s="870"/>
      <c r="R167" s="870"/>
      <c r="S167" s="870"/>
      <c r="T167" s="870"/>
      <c r="U167" s="870"/>
      <c r="V167" s="870"/>
      <c r="W167" s="870"/>
      <c r="X167" s="1105"/>
    </row>
    <row r="168" spans="1:24" s="803" customFormat="1" ht="12">
      <c r="A168" s="984"/>
      <c r="B168" s="824"/>
      <c r="C168" s="804" t="s">
        <v>769</v>
      </c>
      <c r="D168" s="1037"/>
      <c r="E168" s="1037"/>
      <c r="F168" s="1108" t="s">
        <v>773</v>
      </c>
      <c r="G168" s="1073"/>
      <c r="H168" s="1102"/>
      <c r="I168" s="1102"/>
      <c r="J168" s="1107"/>
      <c r="K168" s="1104"/>
      <c r="L168" s="884"/>
      <c r="M168" s="1037" t="s">
        <v>862</v>
      </c>
      <c r="N168" s="870"/>
      <c r="O168" s="870"/>
      <c r="P168" s="870"/>
      <c r="Q168" s="870"/>
      <c r="R168" s="870"/>
      <c r="S168" s="870"/>
      <c r="T168" s="870"/>
      <c r="U168" s="870"/>
      <c r="V168" s="870"/>
      <c r="W168" s="870"/>
      <c r="X168" s="1105"/>
    </row>
    <row r="169" spans="1:24" s="803" customFormat="1" ht="12">
      <c r="A169" s="984"/>
      <c r="B169" s="824" t="s">
        <v>747</v>
      </c>
      <c r="C169" s="1082">
        <f>8.09*(F169*'Caract. produção'!$D$70)^0.75*(4*10^-5*(20-F179)^3+1)*'Caract. produção'!$D$74</f>
        <v>18674.17415833371</v>
      </c>
      <c r="D169" s="804" t="s">
        <v>770</v>
      </c>
      <c r="E169" s="1109"/>
      <c r="F169" s="1037">
        <v>0.17599999999999999</v>
      </c>
      <c r="G169" s="1073"/>
      <c r="H169" s="1102"/>
      <c r="I169" s="1102"/>
      <c r="J169" s="1107"/>
      <c r="K169" s="1104"/>
      <c r="L169" s="884"/>
      <c r="M169" s="1037" t="s">
        <v>860</v>
      </c>
      <c r="N169" s="870"/>
      <c r="O169" s="870"/>
      <c r="P169" s="870"/>
      <c r="Q169" s="870"/>
      <c r="R169" s="870"/>
      <c r="S169" s="870"/>
      <c r="T169" s="870"/>
      <c r="U169" s="870"/>
      <c r="V169" s="870"/>
      <c r="W169" s="870"/>
      <c r="X169" s="1105"/>
    </row>
    <row r="170" spans="1:24" s="803" customFormat="1" ht="12">
      <c r="A170" s="984"/>
      <c r="B170" s="824" t="s">
        <v>748</v>
      </c>
      <c r="C170" s="1082">
        <f>8.09*(F170*'Caract. produção'!$D$70)^0.75*(4*10^-5*(20-F180)^3+1)*'Caract. produção'!$D$74</f>
        <v>38427.175759944636</v>
      </c>
      <c r="D170" s="804" t="s">
        <v>770</v>
      </c>
      <c r="E170" s="1037"/>
      <c r="F170" s="1037">
        <v>0.44900000000000001</v>
      </c>
      <c r="G170" s="1073"/>
      <c r="H170" s="1102"/>
      <c r="I170" s="1102"/>
      <c r="J170" s="1103"/>
      <c r="K170" s="1104"/>
      <c r="L170" s="884"/>
      <c r="M170" s="1050"/>
      <c r="N170" s="870"/>
      <c r="O170" s="870"/>
      <c r="P170" s="870"/>
      <c r="Q170" s="870"/>
      <c r="R170" s="870"/>
      <c r="S170" s="870"/>
      <c r="T170" s="870"/>
      <c r="U170" s="870"/>
      <c r="V170" s="870"/>
      <c r="W170" s="870"/>
      <c r="X170" s="1105"/>
    </row>
    <row r="171" spans="1:24" s="803" customFormat="1" ht="12">
      <c r="A171" s="984"/>
      <c r="B171" s="824" t="s">
        <v>749</v>
      </c>
      <c r="C171" s="1082">
        <f>8.09*(F171*'Caract. produção'!$D$70)^0.75*(4*10^-5*(20-F181)^3+1)*'Caract. produção'!$D$74</f>
        <v>62168.606458661474</v>
      </c>
      <c r="D171" s="804" t="s">
        <v>770</v>
      </c>
      <c r="E171" s="1037"/>
      <c r="F171" s="1037">
        <v>0.83499999999999996</v>
      </c>
      <c r="G171" s="1073"/>
      <c r="H171" s="1102"/>
      <c r="I171" s="1102"/>
      <c r="J171" s="1103"/>
      <c r="K171" s="1104"/>
      <c r="L171" s="884"/>
      <c r="M171" s="1050"/>
      <c r="N171" s="870"/>
      <c r="O171" s="870"/>
      <c r="P171" s="870"/>
      <c r="Q171" s="870"/>
      <c r="R171" s="870"/>
      <c r="S171" s="870"/>
      <c r="T171" s="870"/>
      <c r="U171" s="870"/>
      <c r="V171" s="870"/>
      <c r="W171" s="870"/>
      <c r="X171" s="1105"/>
    </row>
    <row r="172" spans="1:24" s="803" customFormat="1" ht="12">
      <c r="A172" s="984"/>
      <c r="B172" s="824" t="s">
        <v>750</v>
      </c>
      <c r="C172" s="1082">
        <f>8.09*(F172*'Caract. produção'!$D$70)^0.75*(4*10^-5*(20-F182)^3+1)*'Caract. produção'!$D$74</f>
        <v>89779.703708336659</v>
      </c>
      <c r="D172" s="804" t="s">
        <v>770</v>
      </c>
      <c r="E172" s="1037"/>
      <c r="F172" s="1037">
        <v>1.363</v>
      </c>
      <c r="G172" s="1073"/>
      <c r="H172" s="1102"/>
      <c r="I172" s="1102"/>
      <c r="J172" s="1103"/>
      <c r="K172" s="1104"/>
      <c r="L172" s="884"/>
      <c r="M172" s="1050"/>
      <c r="N172" s="870"/>
      <c r="O172" s="870"/>
      <c r="P172" s="870"/>
      <c r="Q172" s="870"/>
      <c r="R172" s="870"/>
      <c r="S172" s="870"/>
      <c r="T172" s="870"/>
      <c r="U172" s="870"/>
      <c r="V172" s="870"/>
      <c r="W172" s="870"/>
      <c r="X172" s="1105"/>
    </row>
    <row r="173" spans="1:24" s="803" customFormat="1" ht="12">
      <c r="A173" s="984"/>
      <c r="B173" s="824" t="s">
        <v>751</v>
      </c>
      <c r="C173" s="1082">
        <f>8.09*(F173*'Caract. produção'!$D$70)^0.75*(4*10^-5*(20-F183)^3+1)*'Caract. produção'!$D$74</f>
        <v>117822.20480574263</v>
      </c>
      <c r="D173" s="804" t="s">
        <v>770</v>
      </c>
      <c r="E173" s="1037"/>
      <c r="F173" s="1037">
        <v>1.9450000000000001</v>
      </c>
      <c r="G173" s="1073"/>
      <c r="H173" s="1102"/>
      <c r="I173" s="1102"/>
      <c r="J173" s="1103"/>
      <c r="K173" s="1104"/>
      <c r="L173" s="884"/>
      <c r="M173" s="1050"/>
      <c r="N173" s="870"/>
      <c r="O173" s="870"/>
      <c r="P173" s="870"/>
      <c r="Q173" s="870"/>
      <c r="R173" s="870"/>
      <c r="S173" s="870"/>
      <c r="T173" s="870"/>
      <c r="U173" s="870"/>
      <c r="V173" s="870"/>
      <c r="W173" s="870"/>
      <c r="X173" s="1105"/>
    </row>
    <row r="174" spans="1:24" s="803" customFormat="1" ht="12">
      <c r="A174" s="984"/>
      <c r="B174" s="824" t="s">
        <v>752</v>
      </c>
      <c r="C174" s="1082">
        <f>8.09*(F174*'Caract. produção'!$D$70)^0.75*(4*10^-5*(20-F184)^3+1)*'Caract. produção'!$D$74</f>
        <v>140605.94819010381</v>
      </c>
      <c r="D174" s="804" t="s">
        <v>770</v>
      </c>
      <c r="E174" s="1037"/>
      <c r="F174" s="1110">
        <v>2.4500000000000002</v>
      </c>
      <c r="G174" s="1073"/>
      <c r="H174" s="1102"/>
      <c r="I174" s="1102"/>
      <c r="J174" s="1103"/>
      <c r="K174" s="1104"/>
      <c r="L174" s="884"/>
      <c r="M174" s="1050"/>
      <c r="N174" s="870"/>
      <c r="O174" s="870"/>
      <c r="P174" s="870"/>
      <c r="Q174" s="870"/>
      <c r="R174" s="870"/>
      <c r="S174" s="870"/>
      <c r="T174" s="870"/>
      <c r="U174" s="870"/>
      <c r="V174" s="870"/>
      <c r="W174" s="870"/>
      <c r="X174" s="1105"/>
    </row>
    <row r="175" spans="1:24" s="803" customFormat="1" ht="12">
      <c r="A175" s="984"/>
      <c r="B175" s="824" t="s">
        <v>1043</v>
      </c>
      <c r="C175" s="1082">
        <f>SUM(C169:C174)*C184</f>
        <v>1682920.1270920425</v>
      </c>
      <c r="D175" s="804" t="s">
        <v>1037</v>
      </c>
      <c r="E175" s="1037"/>
      <c r="F175" s="1110"/>
      <c r="G175" s="1073"/>
      <c r="H175" s="1102"/>
      <c r="I175" s="1102"/>
      <c r="J175" s="1103"/>
      <c r="K175" s="1104"/>
      <c r="L175" s="884"/>
      <c r="M175" s="1050"/>
      <c r="N175" s="870"/>
      <c r="O175" s="870"/>
      <c r="P175" s="870"/>
      <c r="Q175" s="870"/>
      <c r="R175" s="870"/>
      <c r="S175" s="870"/>
      <c r="T175" s="870"/>
      <c r="U175" s="870"/>
      <c r="V175" s="870"/>
      <c r="W175" s="870"/>
      <c r="X175" s="1105"/>
    </row>
    <row r="176" spans="1:24" s="803" customFormat="1" ht="12">
      <c r="A176" s="984"/>
      <c r="B176" s="824" t="s">
        <v>746</v>
      </c>
      <c r="C176" s="1111" t="s">
        <v>753</v>
      </c>
      <c r="D176" s="1037"/>
      <c r="E176" s="1037"/>
      <c r="G176" s="1073"/>
      <c r="H176" s="1102"/>
      <c r="I176" s="1102"/>
      <c r="J176" s="1103"/>
      <c r="K176" s="1104"/>
      <c r="L176" s="884"/>
      <c r="M176" s="1050"/>
      <c r="N176" s="870"/>
      <c r="O176" s="870"/>
      <c r="P176" s="870"/>
      <c r="Q176" s="870"/>
      <c r="R176" s="870"/>
      <c r="S176" s="870"/>
      <c r="T176" s="870"/>
      <c r="U176" s="870"/>
      <c r="V176" s="870"/>
      <c r="W176" s="870"/>
      <c r="X176" s="1105"/>
    </row>
    <row r="177" spans="1:24" s="803" customFormat="1" ht="12">
      <c r="A177" s="984"/>
      <c r="B177" s="824" t="s">
        <v>754</v>
      </c>
      <c r="C177" s="1082">
        <f t="shared" ref="C177:C182" si="20">(C169*(0.8-1.85*10^-7*(F179+10)^4))</f>
        <v>5552.545749475139</v>
      </c>
      <c r="D177" s="804" t="s">
        <v>770</v>
      </c>
      <c r="E177" s="1037"/>
      <c r="F177" s="803" t="s">
        <v>768</v>
      </c>
      <c r="G177" s="1073"/>
      <c r="H177" s="1102"/>
      <c r="I177" s="1102"/>
      <c r="J177" s="1103"/>
      <c r="K177" s="1104"/>
      <c r="L177" s="884"/>
      <c r="M177" s="1050"/>
      <c r="N177" s="870"/>
      <c r="O177" s="870"/>
      <c r="P177" s="870"/>
      <c r="Q177" s="870"/>
      <c r="R177" s="870"/>
      <c r="S177" s="870"/>
      <c r="T177" s="870"/>
      <c r="U177" s="870"/>
      <c r="V177" s="870"/>
      <c r="W177" s="870"/>
      <c r="X177" s="1105"/>
    </row>
    <row r="178" spans="1:24" s="803" customFormat="1" ht="12">
      <c r="A178" s="984"/>
      <c r="B178" s="824" t="s">
        <v>755</v>
      </c>
      <c r="C178" s="1082">
        <f t="shared" si="20"/>
        <v>14295.424883262225</v>
      </c>
      <c r="D178" s="804" t="s">
        <v>770</v>
      </c>
      <c r="E178" s="1082"/>
      <c r="F178" s="1033" t="s">
        <v>774</v>
      </c>
      <c r="G178" s="1073"/>
      <c r="H178" s="1102"/>
      <c r="I178" s="1102"/>
      <c r="J178" s="1103"/>
      <c r="K178" s="1104"/>
      <c r="L178" s="884"/>
      <c r="M178" s="1050"/>
      <c r="N178" s="870"/>
      <c r="O178" s="870"/>
      <c r="P178" s="870"/>
      <c r="Q178" s="870"/>
      <c r="R178" s="870"/>
      <c r="S178" s="870"/>
      <c r="T178" s="870"/>
      <c r="U178" s="870"/>
      <c r="V178" s="870"/>
      <c r="W178" s="870"/>
      <c r="X178" s="1105"/>
    </row>
    <row r="179" spans="1:24" s="803" customFormat="1" ht="12">
      <c r="A179" s="984"/>
      <c r="B179" s="824" t="s">
        <v>756</v>
      </c>
      <c r="C179" s="1082">
        <f t="shared" si="20"/>
        <v>28179.799301832463</v>
      </c>
      <c r="D179" s="804" t="s">
        <v>770</v>
      </c>
      <c r="E179" s="1037"/>
      <c r="F179" s="1037">
        <v>30.6</v>
      </c>
      <c r="G179" s="1073"/>
      <c r="H179" s="1102"/>
      <c r="I179" s="1102"/>
      <c r="J179" s="1103"/>
      <c r="K179" s="1104"/>
      <c r="L179" s="884"/>
      <c r="M179" s="1050"/>
      <c r="N179" s="870"/>
      <c r="O179" s="870"/>
      <c r="P179" s="870"/>
      <c r="Q179" s="870"/>
      <c r="R179" s="870"/>
      <c r="S179" s="870"/>
      <c r="T179" s="870"/>
      <c r="U179" s="870"/>
      <c r="V179" s="870"/>
      <c r="W179" s="870"/>
      <c r="X179" s="1105"/>
    </row>
    <row r="180" spans="1:24" s="803" customFormat="1" ht="12">
      <c r="A180" s="984"/>
      <c r="B180" s="824" t="s">
        <v>757</v>
      </c>
      <c r="C180" s="1082">
        <f t="shared" si="20"/>
        <v>40695.363399551141</v>
      </c>
      <c r="D180" s="804" t="s">
        <v>770</v>
      </c>
      <c r="E180" s="1037"/>
      <c r="F180" s="1037">
        <v>29</v>
      </c>
      <c r="G180" s="1073"/>
      <c r="H180" s="1102"/>
      <c r="I180" s="1102"/>
      <c r="J180" s="1103"/>
      <c r="K180" s="1104"/>
      <c r="L180" s="884"/>
      <c r="M180" s="1050"/>
      <c r="N180" s="870"/>
      <c r="O180" s="870"/>
      <c r="P180" s="870"/>
      <c r="Q180" s="870"/>
      <c r="R180" s="870"/>
      <c r="S180" s="870"/>
      <c r="T180" s="870"/>
      <c r="U180" s="870"/>
      <c r="V180" s="870"/>
      <c r="W180" s="870"/>
      <c r="X180" s="1105"/>
    </row>
    <row r="181" spans="1:24" s="803" customFormat="1" ht="12">
      <c r="A181" s="984"/>
      <c r="B181" s="824" t="s">
        <v>758</v>
      </c>
      <c r="C181" s="1082">
        <f t="shared" si="20"/>
        <v>57646.992680398696</v>
      </c>
      <c r="D181" s="804" t="s">
        <v>770</v>
      </c>
      <c r="E181" s="1037"/>
      <c r="F181" s="1037">
        <v>27</v>
      </c>
      <c r="G181" s="1073"/>
      <c r="H181" s="1102"/>
      <c r="I181" s="1102"/>
      <c r="J181" s="1103"/>
      <c r="K181" s="1104"/>
      <c r="L181" s="884"/>
      <c r="M181" s="1050"/>
      <c r="N181" s="870"/>
      <c r="O181" s="870"/>
      <c r="P181" s="870"/>
      <c r="Q181" s="870"/>
      <c r="R181" s="870"/>
      <c r="S181" s="870"/>
      <c r="T181" s="870"/>
      <c r="U181" s="870"/>
      <c r="V181" s="870"/>
      <c r="W181" s="870"/>
      <c r="X181" s="1105"/>
    </row>
    <row r="182" spans="1:24" s="803" customFormat="1" ht="12">
      <c r="A182" s="984"/>
      <c r="B182" s="824" t="s">
        <v>759</v>
      </c>
      <c r="C182" s="1082">
        <f t="shared" si="20"/>
        <v>73450.350366569779</v>
      </c>
      <c r="D182" s="804" t="s">
        <v>770</v>
      </c>
      <c r="E182" s="1037"/>
      <c r="F182" s="1037">
        <v>27</v>
      </c>
      <c r="G182" s="1073"/>
      <c r="H182" s="1102"/>
      <c r="I182" s="1102"/>
      <c r="J182" s="1103"/>
      <c r="K182" s="1104"/>
      <c r="L182" s="884"/>
      <c r="M182" s="1050"/>
      <c r="N182" s="870"/>
      <c r="O182" s="870"/>
      <c r="P182" s="870"/>
      <c r="Q182" s="870"/>
      <c r="R182" s="870"/>
      <c r="S182" s="870"/>
      <c r="T182" s="870"/>
      <c r="U182" s="870"/>
      <c r="V182" s="870"/>
      <c r="W182" s="870"/>
      <c r="X182" s="1105"/>
    </row>
    <row r="183" spans="1:24" s="803" customFormat="1" ht="12">
      <c r="A183" s="984"/>
      <c r="B183" s="824" t="s">
        <v>1039</v>
      </c>
      <c r="C183" s="1082">
        <f>SUM(C177:C182)</f>
        <v>219820.47638108942</v>
      </c>
      <c r="D183" s="804" t="s">
        <v>770</v>
      </c>
      <c r="E183" s="1037"/>
      <c r="F183" s="1037">
        <v>26</v>
      </c>
      <c r="G183" s="1073"/>
      <c r="H183" s="1102"/>
      <c r="I183" s="1102"/>
      <c r="J183" s="1103"/>
      <c r="K183" s="1104"/>
      <c r="L183" s="884"/>
      <c r="M183" s="1050"/>
      <c r="N183" s="870"/>
      <c r="O183" s="870"/>
      <c r="P183" s="870"/>
      <c r="Q183" s="870"/>
      <c r="R183" s="870"/>
      <c r="S183" s="870"/>
      <c r="T183" s="870"/>
      <c r="U183" s="870"/>
      <c r="V183" s="870"/>
      <c r="W183" s="870"/>
      <c r="X183" s="1105"/>
    </row>
    <row r="184" spans="1:24" s="803" customFormat="1" ht="12">
      <c r="A184" s="984"/>
      <c r="B184" s="824" t="s">
        <v>1035</v>
      </c>
      <c r="C184" s="916">
        <v>3.6</v>
      </c>
      <c r="D184" s="804" t="s">
        <v>1036</v>
      </c>
      <c r="E184" s="1037"/>
      <c r="F184" s="1037">
        <v>25</v>
      </c>
      <c r="G184" s="1073"/>
      <c r="H184" s="1102"/>
      <c r="I184" s="1102"/>
      <c r="J184" s="1103"/>
      <c r="K184" s="1104"/>
      <c r="L184" s="884"/>
      <c r="M184" s="1050"/>
      <c r="N184" s="870"/>
      <c r="O184" s="870"/>
      <c r="P184" s="870"/>
      <c r="Q184" s="870"/>
      <c r="R184" s="870"/>
      <c r="S184" s="870"/>
      <c r="T184" s="870"/>
      <c r="U184" s="870"/>
      <c r="V184" s="870"/>
      <c r="W184" s="870"/>
      <c r="X184" s="1105"/>
    </row>
    <row r="185" spans="1:24" s="803" customFormat="1" ht="12">
      <c r="A185" s="984"/>
      <c r="B185" s="824" t="s">
        <v>608</v>
      </c>
      <c r="C185" s="1112">
        <f>C183*C184</f>
        <v>791353.71497192199</v>
      </c>
      <c r="D185" s="804" t="s">
        <v>1037</v>
      </c>
      <c r="E185" s="1082"/>
      <c r="G185" s="1073"/>
      <c r="H185" s="1102"/>
      <c r="I185" s="1102"/>
      <c r="J185" s="1103"/>
      <c r="K185" s="1104"/>
      <c r="L185" s="884"/>
      <c r="M185" s="1037" t="s">
        <v>790</v>
      </c>
      <c r="N185" s="870"/>
      <c r="O185" s="870"/>
      <c r="P185" s="870"/>
      <c r="Q185" s="870"/>
      <c r="R185" s="870"/>
      <c r="S185" s="870"/>
      <c r="T185" s="870"/>
      <c r="U185" s="870"/>
      <c r="V185" s="870"/>
      <c r="W185" s="870"/>
      <c r="X185" s="1105"/>
    </row>
    <row r="186" spans="1:24" s="803" customFormat="1" ht="12">
      <c r="A186" s="984"/>
      <c r="B186" s="1038" t="s">
        <v>841</v>
      </c>
      <c r="C186" s="1037"/>
      <c r="D186" s="1037"/>
      <c r="E186" s="1037"/>
      <c r="F186" s="1037"/>
      <c r="G186" s="1073"/>
      <c r="H186" s="1102"/>
      <c r="I186" s="1102"/>
      <c r="J186" s="1103"/>
      <c r="K186" s="1104"/>
      <c r="L186" s="884"/>
      <c r="M186" s="1050"/>
      <c r="N186" s="870"/>
      <c r="O186" s="870"/>
      <c r="P186" s="870"/>
      <c r="Q186" s="870"/>
      <c r="R186" s="870"/>
      <c r="S186" s="870"/>
      <c r="T186" s="870"/>
      <c r="U186" s="870"/>
      <c r="V186" s="870"/>
      <c r="W186" s="870"/>
      <c r="X186" s="1105"/>
    </row>
    <row r="187" spans="1:24" s="803" customFormat="1" ht="12">
      <c r="A187" s="1106" t="s">
        <v>819</v>
      </c>
      <c r="B187" s="1038" t="s">
        <v>818</v>
      </c>
      <c r="D187" s="1037"/>
      <c r="E187" s="1037"/>
      <c r="F187" s="1037"/>
      <c r="G187" s="1073"/>
      <c r="H187" s="1102"/>
      <c r="I187" s="1102"/>
      <c r="J187" s="1103"/>
      <c r="K187" s="1104"/>
      <c r="L187" s="884"/>
      <c r="M187" s="1050"/>
      <c r="N187" s="870"/>
      <c r="O187" s="870"/>
      <c r="P187" s="870"/>
      <c r="Q187" s="870"/>
      <c r="R187" s="870"/>
      <c r="S187" s="870"/>
      <c r="T187" s="870"/>
      <c r="U187" s="870"/>
      <c r="V187" s="870"/>
      <c r="W187" s="870"/>
      <c r="X187" s="1105"/>
    </row>
    <row r="188" spans="1:24" s="803" customFormat="1" ht="12">
      <c r="A188" s="1106"/>
      <c r="B188" s="1033" t="s">
        <v>1041</v>
      </c>
      <c r="C188" s="1082" t="s">
        <v>1040</v>
      </c>
      <c r="D188" s="1037"/>
      <c r="E188" s="1037"/>
      <c r="F188" s="1037"/>
      <c r="G188" s="1073"/>
      <c r="H188" s="1102"/>
      <c r="I188" s="1102"/>
      <c r="J188" s="1103"/>
      <c r="K188" s="1104"/>
      <c r="L188" s="884"/>
      <c r="M188" s="1050"/>
      <c r="N188" s="870"/>
      <c r="O188" s="870"/>
      <c r="P188" s="870"/>
      <c r="Q188" s="870"/>
      <c r="R188" s="870"/>
      <c r="S188" s="870"/>
      <c r="T188" s="870"/>
      <c r="U188" s="870"/>
      <c r="V188" s="870"/>
      <c r="W188" s="870"/>
      <c r="X188" s="1105"/>
    </row>
    <row r="189" spans="1:24" s="803" customFormat="1" ht="12">
      <c r="A189" s="1106"/>
      <c r="B189" s="1113" t="s">
        <v>608</v>
      </c>
      <c r="C189" s="1082" t="s">
        <v>1038</v>
      </c>
      <c r="D189" s="1037"/>
      <c r="E189" s="1037"/>
      <c r="F189" s="1037"/>
      <c r="G189" s="1073"/>
      <c r="H189" s="1102"/>
      <c r="I189" s="1102"/>
      <c r="J189" s="1103"/>
      <c r="K189" s="1104"/>
      <c r="L189" s="884"/>
      <c r="M189" s="1050"/>
      <c r="N189" s="870"/>
      <c r="O189" s="870"/>
      <c r="P189" s="870"/>
      <c r="Q189" s="870"/>
      <c r="R189" s="870"/>
      <c r="S189" s="870"/>
      <c r="T189" s="870"/>
      <c r="U189" s="870"/>
      <c r="V189" s="870"/>
      <c r="W189" s="870"/>
      <c r="X189" s="1105"/>
    </row>
    <row r="190" spans="1:24" s="803" customFormat="1" ht="12">
      <c r="A190" s="984"/>
      <c r="B190" s="1033" t="s">
        <v>608</v>
      </c>
      <c r="C190" s="1082">
        <f>C175*4.5/100</f>
        <v>75731.405719141912</v>
      </c>
      <c r="D190" s="804" t="s">
        <v>815</v>
      </c>
      <c r="E190" s="1037"/>
      <c r="F190" s="1082"/>
      <c r="G190" s="1073"/>
      <c r="H190" s="1102"/>
      <c r="I190" s="1102"/>
      <c r="J190" s="1103"/>
      <c r="K190" s="1104"/>
      <c r="L190" s="884"/>
      <c r="M190" s="1050"/>
      <c r="N190" s="870"/>
      <c r="O190" s="870"/>
      <c r="P190" s="870"/>
      <c r="Q190" s="870"/>
      <c r="R190" s="870"/>
      <c r="S190" s="870"/>
      <c r="T190" s="870"/>
      <c r="U190" s="870"/>
      <c r="V190" s="870"/>
      <c r="W190" s="870"/>
      <c r="X190" s="1105"/>
    </row>
    <row r="191" spans="1:24" s="803" customFormat="1" ht="12">
      <c r="A191" s="984"/>
      <c r="B191" s="1033" t="s">
        <v>816</v>
      </c>
      <c r="C191" s="1082">
        <f>SUM(C190:C190)</f>
        <v>75731.405719141912</v>
      </c>
      <c r="D191" s="804" t="s">
        <v>815</v>
      </c>
      <c r="E191" s="1082"/>
      <c r="F191" s="1037"/>
      <c r="G191" s="1073"/>
      <c r="H191" s="1102"/>
      <c r="I191" s="1102"/>
      <c r="J191" s="1103"/>
      <c r="K191" s="1104"/>
      <c r="L191" s="884"/>
      <c r="M191" s="1050"/>
      <c r="N191" s="870"/>
      <c r="O191" s="870"/>
      <c r="P191" s="870"/>
      <c r="Q191" s="870"/>
      <c r="R191" s="870"/>
      <c r="S191" s="870"/>
      <c r="T191" s="870"/>
      <c r="U191" s="870"/>
      <c r="V191" s="870"/>
      <c r="W191" s="870"/>
      <c r="X191" s="1105"/>
    </row>
    <row r="192" spans="1:24" s="803" customFormat="1" ht="12">
      <c r="A192" s="984"/>
      <c r="B192" s="1033"/>
      <c r="C192" s="1082"/>
      <c r="D192" s="1037"/>
      <c r="E192" s="1037"/>
      <c r="F192" s="1037"/>
      <c r="G192" s="1073"/>
      <c r="H192" s="1102"/>
      <c r="I192" s="1102"/>
      <c r="J192" s="1103"/>
      <c r="K192" s="1104"/>
      <c r="L192" s="884"/>
      <c r="M192" s="1050"/>
      <c r="N192" s="870"/>
      <c r="O192" s="870"/>
      <c r="P192" s="870"/>
      <c r="Q192" s="870"/>
      <c r="R192" s="870"/>
      <c r="S192" s="870"/>
      <c r="T192" s="870"/>
      <c r="U192" s="870"/>
      <c r="V192" s="870"/>
      <c r="W192" s="870"/>
      <c r="X192" s="1105"/>
    </row>
    <row r="193" spans="1:24" s="803" customFormat="1" ht="12">
      <c r="A193" s="1106" t="s">
        <v>803</v>
      </c>
      <c r="B193" s="1038" t="s">
        <v>797</v>
      </c>
      <c r="C193" s="1037"/>
      <c r="D193" s="1037"/>
      <c r="E193" s="1037"/>
      <c r="F193" s="1037"/>
      <c r="G193" s="1073"/>
      <c r="H193" s="1102"/>
      <c r="I193" s="1102"/>
      <c r="J193" s="1103"/>
      <c r="K193" s="1104"/>
      <c r="L193" s="884"/>
      <c r="M193" s="1050"/>
      <c r="N193" s="870"/>
      <c r="O193" s="870"/>
      <c r="P193" s="870"/>
      <c r="Q193" s="870"/>
      <c r="R193" s="870"/>
      <c r="S193" s="870"/>
      <c r="T193" s="870"/>
      <c r="U193" s="870"/>
      <c r="V193" s="870"/>
      <c r="W193" s="870"/>
      <c r="X193" s="1105"/>
    </row>
    <row r="194" spans="1:24" s="803" customFormat="1" ht="12">
      <c r="A194" s="984"/>
      <c r="B194" s="1038"/>
      <c r="C194" s="1037"/>
      <c r="D194" s="1037"/>
      <c r="E194" s="1037"/>
      <c r="F194" s="1037"/>
      <c r="G194" s="1073"/>
      <c r="H194" s="1102"/>
      <c r="I194" s="1102"/>
      <c r="J194" s="1103"/>
      <c r="K194" s="1104"/>
      <c r="L194" s="884"/>
      <c r="M194" s="1050"/>
      <c r="N194" s="870"/>
      <c r="O194" s="870"/>
      <c r="P194" s="870"/>
      <c r="Q194" s="870"/>
      <c r="R194" s="870"/>
      <c r="S194" s="870"/>
      <c r="T194" s="870"/>
      <c r="U194" s="870"/>
      <c r="V194" s="870"/>
      <c r="W194" s="870"/>
      <c r="X194" s="1105"/>
    </row>
    <row r="195" spans="1:24" s="803" customFormat="1" ht="12">
      <c r="A195" s="984" t="s">
        <v>820</v>
      </c>
      <c r="B195" s="1114" t="s">
        <v>821</v>
      </c>
      <c r="C195" s="1037"/>
      <c r="D195" s="1037"/>
      <c r="E195" s="1037"/>
      <c r="F195" s="1037"/>
      <c r="G195" s="1073"/>
      <c r="H195" s="1102"/>
      <c r="I195" s="1102"/>
      <c r="J195" s="1103"/>
      <c r="K195" s="1104"/>
      <c r="L195" s="884"/>
      <c r="M195" s="804" t="s">
        <v>851</v>
      </c>
      <c r="N195" s="870"/>
      <c r="O195" s="870"/>
      <c r="P195" s="870"/>
      <c r="Q195" s="870"/>
      <c r="R195" s="870"/>
      <c r="S195" s="870"/>
      <c r="T195" s="870"/>
      <c r="U195" s="870"/>
      <c r="V195" s="870"/>
      <c r="W195" s="870"/>
      <c r="X195" s="1105"/>
    </row>
    <row r="196" spans="1:24" s="803" customFormat="1" ht="12">
      <c r="A196" s="984"/>
      <c r="B196" s="885" t="s">
        <v>734</v>
      </c>
      <c r="C196" s="1037"/>
      <c r="D196" s="1037"/>
      <c r="E196" s="1037"/>
      <c r="F196" s="1037"/>
      <c r="G196" s="1073"/>
      <c r="H196" s="1102"/>
      <c r="I196" s="1102"/>
      <c r="J196" s="1103"/>
      <c r="K196" s="1104"/>
      <c r="L196" s="884"/>
      <c r="M196" s="945" t="s">
        <v>852</v>
      </c>
      <c r="N196" s="870"/>
      <c r="O196" s="870"/>
      <c r="P196" s="870"/>
      <c r="Q196" s="870"/>
      <c r="R196" s="870"/>
      <c r="S196" s="870"/>
      <c r="T196" s="870"/>
      <c r="U196" s="870"/>
      <c r="V196" s="870"/>
      <c r="W196" s="870"/>
      <c r="X196" s="1105"/>
    </row>
    <row r="197" spans="1:24" s="803" customFormat="1" ht="12">
      <c r="A197" s="984"/>
      <c r="B197" s="887" t="s">
        <v>777</v>
      </c>
      <c r="C197" s="1115" t="s">
        <v>781</v>
      </c>
      <c r="D197" s="1037"/>
      <c r="E197" s="1037"/>
      <c r="G197" s="1073"/>
      <c r="H197" s="1102"/>
      <c r="I197" s="1102"/>
      <c r="J197" s="1103"/>
      <c r="K197" s="1104"/>
      <c r="L197" s="884"/>
      <c r="M197" s="1037" t="s">
        <v>778</v>
      </c>
      <c r="N197" s="870"/>
      <c r="O197" s="870"/>
      <c r="P197" s="870"/>
      <c r="Q197" s="870"/>
      <c r="R197" s="870"/>
      <c r="S197" s="870"/>
      <c r="T197" s="870"/>
      <c r="U197" s="870"/>
      <c r="V197" s="870"/>
      <c r="W197" s="870"/>
      <c r="X197" s="1105"/>
    </row>
    <row r="198" spans="1:24" s="803" customFormat="1" ht="12">
      <c r="A198" s="984"/>
      <c r="B198" s="887" t="s">
        <v>608</v>
      </c>
      <c r="C198" s="1115" t="s">
        <v>782</v>
      </c>
      <c r="D198" s="1037"/>
      <c r="E198" s="1037"/>
      <c r="G198" s="1073"/>
      <c r="H198" s="1102"/>
      <c r="I198" s="1102"/>
      <c r="J198" s="1103"/>
      <c r="K198" s="1104"/>
      <c r="L198" s="884"/>
      <c r="M198" s="1037" t="s">
        <v>779</v>
      </c>
      <c r="N198" s="870"/>
      <c r="O198" s="870"/>
      <c r="P198" s="870"/>
      <c r="Q198" s="870"/>
      <c r="R198" s="870"/>
      <c r="S198" s="870"/>
      <c r="T198" s="870"/>
      <c r="U198" s="870"/>
      <c r="V198" s="870"/>
      <c r="W198" s="870"/>
      <c r="X198" s="1105"/>
    </row>
    <row r="199" spans="1:24" s="803" customFormat="1" ht="12">
      <c r="A199" s="984"/>
      <c r="B199" s="887" t="s">
        <v>608</v>
      </c>
      <c r="C199" s="1082">
        <f>(1.1*(0.83/1000)*137)+(1.1*((1.92/1000)*91))+(1.1*((2.45/1000)*59))</f>
        <v>0.47627800000000009</v>
      </c>
      <c r="D199" s="1116" t="s">
        <v>745</v>
      </c>
      <c r="E199" s="1037"/>
      <c r="F199" s="1117"/>
      <c r="G199" s="1073"/>
      <c r="H199" s="1102"/>
      <c r="I199" s="1102"/>
      <c r="J199" s="1103"/>
      <c r="K199" s="1104"/>
      <c r="L199" s="884"/>
      <c r="M199" s="1037" t="s">
        <v>780</v>
      </c>
      <c r="N199" s="870"/>
      <c r="O199" s="870"/>
      <c r="P199" s="870"/>
      <c r="Q199" s="870"/>
      <c r="R199" s="870"/>
      <c r="S199" s="870"/>
      <c r="T199" s="870"/>
      <c r="U199" s="870"/>
      <c r="V199" s="870"/>
      <c r="W199" s="870"/>
      <c r="X199" s="1105"/>
    </row>
    <row r="200" spans="1:24" s="803" customFormat="1" ht="12">
      <c r="A200" s="984"/>
      <c r="B200" s="887"/>
      <c r="C200" s="1082"/>
      <c r="D200" s="1116"/>
      <c r="E200" s="1037"/>
      <c r="F200" s="1037"/>
      <c r="G200" s="1073"/>
      <c r="H200" s="1102"/>
      <c r="I200" s="1102"/>
      <c r="J200" s="1103"/>
      <c r="K200" s="1104"/>
      <c r="L200" s="884"/>
      <c r="M200" s="1050"/>
      <c r="N200" s="870"/>
      <c r="O200" s="870"/>
      <c r="P200" s="870"/>
      <c r="Q200" s="870"/>
      <c r="R200" s="870"/>
      <c r="S200" s="870"/>
      <c r="T200" s="870"/>
      <c r="U200" s="870"/>
      <c r="V200" s="870"/>
      <c r="W200" s="870"/>
      <c r="X200" s="1105"/>
    </row>
    <row r="201" spans="1:24" s="803" customFormat="1" ht="12">
      <c r="A201" s="984"/>
      <c r="B201" s="887" t="s">
        <v>743</v>
      </c>
      <c r="C201" s="1115" t="s">
        <v>733</v>
      </c>
      <c r="D201" s="874"/>
      <c r="E201" s="1037"/>
      <c r="F201" s="1037"/>
      <c r="G201" s="1073"/>
      <c r="H201" s="1102"/>
      <c r="I201" s="1102"/>
      <c r="J201" s="1103"/>
      <c r="K201" s="1104"/>
      <c r="L201" s="884"/>
      <c r="M201" s="1050"/>
      <c r="N201" s="870"/>
      <c r="O201" s="870"/>
      <c r="P201" s="870"/>
      <c r="Q201" s="870"/>
      <c r="R201" s="870"/>
      <c r="S201" s="870"/>
      <c r="T201" s="870"/>
      <c r="U201" s="870"/>
      <c r="V201" s="870"/>
      <c r="W201" s="870"/>
      <c r="X201" s="1105"/>
    </row>
    <row r="202" spans="1:24" s="803" customFormat="1" ht="12">
      <c r="A202" s="984"/>
      <c r="B202" s="887" t="s">
        <v>608</v>
      </c>
      <c r="C202" s="1115" t="s">
        <v>775</v>
      </c>
      <c r="D202" s="874"/>
      <c r="E202" s="1037"/>
      <c r="F202" s="1037"/>
      <c r="G202" s="1073"/>
      <c r="H202" s="1102"/>
      <c r="I202" s="1102"/>
      <c r="J202" s="1103"/>
      <c r="K202" s="1104"/>
      <c r="L202" s="884"/>
      <c r="M202" s="1050"/>
      <c r="N202" s="870"/>
      <c r="O202" s="870"/>
      <c r="P202" s="870"/>
      <c r="Q202" s="870"/>
      <c r="R202" s="870"/>
      <c r="S202" s="870"/>
      <c r="T202" s="870"/>
      <c r="U202" s="870"/>
      <c r="V202" s="870"/>
      <c r="W202" s="870"/>
      <c r="X202" s="1105"/>
    </row>
    <row r="203" spans="1:24" s="803" customFormat="1" ht="12">
      <c r="A203" s="984"/>
      <c r="B203" s="887"/>
      <c r="C203" s="1115" t="s">
        <v>776</v>
      </c>
      <c r="D203" s="874"/>
      <c r="E203" s="1037"/>
      <c r="F203" s="1037"/>
      <c r="G203" s="1073"/>
      <c r="H203" s="1102"/>
      <c r="I203" s="1102"/>
      <c r="J203" s="1103"/>
      <c r="K203" s="1104"/>
      <c r="L203" s="884"/>
      <c r="M203" s="1050"/>
      <c r="N203" s="870"/>
      <c r="O203" s="870"/>
      <c r="P203" s="870"/>
      <c r="Q203" s="870"/>
      <c r="R203" s="870"/>
      <c r="S203" s="870"/>
      <c r="T203" s="870"/>
      <c r="U203" s="870"/>
      <c r="V203" s="870"/>
      <c r="W203" s="870"/>
      <c r="X203" s="1105"/>
    </row>
    <row r="204" spans="1:24" s="803" customFormat="1" ht="12">
      <c r="A204" s="984"/>
      <c r="B204" s="887" t="s">
        <v>608</v>
      </c>
      <c r="C204" s="1082">
        <f>(('Caract. produção'!D70*'Caract. produção'!D74)*C199*41*0.001)*(44/28)</f>
        <v>3078.410605851429</v>
      </c>
      <c r="D204" s="874" t="s">
        <v>744</v>
      </c>
      <c r="E204" s="1037"/>
      <c r="F204" s="1037"/>
      <c r="G204" s="1073"/>
      <c r="H204" s="1102"/>
      <c r="I204" s="1102"/>
      <c r="J204" s="1103"/>
      <c r="K204" s="1104"/>
      <c r="L204" s="884"/>
      <c r="M204" s="1050"/>
      <c r="N204" s="870"/>
      <c r="O204" s="870"/>
      <c r="P204" s="870"/>
      <c r="Q204" s="870"/>
      <c r="R204" s="870"/>
      <c r="S204" s="870"/>
      <c r="T204" s="870"/>
      <c r="U204" s="870"/>
      <c r="V204" s="870"/>
      <c r="W204" s="870"/>
      <c r="X204" s="1105"/>
    </row>
    <row r="205" spans="1:24" s="803" customFormat="1" ht="12">
      <c r="A205" s="984"/>
      <c r="B205" s="885" t="s">
        <v>735</v>
      </c>
      <c r="C205" s="1037"/>
      <c r="D205" s="874"/>
      <c r="E205" s="1037"/>
      <c r="F205" s="1037"/>
      <c r="G205" s="1073"/>
      <c r="H205" s="1102"/>
      <c r="I205" s="1102"/>
      <c r="J205" s="1103"/>
      <c r="K205" s="1104"/>
      <c r="L205" s="884"/>
      <c r="M205" s="1050"/>
      <c r="N205" s="870"/>
      <c r="O205" s="870"/>
      <c r="P205" s="870"/>
      <c r="Q205" s="870"/>
      <c r="R205" s="870"/>
      <c r="S205" s="870"/>
      <c r="T205" s="870"/>
      <c r="U205" s="870"/>
      <c r="V205" s="870"/>
      <c r="W205" s="870"/>
      <c r="X205" s="1105"/>
    </row>
    <row r="206" spans="1:24" s="803" customFormat="1" ht="12">
      <c r="A206" s="984"/>
      <c r="B206" s="887" t="s">
        <v>742</v>
      </c>
      <c r="C206" s="1115" t="s">
        <v>736</v>
      </c>
      <c r="D206" s="874"/>
      <c r="F206" s="1037"/>
      <c r="G206" s="1073"/>
      <c r="H206" s="1102"/>
      <c r="I206" s="1102"/>
      <c r="J206" s="1103"/>
      <c r="K206" s="1104"/>
      <c r="L206" s="884"/>
      <c r="M206" s="1050"/>
      <c r="N206" s="870"/>
      <c r="O206" s="870"/>
      <c r="P206" s="870"/>
      <c r="Q206" s="870"/>
      <c r="R206" s="870"/>
      <c r="S206" s="870"/>
      <c r="T206" s="870"/>
      <c r="U206" s="870"/>
      <c r="V206" s="870"/>
      <c r="W206" s="870"/>
      <c r="X206" s="1105"/>
    </row>
    <row r="207" spans="1:24" s="803" customFormat="1" ht="12">
      <c r="A207" s="984"/>
      <c r="B207" s="1118"/>
      <c r="C207" s="874" t="s">
        <v>737</v>
      </c>
      <c r="D207" s="874"/>
      <c r="E207" s="1037"/>
      <c r="F207" s="1037"/>
      <c r="G207" s="1073"/>
      <c r="H207" s="1102"/>
      <c r="I207" s="1102"/>
      <c r="J207" s="1103"/>
      <c r="K207" s="1104"/>
      <c r="L207" s="884"/>
      <c r="M207" s="1050"/>
      <c r="N207" s="870"/>
      <c r="O207" s="870"/>
      <c r="P207" s="870"/>
      <c r="Q207" s="870"/>
      <c r="R207" s="870"/>
      <c r="S207" s="870"/>
      <c r="T207" s="870"/>
      <c r="U207" s="870"/>
      <c r="V207" s="870"/>
      <c r="W207" s="870"/>
      <c r="X207" s="1105"/>
    </row>
    <row r="208" spans="1:24" s="803" customFormat="1" ht="12">
      <c r="A208" s="984"/>
      <c r="B208" s="887" t="s">
        <v>608</v>
      </c>
      <c r="C208" s="874" t="s">
        <v>783</v>
      </c>
      <c r="D208" s="874"/>
      <c r="E208" s="1037"/>
      <c r="F208" s="1037"/>
      <c r="G208" s="1073"/>
      <c r="H208" s="1102"/>
      <c r="I208" s="1102"/>
      <c r="J208" s="1103"/>
      <c r="K208" s="1104"/>
      <c r="L208" s="884"/>
      <c r="M208" s="1050"/>
      <c r="N208" s="870"/>
      <c r="O208" s="870"/>
      <c r="P208" s="870"/>
      <c r="Q208" s="870"/>
      <c r="R208" s="870"/>
      <c r="S208" s="870"/>
      <c r="T208" s="870"/>
      <c r="U208" s="870"/>
      <c r="V208" s="870"/>
      <c r="W208" s="870"/>
      <c r="X208" s="1105"/>
    </row>
    <row r="209" spans="1:24" s="803" customFormat="1" ht="12">
      <c r="A209" s="984"/>
      <c r="B209" s="887"/>
      <c r="C209" s="874" t="s">
        <v>784</v>
      </c>
      <c r="D209" s="874"/>
      <c r="E209" s="1037"/>
      <c r="F209" s="1037"/>
      <c r="G209" s="1073"/>
      <c r="H209" s="1119"/>
      <c r="I209" s="1102"/>
      <c r="J209" s="1103"/>
      <c r="K209" s="1104"/>
      <c r="L209" s="884"/>
      <c r="M209" s="1050"/>
      <c r="N209" s="870"/>
      <c r="O209" s="870"/>
      <c r="P209" s="870"/>
      <c r="Q209" s="870"/>
      <c r="R209" s="870"/>
      <c r="S209" s="870"/>
      <c r="T209" s="870"/>
      <c r="U209" s="870"/>
      <c r="V209" s="870"/>
      <c r="W209" s="870"/>
      <c r="X209" s="1105"/>
    </row>
    <row r="210" spans="1:24" s="803" customFormat="1" ht="12">
      <c r="A210" s="984"/>
      <c r="B210" s="887" t="s">
        <v>608</v>
      </c>
      <c r="C210" s="1082">
        <f>(('Caract. produção'!D70*'Caract. produção'!D74)*C199*40*(40/100))</f>
        <v>764483.34336000029</v>
      </c>
      <c r="D210" s="874" t="s">
        <v>739</v>
      </c>
      <c r="E210" s="1037"/>
      <c r="F210" s="1037"/>
      <c r="G210" s="1073"/>
      <c r="H210" s="1119"/>
      <c r="I210" s="1102"/>
      <c r="J210" s="1103"/>
      <c r="K210" s="1104"/>
      <c r="L210" s="884"/>
      <c r="M210" s="1050"/>
      <c r="N210" s="870"/>
      <c r="O210" s="870"/>
      <c r="P210" s="870"/>
      <c r="Q210" s="870"/>
      <c r="R210" s="870"/>
      <c r="S210" s="870"/>
      <c r="T210" s="870"/>
      <c r="U210" s="870"/>
      <c r="V210" s="870"/>
      <c r="W210" s="870"/>
      <c r="X210" s="1105"/>
    </row>
    <row r="211" spans="1:24" s="803" customFormat="1" ht="12">
      <c r="A211" s="984"/>
      <c r="B211" s="887" t="s">
        <v>738</v>
      </c>
      <c r="C211" s="1115" t="s">
        <v>785</v>
      </c>
      <c r="D211" s="874"/>
      <c r="E211" s="1082"/>
      <c r="F211" s="804" t="s">
        <v>741</v>
      </c>
      <c r="G211" s="1073"/>
      <c r="H211" s="1102"/>
      <c r="I211" s="1102"/>
      <c r="J211" s="1103"/>
      <c r="K211" s="1104"/>
      <c r="L211" s="884"/>
      <c r="M211" s="1050"/>
      <c r="N211" s="870"/>
      <c r="O211" s="870"/>
      <c r="P211" s="870"/>
      <c r="Q211" s="870"/>
      <c r="R211" s="870"/>
      <c r="S211" s="870"/>
      <c r="T211" s="870"/>
      <c r="U211" s="870"/>
      <c r="V211" s="870"/>
      <c r="W211" s="870"/>
      <c r="X211" s="1105"/>
    </row>
    <row r="212" spans="1:24" s="803" customFormat="1" ht="12">
      <c r="A212" s="984"/>
      <c r="B212" s="887" t="s">
        <v>608</v>
      </c>
      <c r="C212" s="1082">
        <f>C210*0.01*(44/28)</f>
        <v>12013.309681371435</v>
      </c>
      <c r="D212" s="874" t="s">
        <v>740</v>
      </c>
      <c r="E212" s="1037"/>
      <c r="F212" s="1037"/>
      <c r="G212" s="1073"/>
      <c r="H212" s="1102"/>
      <c r="I212" s="1102"/>
      <c r="J212" s="1103"/>
      <c r="K212" s="1104"/>
      <c r="L212" s="884"/>
      <c r="M212" s="1050"/>
      <c r="N212" s="870"/>
      <c r="O212" s="870"/>
      <c r="P212" s="870"/>
      <c r="Q212" s="870"/>
      <c r="R212" s="870"/>
      <c r="S212" s="870"/>
      <c r="T212" s="870"/>
      <c r="U212" s="870"/>
      <c r="V212" s="870"/>
      <c r="W212" s="870"/>
      <c r="X212" s="1105"/>
    </row>
    <row r="213" spans="1:24" s="803" customFormat="1" ht="12">
      <c r="A213" s="984"/>
      <c r="B213" s="887" t="s">
        <v>771</v>
      </c>
      <c r="C213" s="1082" t="s">
        <v>786</v>
      </c>
      <c r="E213" s="1037"/>
      <c r="F213" s="1037"/>
      <c r="G213" s="1073"/>
      <c r="H213" s="1102"/>
      <c r="I213" s="1102"/>
      <c r="J213" s="1103"/>
      <c r="K213" s="1104"/>
      <c r="L213" s="884"/>
      <c r="M213" s="1050"/>
      <c r="N213" s="870"/>
      <c r="O213" s="870"/>
      <c r="P213" s="870"/>
      <c r="Q213" s="870"/>
      <c r="R213" s="870"/>
      <c r="S213" s="870"/>
      <c r="T213" s="870"/>
      <c r="U213" s="870"/>
      <c r="V213" s="870"/>
      <c r="W213" s="870"/>
      <c r="X213" s="1105"/>
    </row>
    <row r="214" spans="1:24" s="803" customFormat="1" ht="12">
      <c r="A214" s="984"/>
      <c r="B214" s="887" t="s">
        <v>608</v>
      </c>
      <c r="C214" s="1082" t="s">
        <v>787</v>
      </c>
      <c r="E214" s="1037"/>
      <c r="F214" s="1037"/>
      <c r="G214" s="1073"/>
      <c r="H214" s="1102"/>
      <c r="I214" s="1102"/>
      <c r="J214" s="1103"/>
      <c r="K214" s="1104"/>
      <c r="L214" s="884"/>
      <c r="M214" s="1050"/>
      <c r="N214" s="870"/>
      <c r="O214" s="870"/>
      <c r="P214" s="870"/>
      <c r="Q214" s="870"/>
      <c r="R214" s="870"/>
      <c r="S214" s="870"/>
      <c r="T214" s="870"/>
      <c r="U214" s="870"/>
      <c r="V214" s="870"/>
      <c r="W214" s="870"/>
      <c r="X214" s="1105"/>
    </row>
    <row r="215" spans="1:24" s="803" customFormat="1" ht="12">
      <c r="A215" s="984"/>
      <c r="B215" s="887" t="s">
        <v>608</v>
      </c>
      <c r="C215" s="1082">
        <f>C161*(C212+C204)</f>
        <v>18562.81595328412</v>
      </c>
      <c r="D215" s="874" t="s">
        <v>765</v>
      </c>
      <c r="E215" s="1037"/>
      <c r="F215" s="1037"/>
      <c r="G215" s="1073"/>
      <c r="H215" s="1102"/>
      <c r="I215" s="1102"/>
      <c r="J215" s="1103"/>
      <c r="K215" s="1104"/>
      <c r="L215" s="884"/>
      <c r="M215" s="1050"/>
      <c r="N215" s="870"/>
      <c r="O215" s="870"/>
      <c r="P215" s="870"/>
      <c r="Q215" s="870"/>
      <c r="R215" s="870"/>
      <c r="S215" s="870"/>
      <c r="T215" s="870"/>
      <c r="U215" s="870"/>
      <c r="V215" s="870"/>
      <c r="W215" s="870"/>
      <c r="X215" s="1105"/>
    </row>
    <row r="216" spans="1:24" s="803" customFormat="1" ht="12">
      <c r="A216" s="984" t="s">
        <v>822</v>
      </c>
      <c r="B216" s="1114" t="s">
        <v>823</v>
      </c>
      <c r="C216" s="1037"/>
      <c r="D216" s="1037"/>
      <c r="E216" s="1037"/>
      <c r="F216" s="1037"/>
      <c r="G216" s="1073"/>
      <c r="H216" s="1102"/>
      <c r="I216" s="1102"/>
      <c r="J216" s="1103"/>
      <c r="K216" s="1104"/>
      <c r="L216" s="884"/>
      <c r="M216" s="1050"/>
      <c r="N216" s="870"/>
      <c r="O216" s="870"/>
      <c r="P216" s="870"/>
      <c r="Q216" s="870"/>
      <c r="R216" s="870"/>
      <c r="S216" s="870"/>
      <c r="T216" s="870"/>
      <c r="U216" s="870"/>
      <c r="V216" s="870"/>
      <c r="W216" s="870"/>
      <c r="X216" s="1105"/>
    </row>
    <row r="217" spans="1:24" s="803" customFormat="1" ht="12">
      <c r="A217" s="984"/>
      <c r="B217" s="875" t="s">
        <v>731</v>
      </c>
      <c r="C217" s="1120" t="s">
        <v>791</v>
      </c>
      <c r="D217" s="874"/>
      <c r="E217" s="1037"/>
      <c r="F217" s="1037"/>
      <c r="G217" s="1073"/>
      <c r="H217" s="1102"/>
      <c r="I217" s="1102"/>
      <c r="J217" s="1103"/>
      <c r="K217" s="1104"/>
      <c r="L217" s="884"/>
      <c r="M217" s="1050"/>
      <c r="N217" s="870"/>
      <c r="O217" s="870"/>
      <c r="P217" s="870"/>
      <c r="Q217" s="870"/>
      <c r="R217" s="870"/>
      <c r="S217" s="870"/>
      <c r="T217" s="870"/>
      <c r="U217" s="870"/>
      <c r="V217" s="870"/>
      <c r="W217" s="870"/>
      <c r="X217" s="1105"/>
    </row>
    <row r="218" spans="1:24" s="803" customFormat="1" ht="12">
      <c r="A218" s="984"/>
      <c r="B218" s="887" t="s">
        <v>608</v>
      </c>
      <c r="C218" s="1116" t="s">
        <v>792</v>
      </c>
      <c r="D218" s="874"/>
      <c r="E218" s="1037"/>
      <c r="F218" s="1037"/>
      <c r="G218" s="1073"/>
      <c r="H218" s="1102"/>
      <c r="I218" s="1102"/>
      <c r="J218" s="1103"/>
      <c r="K218" s="1104"/>
      <c r="L218" s="884"/>
      <c r="M218" s="1050"/>
      <c r="N218" s="870"/>
      <c r="O218" s="870"/>
      <c r="P218" s="870"/>
      <c r="Q218" s="870"/>
      <c r="R218" s="870"/>
      <c r="S218" s="870"/>
      <c r="T218" s="870"/>
      <c r="U218" s="870"/>
      <c r="V218" s="870"/>
      <c r="W218" s="870"/>
      <c r="X218" s="1105"/>
    </row>
    <row r="219" spans="1:24" s="803" customFormat="1" ht="12">
      <c r="A219" s="984"/>
      <c r="B219" s="887"/>
      <c r="C219" s="1116" t="s">
        <v>732</v>
      </c>
      <c r="D219" s="874"/>
      <c r="E219" s="1037"/>
      <c r="F219" s="1037"/>
      <c r="G219" s="1073"/>
      <c r="H219" s="1102"/>
      <c r="I219" s="1102"/>
      <c r="J219" s="1103"/>
      <c r="K219" s="1104"/>
      <c r="L219" s="884"/>
      <c r="M219" s="1050"/>
      <c r="N219" s="870"/>
      <c r="O219" s="870"/>
      <c r="P219" s="870"/>
      <c r="Q219" s="870"/>
      <c r="R219" s="870"/>
      <c r="S219" s="870"/>
      <c r="T219" s="870"/>
      <c r="U219" s="870"/>
      <c r="V219" s="870"/>
      <c r="W219" s="870"/>
      <c r="X219" s="1105"/>
    </row>
    <row r="220" spans="1:24" s="803" customFormat="1" ht="12">
      <c r="A220" s="984"/>
      <c r="C220" s="1082">
        <f>((0.02*(('Caract. produção'!D70*'Caract. produção'!D74)))/10^6)*1000000000</f>
        <v>2006400.0000000002</v>
      </c>
      <c r="D220" s="1037" t="s">
        <v>639</v>
      </c>
      <c r="E220" s="1037"/>
      <c r="F220" s="1037"/>
      <c r="G220" s="1073"/>
      <c r="H220" s="1102"/>
      <c r="I220" s="1102"/>
      <c r="J220" s="1103"/>
      <c r="K220" s="1104"/>
      <c r="L220" s="884"/>
      <c r="M220" s="1050"/>
      <c r="N220" s="870"/>
      <c r="O220" s="870"/>
      <c r="P220" s="870"/>
      <c r="Q220" s="870"/>
      <c r="R220" s="870"/>
      <c r="S220" s="870"/>
      <c r="T220" s="870"/>
      <c r="U220" s="870"/>
      <c r="V220" s="870"/>
      <c r="W220" s="870"/>
      <c r="X220" s="1105"/>
    </row>
    <row r="221" spans="1:24" s="803" customFormat="1" ht="12">
      <c r="A221" s="984"/>
      <c r="B221" s="887" t="s">
        <v>771</v>
      </c>
      <c r="C221" s="1082" t="s">
        <v>786</v>
      </c>
      <c r="D221" s="1037"/>
      <c r="E221" s="1037"/>
      <c r="F221" s="1037"/>
      <c r="G221" s="1073"/>
      <c r="H221" s="1102"/>
      <c r="I221" s="1102"/>
      <c r="J221" s="1103"/>
      <c r="K221" s="1104"/>
      <c r="L221" s="884"/>
      <c r="M221" s="1050"/>
      <c r="N221" s="870"/>
      <c r="O221" s="870"/>
      <c r="P221" s="870"/>
      <c r="Q221" s="870"/>
      <c r="R221" s="870"/>
      <c r="S221" s="870"/>
      <c r="T221" s="870"/>
      <c r="U221" s="870"/>
      <c r="V221" s="870"/>
      <c r="W221" s="870"/>
      <c r="X221" s="1105"/>
    </row>
    <row r="222" spans="1:24" s="803" customFormat="1" ht="12">
      <c r="A222" s="984"/>
      <c r="B222" s="887"/>
      <c r="C222" s="1082" t="s">
        <v>787</v>
      </c>
      <c r="D222" s="1037"/>
      <c r="E222" s="1037"/>
      <c r="F222" s="1037"/>
      <c r="G222" s="1073"/>
      <c r="H222" s="1102"/>
      <c r="I222" s="1102"/>
      <c r="J222" s="1103"/>
      <c r="K222" s="1104"/>
      <c r="L222" s="884"/>
      <c r="M222" s="1050"/>
      <c r="N222" s="870"/>
      <c r="O222" s="870"/>
      <c r="P222" s="870"/>
      <c r="Q222" s="870"/>
      <c r="R222" s="870"/>
      <c r="S222" s="870"/>
      <c r="T222" s="870"/>
      <c r="U222" s="870"/>
      <c r="V222" s="870"/>
      <c r="W222" s="870"/>
      <c r="X222" s="1105"/>
    </row>
    <row r="223" spans="1:24" s="803" customFormat="1" ht="12">
      <c r="A223" s="984"/>
      <c r="B223" s="1033"/>
      <c r="C223" s="1082">
        <f>((1*(C220)))</f>
        <v>2006400.0000000002</v>
      </c>
      <c r="D223" s="874" t="s">
        <v>1546</v>
      </c>
      <c r="E223" s="1037"/>
      <c r="F223" s="1037"/>
      <c r="G223" s="1073"/>
      <c r="H223" s="1102"/>
      <c r="I223" s="1102"/>
      <c r="J223" s="1103"/>
      <c r="K223" s="1104"/>
      <c r="L223" s="884"/>
      <c r="M223" s="1050"/>
      <c r="N223" s="870"/>
      <c r="O223" s="870"/>
      <c r="P223" s="870"/>
      <c r="Q223" s="870"/>
      <c r="R223" s="870"/>
      <c r="S223" s="870"/>
      <c r="T223" s="870"/>
      <c r="U223" s="870"/>
      <c r="V223" s="870"/>
      <c r="W223" s="870"/>
      <c r="X223" s="1105"/>
    </row>
    <row r="224" spans="1:24" s="803" customFormat="1" ht="12">
      <c r="A224" s="1106" t="s">
        <v>804</v>
      </c>
      <c r="B224" s="1038" t="s">
        <v>798</v>
      </c>
      <c r="C224" s="1037"/>
      <c r="D224" s="1037"/>
      <c r="E224" s="1037"/>
      <c r="F224" s="1037"/>
      <c r="G224" s="1073"/>
      <c r="H224" s="1102"/>
      <c r="I224" s="1102"/>
      <c r="J224" s="1103"/>
      <c r="K224" s="1104"/>
      <c r="L224" s="884"/>
      <c r="M224" s="1050"/>
      <c r="N224" s="870"/>
      <c r="O224" s="870"/>
      <c r="P224" s="870"/>
      <c r="Q224" s="870"/>
      <c r="R224" s="870"/>
      <c r="S224" s="870"/>
      <c r="T224" s="870"/>
      <c r="U224" s="870"/>
      <c r="V224" s="870"/>
      <c r="W224" s="870"/>
      <c r="X224" s="1105"/>
    </row>
    <row r="225" spans="1:24" s="803" customFormat="1" ht="12">
      <c r="A225" s="984"/>
      <c r="B225" s="1038"/>
      <c r="C225" s="1037"/>
      <c r="D225" s="1037"/>
      <c r="E225" s="1037"/>
      <c r="F225" s="1037"/>
      <c r="G225" s="1073"/>
      <c r="H225" s="1102"/>
      <c r="I225" s="1102"/>
      <c r="J225" s="1103"/>
      <c r="K225" s="1104"/>
      <c r="L225" s="884"/>
      <c r="M225" s="1050"/>
      <c r="N225" s="870"/>
      <c r="O225" s="870"/>
      <c r="P225" s="870"/>
      <c r="Q225" s="870"/>
      <c r="R225" s="870"/>
      <c r="S225" s="870"/>
      <c r="T225" s="870"/>
      <c r="U225" s="870"/>
      <c r="V225" s="870"/>
      <c r="W225" s="870"/>
      <c r="X225" s="1105"/>
    </row>
    <row r="226" spans="1:24" s="803" customFormat="1" ht="12">
      <c r="A226" s="1106" t="s">
        <v>805</v>
      </c>
      <c r="B226" s="1038" t="s">
        <v>729</v>
      </c>
      <c r="C226" s="1037"/>
      <c r="D226" s="1037"/>
      <c r="E226" s="1037"/>
      <c r="F226" s="1037"/>
      <c r="G226" s="1073"/>
      <c r="H226" s="1102"/>
      <c r="I226" s="1102"/>
      <c r="J226" s="1103"/>
      <c r="K226" s="1104"/>
      <c r="L226" s="884"/>
      <c r="M226" s="1050"/>
      <c r="N226" s="870"/>
      <c r="O226" s="870"/>
      <c r="P226" s="870"/>
      <c r="Q226" s="870"/>
      <c r="R226" s="870"/>
      <c r="S226" s="870"/>
      <c r="T226" s="870"/>
      <c r="U226" s="870"/>
      <c r="V226" s="870"/>
      <c r="W226" s="870"/>
      <c r="X226" s="1105"/>
    </row>
    <row r="227" spans="1:24" s="803" customFormat="1" ht="12">
      <c r="A227" s="1106" t="s">
        <v>807</v>
      </c>
      <c r="B227" s="1114" t="s">
        <v>818</v>
      </c>
      <c r="C227" s="1037"/>
      <c r="D227" s="1037"/>
      <c r="E227" s="1037"/>
      <c r="F227" s="1037"/>
      <c r="G227" s="1073"/>
      <c r="H227" s="1102"/>
      <c r="I227" s="1102"/>
      <c r="J227" s="1103"/>
      <c r="K227" s="1104"/>
      <c r="L227" s="884"/>
      <c r="M227" s="1050"/>
      <c r="N227" s="870"/>
      <c r="O227" s="870"/>
      <c r="P227" s="870"/>
      <c r="Q227" s="870"/>
      <c r="R227" s="870"/>
      <c r="S227" s="870"/>
      <c r="T227" s="870"/>
      <c r="U227" s="870"/>
      <c r="V227" s="870"/>
      <c r="W227" s="870"/>
      <c r="X227" s="1105"/>
    </row>
    <row r="228" spans="1:24" s="803" customFormat="1" ht="12">
      <c r="A228" s="984"/>
      <c r="B228" s="1033" t="s">
        <v>705</v>
      </c>
      <c r="C228" s="804" t="s">
        <v>760</v>
      </c>
      <c r="D228" s="1037"/>
      <c r="E228" s="1037"/>
      <c r="F228" s="1037"/>
      <c r="G228" s="1073"/>
      <c r="H228" s="1102"/>
      <c r="I228" s="1102"/>
      <c r="J228" s="1103"/>
      <c r="K228" s="1104"/>
      <c r="L228" s="884"/>
      <c r="M228" s="1050"/>
      <c r="N228" s="870"/>
      <c r="O228" s="870"/>
      <c r="P228" s="870"/>
      <c r="Q228" s="870"/>
      <c r="R228" s="870"/>
      <c r="S228" s="870"/>
      <c r="T228" s="870"/>
      <c r="U228" s="870"/>
      <c r="V228" s="870"/>
      <c r="W228" s="870"/>
      <c r="X228" s="1105"/>
    </row>
    <row r="229" spans="1:24" s="803" customFormat="1" ht="12">
      <c r="A229" s="984"/>
      <c r="B229" s="1033" t="s">
        <v>705</v>
      </c>
      <c r="C229" s="803" t="s">
        <v>761</v>
      </c>
      <c r="D229" s="1037"/>
      <c r="E229" s="1037"/>
      <c r="F229" s="1037"/>
      <c r="G229" s="1073"/>
      <c r="H229" s="1102"/>
      <c r="I229" s="1102"/>
      <c r="J229" s="1103"/>
      <c r="K229" s="1104"/>
      <c r="L229" s="884"/>
      <c r="M229" s="1050"/>
      <c r="N229" s="870"/>
      <c r="O229" s="870"/>
      <c r="P229" s="870"/>
      <c r="Q229" s="870"/>
      <c r="R229" s="870"/>
      <c r="S229" s="870"/>
      <c r="T229" s="870"/>
      <c r="U229" s="870"/>
      <c r="V229" s="870"/>
      <c r="W229" s="870"/>
      <c r="X229" s="1105"/>
    </row>
    <row r="230" spans="1:24" s="803" customFormat="1" ht="12">
      <c r="A230" s="984"/>
      <c r="B230" s="1033"/>
      <c r="C230" s="803" t="s">
        <v>762</v>
      </c>
      <c r="D230" s="1037"/>
      <c r="E230" s="1037"/>
      <c r="F230" s="1037"/>
      <c r="G230" s="1073"/>
      <c r="H230" s="1102"/>
      <c r="I230" s="1102"/>
      <c r="J230" s="1103"/>
      <c r="K230" s="1104"/>
      <c r="L230" s="884"/>
      <c r="M230" s="1050"/>
      <c r="N230" s="870"/>
      <c r="O230" s="870"/>
      <c r="P230" s="870"/>
      <c r="Q230" s="870"/>
      <c r="R230" s="870"/>
      <c r="S230" s="870"/>
      <c r="T230" s="870"/>
      <c r="U230" s="870"/>
      <c r="V230" s="870"/>
      <c r="W230" s="870"/>
      <c r="X230" s="1105"/>
    </row>
    <row r="231" spans="1:24" s="803" customFormat="1" ht="12">
      <c r="A231" s="984"/>
      <c r="B231" s="1033" t="s">
        <v>608</v>
      </c>
      <c r="C231" s="1082">
        <f>Insumos!E103*'Caract. produção'!D74*1000000*1.47*0.03*5.4*4186</f>
        <v>75003297969.600006</v>
      </c>
      <c r="D231" s="803" t="s">
        <v>583</v>
      </c>
      <c r="E231" s="1037"/>
      <c r="F231" s="1037"/>
      <c r="G231" s="1073"/>
      <c r="H231" s="1102"/>
      <c r="I231" s="1102"/>
      <c r="J231" s="1103"/>
      <c r="K231" s="1104"/>
      <c r="L231" s="884"/>
      <c r="M231" s="1050"/>
      <c r="N231" s="870"/>
      <c r="O231" s="870"/>
      <c r="P231" s="870"/>
      <c r="Q231" s="870"/>
      <c r="R231" s="870"/>
      <c r="S231" s="870"/>
      <c r="T231" s="870"/>
      <c r="U231" s="870"/>
      <c r="V231" s="870"/>
      <c r="W231" s="870"/>
      <c r="X231" s="1105"/>
    </row>
    <row r="232" spans="1:24" s="803" customFormat="1" ht="12">
      <c r="A232" s="984"/>
      <c r="B232" s="1033" t="s">
        <v>608</v>
      </c>
      <c r="C232" s="1082">
        <f>C231/1000000000000</f>
        <v>7.5003297969600008E-2</v>
      </c>
      <c r="D232" s="1037" t="s">
        <v>1530</v>
      </c>
      <c r="F232" s="1037"/>
      <c r="G232" s="1073"/>
      <c r="H232" s="1102"/>
      <c r="I232" s="1102"/>
      <c r="J232" s="1103"/>
      <c r="K232" s="1104"/>
      <c r="L232" s="884"/>
      <c r="M232" s="1050"/>
      <c r="N232" s="870"/>
      <c r="O232" s="870"/>
      <c r="P232" s="870"/>
      <c r="Q232" s="870"/>
      <c r="R232" s="870"/>
      <c r="S232" s="870"/>
      <c r="T232" s="870"/>
      <c r="U232" s="870"/>
      <c r="V232" s="870"/>
      <c r="W232" s="870"/>
      <c r="X232" s="1105"/>
    </row>
    <row r="233" spans="1:24" s="803" customFormat="1" ht="12">
      <c r="A233" s="984"/>
      <c r="B233" s="1033" t="s">
        <v>793</v>
      </c>
      <c r="C233" s="945" t="s">
        <v>794</v>
      </c>
      <c r="D233" s="1037"/>
      <c r="E233" s="1037"/>
      <c r="F233" s="1037"/>
      <c r="G233" s="1073"/>
      <c r="H233" s="1102"/>
      <c r="I233" s="1102"/>
      <c r="J233" s="1103"/>
      <c r="K233" s="1104"/>
      <c r="L233" s="884"/>
      <c r="M233" s="1050"/>
      <c r="N233" s="870"/>
      <c r="O233" s="870"/>
      <c r="P233" s="870"/>
      <c r="Q233" s="870"/>
      <c r="R233" s="870"/>
      <c r="S233" s="870"/>
      <c r="T233" s="870"/>
      <c r="U233" s="870"/>
      <c r="V233" s="870"/>
      <c r="W233" s="870"/>
      <c r="X233" s="1105"/>
    </row>
    <row r="234" spans="1:24" s="803" customFormat="1" ht="12">
      <c r="A234" s="984"/>
      <c r="B234" s="1033" t="s">
        <v>608</v>
      </c>
      <c r="C234" s="1037" t="s">
        <v>1473</v>
      </c>
      <c r="D234" s="1037"/>
      <c r="E234" s="1037"/>
      <c r="F234" s="1037"/>
      <c r="G234" s="1073"/>
      <c r="H234" s="1102"/>
      <c r="I234" s="1102"/>
      <c r="J234" s="1103"/>
      <c r="K234" s="1104"/>
      <c r="L234" s="884"/>
      <c r="M234" s="1050"/>
      <c r="N234" s="870"/>
      <c r="O234" s="870"/>
      <c r="P234" s="870"/>
      <c r="Q234" s="870"/>
      <c r="R234" s="870"/>
      <c r="S234" s="870"/>
      <c r="T234" s="870"/>
      <c r="U234" s="870"/>
      <c r="V234" s="870"/>
      <c r="W234" s="870"/>
      <c r="X234" s="1105"/>
    </row>
    <row r="235" spans="1:24" s="803" customFormat="1" ht="12">
      <c r="A235" s="984"/>
      <c r="B235" s="1108" t="s">
        <v>608</v>
      </c>
      <c r="C235" s="1117">
        <f>C232*112000</f>
        <v>8400.3693725952016</v>
      </c>
      <c r="D235" s="1037" t="s">
        <v>815</v>
      </c>
      <c r="E235" s="1037"/>
      <c r="F235" s="1037"/>
      <c r="G235" s="1073"/>
      <c r="H235" s="1102"/>
      <c r="I235" s="1102"/>
      <c r="J235" s="1103"/>
      <c r="K235" s="1104"/>
      <c r="L235" s="884"/>
      <c r="M235" s="1050"/>
      <c r="N235" s="870"/>
      <c r="O235" s="870"/>
      <c r="P235" s="870"/>
      <c r="Q235" s="870"/>
      <c r="R235" s="870"/>
      <c r="S235" s="870"/>
      <c r="T235" s="870"/>
      <c r="U235" s="870"/>
      <c r="V235" s="870"/>
      <c r="W235" s="870"/>
      <c r="X235" s="1105"/>
    </row>
    <row r="236" spans="1:24" s="803" customFormat="1" ht="12">
      <c r="A236" s="1106" t="s">
        <v>808</v>
      </c>
      <c r="B236" s="1114" t="s">
        <v>824</v>
      </c>
      <c r="C236" s="1037"/>
      <c r="D236" s="1037"/>
      <c r="E236" s="1037"/>
      <c r="F236" s="1037"/>
      <c r="G236" s="1073"/>
      <c r="H236" s="1102"/>
      <c r="I236" s="1102"/>
      <c r="J236" s="1103"/>
      <c r="K236" s="1104"/>
      <c r="L236" s="884"/>
      <c r="M236" s="1050"/>
      <c r="N236" s="870"/>
      <c r="O236" s="870"/>
      <c r="P236" s="870"/>
      <c r="Q236" s="870"/>
      <c r="R236" s="870"/>
      <c r="S236" s="870"/>
      <c r="T236" s="870"/>
      <c r="U236" s="870"/>
      <c r="V236" s="870"/>
      <c r="W236" s="870"/>
      <c r="X236" s="1105"/>
    </row>
    <row r="237" spans="1:24" s="803" customFormat="1" ht="12">
      <c r="A237" s="984"/>
      <c r="B237" s="1033"/>
      <c r="C237" s="1037"/>
      <c r="D237" s="1037"/>
      <c r="E237" s="1037"/>
      <c r="F237" s="1037"/>
      <c r="G237" s="1073"/>
      <c r="H237" s="1102"/>
      <c r="I237" s="1102"/>
      <c r="J237" s="1103"/>
      <c r="K237" s="1104"/>
      <c r="L237" s="884"/>
      <c r="M237" s="1050"/>
      <c r="N237" s="870"/>
      <c r="O237" s="870"/>
      <c r="P237" s="870"/>
      <c r="Q237" s="870"/>
      <c r="R237" s="870"/>
      <c r="S237" s="870"/>
      <c r="T237" s="870"/>
      <c r="U237" s="870"/>
      <c r="V237" s="870"/>
      <c r="W237" s="870"/>
      <c r="X237" s="1105"/>
    </row>
    <row r="238" spans="1:24" s="803" customFormat="1" ht="12">
      <c r="A238" s="984"/>
      <c r="B238" s="1033" t="s">
        <v>705</v>
      </c>
      <c r="C238" s="804" t="s">
        <v>760</v>
      </c>
      <c r="D238" s="1037"/>
      <c r="E238" s="1037"/>
      <c r="F238" s="1037"/>
      <c r="G238" s="1073"/>
      <c r="H238" s="1102"/>
      <c r="I238" s="1102"/>
      <c r="J238" s="1103"/>
      <c r="K238" s="1104"/>
      <c r="L238" s="884"/>
      <c r="M238" s="1050"/>
      <c r="N238" s="870"/>
      <c r="O238" s="870"/>
      <c r="P238" s="870"/>
      <c r="Q238" s="870"/>
      <c r="R238" s="870"/>
      <c r="S238" s="870"/>
      <c r="T238" s="870"/>
      <c r="U238" s="870"/>
      <c r="V238" s="870"/>
      <c r="W238" s="870"/>
      <c r="X238" s="1105"/>
    </row>
    <row r="239" spans="1:24" s="803" customFormat="1" ht="12">
      <c r="A239" s="984"/>
      <c r="B239" s="1033" t="s">
        <v>705</v>
      </c>
      <c r="C239" s="803" t="s">
        <v>761</v>
      </c>
      <c r="D239" s="1037"/>
      <c r="E239" s="1037"/>
      <c r="F239" s="1037"/>
      <c r="G239" s="1073"/>
      <c r="H239" s="1102"/>
      <c r="I239" s="1102"/>
      <c r="J239" s="1103"/>
      <c r="K239" s="1104"/>
      <c r="L239" s="884"/>
      <c r="M239" s="1050"/>
      <c r="N239" s="870"/>
      <c r="O239" s="870"/>
      <c r="P239" s="870"/>
      <c r="Q239" s="870"/>
      <c r="R239" s="870"/>
      <c r="S239" s="870"/>
      <c r="T239" s="870"/>
      <c r="U239" s="870"/>
      <c r="V239" s="870"/>
      <c r="W239" s="870"/>
      <c r="X239" s="1105"/>
    </row>
    <row r="240" spans="1:24" s="803" customFormat="1" ht="12">
      <c r="A240" s="984"/>
      <c r="B240" s="1033"/>
      <c r="C240" s="803" t="s">
        <v>762</v>
      </c>
      <c r="D240" s="1037"/>
      <c r="E240" s="1037"/>
      <c r="F240" s="1037"/>
      <c r="G240" s="1073"/>
      <c r="H240" s="1102"/>
      <c r="I240" s="1102"/>
      <c r="J240" s="1103"/>
      <c r="K240" s="1104"/>
      <c r="L240" s="884"/>
      <c r="M240" s="1050"/>
      <c r="N240" s="870"/>
      <c r="O240" s="870"/>
      <c r="P240" s="870"/>
      <c r="Q240" s="870"/>
      <c r="R240" s="870"/>
      <c r="S240" s="870"/>
      <c r="T240" s="870"/>
      <c r="U240" s="870"/>
      <c r="V240" s="870"/>
      <c r="W240" s="870"/>
      <c r="X240" s="1105"/>
    </row>
    <row r="241" spans="1:24" s="803" customFormat="1" ht="12">
      <c r="A241" s="984"/>
      <c r="B241" s="1033" t="s">
        <v>608</v>
      </c>
      <c r="C241" s="1082">
        <f>C231</f>
        <v>75003297969.600006</v>
      </c>
      <c r="D241" s="803" t="s">
        <v>583</v>
      </c>
      <c r="E241" s="1037"/>
      <c r="F241" s="1037"/>
      <c r="G241" s="1073"/>
      <c r="H241" s="1102"/>
      <c r="I241" s="1102"/>
      <c r="J241" s="1103"/>
      <c r="K241" s="1104"/>
      <c r="L241" s="884"/>
      <c r="M241" s="1050"/>
      <c r="N241" s="870"/>
      <c r="O241" s="870"/>
      <c r="P241" s="870"/>
      <c r="Q241" s="870"/>
      <c r="R241" s="870"/>
      <c r="S241" s="870"/>
      <c r="T241" s="870"/>
      <c r="U241" s="870"/>
      <c r="V241" s="870"/>
      <c r="W241" s="870"/>
      <c r="X241" s="1105"/>
    </row>
    <row r="242" spans="1:24" s="803" customFormat="1" ht="12">
      <c r="A242" s="984"/>
      <c r="B242" s="1033" t="s">
        <v>608</v>
      </c>
      <c r="C242" s="1082">
        <f>C241/1000000000000</f>
        <v>7.5003297969600008E-2</v>
      </c>
      <c r="D242" s="1037" t="s">
        <v>1530</v>
      </c>
      <c r="E242" s="1037"/>
      <c r="F242" s="1037"/>
      <c r="G242" s="1073"/>
      <c r="H242" s="1102"/>
      <c r="I242" s="1102"/>
      <c r="J242" s="1103"/>
      <c r="K242" s="1104"/>
      <c r="L242" s="884"/>
      <c r="M242" s="1050"/>
      <c r="N242" s="870"/>
      <c r="O242" s="870"/>
      <c r="P242" s="870"/>
      <c r="Q242" s="870"/>
      <c r="R242" s="870"/>
      <c r="S242" s="870"/>
      <c r="T242" s="870"/>
      <c r="U242" s="870"/>
      <c r="V242" s="870"/>
      <c r="W242" s="870"/>
      <c r="X242" s="1105"/>
    </row>
    <row r="243" spans="1:24" s="803" customFormat="1" ht="12">
      <c r="A243" s="984"/>
      <c r="B243" s="1033" t="s">
        <v>800</v>
      </c>
      <c r="C243" s="945" t="s">
        <v>794</v>
      </c>
      <c r="D243" s="1037"/>
      <c r="E243" s="1037"/>
      <c r="F243" s="1037"/>
      <c r="G243" s="1073"/>
      <c r="H243" s="1102"/>
      <c r="I243" s="1102"/>
      <c r="J243" s="1103"/>
      <c r="K243" s="1104"/>
      <c r="L243" s="884"/>
      <c r="M243" s="1050"/>
      <c r="N243" s="870"/>
      <c r="O243" s="870"/>
      <c r="P243" s="870"/>
      <c r="Q243" s="870"/>
      <c r="R243" s="870"/>
      <c r="S243" s="870"/>
      <c r="T243" s="870"/>
      <c r="U243" s="870"/>
      <c r="V243" s="870"/>
      <c r="W243" s="870"/>
      <c r="X243" s="1105"/>
    </row>
    <row r="244" spans="1:24" s="803" customFormat="1" ht="12">
      <c r="A244" s="984"/>
      <c r="B244" s="1033" t="s">
        <v>608</v>
      </c>
      <c r="C244" s="1037" t="s">
        <v>1474</v>
      </c>
      <c r="D244" s="1037"/>
      <c r="E244" s="1037"/>
      <c r="F244" s="1037"/>
      <c r="G244" s="1073"/>
      <c r="H244" s="1102"/>
      <c r="I244" s="1102"/>
      <c r="J244" s="1103"/>
      <c r="K244" s="1104"/>
      <c r="L244" s="884"/>
      <c r="M244" s="1050"/>
      <c r="N244" s="870"/>
      <c r="O244" s="870"/>
      <c r="P244" s="870"/>
      <c r="Q244" s="870"/>
      <c r="R244" s="870"/>
      <c r="S244" s="870"/>
      <c r="T244" s="870"/>
      <c r="U244" s="870"/>
      <c r="V244" s="870"/>
      <c r="W244" s="870"/>
      <c r="X244" s="1105"/>
    </row>
    <row r="245" spans="1:24" s="803" customFormat="1" ht="12">
      <c r="A245" s="984"/>
      <c r="B245" s="1108" t="s">
        <v>608</v>
      </c>
      <c r="C245" s="1117">
        <f>C242*4</f>
        <v>0.30001319187840003</v>
      </c>
      <c r="D245" s="1037" t="s">
        <v>1547</v>
      </c>
      <c r="E245" s="1037"/>
      <c r="F245" s="1037"/>
      <c r="G245" s="1073"/>
      <c r="H245" s="1102"/>
      <c r="I245" s="1102"/>
      <c r="J245" s="1103"/>
      <c r="K245" s="1104"/>
      <c r="L245" s="884"/>
      <c r="M245" s="1050"/>
      <c r="N245" s="870"/>
      <c r="O245" s="870"/>
      <c r="P245" s="870"/>
      <c r="Q245" s="870"/>
      <c r="R245" s="870"/>
      <c r="S245" s="870"/>
      <c r="T245" s="870"/>
      <c r="U245" s="870"/>
      <c r="V245" s="870"/>
      <c r="W245" s="870"/>
      <c r="X245" s="1105"/>
    </row>
    <row r="246" spans="1:24" s="803" customFormat="1" ht="12">
      <c r="A246" s="1106" t="s">
        <v>809</v>
      </c>
      <c r="B246" s="1114" t="s">
        <v>825</v>
      </c>
      <c r="C246" s="1037"/>
      <c r="D246" s="1037"/>
      <c r="E246" s="1037"/>
      <c r="F246" s="1037"/>
      <c r="G246" s="1073"/>
      <c r="H246" s="1102"/>
      <c r="I246" s="1102"/>
      <c r="J246" s="1103"/>
      <c r="K246" s="1104"/>
      <c r="L246" s="884"/>
      <c r="M246" s="1050"/>
      <c r="N246" s="870"/>
      <c r="O246" s="870"/>
      <c r="P246" s="870"/>
      <c r="Q246" s="870"/>
      <c r="R246" s="870"/>
      <c r="S246" s="870"/>
      <c r="T246" s="870"/>
      <c r="U246" s="870"/>
      <c r="V246" s="870"/>
      <c r="W246" s="870"/>
      <c r="X246" s="1105"/>
    </row>
    <row r="247" spans="1:24" s="803" customFormat="1" ht="12">
      <c r="A247" s="984"/>
      <c r="B247" s="1033" t="s">
        <v>705</v>
      </c>
      <c r="C247" s="804" t="s">
        <v>760</v>
      </c>
      <c r="D247" s="1037"/>
      <c r="E247" s="1037"/>
      <c r="F247" s="1037"/>
      <c r="G247" s="1073"/>
      <c r="H247" s="1102"/>
      <c r="I247" s="1102"/>
      <c r="J247" s="1103"/>
      <c r="K247" s="1104"/>
      <c r="L247" s="884"/>
      <c r="M247" s="1050"/>
      <c r="N247" s="870"/>
      <c r="O247" s="870"/>
      <c r="P247" s="870"/>
      <c r="Q247" s="870"/>
      <c r="R247" s="870"/>
      <c r="S247" s="870"/>
      <c r="T247" s="870"/>
      <c r="U247" s="870"/>
      <c r="V247" s="870"/>
      <c r="W247" s="870"/>
      <c r="X247" s="1105"/>
    </row>
    <row r="248" spans="1:24" s="803" customFormat="1" ht="12">
      <c r="A248" s="984"/>
      <c r="B248" s="1033" t="s">
        <v>705</v>
      </c>
      <c r="C248" s="803" t="s">
        <v>761</v>
      </c>
      <c r="D248" s="1037"/>
      <c r="E248" s="1037"/>
      <c r="F248" s="1037"/>
      <c r="G248" s="1073"/>
      <c r="H248" s="1102"/>
      <c r="I248" s="1102"/>
      <c r="J248" s="1103"/>
      <c r="K248" s="1104"/>
      <c r="L248" s="884"/>
      <c r="M248" s="1050"/>
      <c r="N248" s="870"/>
      <c r="O248" s="870"/>
      <c r="P248" s="870"/>
      <c r="Q248" s="870"/>
      <c r="R248" s="870"/>
      <c r="S248" s="870"/>
      <c r="T248" s="870"/>
      <c r="U248" s="870"/>
      <c r="V248" s="870"/>
      <c r="W248" s="870"/>
      <c r="X248" s="1105"/>
    </row>
    <row r="249" spans="1:24" s="803" customFormat="1" ht="12">
      <c r="A249" s="984"/>
      <c r="B249" s="1033"/>
      <c r="C249" s="803" t="s">
        <v>762</v>
      </c>
      <c r="D249" s="1037"/>
      <c r="E249" s="1037"/>
      <c r="F249" s="1037"/>
      <c r="G249" s="1073"/>
      <c r="H249" s="1102"/>
      <c r="I249" s="1102"/>
      <c r="J249" s="1103"/>
      <c r="K249" s="1104"/>
      <c r="L249" s="884"/>
      <c r="M249" s="1050"/>
      <c r="N249" s="870"/>
      <c r="O249" s="870"/>
      <c r="P249" s="870"/>
      <c r="Q249" s="870"/>
      <c r="R249" s="870"/>
      <c r="S249" s="870"/>
      <c r="T249" s="870"/>
      <c r="U249" s="870"/>
      <c r="V249" s="870"/>
      <c r="W249" s="870"/>
      <c r="X249" s="1105"/>
    </row>
    <row r="250" spans="1:24" s="803" customFormat="1" ht="12">
      <c r="A250" s="984"/>
      <c r="B250" s="1033" t="s">
        <v>608</v>
      </c>
      <c r="C250" s="1082">
        <f>C231</f>
        <v>75003297969.600006</v>
      </c>
      <c r="D250" s="1037" t="s">
        <v>583</v>
      </c>
      <c r="E250" s="1037"/>
      <c r="F250" s="1037"/>
      <c r="G250" s="1073"/>
      <c r="H250" s="1102"/>
      <c r="I250" s="1102"/>
      <c r="J250" s="1103"/>
      <c r="K250" s="1104"/>
      <c r="L250" s="884"/>
      <c r="M250" s="1050"/>
      <c r="N250" s="870"/>
      <c r="O250" s="870"/>
      <c r="P250" s="870"/>
      <c r="Q250" s="870"/>
      <c r="R250" s="870"/>
      <c r="S250" s="870"/>
      <c r="T250" s="870"/>
      <c r="U250" s="870"/>
      <c r="V250" s="870"/>
      <c r="W250" s="870"/>
      <c r="X250" s="1105"/>
    </row>
    <row r="251" spans="1:24" s="803" customFormat="1" ht="12">
      <c r="A251" s="984"/>
      <c r="B251" s="1033" t="s">
        <v>608</v>
      </c>
      <c r="C251" s="1082">
        <f>C250/1000000000000</f>
        <v>7.5003297969600008E-2</v>
      </c>
      <c r="D251" s="1037" t="s">
        <v>1530</v>
      </c>
      <c r="E251" s="1037"/>
      <c r="F251" s="1037"/>
      <c r="G251" s="1073"/>
      <c r="H251" s="1102"/>
      <c r="I251" s="1102"/>
      <c r="J251" s="1103"/>
      <c r="K251" s="1104"/>
      <c r="L251" s="884"/>
      <c r="M251" s="1050"/>
      <c r="N251" s="870"/>
      <c r="O251" s="870"/>
      <c r="P251" s="870"/>
      <c r="Q251" s="870"/>
      <c r="R251" s="870"/>
      <c r="S251" s="870"/>
      <c r="T251" s="870"/>
      <c r="U251" s="870"/>
      <c r="V251" s="870"/>
      <c r="W251" s="870"/>
      <c r="X251" s="1105"/>
    </row>
    <row r="252" spans="1:24" s="803" customFormat="1" ht="12">
      <c r="A252" s="984"/>
      <c r="B252" s="1033" t="s">
        <v>801</v>
      </c>
      <c r="C252" s="945" t="s">
        <v>794</v>
      </c>
      <c r="D252" s="1037"/>
      <c r="E252" s="1037"/>
      <c r="F252" s="1037"/>
      <c r="G252" s="1073"/>
      <c r="H252" s="1102"/>
      <c r="I252" s="1102"/>
      <c r="J252" s="1103"/>
      <c r="K252" s="1104"/>
      <c r="L252" s="884"/>
      <c r="M252" s="1050"/>
      <c r="N252" s="870"/>
      <c r="O252" s="870"/>
      <c r="P252" s="870"/>
      <c r="Q252" s="870"/>
      <c r="R252" s="870"/>
      <c r="S252" s="870"/>
      <c r="T252" s="870"/>
      <c r="U252" s="870"/>
      <c r="V252" s="870"/>
      <c r="W252" s="870"/>
      <c r="X252" s="1105"/>
    </row>
    <row r="253" spans="1:24" s="803" customFormat="1" ht="12">
      <c r="A253" s="984"/>
      <c r="B253" s="1033" t="s">
        <v>608</v>
      </c>
      <c r="C253" s="1037" t="s">
        <v>1475</v>
      </c>
      <c r="D253" s="1037"/>
      <c r="E253" s="1037"/>
      <c r="F253" s="1037"/>
      <c r="G253" s="1073"/>
      <c r="H253" s="1102"/>
      <c r="I253" s="1102"/>
      <c r="J253" s="1103"/>
      <c r="K253" s="1104"/>
      <c r="L253" s="884"/>
      <c r="M253" s="1050"/>
      <c r="N253" s="870"/>
      <c r="O253" s="870"/>
      <c r="P253" s="870"/>
      <c r="Q253" s="870"/>
      <c r="R253" s="870"/>
      <c r="S253" s="870"/>
      <c r="T253" s="870"/>
      <c r="U253" s="870"/>
      <c r="V253" s="870"/>
      <c r="W253" s="870"/>
      <c r="X253" s="1105"/>
    </row>
    <row r="254" spans="1:24" s="803" customFormat="1" ht="12">
      <c r="A254" s="984"/>
      <c r="B254" s="1108" t="s">
        <v>608</v>
      </c>
      <c r="C254" s="1117">
        <f>C251*300</f>
        <v>22.500989390880001</v>
      </c>
      <c r="D254" s="1037" t="s">
        <v>1548</v>
      </c>
      <c r="E254" s="1037"/>
      <c r="F254" s="1037"/>
      <c r="G254" s="1073"/>
      <c r="H254" s="1102"/>
      <c r="I254" s="1102"/>
      <c r="J254" s="1103"/>
      <c r="K254" s="1104"/>
      <c r="L254" s="884"/>
      <c r="M254" s="1050"/>
      <c r="N254" s="870"/>
      <c r="O254" s="870"/>
      <c r="P254" s="870"/>
      <c r="Q254" s="870"/>
      <c r="R254" s="870"/>
      <c r="S254" s="870"/>
      <c r="T254" s="870"/>
      <c r="U254" s="870"/>
      <c r="V254" s="870"/>
      <c r="W254" s="870"/>
      <c r="X254" s="1105"/>
    </row>
    <row r="255" spans="1:24" s="803" customFormat="1" ht="12">
      <c r="A255" s="1106" t="s">
        <v>806</v>
      </c>
      <c r="B255" s="1038" t="s">
        <v>799</v>
      </c>
      <c r="C255" s="1037"/>
      <c r="D255" s="1037"/>
      <c r="E255" s="1037"/>
      <c r="F255" s="1037"/>
      <c r="G255" s="1073"/>
      <c r="H255" s="1102"/>
      <c r="I255" s="1102"/>
      <c r="J255" s="1103"/>
      <c r="K255" s="1104"/>
      <c r="L255" s="884"/>
      <c r="M255" s="1050"/>
      <c r="N255" s="870"/>
      <c r="O255" s="870"/>
      <c r="P255" s="870"/>
      <c r="Q255" s="870"/>
      <c r="R255" s="870"/>
      <c r="S255" s="870"/>
      <c r="T255" s="870"/>
      <c r="U255" s="870"/>
      <c r="V255" s="870"/>
      <c r="W255" s="870"/>
      <c r="X255" s="1105"/>
    </row>
    <row r="256" spans="1:24" s="803" customFormat="1" ht="12">
      <c r="A256" s="1106" t="s">
        <v>810</v>
      </c>
      <c r="B256" s="1038" t="s">
        <v>818</v>
      </c>
      <c r="C256" s="1037"/>
      <c r="D256" s="1037"/>
      <c r="E256" s="1037"/>
      <c r="F256" s="1037"/>
      <c r="G256" s="1073"/>
      <c r="H256" s="1102"/>
      <c r="I256" s="1102"/>
      <c r="J256" s="1103"/>
      <c r="K256" s="1104"/>
      <c r="L256" s="884"/>
      <c r="M256" s="1050"/>
      <c r="N256" s="870"/>
      <c r="O256" s="870"/>
      <c r="P256" s="870"/>
      <c r="Q256" s="870"/>
      <c r="R256" s="870"/>
      <c r="S256" s="870"/>
      <c r="T256" s="870"/>
      <c r="U256" s="870"/>
      <c r="V256" s="870"/>
      <c r="W256" s="870"/>
      <c r="X256" s="1105"/>
    </row>
    <row r="257" spans="1:24" s="803" customFormat="1" ht="12">
      <c r="A257" s="984"/>
      <c r="B257" s="1033" t="s">
        <v>619</v>
      </c>
      <c r="C257" s="1121">
        <f>(Insumos!E102*13)*'Caract. produção'!D74</f>
        <v>1059.6299999999999</v>
      </c>
      <c r="D257" s="945" t="s">
        <v>765</v>
      </c>
      <c r="E257" s="1037"/>
      <c r="F257" s="1037"/>
      <c r="G257" s="1073"/>
      <c r="H257" s="1102"/>
      <c r="I257" s="1102"/>
      <c r="J257" s="1103"/>
      <c r="K257" s="1104"/>
      <c r="L257" s="884"/>
      <c r="M257" s="1050"/>
      <c r="N257" s="870"/>
      <c r="O257" s="870"/>
      <c r="P257" s="870"/>
      <c r="Q257" s="870"/>
      <c r="R257" s="870"/>
      <c r="S257" s="870"/>
      <c r="T257" s="870"/>
      <c r="U257" s="870"/>
      <c r="V257" s="870"/>
      <c r="W257" s="870"/>
      <c r="X257" s="1105"/>
    </row>
    <row r="258" spans="1:24" s="803" customFormat="1" ht="12">
      <c r="A258" s="984"/>
      <c r="B258" s="1033" t="s">
        <v>604</v>
      </c>
      <c r="C258" s="1121" t="s">
        <v>763</v>
      </c>
      <c r="D258" s="945"/>
      <c r="E258" s="1037"/>
      <c r="F258" s="1037"/>
      <c r="G258" s="1073"/>
      <c r="H258" s="1102"/>
      <c r="I258" s="1102"/>
      <c r="J258" s="1103"/>
      <c r="K258" s="1104"/>
      <c r="L258" s="884"/>
      <c r="M258" s="1050"/>
      <c r="N258" s="870"/>
      <c r="O258" s="870"/>
      <c r="P258" s="870"/>
      <c r="Q258" s="870"/>
      <c r="R258" s="870"/>
      <c r="S258" s="870"/>
      <c r="T258" s="870"/>
      <c r="U258" s="870"/>
      <c r="V258" s="870"/>
      <c r="W258" s="870"/>
      <c r="X258" s="1105"/>
    </row>
    <row r="259" spans="1:24" s="803" customFormat="1" ht="12">
      <c r="A259" s="984"/>
      <c r="B259" s="1033" t="s">
        <v>604</v>
      </c>
      <c r="C259" s="1082" t="s">
        <v>764</v>
      </c>
      <c r="D259" s="945"/>
      <c r="E259" s="1037"/>
      <c r="F259" s="1037"/>
      <c r="G259" s="1073"/>
      <c r="H259" s="1102"/>
      <c r="I259" s="1102"/>
      <c r="J259" s="1103"/>
      <c r="K259" s="1104"/>
      <c r="L259" s="884"/>
      <c r="M259" s="1050"/>
      <c r="N259" s="870"/>
      <c r="O259" s="870"/>
      <c r="P259" s="870"/>
      <c r="Q259" s="870"/>
      <c r="R259" s="870"/>
      <c r="S259" s="870"/>
      <c r="T259" s="870"/>
      <c r="U259" s="870"/>
      <c r="V259" s="870"/>
      <c r="W259" s="870"/>
      <c r="X259" s="1105"/>
    </row>
    <row r="260" spans="1:24" s="803" customFormat="1" ht="12">
      <c r="A260" s="984"/>
      <c r="B260" s="1033" t="s">
        <v>608</v>
      </c>
      <c r="C260" s="1082">
        <f>C257*1190000000/C110</f>
        <v>1050799749.9999998</v>
      </c>
      <c r="D260" s="803" t="s">
        <v>1298</v>
      </c>
      <c r="E260" s="1037"/>
      <c r="F260" s="1037"/>
      <c r="G260" s="1073"/>
      <c r="H260" s="1102"/>
      <c r="I260" s="1102"/>
      <c r="J260" s="1103"/>
      <c r="K260" s="1104"/>
      <c r="L260" s="884"/>
      <c r="M260" s="1050"/>
      <c r="N260" s="870"/>
      <c r="O260" s="870"/>
      <c r="P260" s="870"/>
      <c r="Q260" s="870"/>
      <c r="R260" s="870"/>
      <c r="S260" s="870"/>
      <c r="T260" s="870"/>
      <c r="U260" s="870"/>
      <c r="V260" s="870"/>
      <c r="W260" s="870"/>
      <c r="X260" s="1105"/>
    </row>
    <row r="261" spans="1:24" s="803" customFormat="1" ht="12">
      <c r="A261" s="984"/>
      <c r="B261" s="1033" t="s">
        <v>608</v>
      </c>
      <c r="C261" s="1082">
        <f>C260/1000000000000</f>
        <v>1.0507997499999999E-3</v>
      </c>
      <c r="D261" s="1037" t="s">
        <v>1472</v>
      </c>
      <c r="E261" s="1037"/>
      <c r="F261" s="1037"/>
      <c r="G261" s="1073"/>
      <c r="H261" s="1102"/>
      <c r="I261" s="1102"/>
      <c r="J261" s="1103"/>
      <c r="K261" s="1104"/>
      <c r="L261" s="884"/>
      <c r="M261" s="1050"/>
      <c r="N261" s="870"/>
      <c r="O261" s="870"/>
      <c r="P261" s="870"/>
      <c r="Q261" s="870"/>
      <c r="R261" s="870"/>
      <c r="S261" s="870"/>
      <c r="T261" s="870"/>
      <c r="U261" s="870"/>
      <c r="V261" s="870"/>
      <c r="W261" s="870"/>
      <c r="X261" s="1105"/>
    </row>
    <row r="262" spans="1:24" s="803" customFormat="1" ht="12">
      <c r="A262" s="984"/>
      <c r="B262" s="1033" t="s">
        <v>793</v>
      </c>
      <c r="C262" s="945" t="s">
        <v>794</v>
      </c>
      <c r="D262" s="1037"/>
      <c r="E262" s="1037"/>
      <c r="F262" s="1037"/>
      <c r="G262" s="1073"/>
      <c r="H262" s="1102"/>
      <c r="I262" s="1102"/>
      <c r="J262" s="1103"/>
      <c r="K262" s="1104"/>
      <c r="L262" s="884"/>
      <c r="M262" s="1050"/>
      <c r="N262" s="870"/>
      <c r="O262" s="870"/>
      <c r="P262" s="870"/>
      <c r="Q262" s="870"/>
      <c r="R262" s="870"/>
      <c r="S262" s="870"/>
      <c r="T262" s="870"/>
      <c r="U262" s="870"/>
      <c r="V262" s="870"/>
      <c r="W262" s="870"/>
      <c r="X262" s="1105"/>
    </row>
    <row r="263" spans="1:24" s="803" customFormat="1" ht="12">
      <c r="A263" s="984"/>
      <c r="B263" s="1033"/>
      <c r="C263" s="1037" t="s">
        <v>1476</v>
      </c>
      <c r="D263" s="1037"/>
      <c r="E263" s="1037"/>
      <c r="F263" s="1037"/>
      <c r="G263" s="1073"/>
      <c r="H263" s="1102"/>
      <c r="I263" s="1102"/>
      <c r="J263" s="1103"/>
      <c r="K263" s="1104"/>
      <c r="L263" s="884"/>
      <c r="M263" s="1050"/>
      <c r="N263" s="870"/>
      <c r="O263" s="870"/>
      <c r="P263" s="870"/>
      <c r="Q263" s="870"/>
      <c r="R263" s="870"/>
      <c r="S263" s="870"/>
      <c r="T263" s="870"/>
      <c r="U263" s="870"/>
      <c r="V263" s="870"/>
      <c r="W263" s="870"/>
      <c r="X263" s="1105"/>
    </row>
    <row r="264" spans="1:24" s="803" customFormat="1" ht="12">
      <c r="A264" s="984"/>
      <c r="B264" s="1033" t="s">
        <v>608</v>
      </c>
      <c r="C264" s="1082">
        <f>C261*56100</f>
        <v>58.949865974999994</v>
      </c>
      <c r="D264" s="1037" t="s">
        <v>1549</v>
      </c>
      <c r="E264" s="1037"/>
      <c r="F264" s="1037"/>
      <c r="G264" s="1073"/>
      <c r="H264" s="1102"/>
      <c r="I264" s="1102"/>
      <c r="J264" s="1103"/>
      <c r="K264" s="1104"/>
      <c r="L264" s="884"/>
      <c r="M264" s="1050"/>
      <c r="N264" s="870"/>
      <c r="O264" s="870"/>
      <c r="P264" s="870"/>
      <c r="Q264" s="870"/>
      <c r="R264" s="870"/>
      <c r="S264" s="870"/>
      <c r="T264" s="870"/>
      <c r="U264" s="870"/>
      <c r="V264" s="870"/>
      <c r="W264" s="870"/>
      <c r="X264" s="1105"/>
    </row>
    <row r="265" spans="1:24" s="803" customFormat="1" ht="12">
      <c r="A265" s="1106" t="s">
        <v>811</v>
      </c>
      <c r="B265" s="1038" t="s">
        <v>824</v>
      </c>
      <c r="C265" s="1037"/>
      <c r="D265" s="1037"/>
      <c r="E265" s="1037"/>
      <c r="F265" s="1037"/>
      <c r="G265" s="1073"/>
      <c r="H265" s="1102"/>
      <c r="I265" s="1102"/>
      <c r="J265" s="1103"/>
      <c r="K265" s="1104"/>
      <c r="L265" s="884"/>
      <c r="M265" s="1050"/>
      <c r="N265" s="870"/>
      <c r="O265" s="870"/>
      <c r="P265" s="870"/>
      <c r="Q265" s="870"/>
      <c r="R265" s="870"/>
      <c r="S265" s="870"/>
      <c r="T265" s="870"/>
      <c r="U265" s="870"/>
      <c r="V265" s="870"/>
      <c r="W265" s="870"/>
      <c r="X265" s="1105"/>
    </row>
    <row r="266" spans="1:24" s="803" customFormat="1" ht="12">
      <c r="A266" s="984"/>
      <c r="B266" s="1033" t="s">
        <v>619</v>
      </c>
      <c r="C266" s="1121">
        <f>C257</f>
        <v>1059.6299999999999</v>
      </c>
      <c r="D266" s="945" t="s">
        <v>765</v>
      </c>
      <c r="E266" s="1037"/>
      <c r="F266" s="1037"/>
      <c r="G266" s="1073"/>
      <c r="H266" s="1102"/>
      <c r="I266" s="1102"/>
      <c r="J266" s="1103"/>
      <c r="K266" s="1104"/>
      <c r="L266" s="884"/>
      <c r="M266" s="1050"/>
      <c r="N266" s="870"/>
      <c r="O266" s="870"/>
      <c r="P266" s="870"/>
      <c r="Q266" s="870"/>
      <c r="R266" s="870"/>
      <c r="S266" s="870"/>
      <c r="T266" s="870"/>
      <c r="U266" s="870"/>
      <c r="V266" s="870"/>
      <c r="W266" s="870"/>
      <c r="X266" s="1105"/>
    </row>
    <row r="267" spans="1:24" s="803" customFormat="1" ht="12">
      <c r="A267" s="984"/>
      <c r="B267" s="1033" t="s">
        <v>604</v>
      </c>
      <c r="C267" s="1121" t="s">
        <v>763</v>
      </c>
      <c r="D267" s="945"/>
      <c r="E267" s="1037"/>
      <c r="F267" s="1037"/>
      <c r="G267" s="1073"/>
      <c r="H267" s="1102"/>
      <c r="I267" s="1102"/>
      <c r="J267" s="1103"/>
      <c r="K267" s="1104"/>
      <c r="L267" s="884"/>
      <c r="M267" s="1050"/>
      <c r="N267" s="870"/>
      <c r="O267" s="870"/>
      <c r="P267" s="870"/>
      <c r="Q267" s="870"/>
      <c r="R267" s="870"/>
      <c r="S267" s="870"/>
      <c r="T267" s="870"/>
      <c r="U267" s="870"/>
      <c r="V267" s="870"/>
      <c r="W267" s="870"/>
      <c r="X267" s="1105"/>
    </row>
    <row r="268" spans="1:24" s="803" customFormat="1" ht="12">
      <c r="A268" s="984"/>
      <c r="B268" s="1033" t="s">
        <v>604</v>
      </c>
      <c r="C268" s="1082" t="s">
        <v>764</v>
      </c>
      <c r="D268" s="945"/>
      <c r="E268" s="1037"/>
      <c r="F268" s="1037"/>
      <c r="G268" s="1073"/>
      <c r="H268" s="1102"/>
      <c r="I268" s="1102"/>
      <c r="J268" s="1103"/>
      <c r="K268" s="1104"/>
      <c r="L268" s="884"/>
      <c r="M268" s="1050"/>
      <c r="N268" s="870"/>
      <c r="O268" s="870"/>
      <c r="P268" s="870"/>
      <c r="Q268" s="870"/>
      <c r="R268" s="870"/>
      <c r="S268" s="870"/>
      <c r="T268" s="870"/>
      <c r="U268" s="870"/>
      <c r="V268" s="870"/>
      <c r="W268" s="870"/>
      <c r="X268" s="1105"/>
    </row>
    <row r="269" spans="1:24" s="803" customFormat="1" ht="12">
      <c r="A269" s="984"/>
      <c r="B269" s="1033" t="s">
        <v>608</v>
      </c>
      <c r="C269" s="1082">
        <f>C260</f>
        <v>1050799749.9999998</v>
      </c>
      <c r="D269" s="803" t="s">
        <v>1298</v>
      </c>
      <c r="E269" s="1037"/>
      <c r="F269" s="1037"/>
      <c r="G269" s="1073"/>
      <c r="H269" s="1102"/>
      <c r="I269" s="1102"/>
      <c r="J269" s="1103"/>
      <c r="K269" s="1104"/>
      <c r="L269" s="884"/>
      <c r="M269" s="1050"/>
      <c r="N269" s="870"/>
      <c r="O269" s="870"/>
      <c r="P269" s="870"/>
      <c r="Q269" s="870"/>
      <c r="R269" s="870"/>
      <c r="S269" s="870"/>
      <c r="T269" s="870"/>
      <c r="U269" s="870"/>
      <c r="V269" s="870"/>
      <c r="W269" s="870"/>
      <c r="X269" s="1105"/>
    </row>
    <row r="270" spans="1:24" s="803" customFormat="1" ht="12">
      <c r="A270" s="984"/>
      <c r="B270" s="1033" t="s">
        <v>608</v>
      </c>
      <c r="C270" s="1082">
        <f>C269/1000000000000</f>
        <v>1.0507997499999999E-3</v>
      </c>
      <c r="D270" s="1037" t="s">
        <v>1472</v>
      </c>
      <c r="E270" s="1037"/>
      <c r="F270" s="1037"/>
      <c r="G270" s="1073"/>
      <c r="H270" s="1102"/>
      <c r="I270" s="1102"/>
      <c r="J270" s="1103"/>
      <c r="K270" s="1104"/>
      <c r="L270" s="884"/>
      <c r="M270" s="1050"/>
      <c r="N270" s="870"/>
      <c r="O270" s="870"/>
      <c r="P270" s="870"/>
      <c r="Q270" s="870"/>
      <c r="R270" s="870"/>
      <c r="S270" s="870"/>
      <c r="T270" s="870"/>
      <c r="U270" s="870"/>
      <c r="V270" s="870"/>
      <c r="W270" s="870"/>
      <c r="X270" s="1105"/>
    </row>
    <row r="271" spans="1:24" s="803" customFormat="1" ht="12">
      <c r="A271" s="984"/>
      <c r="B271" s="1033" t="s">
        <v>793</v>
      </c>
      <c r="C271" s="945" t="s">
        <v>794</v>
      </c>
      <c r="D271" s="1037"/>
      <c r="E271" s="1037"/>
      <c r="F271" s="1037"/>
      <c r="G271" s="1073"/>
      <c r="H271" s="1102"/>
      <c r="I271" s="1102"/>
      <c r="J271" s="1103"/>
      <c r="K271" s="1104"/>
      <c r="L271" s="884"/>
      <c r="M271" s="1050"/>
      <c r="N271" s="870"/>
      <c r="O271" s="870"/>
      <c r="P271" s="870"/>
      <c r="Q271" s="870"/>
      <c r="R271" s="870"/>
      <c r="S271" s="870"/>
      <c r="T271" s="870"/>
      <c r="U271" s="870"/>
      <c r="V271" s="870"/>
      <c r="W271" s="870"/>
      <c r="X271" s="1105"/>
    </row>
    <row r="272" spans="1:24" s="803" customFormat="1" ht="12">
      <c r="A272" s="984"/>
      <c r="B272" s="1033"/>
      <c r="C272" s="1037" t="s">
        <v>1477</v>
      </c>
      <c r="D272" s="1037"/>
      <c r="E272" s="1037"/>
      <c r="F272" s="1037"/>
      <c r="G272" s="1073"/>
      <c r="H272" s="1102"/>
      <c r="I272" s="1102"/>
      <c r="J272" s="1103"/>
      <c r="K272" s="1104"/>
      <c r="L272" s="884"/>
      <c r="M272" s="1050"/>
      <c r="N272" s="870"/>
      <c r="O272" s="870"/>
      <c r="P272" s="870"/>
      <c r="Q272" s="870"/>
      <c r="R272" s="870"/>
      <c r="S272" s="870"/>
      <c r="T272" s="870"/>
      <c r="U272" s="870"/>
      <c r="V272" s="870"/>
      <c r="W272" s="870"/>
      <c r="X272" s="1105"/>
    </row>
    <row r="273" spans="1:24" s="803" customFormat="1" ht="12">
      <c r="A273" s="984"/>
      <c r="B273" s="1033" t="s">
        <v>608</v>
      </c>
      <c r="C273" s="1082">
        <f>C270*0.1</f>
        <v>1.05079975E-4</v>
      </c>
      <c r="D273" s="1037" t="s">
        <v>1550</v>
      </c>
      <c r="E273" s="1037"/>
      <c r="F273" s="1037"/>
      <c r="G273" s="1073"/>
      <c r="H273" s="1102"/>
      <c r="I273" s="1102"/>
      <c r="J273" s="1103"/>
      <c r="K273" s="1104"/>
      <c r="L273" s="884"/>
      <c r="M273" s="1050"/>
      <c r="N273" s="870"/>
      <c r="O273" s="870"/>
      <c r="P273" s="870"/>
      <c r="Q273" s="870"/>
      <c r="R273" s="870"/>
      <c r="S273" s="870"/>
      <c r="T273" s="870"/>
      <c r="U273" s="870"/>
      <c r="V273" s="870"/>
      <c r="W273" s="870"/>
      <c r="X273" s="1105"/>
    </row>
    <row r="274" spans="1:24" s="803" customFormat="1" ht="12">
      <c r="A274" s="1106" t="s">
        <v>812</v>
      </c>
      <c r="B274" s="1038" t="s">
        <v>825</v>
      </c>
      <c r="C274" s="1037"/>
      <c r="D274" s="1037"/>
      <c r="E274" s="1037"/>
      <c r="F274" s="1037"/>
      <c r="G274" s="1073"/>
      <c r="H274" s="1102"/>
      <c r="I274" s="1102"/>
      <c r="J274" s="1103"/>
      <c r="K274" s="1104"/>
      <c r="L274" s="884"/>
      <c r="M274" s="1050"/>
      <c r="N274" s="870"/>
      <c r="O274" s="870"/>
      <c r="P274" s="870"/>
      <c r="Q274" s="870"/>
      <c r="R274" s="870"/>
      <c r="S274" s="870"/>
      <c r="T274" s="870"/>
      <c r="U274" s="870"/>
      <c r="V274" s="870"/>
      <c r="W274" s="870"/>
      <c r="X274" s="1105"/>
    </row>
    <row r="275" spans="1:24" s="803" customFormat="1" ht="12">
      <c r="A275" s="984"/>
      <c r="B275" s="1033" t="s">
        <v>619</v>
      </c>
      <c r="C275" s="1121">
        <f>C266</f>
        <v>1059.6299999999999</v>
      </c>
      <c r="D275" s="945" t="s">
        <v>765</v>
      </c>
      <c r="E275" s="1037"/>
      <c r="F275" s="1037"/>
      <c r="G275" s="1073"/>
      <c r="H275" s="1102"/>
      <c r="I275" s="1102"/>
      <c r="J275" s="1103"/>
      <c r="K275" s="1104"/>
      <c r="L275" s="884"/>
      <c r="M275" s="1050"/>
      <c r="N275" s="870"/>
      <c r="O275" s="870"/>
      <c r="P275" s="870"/>
      <c r="Q275" s="870"/>
      <c r="R275" s="870"/>
      <c r="S275" s="870"/>
      <c r="T275" s="870"/>
      <c r="U275" s="870"/>
      <c r="V275" s="870"/>
      <c r="W275" s="870"/>
      <c r="X275" s="1105"/>
    </row>
    <row r="276" spans="1:24" s="803" customFormat="1" ht="12">
      <c r="A276" s="984"/>
      <c r="B276" s="1033" t="s">
        <v>604</v>
      </c>
      <c r="C276" s="1121" t="s">
        <v>763</v>
      </c>
      <c r="D276" s="945"/>
      <c r="E276" s="1037"/>
      <c r="F276" s="1037"/>
      <c r="G276" s="1073"/>
      <c r="H276" s="1102"/>
      <c r="I276" s="1102"/>
      <c r="J276" s="1103"/>
      <c r="K276" s="1104"/>
      <c r="L276" s="884"/>
      <c r="M276" s="1050"/>
      <c r="N276" s="870"/>
      <c r="O276" s="870"/>
      <c r="P276" s="870"/>
      <c r="Q276" s="870"/>
      <c r="R276" s="870"/>
      <c r="S276" s="870"/>
      <c r="T276" s="870"/>
      <c r="U276" s="870"/>
      <c r="V276" s="870"/>
      <c r="W276" s="870"/>
      <c r="X276" s="1105"/>
    </row>
    <row r="277" spans="1:24" s="803" customFormat="1" ht="12">
      <c r="A277" s="984"/>
      <c r="B277" s="1033" t="s">
        <v>604</v>
      </c>
      <c r="C277" s="1082" t="s">
        <v>764</v>
      </c>
      <c r="D277" s="945"/>
      <c r="E277" s="1037"/>
      <c r="F277" s="1037"/>
      <c r="G277" s="1073"/>
      <c r="H277" s="1102"/>
      <c r="I277" s="1102"/>
      <c r="J277" s="1103"/>
      <c r="K277" s="1104"/>
      <c r="L277" s="884"/>
      <c r="M277" s="1050"/>
      <c r="N277" s="870"/>
      <c r="O277" s="870"/>
      <c r="P277" s="870"/>
      <c r="Q277" s="870"/>
      <c r="R277" s="870"/>
      <c r="S277" s="870"/>
      <c r="T277" s="870"/>
      <c r="U277" s="870"/>
      <c r="V277" s="870"/>
      <c r="W277" s="870"/>
      <c r="X277" s="1105"/>
    </row>
    <row r="278" spans="1:24" s="803" customFormat="1" ht="12">
      <c r="A278" s="984"/>
      <c r="B278" s="1033" t="s">
        <v>608</v>
      </c>
      <c r="C278" s="1082">
        <f>C269</f>
        <v>1050799749.9999998</v>
      </c>
      <c r="D278" s="803" t="s">
        <v>1298</v>
      </c>
      <c r="E278" s="1037"/>
      <c r="F278" s="1037"/>
      <c r="G278" s="1073"/>
      <c r="H278" s="1102"/>
      <c r="I278" s="1102"/>
      <c r="J278" s="1103"/>
      <c r="K278" s="1104"/>
      <c r="L278" s="884"/>
      <c r="M278" s="1050"/>
      <c r="N278" s="870"/>
      <c r="O278" s="870"/>
      <c r="P278" s="870"/>
      <c r="Q278" s="870"/>
      <c r="R278" s="870"/>
      <c r="S278" s="870"/>
      <c r="T278" s="870"/>
      <c r="U278" s="870"/>
      <c r="V278" s="870"/>
      <c r="W278" s="870"/>
      <c r="X278" s="1105"/>
    </row>
    <row r="279" spans="1:24" s="803" customFormat="1" ht="12">
      <c r="A279" s="984"/>
      <c r="B279" s="1033" t="s">
        <v>608</v>
      </c>
      <c r="C279" s="1082">
        <f>C278/1000000000000</f>
        <v>1.0507997499999999E-3</v>
      </c>
      <c r="D279" s="1037" t="s">
        <v>1472</v>
      </c>
      <c r="E279" s="1037"/>
      <c r="F279" s="1037"/>
      <c r="G279" s="1073"/>
      <c r="H279" s="1102"/>
      <c r="I279" s="1102"/>
      <c r="J279" s="1103"/>
      <c r="K279" s="1104"/>
      <c r="L279" s="884"/>
      <c r="M279" s="1050"/>
      <c r="N279" s="870"/>
      <c r="O279" s="870"/>
      <c r="P279" s="870"/>
      <c r="Q279" s="870"/>
      <c r="R279" s="870"/>
      <c r="S279" s="870"/>
      <c r="T279" s="870"/>
      <c r="U279" s="870"/>
      <c r="V279" s="870"/>
      <c r="W279" s="870"/>
      <c r="X279" s="1105"/>
    </row>
    <row r="280" spans="1:24" s="803" customFormat="1" ht="12">
      <c r="A280" s="984"/>
      <c r="B280" s="1033" t="s">
        <v>793</v>
      </c>
      <c r="C280" s="945" t="s">
        <v>794</v>
      </c>
      <c r="D280" s="1037"/>
      <c r="E280" s="1037"/>
      <c r="F280" s="1037"/>
      <c r="G280" s="1073"/>
      <c r="H280" s="1102"/>
      <c r="I280" s="1102"/>
      <c r="J280" s="1103"/>
      <c r="K280" s="1104"/>
      <c r="L280" s="884"/>
      <c r="M280" s="1050"/>
      <c r="N280" s="870"/>
      <c r="O280" s="870"/>
      <c r="P280" s="870"/>
      <c r="Q280" s="870"/>
      <c r="R280" s="870"/>
      <c r="S280" s="870"/>
      <c r="T280" s="870"/>
      <c r="U280" s="870"/>
      <c r="V280" s="870"/>
      <c r="W280" s="870"/>
      <c r="X280" s="1105"/>
    </row>
    <row r="281" spans="1:24" s="803" customFormat="1" ht="12">
      <c r="A281" s="984"/>
      <c r="B281" s="1033"/>
      <c r="C281" s="1037" t="s">
        <v>1478</v>
      </c>
      <c r="D281" s="1037"/>
      <c r="E281" s="1037"/>
      <c r="F281" s="1037"/>
      <c r="G281" s="1073"/>
      <c r="H281" s="1102"/>
      <c r="I281" s="1102"/>
      <c r="J281" s="1103"/>
      <c r="K281" s="1104"/>
      <c r="L281" s="884"/>
      <c r="M281" s="1050"/>
      <c r="N281" s="870"/>
      <c r="O281" s="870"/>
      <c r="P281" s="870"/>
      <c r="Q281" s="870"/>
      <c r="R281" s="870"/>
      <c r="S281" s="870"/>
      <c r="T281" s="870"/>
      <c r="U281" s="870"/>
      <c r="V281" s="870"/>
      <c r="W281" s="870"/>
      <c r="X281" s="1105"/>
    </row>
    <row r="282" spans="1:24" s="803" customFormat="1" ht="12">
      <c r="A282" s="984"/>
      <c r="B282" s="1033" t="s">
        <v>608</v>
      </c>
      <c r="C282" s="1082">
        <f>C279*5</f>
        <v>5.2539987499999989E-3</v>
      </c>
      <c r="D282" s="1037" t="s">
        <v>1551</v>
      </c>
      <c r="E282" s="1037"/>
      <c r="F282" s="1037"/>
      <c r="G282" s="1073"/>
      <c r="H282" s="1102"/>
      <c r="I282" s="1102"/>
      <c r="J282" s="1103"/>
      <c r="K282" s="1104"/>
      <c r="L282" s="884"/>
      <c r="M282" s="1050"/>
      <c r="N282" s="870"/>
      <c r="O282" s="870"/>
      <c r="P282" s="870"/>
      <c r="Q282" s="870"/>
      <c r="R282" s="870"/>
      <c r="S282" s="870"/>
      <c r="T282" s="870"/>
      <c r="U282" s="870"/>
      <c r="V282" s="870"/>
      <c r="W282" s="870"/>
      <c r="X282" s="1105"/>
    </row>
    <row r="283" spans="1:24" s="803" customFormat="1" ht="12">
      <c r="A283" s="1106" t="s">
        <v>813</v>
      </c>
      <c r="B283" s="1038" t="s">
        <v>1253</v>
      </c>
      <c r="C283" s="1037"/>
      <c r="D283" s="1037"/>
      <c r="E283" s="1037"/>
      <c r="F283" s="1037"/>
      <c r="G283" s="1073"/>
      <c r="H283" s="1102"/>
      <c r="I283" s="1102"/>
      <c r="J283" s="1103"/>
      <c r="K283" s="1104"/>
      <c r="L283" s="884"/>
      <c r="M283" s="1050"/>
      <c r="N283" s="870"/>
      <c r="O283" s="870"/>
      <c r="P283" s="870"/>
      <c r="Q283" s="870"/>
      <c r="R283" s="870"/>
      <c r="S283" s="870"/>
      <c r="T283" s="870"/>
      <c r="U283" s="870"/>
      <c r="V283" s="870"/>
      <c r="W283" s="870"/>
      <c r="X283" s="1105"/>
    </row>
    <row r="284" spans="1:24" s="803" customFormat="1" ht="12">
      <c r="A284" s="1106" t="s">
        <v>814</v>
      </c>
      <c r="B284" s="1038" t="s">
        <v>818</v>
      </c>
      <c r="C284" s="1037"/>
      <c r="D284" s="1037"/>
      <c r="E284" s="1037"/>
      <c r="F284" s="1037"/>
      <c r="G284" s="1073"/>
      <c r="H284" s="1102"/>
      <c r="I284" s="1102"/>
      <c r="J284" s="1103"/>
      <c r="K284" s="1104"/>
      <c r="L284" s="884"/>
      <c r="M284" s="1050"/>
      <c r="N284" s="870"/>
      <c r="O284" s="870"/>
      <c r="P284" s="870"/>
      <c r="Q284" s="870"/>
      <c r="R284" s="870"/>
      <c r="S284" s="870"/>
      <c r="T284" s="870"/>
      <c r="U284" s="870"/>
      <c r="V284" s="870"/>
      <c r="W284" s="870"/>
      <c r="X284" s="1105"/>
    </row>
    <row r="285" spans="1:24" s="803" customFormat="1" ht="12">
      <c r="A285" s="984"/>
      <c r="B285" s="1033" t="s">
        <v>685</v>
      </c>
      <c r="C285" s="1122">
        <f>(SUM(Insumos!E99:E101)+C526)</f>
        <v>601.91999999999996</v>
      </c>
      <c r="D285" s="1037" t="s">
        <v>1532</v>
      </c>
      <c r="E285" s="1037"/>
      <c r="F285" s="1037"/>
      <c r="G285" s="1073"/>
      <c r="H285" s="1102"/>
      <c r="I285" s="1102"/>
      <c r="J285" s="1103"/>
      <c r="K285" s="1104"/>
      <c r="L285" s="884"/>
      <c r="M285" s="1050"/>
      <c r="N285" s="870"/>
      <c r="O285" s="870"/>
      <c r="P285" s="870"/>
      <c r="Q285" s="870"/>
      <c r="R285" s="870"/>
      <c r="S285" s="870"/>
      <c r="T285" s="870"/>
      <c r="U285" s="870"/>
      <c r="V285" s="870"/>
      <c r="W285" s="870"/>
      <c r="X285" s="1105"/>
    </row>
    <row r="286" spans="1:24" s="803" customFormat="1" ht="12">
      <c r="A286" s="984"/>
      <c r="B286" s="1033" t="s">
        <v>1498</v>
      </c>
      <c r="C286" s="1117">
        <f>31400000</f>
        <v>31400000</v>
      </c>
      <c r="D286" s="1037" t="s">
        <v>388</v>
      </c>
      <c r="E286" s="1037"/>
      <c r="F286" s="1037"/>
      <c r="G286" s="1073"/>
      <c r="H286" s="1102"/>
      <c r="I286" s="1102"/>
      <c r="J286" s="1103"/>
      <c r="K286" s="1104"/>
      <c r="L286" s="884"/>
      <c r="M286" s="1050"/>
      <c r="N286" s="870"/>
      <c r="O286" s="870"/>
      <c r="P286" s="870"/>
      <c r="Q286" s="870"/>
      <c r="R286" s="870"/>
      <c r="S286" s="870"/>
      <c r="T286" s="870"/>
      <c r="U286" s="870"/>
      <c r="V286" s="870"/>
      <c r="W286" s="870"/>
      <c r="X286" s="1105"/>
    </row>
    <row r="287" spans="1:24" s="803" customFormat="1" ht="12">
      <c r="A287" s="984"/>
      <c r="B287" s="1033" t="s">
        <v>686</v>
      </c>
      <c r="C287" s="1089" t="s">
        <v>726</v>
      </c>
      <c r="E287" s="1037"/>
      <c r="F287" s="1037"/>
      <c r="G287" s="1073"/>
      <c r="H287" s="1102"/>
      <c r="I287" s="1102"/>
      <c r="J287" s="1103"/>
      <c r="K287" s="1104"/>
      <c r="L287" s="884"/>
      <c r="M287" s="1050"/>
      <c r="N287" s="870"/>
      <c r="O287" s="870"/>
      <c r="P287" s="870"/>
      <c r="Q287" s="870"/>
      <c r="R287" s="870"/>
      <c r="S287" s="870"/>
      <c r="T287" s="870"/>
      <c r="U287" s="870"/>
      <c r="V287" s="870"/>
      <c r="W287" s="870"/>
      <c r="X287" s="1105"/>
    </row>
    <row r="288" spans="1:24" s="803" customFormat="1" ht="12">
      <c r="A288" s="984"/>
      <c r="B288" s="1033" t="s">
        <v>608</v>
      </c>
      <c r="C288" s="1089" t="s">
        <v>1533</v>
      </c>
      <c r="D288" s="1037"/>
      <c r="E288" s="1037"/>
      <c r="F288" s="1037"/>
      <c r="G288" s="1073"/>
      <c r="H288" s="1102"/>
      <c r="I288" s="1102"/>
      <c r="J288" s="1103"/>
      <c r="K288" s="1104"/>
      <c r="L288" s="884"/>
      <c r="M288" s="1050"/>
      <c r="N288" s="870"/>
      <c r="O288" s="870"/>
      <c r="P288" s="870"/>
      <c r="Q288" s="870"/>
      <c r="R288" s="870"/>
      <c r="S288" s="870"/>
      <c r="T288" s="870"/>
      <c r="U288" s="870"/>
      <c r="V288" s="870"/>
      <c r="W288" s="870"/>
      <c r="X288" s="1105"/>
    </row>
    <row r="289" spans="1:24" s="803" customFormat="1" ht="12">
      <c r="A289" s="984"/>
      <c r="B289" s="1033" t="s">
        <v>608</v>
      </c>
      <c r="C289" s="1117">
        <f>C285*C286</f>
        <v>18900288000</v>
      </c>
      <c r="D289" s="1037" t="s">
        <v>1531</v>
      </c>
      <c r="E289" s="1082"/>
      <c r="F289" s="1037"/>
      <c r="G289" s="1073"/>
      <c r="H289" s="1102"/>
      <c r="I289" s="1102"/>
      <c r="J289" s="1103"/>
      <c r="K289" s="1104"/>
      <c r="L289" s="884"/>
      <c r="M289" s="1050"/>
      <c r="N289" s="870"/>
      <c r="O289" s="870"/>
      <c r="P289" s="870"/>
      <c r="Q289" s="870"/>
      <c r="R289" s="870"/>
      <c r="S289" s="870"/>
      <c r="T289" s="870"/>
      <c r="U289" s="870"/>
      <c r="V289" s="870"/>
      <c r="W289" s="870"/>
      <c r="X289" s="1105"/>
    </row>
    <row r="290" spans="1:24" s="803" customFormat="1" ht="12">
      <c r="A290" s="984"/>
      <c r="B290" s="1033" t="s">
        <v>608</v>
      </c>
      <c r="C290" s="1082">
        <f>C289/1000000000000</f>
        <v>1.8900288000000001E-2</v>
      </c>
      <c r="D290" s="1037" t="s">
        <v>1530</v>
      </c>
      <c r="E290" s="1082"/>
      <c r="F290" s="1037"/>
      <c r="G290" s="1073"/>
      <c r="H290" s="1102"/>
      <c r="I290" s="1102"/>
      <c r="J290" s="1103"/>
      <c r="K290" s="1104"/>
      <c r="L290" s="884"/>
      <c r="M290" s="1050"/>
      <c r="N290" s="870"/>
      <c r="O290" s="870"/>
      <c r="P290" s="870"/>
      <c r="Q290" s="870"/>
      <c r="R290" s="870"/>
      <c r="S290" s="870"/>
      <c r="T290" s="870"/>
      <c r="U290" s="870"/>
      <c r="V290" s="870"/>
      <c r="W290" s="870"/>
      <c r="X290" s="1105"/>
    </row>
    <row r="291" spans="1:24" s="803" customFormat="1" ht="12">
      <c r="A291" s="984"/>
      <c r="B291" s="1033" t="s">
        <v>793</v>
      </c>
      <c r="C291" s="945" t="s">
        <v>794</v>
      </c>
      <c r="D291" s="1037"/>
      <c r="E291" s="1082"/>
      <c r="F291" s="1037"/>
      <c r="G291" s="1073"/>
      <c r="H291" s="1102"/>
      <c r="I291" s="1102"/>
      <c r="J291" s="1103"/>
      <c r="K291" s="1104"/>
      <c r="L291" s="884"/>
      <c r="M291" s="1050"/>
      <c r="N291" s="870"/>
      <c r="O291" s="870"/>
      <c r="P291" s="870"/>
      <c r="Q291" s="870"/>
      <c r="R291" s="870"/>
      <c r="S291" s="870"/>
      <c r="T291" s="870"/>
      <c r="U291" s="870"/>
      <c r="V291" s="870"/>
      <c r="W291" s="870"/>
      <c r="X291" s="1105"/>
    </row>
    <row r="292" spans="1:24" s="803" customFormat="1" ht="12">
      <c r="A292" s="984"/>
      <c r="B292" s="1033"/>
      <c r="C292" s="1037" t="s">
        <v>1534</v>
      </c>
      <c r="D292" s="1037"/>
      <c r="E292" s="1082"/>
      <c r="F292" s="1037"/>
      <c r="G292" s="1073"/>
      <c r="H292" s="1102"/>
      <c r="I292" s="1102"/>
      <c r="J292" s="1103"/>
      <c r="K292" s="1104"/>
      <c r="L292" s="884"/>
      <c r="M292" s="1050"/>
      <c r="N292" s="870"/>
      <c r="O292" s="870"/>
      <c r="P292" s="870"/>
      <c r="Q292" s="870"/>
      <c r="R292" s="870"/>
      <c r="S292" s="870"/>
      <c r="T292" s="870"/>
      <c r="U292" s="870"/>
      <c r="V292" s="870"/>
      <c r="W292" s="870"/>
      <c r="X292" s="1105"/>
    </row>
    <row r="293" spans="1:24" s="803" customFormat="1" ht="12">
      <c r="A293" s="984"/>
      <c r="B293" s="1033" t="s">
        <v>608</v>
      </c>
      <c r="C293" s="1082">
        <f>C290*74100</f>
        <v>1400.5113408000002</v>
      </c>
      <c r="D293" s="1037" t="s">
        <v>815</v>
      </c>
      <c r="E293" s="1082"/>
      <c r="F293" s="1037"/>
      <c r="G293" s="1073"/>
      <c r="H293" s="1102"/>
      <c r="I293" s="1102"/>
      <c r="J293" s="1103"/>
      <c r="K293" s="1104"/>
      <c r="L293" s="884"/>
      <c r="M293" s="1050"/>
      <c r="N293" s="870"/>
      <c r="O293" s="870"/>
      <c r="P293" s="870"/>
      <c r="Q293" s="870"/>
      <c r="R293" s="870"/>
      <c r="S293" s="870"/>
      <c r="T293" s="870"/>
      <c r="U293" s="870"/>
      <c r="V293" s="870"/>
      <c r="W293" s="870"/>
      <c r="X293" s="1105"/>
    </row>
    <row r="294" spans="1:24" s="803" customFormat="1" ht="12">
      <c r="A294" s="1106" t="s">
        <v>827</v>
      </c>
      <c r="B294" s="1038" t="s">
        <v>824</v>
      </c>
      <c r="C294" s="1037"/>
      <c r="D294" s="1037"/>
      <c r="E294" s="1082"/>
      <c r="F294" s="1037"/>
      <c r="G294" s="1073"/>
      <c r="H294" s="1102"/>
      <c r="I294" s="1102"/>
      <c r="J294" s="1103"/>
      <c r="K294" s="1104"/>
      <c r="L294" s="884"/>
      <c r="M294" s="1050"/>
      <c r="N294" s="870"/>
      <c r="O294" s="870"/>
      <c r="P294" s="870"/>
      <c r="Q294" s="870"/>
      <c r="R294" s="870"/>
      <c r="S294" s="870"/>
      <c r="T294" s="870"/>
      <c r="U294" s="870"/>
      <c r="V294" s="870"/>
      <c r="W294" s="870"/>
      <c r="X294" s="1105"/>
    </row>
    <row r="295" spans="1:24" s="803" customFormat="1" ht="12">
      <c r="A295" s="984"/>
      <c r="B295" s="1033" t="s">
        <v>685</v>
      </c>
      <c r="C295" s="1122">
        <f>C285</f>
        <v>601.91999999999996</v>
      </c>
      <c r="D295" s="1037" t="s">
        <v>1532</v>
      </c>
      <c r="E295" s="1082"/>
      <c r="F295" s="1037"/>
      <c r="G295" s="1073"/>
      <c r="H295" s="1102"/>
      <c r="I295" s="1102"/>
      <c r="J295" s="1103"/>
      <c r="K295" s="1104"/>
      <c r="L295" s="884"/>
      <c r="M295" s="1050"/>
      <c r="N295" s="870"/>
      <c r="O295" s="870"/>
      <c r="P295" s="870"/>
      <c r="Q295" s="870"/>
      <c r="R295" s="870"/>
      <c r="S295" s="870"/>
      <c r="T295" s="870"/>
      <c r="U295" s="870"/>
      <c r="V295" s="870"/>
      <c r="W295" s="870"/>
      <c r="X295" s="1105"/>
    </row>
    <row r="296" spans="1:24" s="803" customFormat="1" ht="12">
      <c r="A296" s="984"/>
      <c r="B296" s="1033" t="s">
        <v>1498</v>
      </c>
      <c r="C296" s="1117">
        <f>31400000</f>
        <v>31400000</v>
      </c>
      <c r="D296" s="1037" t="s">
        <v>388</v>
      </c>
      <c r="E296" s="1082"/>
      <c r="F296" s="1037"/>
      <c r="G296" s="1073"/>
      <c r="H296" s="1102"/>
      <c r="I296" s="1102"/>
      <c r="J296" s="1103"/>
      <c r="K296" s="1104"/>
      <c r="L296" s="884"/>
      <c r="M296" s="1050"/>
      <c r="N296" s="870"/>
      <c r="O296" s="870"/>
      <c r="P296" s="870"/>
      <c r="Q296" s="870"/>
      <c r="R296" s="870"/>
      <c r="S296" s="870"/>
      <c r="T296" s="870"/>
      <c r="U296" s="870"/>
      <c r="V296" s="870"/>
      <c r="W296" s="870"/>
      <c r="X296" s="1105"/>
    </row>
    <row r="297" spans="1:24" s="803" customFormat="1" ht="12">
      <c r="A297" s="984"/>
      <c r="B297" s="1033" t="s">
        <v>686</v>
      </c>
      <c r="C297" s="1089" t="s">
        <v>726</v>
      </c>
      <c r="E297" s="1082"/>
      <c r="F297" s="1037"/>
      <c r="G297" s="1073"/>
      <c r="H297" s="1102"/>
      <c r="I297" s="1102"/>
      <c r="J297" s="1103"/>
      <c r="K297" s="1104"/>
      <c r="L297" s="884"/>
      <c r="M297" s="1050"/>
      <c r="N297" s="870"/>
      <c r="O297" s="870"/>
      <c r="P297" s="870"/>
      <c r="Q297" s="870"/>
      <c r="R297" s="870"/>
      <c r="S297" s="870"/>
      <c r="T297" s="870"/>
      <c r="U297" s="870"/>
      <c r="V297" s="870"/>
      <c r="W297" s="870"/>
      <c r="X297" s="1105"/>
    </row>
    <row r="298" spans="1:24" s="803" customFormat="1" ht="12">
      <c r="A298" s="984"/>
      <c r="B298" s="1033" t="s">
        <v>608</v>
      </c>
      <c r="C298" s="1089" t="s">
        <v>1533</v>
      </c>
      <c r="D298" s="1037"/>
      <c r="E298" s="1082"/>
      <c r="F298" s="1037"/>
      <c r="G298" s="1073"/>
      <c r="H298" s="1102"/>
      <c r="I298" s="1102"/>
      <c r="J298" s="1103"/>
      <c r="K298" s="1104"/>
      <c r="L298" s="884"/>
      <c r="M298" s="1050"/>
      <c r="N298" s="870"/>
      <c r="O298" s="870"/>
      <c r="P298" s="870"/>
      <c r="Q298" s="870"/>
      <c r="R298" s="870"/>
      <c r="S298" s="870"/>
      <c r="T298" s="870"/>
      <c r="U298" s="870"/>
      <c r="V298" s="870"/>
      <c r="W298" s="870"/>
      <c r="X298" s="1105"/>
    </row>
    <row r="299" spans="1:24" s="803" customFormat="1" ht="12">
      <c r="A299" s="984"/>
      <c r="B299" s="1033" t="s">
        <v>608</v>
      </c>
      <c r="C299" s="1117">
        <f>C295*C296</f>
        <v>18900288000</v>
      </c>
      <c r="D299" s="1037" t="s">
        <v>1531</v>
      </c>
      <c r="E299" s="1082"/>
      <c r="F299" s="1037"/>
      <c r="G299" s="1073"/>
      <c r="H299" s="1102"/>
      <c r="I299" s="1102"/>
      <c r="J299" s="1103"/>
      <c r="K299" s="1104"/>
      <c r="L299" s="884"/>
      <c r="M299" s="1050"/>
      <c r="N299" s="870"/>
      <c r="O299" s="870"/>
      <c r="P299" s="870"/>
      <c r="Q299" s="870"/>
      <c r="R299" s="870"/>
      <c r="S299" s="870"/>
      <c r="T299" s="870"/>
      <c r="U299" s="870"/>
      <c r="V299" s="870"/>
      <c r="W299" s="870"/>
      <c r="X299" s="1105"/>
    </row>
    <row r="300" spans="1:24" s="803" customFormat="1" ht="12">
      <c r="A300" s="984"/>
      <c r="B300" s="1033" t="s">
        <v>608</v>
      </c>
      <c r="C300" s="1082">
        <f>C299/1000000000000</f>
        <v>1.8900288000000001E-2</v>
      </c>
      <c r="D300" s="1037" t="s">
        <v>1530</v>
      </c>
      <c r="E300" s="1082"/>
      <c r="F300" s="1037"/>
      <c r="G300" s="1073"/>
      <c r="H300" s="1102"/>
      <c r="I300" s="1102"/>
      <c r="J300" s="1103"/>
      <c r="K300" s="1104"/>
      <c r="L300" s="884"/>
      <c r="M300" s="1050"/>
      <c r="N300" s="870"/>
      <c r="O300" s="870"/>
      <c r="P300" s="870"/>
      <c r="Q300" s="870"/>
      <c r="R300" s="870"/>
      <c r="S300" s="870"/>
      <c r="T300" s="870"/>
      <c r="U300" s="870"/>
      <c r="V300" s="870"/>
      <c r="W300" s="870"/>
      <c r="X300" s="1105"/>
    </row>
    <row r="301" spans="1:24" s="803" customFormat="1" ht="12">
      <c r="A301" s="984"/>
      <c r="B301" s="1033" t="s">
        <v>793</v>
      </c>
      <c r="C301" s="945" t="s">
        <v>794</v>
      </c>
      <c r="D301" s="1037"/>
      <c r="E301" s="1082"/>
      <c r="F301" s="1037"/>
      <c r="G301" s="1073"/>
      <c r="H301" s="1102"/>
      <c r="I301" s="1102"/>
      <c r="J301" s="1103"/>
      <c r="K301" s="1104"/>
      <c r="L301" s="884"/>
      <c r="M301" s="1050"/>
      <c r="N301" s="870"/>
      <c r="O301" s="870"/>
      <c r="P301" s="870"/>
      <c r="Q301" s="870"/>
      <c r="R301" s="870"/>
      <c r="S301" s="870"/>
      <c r="T301" s="870"/>
      <c r="U301" s="870"/>
      <c r="V301" s="870"/>
      <c r="W301" s="870"/>
      <c r="X301" s="1105"/>
    </row>
    <row r="302" spans="1:24" s="803" customFormat="1" ht="12">
      <c r="A302" s="984"/>
      <c r="B302" s="1033"/>
      <c r="C302" s="1037" t="s">
        <v>1479</v>
      </c>
      <c r="D302" s="1037"/>
      <c r="E302" s="1082"/>
      <c r="F302" s="1037"/>
      <c r="G302" s="1073"/>
      <c r="H302" s="1102"/>
      <c r="I302" s="1102"/>
      <c r="J302" s="1103"/>
      <c r="K302" s="1104"/>
      <c r="L302" s="884"/>
      <c r="M302" s="1050"/>
      <c r="N302" s="870"/>
      <c r="O302" s="870"/>
      <c r="P302" s="870"/>
      <c r="Q302" s="870"/>
      <c r="R302" s="870"/>
      <c r="S302" s="870"/>
      <c r="T302" s="870"/>
      <c r="U302" s="870"/>
      <c r="V302" s="870"/>
      <c r="W302" s="870"/>
      <c r="X302" s="1105"/>
    </row>
    <row r="303" spans="1:24" s="803" customFormat="1" ht="12">
      <c r="A303" s="984"/>
      <c r="B303" s="1033" t="s">
        <v>608</v>
      </c>
      <c r="C303" s="1082">
        <f>C300*0.6</f>
        <v>1.1340172800000001E-2</v>
      </c>
      <c r="D303" s="1037" t="s">
        <v>1547</v>
      </c>
      <c r="E303" s="1082"/>
      <c r="F303" s="1037"/>
      <c r="G303" s="1073"/>
      <c r="H303" s="1102"/>
      <c r="I303" s="1102"/>
      <c r="J303" s="1103"/>
      <c r="K303" s="1104"/>
      <c r="L303" s="884"/>
      <c r="M303" s="1050"/>
      <c r="N303" s="870"/>
      <c r="O303" s="870"/>
      <c r="P303" s="870"/>
      <c r="Q303" s="870"/>
      <c r="R303" s="870"/>
      <c r="S303" s="870"/>
      <c r="T303" s="870"/>
      <c r="U303" s="870"/>
      <c r="V303" s="870"/>
      <c r="W303" s="870"/>
      <c r="X303" s="1105"/>
    </row>
    <row r="304" spans="1:24" s="803" customFormat="1" ht="12">
      <c r="A304" s="1106" t="s">
        <v>828</v>
      </c>
      <c r="B304" s="1038" t="s">
        <v>825</v>
      </c>
      <c r="C304" s="1037"/>
      <c r="D304" s="1037"/>
      <c r="E304" s="1082"/>
      <c r="F304" s="1037"/>
      <c r="G304" s="1073"/>
      <c r="H304" s="1102"/>
      <c r="I304" s="1102"/>
      <c r="J304" s="1103"/>
      <c r="K304" s="1104"/>
      <c r="L304" s="884"/>
      <c r="M304" s="1050"/>
      <c r="N304" s="870"/>
      <c r="O304" s="870"/>
      <c r="P304" s="870"/>
      <c r="Q304" s="870"/>
      <c r="R304" s="870"/>
      <c r="S304" s="870"/>
      <c r="T304" s="870"/>
      <c r="U304" s="870"/>
      <c r="V304" s="870"/>
      <c r="W304" s="870"/>
      <c r="X304" s="1105"/>
    </row>
    <row r="305" spans="1:24" s="803" customFormat="1" ht="12">
      <c r="A305" s="984"/>
      <c r="B305" s="1033" t="s">
        <v>685</v>
      </c>
      <c r="C305" s="1117">
        <f>C285</f>
        <v>601.91999999999996</v>
      </c>
      <c r="D305" s="1037" t="s">
        <v>1532</v>
      </c>
      <c r="E305" s="1082"/>
      <c r="F305" s="1037"/>
      <c r="G305" s="1073"/>
      <c r="H305" s="1102"/>
      <c r="I305" s="1102"/>
      <c r="J305" s="1103"/>
      <c r="K305" s="1104"/>
      <c r="L305" s="884"/>
      <c r="M305" s="1050"/>
      <c r="N305" s="870"/>
      <c r="O305" s="870"/>
      <c r="P305" s="870"/>
      <c r="Q305" s="870"/>
      <c r="R305" s="870"/>
      <c r="S305" s="870"/>
      <c r="T305" s="870"/>
      <c r="U305" s="870"/>
      <c r="V305" s="870"/>
      <c r="W305" s="870"/>
      <c r="X305" s="1105"/>
    </row>
    <row r="306" spans="1:24" s="803" customFormat="1" ht="12">
      <c r="A306" s="984"/>
      <c r="B306" s="1033" t="s">
        <v>1498</v>
      </c>
      <c r="C306" s="1117">
        <f>31400000</f>
        <v>31400000</v>
      </c>
      <c r="D306" s="1037" t="s">
        <v>388</v>
      </c>
      <c r="E306" s="1082"/>
      <c r="F306" s="1037"/>
      <c r="G306" s="1073"/>
      <c r="H306" s="1102"/>
      <c r="I306" s="1102"/>
      <c r="J306" s="1103"/>
      <c r="K306" s="1104"/>
      <c r="L306" s="884"/>
      <c r="M306" s="1050"/>
      <c r="N306" s="870"/>
      <c r="O306" s="870"/>
      <c r="P306" s="870"/>
      <c r="Q306" s="870"/>
      <c r="R306" s="870"/>
      <c r="S306" s="870"/>
      <c r="T306" s="870"/>
      <c r="U306" s="870"/>
      <c r="V306" s="870"/>
      <c r="W306" s="870"/>
      <c r="X306" s="1105"/>
    </row>
    <row r="307" spans="1:24" s="803" customFormat="1" ht="12">
      <c r="A307" s="984"/>
      <c r="B307" s="1033" t="s">
        <v>686</v>
      </c>
      <c r="C307" s="1089" t="s">
        <v>726</v>
      </c>
      <c r="E307" s="1082"/>
      <c r="F307" s="1037"/>
      <c r="G307" s="1073"/>
      <c r="H307" s="1102"/>
      <c r="I307" s="1102"/>
      <c r="J307" s="1103"/>
      <c r="K307" s="1104"/>
      <c r="L307" s="884"/>
      <c r="M307" s="1050"/>
      <c r="N307" s="870"/>
      <c r="O307" s="870"/>
      <c r="P307" s="870"/>
      <c r="Q307" s="870"/>
      <c r="R307" s="870"/>
      <c r="S307" s="870"/>
      <c r="T307" s="870"/>
      <c r="U307" s="870"/>
      <c r="V307" s="870"/>
      <c r="W307" s="870"/>
      <c r="X307" s="1105"/>
    </row>
    <row r="308" spans="1:24" s="803" customFormat="1" ht="12">
      <c r="A308" s="984"/>
      <c r="B308" s="1033" t="s">
        <v>608</v>
      </c>
      <c r="C308" s="1089" t="s">
        <v>1533</v>
      </c>
      <c r="D308" s="1037"/>
      <c r="E308" s="1082"/>
      <c r="F308" s="1037"/>
      <c r="G308" s="1073"/>
      <c r="H308" s="1102"/>
      <c r="I308" s="1102"/>
      <c r="J308" s="1103"/>
      <c r="K308" s="1104"/>
      <c r="L308" s="884"/>
      <c r="M308" s="1050"/>
      <c r="N308" s="870"/>
      <c r="O308" s="870"/>
      <c r="P308" s="870"/>
      <c r="Q308" s="870"/>
      <c r="R308" s="870"/>
      <c r="S308" s="870"/>
      <c r="T308" s="870"/>
      <c r="U308" s="870"/>
      <c r="V308" s="870"/>
      <c r="W308" s="870"/>
      <c r="X308" s="1105"/>
    </row>
    <row r="309" spans="1:24" s="803" customFormat="1" ht="12">
      <c r="A309" s="984"/>
      <c r="B309" s="1033" t="s">
        <v>608</v>
      </c>
      <c r="C309" s="1117">
        <f>C305*C306</f>
        <v>18900288000</v>
      </c>
      <c r="D309" s="1037" t="s">
        <v>1531</v>
      </c>
      <c r="E309" s="1082"/>
      <c r="F309" s="1037"/>
      <c r="G309" s="1073"/>
      <c r="H309" s="1102"/>
      <c r="I309" s="1102"/>
      <c r="J309" s="1103"/>
      <c r="K309" s="1104"/>
      <c r="L309" s="884"/>
      <c r="M309" s="1050"/>
      <c r="N309" s="870"/>
      <c r="O309" s="870"/>
      <c r="P309" s="870"/>
      <c r="Q309" s="870"/>
      <c r="R309" s="870"/>
      <c r="S309" s="870"/>
      <c r="T309" s="870"/>
      <c r="U309" s="870"/>
      <c r="V309" s="870"/>
      <c r="W309" s="870"/>
      <c r="X309" s="1105"/>
    </row>
    <row r="310" spans="1:24" s="803" customFormat="1" ht="12">
      <c r="A310" s="984"/>
      <c r="B310" s="1033" t="s">
        <v>608</v>
      </c>
      <c r="C310" s="1082">
        <f>C309/1000000000000</f>
        <v>1.8900288000000001E-2</v>
      </c>
      <c r="D310" s="1037" t="s">
        <v>1530</v>
      </c>
      <c r="E310" s="1082"/>
      <c r="F310" s="1037"/>
      <c r="G310" s="1073"/>
      <c r="H310" s="1102"/>
      <c r="I310" s="1102"/>
      <c r="J310" s="1103"/>
      <c r="K310" s="1104"/>
      <c r="L310" s="884"/>
      <c r="M310" s="1050"/>
      <c r="N310" s="870"/>
      <c r="O310" s="870"/>
      <c r="P310" s="870"/>
      <c r="Q310" s="870"/>
      <c r="R310" s="870"/>
      <c r="S310" s="870"/>
      <c r="T310" s="870"/>
      <c r="U310" s="870"/>
      <c r="V310" s="870"/>
      <c r="W310" s="870"/>
      <c r="X310" s="1105"/>
    </row>
    <row r="311" spans="1:24" s="803" customFormat="1" ht="12">
      <c r="A311" s="984"/>
      <c r="B311" s="1033" t="s">
        <v>1499</v>
      </c>
      <c r="C311" s="945" t="s">
        <v>794</v>
      </c>
      <c r="D311" s="1037"/>
      <c r="E311" s="1082"/>
      <c r="F311" s="1037"/>
      <c r="G311" s="1073"/>
      <c r="H311" s="1102"/>
      <c r="I311" s="1102"/>
      <c r="J311" s="1103"/>
      <c r="K311" s="1104"/>
      <c r="L311" s="884"/>
      <c r="M311" s="1050"/>
      <c r="N311" s="870"/>
      <c r="O311" s="870"/>
      <c r="P311" s="870"/>
      <c r="Q311" s="870"/>
      <c r="R311" s="870"/>
      <c r="S311" s="870"/>
      <c r="T311" s="870"/>
      <c r="U311" s="870"/>
      <c r="V311" s="870"/>
      <c r="W311" s="870"/>
      <c r="X311" s="1105"/>
    </row>
    <row r="312" spans="1:24" s="803" customFormat="1" ht="12">
      <c r="A312" s="984"/>
      <c r="B312" s="1033"/>
      <c r="C312" s="1037" t="s">
        <v>1535</v>
      </c>
      <c r="D312" s="1037"/>
      <c r="E312" s="1082"/>
      <c r="F312" s="1037"/>
      <c r="G312" s="1073"/>
      <c r="H312" s="1102"/>
      <c r="I312" s="1102"/>
      <c r="J312" s="1103"/>
      <c r="K312" s="1104"/>
      <c r="L312" s="884"/>
      <c r="M312" s="1050"/>
      <c r="N312" s="870"/>
      <c r="O312" s="870"/>
      <c r="P312" s="870"/>
      <c r="Q312" s="870"/>
      <c r="R312" s="870"/>
      <c r="S312" s="870"/>
      <c r="T312" s="870"/>
      <c r="U312" s="870"/>
      <c r="V312" s="870"/>
      <c r="W312" s="870"/>
      <c r="X312" s="1105"/>
    </row>
    <row r="313" spans="1:24" s="803" customFormat="1" ht="12">
      <c r="A313" s="984"/>
      <c r="B313" s="1033" t="s">
        <v>608</v>
      </c>
      <c r="C313" s="1082">
        <f>C310*10</f>
        <v>0.18900288000000001</v>
      </c>
      <c r="D313" s="1037" t="s">
        <v>1548</v>
      </c>
      <c r="E313" s="1082"/>
      <c r="F313" s="1037"/>
      <c r="G313" s="1073"/>
      <c r="H313" s="1102"/>
      <c r="I313" s="1102"/>
      <c r="J313" s="1103"/>
      <c r="K313" s="1104"/>
      <c r="L313" s="884"/>
      <c r="M313" s="1050"/>
      <c r="N313" s="870"/>
      <c r="O313" s="870"/>
      <c r="P313" s="870"/>
      <c r="Q313" s="870"/>
      <c r="R313" s="870"/>
      <c r="S313" s="870"/>
      <c r="T313" s="870"/>
      <c r="U313" s="870"/>
      <c r="V313" s="870"/>
      <c r="W313" s="870"/>
      <c r="X313" s="1105"/>
    </row>
    <row r="314" spans="1:24" s="803" customFormat="1" ht="12">
      <c r="A314" s="984"/>
      <c r="B314" s="1033"/>
      <c r="C314" s="1037"/>
      <c r="D314" s="1037"/>
      <c r="E314" s="1082"/>
      <c r="F314" s="1037"/>
      <c r="G314" s="1073"/>
      <c r="H314" s="1102"/>
      <c r="I314" s="1102"/>
      <c r="J314" s="1103"/>
      <c r="K314" s="1104"/>
      <c r="L314" s="884"/>
      <c r="M314" s="1050"/>
      <c r="N314" s="870"/>
      <c r="O314" s="870"/>
      <c r="P314" s="870"/>
      <c r="Q314" s="870"/>
      <c r="R314" s="870"/>
      <c r="S314" s="870"/>
      <c r="T314" s="870"/>
      <c r="U314" s="870"/>
      <c r="V314" s="870"/>
      <c r="W314" s="870"/>
      <c r="X314" s="1105"/>
    </row>
    <row r="315" spans="1:24" s="803" customFormat="1" ht="12">
      <c r="A315" s="984" t="s">
        <v>1032</v>
      </c>
      <c r="B315" s="945" t="s">
        <v>1031</v>
      </c>
      <c r="C315" s="1037"/>
      <c r="D315" s="1037"/>
      <c r="E315" s="1082"/>
      <c r="F315" s="1037"/>
      <c r="G315" s="1073"/>
      <c r="H315" s="1102"/>
      <c r="I315" s="1102"/>
      <c r="J315" s="1103"/>
      <c r="K315" s="1104"/>
      <c r="L315" s="884"/>
      <c r="M315" s="1050"/>
      <c r="N315" s="870"/>
      <c r="O315" s="870"/>
      <c r="P315" s="870"/>
      <c r="Q315" s="870"/>
      <c r="R315" s="870"/>
      <c r="S315" s="870"/>
      <c r="T315" s="870"/>
      <c r="U315" s="870"/>
      <c r="V315" s="870"/>
      <c r="W315" s="870"/>
      <c r="X315" s="1105"/>
    </row>
    <row r="316" spans="1:24" s="803" customFormat="1" ht="12">
      <c r="A316" s="984"/>
      <c r="B316" s="1033" t="s">
        <v>829</v>
      </c>
      <c r="C316" s="1082">
        <f>SUM(C215,C245,C273,C303,)</f>
        <v>18563.127411728776</v>
      </c>
      <c r="D316" s="1037" t="s">
        <v>1547</v>
      </c>
      <c r="E316" s="1082"/>
      <c r="F316" s="1037"/>
      <c r="G316" s="1073"/>
      <c r="H316" s="1102"/>
      <c r="I316" s="1102"/>
      <c r="J316" s="1103"/>
      <c r="K316" s="1104"/>
      <c r="L316" s="884"/>
      <c r="M316" s="1050"/>
      <c r="N316" s="870"/>
      <c r="O316" s="870"/>
      <c r="P316" s="870"/>
      <c r="Q316" s="870"/>
      <c r="R316" s="870"/>
      <c r="S316" s="870"/>
      <c r="T316" s="870"/>
      <c r="U316" s="870"/>
      <c r="V316" s="870"/>
      <c r="W316" s="870"/>
      <c r="X316" s="1105"/>
    </row>
    <row r="317" spans="1:24" s="803" customFormat="1" ht="12">
      <c r="A317" s="984"/>
      <c r="B317" s="1033" t="s">
        <v>831</v>
      </c>
      <c r="C317" s="1082">
        <v>310</v>
      </c>
      <c r="D317" s="1037"/>
      <c r="E317" s="1082"/>
      <c r="F317" s="1037"/>
      <c r="G317" s="1073"/>
      <c r="H317" s="1102"/>
      <c r="I317" s="1102"/>
      <c r="J317" s="1103"/>
      <c r="K317" s="1104"/>
      <c r="L317" s="884"/>
      <c r="M317" s="1050"/>
      <c r="N317" s="870"/>
      <c r="O317" s="870"/>
      <c r="P317" s="870"/>
      <c r="Q317" s="870"/>
      <c r="R317" s="870"/>
      <c r="S317" s="870"/>
      <c r="T317" s="870"/>
      <c r="U317" s="870"/>
      <c r="V317" s="870"/>
      <c r="W317" s="870"/>
      <c r="X317" s="1105"/>
    </row>
    <row r="318" spans="1:24" s="803" customFormat="1" ht="12">
      <c r="A318" s="984"/>
      <c r="B318" s="1033" t="s">
        <v>834</v>
      </c>
      <c r="C318" s="1082" t="s">
        <v>835</v>
      </c>
      <c r="D318" s="1037"/>
      <c r="E318" s="1082"/>
      <c r="F318" s="1037"/>
      <c r="G318" s="1073"/>
      <c r="H318" s="1102"/>
      <c r="I318" s="1102"/>
      <c r="J318" s="1103"/>
      <c r="K318" s="1104"/>
      <c r="L318" s="884"/>
      <c r="M318" s="1050"/>
      <c r="N318" s="870"/>
      <c r="O318" s="870"/>
      <c r="P318" s="870"/>
      <c r="Q318" s="870"/>
      <c r="R318" s="870"/>
      <c r="S318" s="870"/>
      <c r="T318" s="870"/>
      <c r="U318" s="870"/>
      <c r="V318" s="870"/>
      <c r="W318" s="870"/>
      <c r="X318" s="1105"/>
    </row>
    <row r="319" spans="1:24" s="803" customFormat="1" ht="12">
      <c r="A319" s="984"/>
      <c r="B319" s="1033" t="s">
        <v>608</v>
      </c>
      <c r="C319" s="1082" t="s">
        <v>1536</v>
      </c>
      <c r="D319" s="1037"/>
      <c r="E319" s="1082"/>
      <c r="F319" s="1037"/>
      <c r="G319" s="1073"/>
      <c r="H319" s="1102"/>
      <c r="I319" s="1102"/>
      <c r="J319" s="1103"/>
      <c r="K319" s="1104"/>
      <c r="L319" s="884"/>
      <c r="M319" s="1050"/>
      <c r="N319" s="870"/>
      <c r="O319" s="870"/>
      <c r="P319" s="870"/>
      <c r="Q319" s="870"/>
      <c r="R319" s="870"/>
      <c r="S319" s="870"/>
      <c r="T319" s="870"/>
      <c r="U319" s="870"/>
      <c r="V319" s="870"/>
      <c r="W319" s="870"/>
      <c r="X319" s="1105"/>
    </row>
    <row r="320" spans="1:24" s="803" customFormat="1" ht="12">
      <c r="A320" s="984"/>
      <c r="B320" s="1033" t="s">
        <v>608</v>
      </c>
      <c r="C320" s="1082">
        <f>C316*C317*1000</f>
        <v>5754569497.6359205</v>
      </c>
      <c r="D320" s="1037" t="s">
        <v>836</v>
      </c>
      <c r="E320" s="1082"/>
      <c r="F320" s="1037"/>
      <c r="G320" s="1073"/>
      <c r="H320" s="1102"/>
      <c r="I320" s="1102"/>
      <c r="J320" s="1103"/>
      <c r="K320" s="1104"/>
      <c r="L320" s="884"/>
      <c r="M320" s="1050"/>
      <c r="N320" s="870"/>
      <c r="O320" s="870"/>
      <c r="P320" s="870"/>
      <c r="Q320" s="870"/>
      <c r="R320" s="870"/>
      <c r="S320" s="870"/>
      <c r="T320" s="870"/>
      <c r="U320" s="870"/>
      <c r="V320" s="870"/>
      <c r="W320" s="870"/>
      <c r="X320" s="1105"/>
    </row>
    <row r="321" spans="1:24" s="803" customFormat="1" ht="12">
      <c r="A321" s="984"/>
      <c r="B321" s="1033"/>
      <c r="C321" s="1082"/>
      <c r="D321" s="1037"/>
      <c r="E321" s="1082"/>
      <c r="F321" s="1037"/>
      <c r="G321" s="1073"/>
      <c r="H321" s="1102"/>
      <c r="I321" s="1102"/>
      <c r="J321" s="1103"/>
      <c r="K321" s="1104"/>
      <c r="L321" s="884"/>
      <c r="M321" s="1050"/>
      <c r="N321" s="870"/>
      <c r="O321" s="870"/>
      <c r="P321" s="870"/>
      <c r="Q321" s="870"/>
      <c r="R321" s="870"/>
      <c r="S321" s="870"/>
      <c r="T321" s="870"/>
      <c r="U321" s="870"/>
      <c r="V321" s="870"/>
      <c r="W321" s="870"/>
      <c r="X321" s="1105"/>
    </row>
    <row r="322" spans="1:24" s="803" customFormat="1" ht="12">
      <c r="A322" s="984"/>
      <c r="B322" s="1033" t="s">
        <v>830</v>
      </c>
      <c r="C322" s="1082">
        <f>SUM(C223,C254,C282,C313,)</f>
        <v>2006422.6952462697</v>
      </c>
      <c r="D322" s="1037" t="s">
        <v>1548</v>
      </c>
      <c r="E322" s="1082"/>
      <c r="F322" s="1037"/>
      <c r="G322" s="1073"/>
      <c r="H322" s="1102"/>
      <c r="I322" s="1102"/>
      <c r="J322" s="1103"/>
      <c r="K322" s="1104"/>
      <c r="L322" s="884"/>
      <c r="M322" s="1050"/>
      <c r="N322" s="870"/>
      <c r="O322" s="870"/>
      <c r="P322" s="870"/>
      <c r="Q322" s="870"/>
      <c r="R322" s="870"/>
      <c r="S322" s="870"/>
      <c r="T322" s="870"/>
      <c r="U322" s="870"/>
      <c r="V322" s="870"/>
      <c r="W322" s="870"/>
      <c r="X322" s="1105"/>
    </row>
    <row r="323" spans="1:24" s="803" customFormat="1" ht="12">
      <c r="A323" s="984"/>
      <c r="B323" s="1033" t="s">
        <v>832</v>
      </c>
      <c r="C323" s="1082">
        <v>21</v>
      </c>
      <c r="D323" s="1037"/>
      <c r="E323" s="1082"/>
      <c r="F323" s="1037"/>
      <c r="G323" s="1073"/>
      <c r="H323" s="1102"/>
      <c r="I323" s="1102"/>
      <c r="J323" s="1103"/>
      <c r="K323" s="1104"/>
      <c r="L323" s="884"/>
      <c r="M323" s="1050"/>
      <c r="N323" s="870"/>
      <c r="O323" s="870"/>
      <c r="P323" s="870"/>
      <c r="Q323" s="870"/>
      <c r="R323" s="870"/>
      <c r="S323" s="870"/>
      <c r="T323" s="870"/>
      <c r="U323" s="870"/>
      <c r="V323" s="870"/>
      <c r="W323" s="870"/>
      <c r="X323" s="1105"/>
    </row>
    <row r="324" spans="1:24" s="803" customFormat="1" ht="12">
      <c r="A324" s="984"/>
      <c r="B324" s="1033" t="s">
        <v>837</v>
      </c>
      <c r="C324" s="1082" t="s">
        <v>838</v>
      </c>
      <c r="D324" s="1037"/>
      <c r="E324" s="1082"/>
      <c r="F324" s="1037"/>
      <c r="G324" s="1073"/>
      <c r="H324" s="1102"/>
      <c r="I324" s="1102"/>
      <c r="J324" s="1103"/>
      <c r="K324" s="1104"/>
      <c r="L324" s="884"/>
      <c r="M324" s="1050"/>
      <c r="N324" s="870"/>
      <c r="O324" s="870"/>
      <c r="P324" s="870"/>
      <c r="Q324" s="870"/>
      <c r="R324" s="870"/>
      <c r="S324" s="870"/>
      <c r="T324" s="870"/>
      <c r="U324" s="870"/>
      <c r="V324" s="870"/>
      <c r="W324" s="870"/>
      <c r="X324" s="1105"/>
    </row>
    <row r="325" spans="1:24" s="803" customFormat="1" ht="12">
      <c r="A325" s="984"/>
      <c r="B325" s="1033" t="s">
        <v>608</v>
      </c>
      <c r="C325" s="1082" t="s">
        <v>1537</v>
      </c>
      <c r="D325" s="1037"/>
      <c r="E325" s="1082"/>
      <c r="F325" s="1037"/>
      <c r="G325" s="1073"/>
      <c r="H325" s="1102"/>
      <c r="I325" s="1102"/>
      <c r="J325" s="1103"/>
      <c r="K325" s="1104"/>
      <c r="L325" s="884"/>
      <c r="M325" s="1050"/>
      <c r="N325" s="870"/>
      <c r="O325" s="870"/>
      <c r="P325" s="870"/>
      <c r="Q325" s="870"/>
      <c r="R325" s="870"/>
      <c r="S325" s="870"/>
      <c r="T325" s="870"/>
      <c r="U325" s="870"/>
      <c r="V325" s="870"/>
      <c r="W325" s="870"/>
      <c r="X325" s="1105"/>
    </row>
    <row r="326" spans="1:24" s="803" customFormat="1" ht="12">
      <c r="A326" s="984"/>
      <c r="B326" s="1033" t="s">
        <v>608</v>
      </c>
      <c r="C326" s="1082">
        <f>C322*C323*1000</f>
        <v>42134876600.171661</v>
      </c>
      <c r="D326" s="1037" t="s">
        <v>836</v>
      </c>
      <c r="E326" s="1082"/>
      <c r="F326" s="1037"/>
      <c r="G326" s="1073"/>
      <c r="H326" s="1102"/>
      <c r="I326" s="1102"/>
      <c r="J326" s="1103"/>
      <c r="K326" s="1104"/>
      <c r="L326" s="884"/>
      <c r="M326" s="1050"/>
      <c r="N326" s="870"/>
      <c r="O326" s="870"/>
      <c r="P326" s="870"/>
      <c r="Q326" s="870"/>
      <c r="R326" s="870"/>
      <c r="S326" s="870"/>
      <c r="T326" s="870"/>
      <c r="U326" s="870"/>
      <c r="V326" s="870"/>
      <c r="W326" s="870"/>
      <c r="X326" s="1105"/>
    </row>
    <row r="327" spans="1:24" s="803" customFormat="1" ht="12">
      <c r="A327" s="984"/>
      <c r="B327" s="1033"/>
      <c r="C327" s="1082"/>
      <c r="D327" s="1037"/>
      <c r="E327" s="1082"/>
      <c r="F327" s="1037"/>
      <c r="G327" s="1073"/>
      <c r="H327" s="1102"/>
      <c r="I327" s="1102"/>
      <c r="J327" s="1103"/>
      <c r="K327" s="1104"/>
      <c r="L327" s="884"/>
      <c r="M327" s="1050"/>
      <c r="N327" s="870"/>
      <c r="O327" s="870"/>
      <c r="P327" s="870"/>
      <c r="Q327" s="870"/>
      <c r="R327" s="870"/>
      <c r="S327" s="870"/>
      <c r="T327" s="870"/>
      <c r="U327" s="870"/>
      <c r="V327" s="870"/>
      <c r="W327" s="870"/>
      <c r="X327" s="1105"/>
    </row>
    <row r="328" spans="1:24" s="803" customFormat="1" ht="12">
      <c r="A328" s="984"/>
      <c r="B328" s="1033" t="s">
        <v>826</v>
      </c>
      <c r="C328" s="1082">
        <f>SUM(C191,C235,C264,C293)</f>
        <v>85591.236298512114</v>
      </c>
      <c r="D328" s="1037" t="s">
        <v>815</v>
      </c>
      <c r="E328" s="1082"/>
      <c r="F328" s="1037"/>
      <c r="G328" s="1073"/>
      <c r="H328" s="1102"/>
      <c r="I328" s="1102"/>
      <c r="J328" s="1103"/>
      <c r="K328" s="1104"/>
      <c r="L328" s="884"/>
      <c r="M328" s="1050"/>
      <c r="N328" s="870"/>
      <c r="O328" s="870"/>
      <c r="P328" s="870"/>
      <c r="Q328" s="870"/>
      <c r="R328" s="870"/>
      <c r="S328" s="870"/>
      <c r="T328" s="870"/>
      <c r="U328" s="870"/>
      <c r="V328" s="870"/>
      <c r="W328" s="870"/>
      <c r="X328" s="1105"/>
    </row>
    <row r="329" spans="1:24" s="803" customFormat="1" ht="12">
      <c r="A329" s="984"/>
      <c r="B329" s="1033" t="s">
        <v>833</v>
      </c>
      <c r="C329" s="1037">
        <v>1</v>
      </c>
      <c r="D329" s="1037"/>
      <c r="E329" s="1082"/>
      <c r="F329" s="1037"/>
      <c r="G329" s="1073"/>
      <c r="H329" s="1102"/>
      <c r="I329" s="1102"/>
      <c r="J329" s="1103"/>
      <c r="K329" s="1104"/>
      <c r="L329" s="884"/>
      <c r="M329" s="1050"/>
      <c r="N329" s="870"/>
      <c r="O329" s="870"/>
      <c r="P329" s="870"/>
      <c r="Q329" s="870"/>
      <c r="R329" s="870"/>
      <c r="S329" s="870"/>
      <c r="T329" s="870"/>
      <c r="U329" s="870"/>
      <c r="V329" s="870"/>
      <c r="W329" s="870"/>
      <c r="X329" s="1105"/>
    </row>
    <row r="330" spans="1:24" s="803" customFormat="1" ht="12">
      <c r="A330" s="984"/>
      <c r="B330" s="1033" t="s">
        <v>839</v>
      </c>
      <c r="C330" s="1082" t="s">
        <v>840</v>
      </c>
      <c r="D330" s="1037"/>
      <c r="E330" s="1082"/>
      <c r="F330" s="1037"/>
      <c r="G330" s="1073"/>
      <c r="H330" s="1102"/>
      <c r="I330" s="1102"/>
      <c r="J330" s="1103"/>
      <c r="K330" s="1104"/>
      <c r="L330" s="884"/>
      <c r="M330" s="1050"/>
      <c r="N330" s="870"/>
      <c r="O330" s="870"/>
      <c r="P330" s="870"/>
      <c r="Q330" s="870"/>
      <c r="R330" s="870"/>
      <c r="S330" s="870"/>
      <c r="T330" s="870"/>
      <c r="U330" s="870"/>
      <c r="V330" s="870"/>
      <c r="W330" s="870"/>
      <c r="X330" s="1105"/>
    </row>
    <row r="331" spans="1:24" s="803" customFormat="1" ht="12">
      <c r="A331" s="984"/>
      <c r="B331" s="1033" t="s">
        <v>608</v>
      </c>
      <c r="C331" s="1082" t="s">
        <v>1538</v>
      </c>
      <c r="D331" s="1037"/>
      <c r="E331" s="1082"/>
      <c r="F331" s="1037"/>
      <c r="G331" s="1073"/>
      <c r="H331" s="1102"/>
      <c r="I331" s="1102"/>
      <c r="J331" s="1103"/>
      <c r="K331" s="1104"/>
      <c r="L331" s="884"/>
      <c r="M331" s="1050"/>
      <c r="N331" s="870"/>
      <c r="O331" s="870"/>
      <c r="P331" s="870"/>
      <c r="Q331" s="870"/>
      <c r="R331" s="870"/>
      <c r="S331" s="870"/>
      <c r="T331" s="870"/>
      <c r="U331" s="870"/>
      <c r="V331" s="870"/>
      <c r="W331" s="870"/>
      <c r="X331" s="1105"/>
    </row>
    <row r="332" spans="1:24" s="803" customFormat="1" ht="12">
      <c r="A332" s="984"/>
      <c r="B332" s="1033" t="s">
        <v>608</v>
      </c>
      <c r="C332" s="1082">
        <f>C328*C329*1000</f>
        <v>85591236.298512116</v>
      </c>
      <c r="D332" s="1037" t="s">
        <v>836</v>
      </c>
      <c r="E332" s="1082"/>
      <c r="F332" s="1123"/>
      <c r="G332" s="1073"/>
      <c r="H332" s="1102"/>
      <c r="I332" s="1102"/>
      <c r="J332" s="1103"/>
      <c r="K332" s="1104"/>
      <c r="L332" s="884"/>
      <c r="M332" s="1050"/>
      <c r="N332" s="870"/>
      <c r="O332" s="870"/>
      <c r="P332" s="870"/>
      <c r="Q332" s="870"/>
      <c r="R332" s="870"/>
      <c r="S332" s="870"/>
      <c r="T332" s="870"/>
      <c r="U332" s="870"/>
      <c r="V332" s="870"/>
      <c r="W332" s="870"/>
      <c r="X332" s="1105"/>
    </row>
    <row r="333" spans="1:24" s="803" customFormat="1" ht="12">
      <c r="A333" s="984"/>
      <c r="B333" s="1033" t="s">
        <v>1480</v>
      </c>
      <c r="C333" s="1082">
        <f>(SUM(C320,C326,C332))</f>
        <v>47975037334.106094</v>
      </c>
      <c r="D333" s="1037" t="s">
        <v>836</v>
      </c>
      <c r="E333" s="1082"/>
      <c r="F333" s="1037"/>
      <c r="G333" s="1073"/>
      <c r="H333" s="1102"/>
      <c r="I333" s="1102"/>
      <c r="J333" s="1103"/>
      <c r="K333" s="1104"/>
      <c r="L333" s="884"/>
      <c r="M333" s="945" t="s">
        <v>864</v>
      </c>
      <c r="N333" s="870"/>
      <c r="O333" s="870"/>
      <c r="P333" s="870"/>
      <c r="Q333" s="870"/>
      <c r="R333" s="870"/>
      <c r="S333" s="870"/>
      <c r="T333" s="870"/>
      <c r="U333" s="870"/>
      <c r="V333" s="870"/>
      <c r="W333" s="870"/>
      <c r="X333" s="1105"/>
    </row>
    <row r="334" spans="1:24" s="803" customFormat="1" ht="12">
      <c r="A334" s="984"/>
      <c r="B334" s="1033" t="s">
        <v>584</v>
      </c>
      <c r="C334" s="1100">
        <f>I334*J334</f>
        <v>1280</v>
      </c>
      <c r="D334" s="1037" t="s">
        <v>585</v>
      </c>
      <c r="E334" s="1037"/>
      <c r="F334" s="1037"/>
      <c r="G334" s="1093" t="s">
        <v>1470</v>
      </c>
      <c r="H334" s="1074">
        <v>1.2E+25</v>
      </c>
      <c r="I334" s="1074">
        <v>1280</v>
      </c>
      <c r="J334" s="1075">
        <v>1</v>
      </c>
      <c r="K334" s="1104"/>
      <c r="L334" s="884"/>
      <c r="M334" s="945" t="s">
        <v>863</v>
      </c>
      <c r="N334" s="870"/>
      <c r="O334" s="870"/>
      <c r="P334" s="870"/>
      <c r="Q334" s="870"/>
      <c r="R334" s="870"/>
      <c r="S334" s="870"/>
      <c r="T334" s="870"/>
      <c r="U334" s="870"/>
      <c r="V334" s="870"/>
      <c r="W334" s="870"/>
      <c r="X334" s="1105"/>
    </row>
    <row r="335" spans="1:24" s="803" customFormat="1" ht="12">
      <c r="A335" s="984"/>
      <c r="B335" s="1033" t="s">
        <v>766</v>
      </c>
      <c r="C335" s="1037">
        <v>1</v>
      </c>
      <c r="D335" s="1037"/>
      <c r="E335" s="1037"/>
      <c r="F335" s="1037"/>
      <c r="G335" s="1073"/>
      <c r="H335" s="1102"/>
      <c r="I335" s="1102"/>
      <c r="J335" s="1103"/>
      <c r="K335" s="1104"/>
      <c r="L335" s="884"/>
      <c r="M335" s="870"/>
      <c r="N335" s="870"/>
      <c r="O335" s="870"/>
      <c r="P335" s="870"/>
      <c r="Q335" s="870"/>
      <c r="R335" s="870"/>
      <c r="S335" s="870"/>
      <c r="T335" s="870"/>
      <c r="U335" s="870"/>
      <c r="V335" s="870"/>
      <c r="W335" s="870"/>
      <c r="X335" s="1105"/>
    </row>
    <row r="336" spans="1:24" s="803" customFormat="1" ht="12">
      <c r="A336" s="984"/>
      <c r="B336" s="1033" t="s">
        <v>788</v>
      </c>
      <c r="C336" s="1037" t="s">
        <v>1552</v>
      </c>
      <c r="D336" s="1037"/>
      <c r="E336" s="1037"/>
      <c r="F336" s="1037"/>
      <c r="G336" s="1073" t="s">
        <v>1218</v>
      </c>
      <c r="H336" s="1102"/>
      <c r="I336" s="1102"/>
      <c r="J336" s="1103"/>
      <c r="K336" s="1104"/>
      <c r="L336" s="884"/>
      <c r="M336" s="1050"/>
      <c r="N336" s="870"/>
      <c r="O336" s="870"/>
      <c r="P336" s="870"/>
      <c r="Q336" s="870"/>
      <c r="R336" s="870"/>
      <c r="S336" s="870"/>
      <c r="T336" s="870"/>
      <c r="U336" s="870"/>
      <c r="V336" s="870"/>
      <c r="W336" s="870"/>
      <c r="X336" s="1105"/>
    </row>
    <row r="337" spans="1:24" s="803" customFormat="1" ht="12">
      <c r="A337" s="984"/>
      <c r="B337" s="1033" t="s">
        <v>608</v>
      </c>
      <c r="C337" s="1037" t="s">
        <v>1553</v>
      </c>
      <c r="D337" s="1037"/>
      <c r="E337" s="1037"/>
      <c r="F337" s="1037"/>
      <c r="G337" s="1073"/>
      <c r="H337" s="1102"/>
      <c r="I337" s="1102"/>
      <c r="J337" s="1103"/>
      <c r="K337" s="1104"/>
      <c r="L337" s="884"/>
      <c r="M337" s="1050"/>
      <c r="N337" s="870"/>
      <c r="O337" s="870"/>
      <c r="P337" s="870"/>
      <c r="Q337" s="870"/>
      <c r="R337" s="870"/>
      <c r="S337" s="870"/>
      <c r="T337" s="870"/>
      <c r="U337" s="870"/>
      <c r="V337" s="870"/>
      <c r="W337" s="870"/>
      <c r="X337" s="1105"/>
    </row>
    <row r="338" spans="1:24" s="803" customFormat="1" ht="12">
      <c r="A338" s="984"/>
      <c r="B338" s="1033"/>
      <c r="C338" s="1037" t="s">
        <v>1219</v>
      </c>
      <c r="D338" s="1037"/>
      <c r="E338" s="1037"/>
      <c r="F338" s="1037"/>
      <c r="G338" s="1073"/>
      <c r="H338" s="1102"/>
      <c r="I338" s="1102"/>
      <c r="J338" s="1103"/>
      <c r="K338" s="1104"/>
      <c r="L338" s="884"/>
      <c r="M338" s="1050"/>
      <c r="N338" s="870"/>
      <c r="O338" s="870"/>
      <c r="P338" s="870"/>
      <c r="Q338" s="870"/>
      <c r="R338" s="870"/>
      <c r="S338" s="870"/>
      <c r="T338" s="870"/>
      <c r="U338" s="870"/>
      <c r="V338" s="870"/>
      <c r="W338" s="870"/>
      <c r="X338" s="1105"/>
    </row>
    <row r="339" spans="1:24" s="803" customFormat="1" ht="12">
      <c r="A339" s="984"/>
      <c r="B339" s="1033" t="s">
        <v>713</v>
      </c>
      <c r="C339" s="1082">
        <f>(C333)*(C159)*C334</f>
        <v>153520119469139.5</v>
      </c>
      <c r="D339" s="1037" t="s">
        <v>1297</v>
      </c>
      <c r="E339" s="1037"/>
      <c r="F339" s="1037"/>
      <c r="G339" s="1073"/>
      <c r="H339" s="1102"/>
      <c r="I339" s="1102"/>
      <c r="J339" s="1103"/>
      <c r="K339" s="1104"/>
      <c r="L339" s="884"/>
      <c r="M339" s="1050"/>
      <c r="N339" s="870"/>
      <c r="O339" s="870"/>
      <c r="P339" s="870"/>
      <c r="Q339" s="870"/>
      <c r="R339" s="870"/>
      <c r="S339" s="870"/>
      <c r="T339" s="870"/>
      <c r="U339" s="870"/>
      <c r="V339" s="870"/>
      <c r="W339" s="870"/>
      <c r="X339" s="1105"/>
    </row>
    <row r="340" spans="1:24" s="803" customFormat="1" ht="12">
      <c r="A340" s="984"/>
      <c r="B340" s="1033" t="s">
        <v>767</v>
      </c>
      <c r="C340" s="1082">
        <f>C339*C335</f>
        <v>153520119469139.5</v>
      </c>
      <c r="D340" s="1037" t="s">
        <v>1297</v>
      </c>
      <c r="E340" s="1037"/>
      <c r="F340" s="1037"/>
      <c r="G340" s="1073"/>
      <c r="H340" s="1102"/>
      <c r="I340" s="1102"/>
      <c r="J340" s="1103"/>
      <c r="K340" s="1104"/>
      <c r="L340" s="884"/>
      <c r="M340" s="1050"/>
      <c r="N340" s="870"/>
      <c r="O340" s="870"/>
      <c r="P340" s="870"/>
      <c r="Q340" s="870"/>
      <c r="R340" s="870"/>
      <c r="S340" s="870"/>
      <c r="T340" s="870"/>
      <c r="U340" s="870"/>
      <c r="V340" s="870"/>
      <c r="W340" s="870"/>
      <c r="X340" s="1105"/>
    </row>
    <row r="341" spans="1:24" s="803" customFormat="1" ht="12">
      <c r="A341" s="984"/>
      <c r="B341" s="1033"/>
      <c r="C341" s="1037"/>
      <c r="D341" s="1037"/>
      <c r="E341" s="1037"/>
      <c r="F341" s="1037"/>
      <c r="G341" s="1073"/>
      <c r="H341" s="1102"/>
      <c r="I341" s="1102"/>
      <c r="J341" s="1103"/>
      <c r="K341" s="1104"/>
      <c r="L341" s="884"/>
      <c r="M341" s="1050"/>
      <c r="N341" s="870"/>
      <c r="O341" s="870"/>
      <c r="P341" s="870"/>
      <c r="Q341" s="870"/>
      <c r="R341" s="870"/>
      <c r="S341" s="870"/>
      <c r="T341" s="870"/>
      <c r="U341" s="870"/>
      <c r="V341" s="870"/>
      <c r="W341" s="870"/>
      <c r="X341" s="1105"/>
    </row>
    <row r="342" spans="1:24" s="803" customFormat="1" ht="15">
      <c r="A342" s="984">
        <v>6</v>
      </c>
      <c r="B342" s="1124" t="s">
        <v>1584</v>
      </c>
      <c r="C342" s="1037"/>
      <c r="D342" s="1037"/>
      <c r="E342" s="1037"/>
      <c r="F342" s="1037"/>
      <c r="G342" s="1073"/>
      <c r="H342" s="1102"/>
      <c r="I342" s="1102"/>
      <c r="J342" s="1103"/>
      <c r="K342" s="1104"/>
      <c r="L342" s="884"/>
      <c r="M342" s="1050"/>
      <c r="N342" s="870"/>
      <c r="O342" s="870"/>
      <c r="P342" s="870"/>
      <c r="Q342" s="870"/>
      <c r="R342" s="870"/>
      <c r="S342" s="870"/>
      <c r="T342" s="870"/>
      <c r="U342" s="870"/>
      <c r="V342" s="870"/>
      <c r="W342" s="870"/>
      <c r="X342" s="1105"/>
    </row>
    <row r="343" spans="1:24" s="803" customFormat="1" ht="12">
      <c r="A343" s="984"/>
      <c r="B343" s="1033" t="s">
        <v>1315</v>
      </c>
      <c r="C343" s="1037"/>
      <c r="D343" s="1037"/>
      <c r="E343" s="1037"/>
      <c r="F343" s="1037"/>
      <c r="G343" s="1073"/>
      <c r="H343" s="1102"/>
      <c r="I343" s="1102"/>
      <c r="J343" s="1103"/>
      <c r="K343" s="1104"/>
      <c r="L343" s="884"/>
      <c r="N343" s="870"/>
      <c r="O343" s="870"/>
      <c r="P343" s="870"/>
      <c r="Q343" s="870"/>
      <c r="R343" s="870"/>
      <c r="S343" s="870"/>
      <c r="T343" s="870"/>
      <c r="U343" s="870"/>
      <c r="V343" s="870"/>
      <c r="W343" s="870"/>
      <c r="X343" s="1105"/>
    </row>
    <row r="344" spans="1:24" s="803" customFormat="1" ht="12">
      <c r="A344" s="984"/>
      <c r="B344" s="1033">
        <v>7</v>
      </c>
      <c r="C344" s="1109">
        <v>2</v>
      </c>
      <c r="D344" s="1037" t="s">
        <v>1305</v>
      </c>
      <c r="E344" s="1037"/>
      <c r="F344" s="1037"/>
      <c r="G344" s="1073"/>
      <c r="H344" s="1102"/>
      <c r="I344" s="1102"/>
      <c r="J344" s="1103"/>
      <c r="K344" s="1104"/>
      <c r="L344" s="884"/>
      <c r="M344" s="945" t="s">
        <v>1431</v>
      </c>
      <c r="N344" s="870"/>
      <c r="O344" s="870"/>
      <c r="P344" s="870"/>
      <c r="Q344" s="870"/>
      <c r="R344" s="870"/>
      <c r="S344" s="870"/>
      <c r="T344" s="870"/>
      <c r="U344" s="870"/>
      <c r="V344" s="870"/>
      <c r="W344" s="870"/>
      <c r="X344" s="1105"/>
    </row>
    <row r="345" spans="1:24" s="803" customFormat="1" ht="12">
      <c r="A345" s="984"/>
      <c r="B345" s="1033">
        <v>14</v>
      </c>
      <c r="C345" s="1109">
        <v>2</v>
      </c>
      <c r="D345" s="1037" t="s">
        <v>1305</v>
      </c>
      <c r="E345" s="1037"/>
      <c r="F345" s="1037"/>
      <c r="G345" s="1073"/>
      <c r="H345" s="1102"/>
      <c r="I345" s="1102"/>
      <c r="J345" s="1103"/>
      <c r="K345" s="1104"/>
      <c r="L345" s="884"/>
      <c r="M345" s="945" t="s">
        <v>1316</v>
      </c>
      <c r="N345" s="870"/>
      <c r="O345" s="870"/>
      <c r="P345" s="870"/>
      <c r="Q345" s="870"/>
      <c r="R345" s="870"/>
      <c r="S345" s="870"/>
      <c r="T345" s="870"/>
      <c r="U345" s="870"/>
      <c r="V345" s="870"/>
      <c r="W345" s="870"/>
      <c r="X345" s="1105"/>
    </row>
    <row r="346" spans="1:24" s="803" customFormat="1" ht="12">
      <c r="A346" s="984"/>
      <c r="B346" s="1033">
        <v>21</v>
      </c>
      <c r="C346" s="1109">
        <v>3</v>
      </c>
      <c r="D346" s="1037" t="s">
        <v>1305</v>
      </c>
      <c r="E346" s="1037"/>
      <c r="F346" s="1037"/>
      <c r="G346" s="1073"/>
      <c r="H346" s="1102"/>
      <c r="I346" s="1102"/>
      <c r="J346" s="1103"/>
      <c r="K346" s="1104"/>
      <c r="L346" s="884"/>
      <c r="M346" s="945" t="s">
        <v>1318</v>
      </c>
      <c r="N346" s="870"/>
      <c r="O346" s="870"/>
      <c r="P346" s="870"/>
      <c r="Q346" s="870"/>
      <c r="R346" s="870"/>
      <c r="S346" s="870"/>
      <c r="T346" s="870"/>
      <c r="U346" s="870"/>
      <c r="V346" s="870"/>
      <c r="W346" s="870"/>
      <c r="X346" s="1105"/>
    </row>
    <row r="347" spans="1:24" s="803" customFormat="1" ht="15">
      <c r="A347" s="984"/>
      <c r="B347" s="1033">
        <v>28</v>
      </c>
      <c r="C347" s="1109">
        <v>4</v>
      </c>
      <c r="D347" s="1037" t="s">
        <v>1305</v>
      </c>
      <c r="E347" s="1037"/>
      <c r="F347" s="1037"/>
      <c r="G347" s="1073"/>
      <c r="H347" s="1102"/>
      <c r="I347" s="1102"/>
      <c r="J347" s="1103"/>
      <c r="K347" s="1104"/>
      <c r="L347" s="884"/>
      <c r="M347" s="1125" t="s">
        <v>1317</v>
      </c>
      <c r="N347" s="870"/>
      <c r="O347" s="870"/>
      <c r="P347" s="870"/>
      <c r="Q347" s="870"/>
      <c r="R347" s="870"/>
      <c r="S347" s="870"/>
      <c r="T347" s="870"/>
      <c r="U347" s="870"/>
      <c r="V347" s="870"/>
      <c r="W347" s="870"/>
      <c r="X347" s="1105"/>
    </row>
    <row r="348" spans="1:24" s="803" customFormat="1" ht="12">
      <c r="A348" s="984"/>
      <c r="B348" s="1033">
        <v>35</v>
      </c>
      <c r="C348" s="1109">
        <f>AVERAGE(5,6)</f>
        <v>5.5</v>
      </c>
      <c r="D348" s="1037" t="s">
        <v>1305</v>
      </c>
      <c r="E348" s="1037"/>
      <c r="F348" s="1037"/>
      <c r="G348" s="1073"/>
      <c r="H348" s="1102"/>
      <c r="I348" s="1102"/>
      <c r="J348" s="1103"/>
      <c r="K348" s="1104"/>
      <c r="L348" s="884"/>
      <c r="M348" s="945" t="s">
        <v>1469</v>
      </c>
      <c r="N348" s="870"/>
      <c r="O348" s="870"/>
      <c r="P348" s="870"/>
      <c r="Q348" s="870"/>
      <c r="R348" s="870"/>
      <c r="S348" s="870"/>
      <c r="T348" s="870"/>
      <c r="U348" s="870"/>
      <c r="V348" s="870"/>
      <c r="W348" s="870"/>
      <c r="X348" s="1105"/>
    </row>
    <row r="349" spans="1:24" s="803" customFormat="1" ht="12">
      <c r="A349" s="984"/>
      <c r="B349" s="1033">
        <v>42</v>
      </c>
      <c r="C349" s="1109">
        <f>AVERAGE(6,8)</f>
        <v>7</v>
      </c>
      <c r="D349" s="1037" t="s">
        <v>1305</v>
      </c>
      <c r="E349" s="1037"/>
      <c r="F349" s="1037"/>
      <c r="G349" s="1073"/>
      <c r="H349" s="1102"/>
      <c r="I349" s="1102"/>
      <c r="J349" s="1103"/>
      <c r="K349" s="1104"/>
      <c r="L349" s="884"/>
      <c r="M349" s="945"/>
      <c r="N349" s="870"/>
      <c r="O349" s="870"/>
      <c r="P349" s="870"/>
      <c r="Q349" s="870"/>
      <c r="R349" s="870"/>
      <c r="S349" s="870"/>
      <c r="T349" s="870"/>
      <c r="U349" s="870"/>
      <c r="V349" s="870"/>
      <c r="W349" s="870"/>
      <c r="X349" s="1105"/>
    </row>
    <row r="350" spans="1:24" s="803" customFormat="1" ht="12">
      <c r="A350" s="984"/>
      <c r="B350" s="1033">
        <v>49</v>
      </c>
      <c r="C350" s="1109">
        <f>AVERAGE(6,8)</f>
        <v>7</v>
      </c>
      <c r="D350" s="1037" t="s">
        <v>1305</v>
      </c>
      <c r="E350" s="1037"/>
      <c r="F350" s="1037"/>
      <c r="G350" s="1073"/>
      <c r="H350" s="1102"/>
      <c r="I350" s="1102"/>
      <c r="J350" s="1103"/>
      <c r="K350" s="1104"/>
      <c r="L350" s="884"/>
      <c r="M350" s="1050"/>
      <c r="N350" s="870"/>
      <c r="O350" s="870"/>
      <c r="P350" s="870"/>
      <c r="Q350" s="870"/>
      <c r="R350" s="870"/>
      <c r="S350" s="870"/>
      <c r="T350" s="870"/>
      <c r="U350" s="870"/>
      <c r="V350" s="870"/>
      <c r="W350" s="870"/>
      <c r="X350" s="1105"/>
    </row>
    <row r="351" spans="1:24" s="803" customFormat="1">
      <c r="A351" s="984"/>
      <c r="B351" s="1088" t="s">
        <v>1209</v>
      </c>
      <c r="C351" s="1089">
        <f>C110</f>
        <v>1200</v>
      </c>
      <c r="D351" s="910" t="s">
        <v>1220</v>
      </c>
      <c r="E351" s="1037"/>
      <c r="F351" s="1037"/>
      <c r="G351" s="1073"/>
      <c r="H351" s="1074"/>
      <c r="I351" s="1074"/>
      <c r="J351" s="1075"/>
      <c r="K351" s="1076"/>
      <c r="L351" s="884"/>
      <c r="M351" s="1050"/>
      <c r="N351" s="870"/>
      <c r="O351" s="870"/>
      <c r="P351" s="870"/>
      <c r="Q351" s="870"/>
      <c r="R351" s="870"/>
      <c r="S351" s="870"/>
      <c r="T351" s="870"/>
      <c r="U351" s="870"/>
      <c r="V351" s="870"/>
      <c r="W351" s="870"/>
      <c r="X351" s="1105"/>
    </row>
    <row r="352" spans="1:24" s="803" customFormat="1">
      <c r="A352" s="984"/>
      <c r="B352" s="1088" t="s">
        <v>1210</v>
      </c>
      <c r="C352" s="1089">
        <f>AVERAGE(C344:C350)</f>
        <v>4.3571428571428568</v>
      </c>
      <c r="D352" s="910" t="s">
        <v>1211</v>
      </c>
      <c r="E352" s="1037"/>
      <c r="F352" s="1037"/>
      <c r="G352" s="1073"/>
      <c r="H352" s="1074"/>
      <c r="I352" s="1074"/>
      <c r="J352" s="1075"/>
      <c r="K352" s="1076"/>
      <c r="L352" s="884"/>
      <c r="M352" s="1050"/>
      <c r="N352" s="870"/>
      <c r="O352" s="870"/>
      <c r="P352" s="870"/>
      <c r="Q352" s="870"/>
      <c r="R352" s="870"/>
      <c r="S352" s="870"/>
      <c r="T352" s="870"/>
      <c r="U352" s="870"/>
      <c r="V352" s="870"/>
      <c r="W352" s="870"/>
      <c r="X352" s="1105"/>
    </row>
    <row r="353" spans="1:24" s="803" customFormat="1">
      <c r="A353" s="984"/>
      <c r="B353" s="1088" t="s">
        <v>1212</v>
      </c>
      <c r="C353" s="1089">
        <v>2.5</v>
      </c>
      <c r="D353" s="910" t="s">
        <v>1213</v>
      </c>
      <c r="E353" s="1037"/>
      <c r="F353" s="1037"/>
      <c r="G353" s="1073"/>
      <c r="H353" s="1074"/>
      <c r="I353" s="1074"/>
      <c r="J353" s="1075"/>
      <c r="K353" s="1076"/>
      <c r="L353" s="884"/>
      <c r="M353" s="1050"/>
      <c r="N353" s="870"/>
      <c r="O353" s="870"/>
      <c r="P353" s="870"/>
      <c r="Q353" s="870"/>
      <c r="R353" s="870"/>
      <c r="S353" s="870"/>
      <c r="T353" s="870"/>
      <c r="U353" s="870"/>
      <c r="V353" s="870"/>
      <c r="W353" s="870"/>
      <c r="X353" s="1105"/>
    </row>
    <row r="354" spans="1:24" s="803" customFormat="1">
      <c r="A354" s="984"/>
      <c r="B354" s="1088" t="s">
        <v>1215</v>
      </c>
      <c r="C354" s="1089">
        <v>1E-3</v>
      </c>
      <c r="D354" s="910"/>
      <c r="E354" s="1037"/>
      <c r="F354" s="1037"/>
      <c r="G354" s="1073"/>
      <c r="H354" s="1074"/>
      <c r="I354" s="1074"/>
      <c r="J354" s="1075"/>
      <c r="K354" s="1076"/>
      <c r="L354" s="884"/>
      <c r="M354" s="1050"/>
      <c r="N354" s="870"/>
      <c r="O354" s="870"/>
      <c r="P354" s="870"/>
      <c r="Q354" s="870"/>
      <c r="R354" s="870"/>
      <c r="S354" s="870"/>
      <c r="T354" s="870"/>
      <c r="U354" s="870"/>
      <c r="V354" s="870"/>
      <c r="W354" s="870"/>
      <c r="X354" s="1105"/>
    </row>
    <row r="355" spans="1:24" s="803" customFormat="1">
      <c r="A355" s="984"/>
      <c r="B355" s="1088" t="s">
        <v>604</v>
      </c>
      <c r="C355" s="910" t="s">
        <v>1216</v>
      </c>
      <c r="D355" s="910"/>
      <c r="E355" s="1037"/>
      <c r="F355" s="1037"/>
      <c r="G355" s="1073"/>
      <c r="H355" s="1074"/>
      <c r="I355" s="1074"/>
      <c r="J355" s="1075"/>
      <c r="K355" s="1076"/>
      <c r="L355" s="884"/>
      <c r="M355" s="1050"/>
      <c r="N355" s="870"/>
      <c r="O355" s="870"/>
      <c r="P355" s="870"/>
      <c r="Q355" s="870"/>
      <c r="R355" s="870"/>
      <c r="S355" s="870"/>
      <c r="T355" s="870"/>
      <c r="U355" s="870"/>
      <c r="V355" s="870"/>
      <c r="W355" s="870"/>
      <c r="X355" s="1105"/>
    </row>
    <row r="356" spans="1:24" s="803" customFormat="1">
      <c r="A356" s="984"/>
      <c r="B356" s="1088" t="s">
        <v>608</v>
      </c>
      <c r="C356" s="910" t="s">
        <v>1497</v>
      </c>
      <c r="D356" s="910"/>
      <c r="E356" s="1037"/>
      <c r="F356" s="1037"/>
      <c r="G356" s="1073"/>
      <c r="H356" s="1074"/>
      <c r="I356" s="1074"/>
      <c r="J356" s="1075"/>
      <c r="K356" s="1076"/>
      <c r="L356" s="884"/>
      <c r="M356" s="1050"/>
      <c r="N356" s="870"/>
      <c r="O356" s="870"/>
      <c r="P356" s="870"/>
      <c r="Q356" s="870"/>
      <c r="R356" s="870"/>
      <c r="S356" s="870"/>
      <c r="T356" s="870"/>
      <c r="U356" s="870"/>
      <c r="V356" s="870"/>
      <c r="W356" s="870"/>
      <c r="X356" s="1105"/>
    </row>
    <row r="357" spans="1:24" s="803" customFormat="1">
      <c r="A357" s="984"/>
      <c r="B357" s="1088" t="s">
        <v>613</v>
      </c>
      <c r="C357" s="1089">
        <f>C351*(C352^3)*C354*31400000</f>
        <v>3116852798.8338184</v>
      </c>
      <c r="D357" s="910" t="s">
        <v>583</v>
      </c>
      <c r="E357" s="1037"/>
      <c r="F357" s="1037"/>
      <c r="G357" s="1073"/>
      <c r="H357" s="1074"/>
      <c r="I357" s="1074"/>
      <c r="J357" s="1075"/>
      <c r="K357" s="1076"/>
      <c r="L357" s="884"/>
      <c r="M357" s="1050"/>
      <c r="N357" s="870"/>
      <c r="O357" s="870"/>
      <c r="P357" s="870"/>
      <c r="Q357" s="870"/>
      <c r="R357" s="870"/>
      <c r="S357" s="870"/>
      <c r="T357" s="870"/>
      <c r="U357" s="870"/>
      <c r="V357" s="870"/>
      <c r="W357" s="870"/>
      <c r="X357" s="1105"/>
    </row>
    <row r="358" spans="1:24" s="803" customFormat="1">
      <c r="A358" s="984"/>
      <c r="B358" s="1088" t="s">
        <v>584</v>
      </c>
      <c r="C358" s="1100">
        <f>I358*J358</f>
        <v>1280</v>
      </c>
      <c r="D358" s="910" t="s">
        <v>585</v>
      </c>
      <c r="E358" s="1037"/>
      <c r="F358" s="1037"/>
      <c r="G358" s="1093" t="s">
        <v>1470</v>
      </c>
      <c r="H358" s="1074">
        <v>1.2E+25</v>
      </c>
      <c r="I358" s="1074">
        <v>1280</v>
      </c>
      <c r="J358" s="1075">
        <v>1</v>
      </c>
      <c r="K358" s="1076"/>
      <c r="L358" s="884"/>
      <c r="M358" s="1050"/>
      <c r="N358" s="870"/>
      <c r="O358" s="870"/>
      <c r="P358" s="870"/>
      <c r="Q358" s="870"/>
      <c r="R358" s="870"/>
      <c r="S358" s="870"/>
      <c r="T358" s="870"/>
      <c r="U358" s="870"/>
      <c r="V358" s="870"/>
      <c r="W358" s="870"/>
      <c r="X358" s="1105"/>
    </row>
    <row r="359" spans="1:24" s="803" customFormat="1" ht="12">
      <c r="A359" s="984"/>
      <c r="B359" s="1033"/>
      <c r="C359" s="1082"/>
      <c r="D359" s="1037"/>
      <c r="E359" s="1037"/>
      <c r="F359" s="1037"/>
      <c r="G359" s="1073"/>
      <c r="H359" s="1102"/>
      <c r="I359" s="1102"/>
      <c r="J359" s="1103"/>
      <c r="K359" s="1104"/>
      <c r="L359" s="884"/>
      <c r="M359" s="1050"/>
      <c r="N359" s="870"/>
      <c r="O359" s="870"/>
      <c r="P359" s="870"/>
      <c r="Q359" s="870"/>
      <c r="R359" s="870"/>
      <c r="S359" s="870"/>
      <c r="T359" s="870"/>
      <c r="U359" s="870"/>
      <c r="V359" s="870"/>
      <c r="W359" s="870"/>
      <c r="X359" s="1105"/>
    </row>
    <row r="360" spans="1:24" ht="15">
      <c r="A360" s="984">
        <v>7</v>
      </c>
      <c r="B360" s="1086" t="s">
        <v>844</v>
      </c>
      <c r="C360" s="1037"/>
      <c r="D360" s="1037"/>
      <c r="E360" s="1037"/>
      <c r="F360" s="1037"/>
      <c r="G360" s="1073"/>
      <c r="H360" s="1074"/>
      <c r="I360" s="1074"/>
      <c r="J360" s="1075"/>
      <c r="K360" s="1076"/>
      <c r="L360" s="1077"/>
      <c r="X360" s="1025"/>
    </row>
    <row r="361" spans="1:24">
      <c r="A361" s="984"/>
      <c r="B361" s="1033" t="s">
        <v>685</v>
      </c>
      <c r="C361" s="1082" t="s">
        <v>1647</v>
      </c>
      <c r="D361" s="1037"/>
      <c r="E361" s="1037"/>
      <c r="F361" s="1037"/>
      <c r="G361" s="1073"/>
      <c r="H361" s="1074"/>
      <c r="I361" s="1074"/>
      <c r="J361" s="1075"/>
      <c r="K361" s="1076"/>
      <c r="L361" s="1077"/>
      <c r="X361" s="1025"/>
    </row>
    <row r="362" spans="1:24">
      <c r="A362" s="984"/>
      <c r="B362" s="1033" t="s">
        <v>608</v>
      </c>
      <c r="C362" s="1082" t="s">
        <v>854</v>
      </c>
      <c r="D362" s="1037"/>
      <c r="E362" s="1037"/>
      <c r="F362" s="1037"/>
      <c r="G362" s="1073"/>
      <c r="H362" s="1074"/>
      <c r="I362" s="1074"/>
      <c r="J362" s="1075"/>
      <c r="K362" s="1076"/>
      <c r="L362" s="1077"/>
      <c r="X362" s="1025"/>
    </row>
    <row r="363" spans="1:24">
      <c r="A363" s="984"/>
      <c r="B363" s="1033" t="s">
        <v>608</v>
      </c>
      <c r="C363" s="1082">
        <f>('Caract. produção'!D72*1000*'Caract. produção'!D74)/C110</f>
        <v>185.92162285714284</v>
      </c>
      <c r="D363" s="1037" t="s">
        <v>842</v>
      </c>
      <c r="E363" s="1037"/>
      <c r="F363" s="1109"/>
      <c r="G363" s="1073"/>
      <c r="H363" s="1074"/>
      <c r="I363" s="1074"/>
      <c r="J363" s="1075"/>
      <c r="K363" s="1076"/>
      <c r="L363" s="1077"/>
      <c r="X363" s="1025"/>
    </row>
    <row r="364" spans="1:24">
      <c r="A364" s="984"/>
      <c r="B364" s="1033" t="s">
        <v>702</v>
      </c>
      <c r="C364" s="1033">
        <v>1</v>
      </c>
      <c r="D364" s="1037" t="s">
        <v>684</v>
      </c>
      <c r="E364" s="1037"/>
      <c r="F364" s="1037"/>
      <c r="G364" s="1073"/>
      <c r="H364" s="1074"/>
      <c r="I364" s="1074"/>
      <c r="J364" s="1075"/>
      <c r="K364" s="1076"/>
      <c r="L364" s="1077"/>
      <c r="X364" s="1025"/>
    </row>
    <row r="365" spans="1:24">
      <c r="A365" s="984"/>
      <c r="B365" s="1033" t="s">
        <v>703</v>
      </c>
      <c r="C365" s="1126">
        <v>4960</v>
      </c>
      <c r="D365" s="1037" t="s">
        <v>704</v>
      </c>
      <c r="E365" s="1037"/>
      <c r="F365" s="1037"/>
      <c r="G365" s="1073"/>
      <c r="H365" s="1074"/>
      <c r="I365" s="1074"/>
      <c r="J365" s="1075"/>
      <c r="K365" s="1076"/>
      <c r="L365" s="1077"/>
      <c r="X365" s="1025"/>
    </row>
    <row r="366" spans="1:24">
      <c r="A366" s="984"/>
      <c r="B366" s="1033" t="s">
        <v>705</v>
      </c>
      <c r="C366" s="945" t="s">
        <v>724</v>
      </c>
      <c r="E366" s="1037"/>
      <c r="F366" s="1037"/>
      <c r="G366" s="1073"/>
      <c r="H366" s="1074"/>
      <c r="I366" s="1074"/>
      <c r="J366" s="1075"/>
      <c r="K366" s="1076"/>
      <c r="L366" s="1077"/>
      <c r="X366" s="1025"/>
    </row>
    <row r="367" spans="1:24">
      <c r="A367" s="984"/>
      <c r="B367" s="1033" t="s">
        <v>608</v>
      </c>
      <c r="C367" s="945" t="s">
        <v>725</v>
      </c>
      <c r="D367" s="1037"/>
      <c r="E367" s="1037"/>
      <c r="F367" s="1037"/>
      <c r="G367" s="1073"/>
      <c r="H367" s="1074"/>
      <c r="I367" s="1074"/>
      <c r="J367" s="1075"/>
      <c r="K367" s="1076"/>
      <c r="L367" s="1077"/>
      <c r="X367" s="1025"/>
    </row>
    <row r="368" spans="1:24">
      <c r="A368" s="984"/>
      <c r="B368" s="1033" t="s">
        <v>608</v>
      </c>
      <c r="C368" s="1126">
        <f>C363*C365*C364</f>
        <v>922171.24937142851</v>
      </c>
      <c r="D368" s="1037" t="s">
        <v>683</v>
      </c>
      <c r="E368" s="1037"/>
      <c r="F368" s="1037"/>
      <c r="G368" s="1073"/>
      <c r="H368" s="1074"/>
      <c r="I368" s="1074"/>
      <c r="J368" s="1075"/>
      <c r="K368" s="1076"/>
      <c r="L368" s="1077"/>
      <c r="X368" s="1025"/>
    </row>
    <row r="369" spans="1:24" ht="15">
      <c r="A369" s="984"/>
      <c r="B369" s="1088" t="s">
        <v>584</v>
      </c>
      <c r="C369" s="1100">
        <f>I369*J369</f>
        <v>97409</v>
      </c>
      <c r="D369" s="1037" t="s">
        <v>585</v>
      </c>
      <c r="E369" s="1037"/>
      <c r="F369" s="1037"/>
      <c r="G369" s="1073" t="s">
        <v>1625</v>
      </c>
      <c r="H369" s="1074">
        <v>9.4399999999999998E+24</v>
      </c>
      <c r="I369" s="1074">
        <v>76700</v>
      </c>
      <c r="J369" s="1075">
        <v>1.27</v>
      </c>
      <c r="K369" s="1076"/>
      <c r="L369" s="1077"/>
      <c r="M369" s="1099" t="s">
        <v>843</v>
      </c>
      <c r="X369" s="1025"/>
    </row>
    <row r="370" spans="1:24">
      <c r="A370" s="984"/>
      <c r="B370" s="1033" t="s">
        <v>766</v>
      </c>
      <c r="C370" s="1033">
        <v>0</v>
      </c>
      <c r="D370" s="1037"/>
      <c r="E370" s="1037"/>
      <c r="F370" s="1037"/>
      <c r="G370" s="1073"/>
      <c r="H370" s="1074"/>
      <c r="I370" s="1074"/>
      <c r="J370" s="1075"/>
      <c r="K370" s="1076"/>
      <c r="L370" s="1077"/>
      <c r="X370" s="1025"/>
    </row>
    <row r="371" spans="1:24">
      <c r="A371" s="984"/>
      <c r="B371" s="1033" t="s">
        <v>713</v>
      </c>
      <c r="C371" s="1126">
        <f>C368*C369</f>
        <v>89827779230.021484</v>
      </c>
      <c r="D371" s="1037" t="s">
        <v>1297</v>
      </c>
      <c r="E371" s="1037"/>
      <c r="F371" s="1037"/>
      <c r="G371" s="1073"/>
      <c r="H371" s="1074"/>
      <c r="I371" s="1074"/>
      <c r="J371" s="1075"/>
      <c r="K371" s="1076"/>
      <c r="L371" s="1077"/>
      <c r="M371" s="804" t="s">
        <v>853</v>
      </c>
      <c r="X371" s="1025"/>
    </row>
    <row r="372" spans="1:24">
      <c r="A372" s="984"/>
      <c r="B372" s="1033" t="s">
        <v>767</v>
      </c>
      <c r="C372" s="1126">
        <f>C371*C370</f>
        <v>0</v>
      </c>
      <c r="D372" s="1037" t="s">
        <v>1297</v>
      </c>
      <c r="E372" s="1037"/>
      <c r="F372" s="1037"/>
      <c r="G372" s="1073"/>
      <c r="H372" s="1074"/>
      <c r="I372" s="1074"/>
      <c r="J372" s="1075"/>
      <c r="K372" s="1076"/>
      <c r="L372" s="1077"/>
      <c r="M372" s="804" t="s">
        <v>855</v>
      </c>
      <c r="X372" s="1025"/>
    </row>
    <row r="373" spans="1:24">
      <c r="A373" s="984"/>
      <c r="B373" s="1033"/>
      <c r="C373" s="1037"/>
      <c r="D373" s="1037"/>
      <c r="E373" s="1037"/>
      <c r="F373" s="1037"/>
      <c r="G373" s="1073"/>
      <c r="H373" s="1074"/>
      <c r="I373" s="1074"/>
      <c r="J373" s="1075"/>
      <c r="K373" s="1076"/>
      <c r="L373" s="1077"/>
      <c r="M373" s="804" t="s">
        <v>856</v>
      </c>
      <c r="X373" s="1025"/>
    </row>
    <row r="374" spans="1:24" ht="15">
      <c r="A374" s="984" t="s">
        <v>1562</v>
      </c>
      <c r="B374" s="1124" t="s">
        <v>1283</v>
      </c>
      <c r="C374" s="1037"/>
      <c r="D374" s="1037"/>
      <c r="E374" s="1037"/>
      <c r="F374" s="1037"/>
      <c r="G374" s="1073"/>
      <c r="H374" s="1074"/>
      <c r="I374" s="1074"/>
      <c r="J374" s="1075"/>
      <c r="K374" s="1076"/>
      <c r="L374" s="1077"/>
      <c r="X374" s="1025"/>
    </row>
    <row r="375" spans="1:24">
      <c r="A375" s="984"/>
      <c r="B375" s="1033" t="s">
        <v>1277</v>
      </c>
      <c r="C375" s="1037">
        <f>1857/1000</f>
        <v>1.857</v>
      </c>
      <c r="D375" s="1037" t="s">
        <v>597</v>
      </c>
      <c r="E375" s="1037"/>
      <c r="F375" s="1037"/>
      <c r="G375" s="1073"/>
      <c r="H375" s="1074"/>
      <c r="I375" s="1074"/>
      <c r="J375" s="1075"/>
      <c r="K375" s="1076"/>
      <c r="L375" s="1077"/>
      <c r="M375" s="804" t="s">
        <v>1275</v>
      </c>
      <c r="X375" s="1025"/>
    </row>
    <row r="376" spans="1:24">
      <c r="A376" s="984"/>
      <c r="B376" s="1033" t="s">
        <v>1291</v>
      </c>
      <c r="C376" s="1082">
        <f>C110</f>
        <v>1200</v>
      </c>
      <c r="D376" s="1037" t="s">
        <v>1220</v>
      </c>
      <c r="E376" s="1127"/>
      <c r="F376" s="1037"/>
      <c r="G376" s="1073"/>
      <c r="H376" s="1074"/>
      <c r="I376" s="1074"/>
      <c r="J376" s="1075"/>
      <c r="K376" s="1076"/>
      <c r="L376" s="1077"/>
      <c r="M376" s="804" t="s">
        <v>1276</v>
      </c>
      <c r="X376" s="1025"/>
    </row>
    <row r="377" spans="1:24" ht="15">
      <c r="A377" s="984"/>
      <c r="B377" s="1033" t="s">
        <v>702</v>
      </c>
      <c r="C377" s="1037">
        <v>1</v>
      </c>
      <c r="D377" s="1037" t="s">
        <v>1279</v>
      </c>
      <c r="E377" s="1037"/>
      <c r="F377" s="1037"/>
      <c r="G377" s="1073"/>
      <c r="H377" s="1074"/>
      <c r="I377" s="1074"/>
      <c r="J377" s="1075"/>
      <c r="K377" s="1076"/>
      <c r="L377" s="1077"/>
      <c r="M377" s="1099" t="s">
        <v>1278</v>
      </c>
      <c r="X377" s="1025"/>
    </row>
    <row r="378" spans="1:24">
      <c r="A378" s="984"/>
      <c r="B378" s="1033" t="s">
        <v>1280</v>
      </c>
      <c r="C378" s="1037">
        <v>25</v>
      </c>
      <c r="D378" s="1037" t="s">
        <v>31</v>
      </c>
      <c r="E378" s="1037"/>
      <c r="F378" s="1037"/>
      <c r="G378" s="1073"/>
      <c r="H378" s="1074"/>
      <c r="I378" s="1074"/>
      <c r="J378" s="1075"/>
      <c r="K378" s="1076"/>
      <c r="L378" s="1077"/>
      <c r="M378" s="804" t="s">
        <v>1284</v>
      </c>
      <c r="X378" s="1025"/>
    </row>
    <row r="379" spans="1:24">
      <c r="A379" s="984"/>
      <c r="B379" s="1033" t="s">
        <v>1281</v>
      </c>
      <c r="C379" s="1037">
        <v>1000</v>
      </c>
      <c r="D379" s="1037"/>
      <c r="E379" s="1037"/>
      <c r="F379" s="1037"/>
      <c r="G379" s="1073"/>
      <c r="H379" s="1074"/>
      <c r="I379" s="1074"/>
      <c r="J379" s="1074"/>
      <c r="K379" s="1076"/>
      <c r="L379" s="1077"/>
      <c r="X379" s="1025"/>
    </row>
    <row r="380" spans="1:24">
      <c r="A380" s="984"/>
      <c r="B380" s="1033" t="s">
        <v>1282</v>
      </c>
      <c r="C380" s="1037">
        <v>4960</v>
      </c>
      <c r="D380" s="1037" t="s">
        <v>1287</v>
      </c>
      <c r="E380" s="1037"/>
      <c r="F380" s="1037"/>
      <c r="G380" s="1073"/>
      <c r="H380" s="1074"/>
      <c r="I380" s="1074"/>
      <c r="J380" s="1074"/>
      <c r="K380" s="1076"/>
      <c r="L380" s="1077"/>
      <c r="M380" s="804" t="s">
        <v>1285</v>
      </c>
      <c r="X380" s="1025"/>
    </row>
    <row r="381" spans="1:24">
      <c r="A381" s="984"/>
      <c r="B381" s="1088" t="s">
        <v>705</v>
      </c>
      <c r="C381" s="1100">
        <f>C375*C376*C377*(C378/100)*C379*C380</f>
        <v>2763216000</v>
      </c>
      <c r="D381" s="910" t="s">
        <v>388</v>
      </c>
      <c r="E381" s="1037"/>
      <c r="F381" s="1037"/>
      <c r="G381" s="1073"/>
      <c r="H381" s="1074"/>
      <c r="I381" s="1074"/>
      <c r="J381" s="1074"/>
      <c r="K381" s="1076"/>
      <c r="L381" s="1077"/>
      <c r="M381" s="804" t="s">
        <v>1286</v>
      </c>
      <c r="X381" s="1025"/>
    </row>
    <row r="382" spans="1:24">
      <c r="A382" s="984"/>
      <c r="B382" s="1088" t="s">
        <v>584</v>
      </c>
      <c r="C382" s="1100">
        <f>I382*J382</f>
        <v>58292</v>
      </c>
      <c r="D382" s="910" t="s">
        <v>585</v>
      </c>
      <c r="E382" s="1037"/>
      <c r="F382" s="1037"/>
      <c r="G382" s="1093" t="s">
        <v>594</v>
      </c>
      <c r="H382" s="1074">
        <v>1.5829999999999999E+25</v>
      </c>
      <c r="I382" s="1128">
        <v>76700</v>
      </c>
      <c r="J382" s="1075">
        <v>0.76</v>
      </c>
      <c r="K382" s="1076"/>
      <c r="L382" s="1077"/>
      <c r="X382" s="1025"/>
    </row>
    <row r="383" spans="1:24">
      <c r="A383" s="984"/>
      <c r="B383" s="1033"/>
      <c r="C383" s="1096"/>
      <c r="D383" s="1037"/>
      <c r="E383" s="1037"/>
      <c r="F383" s="1037"/>
      <c r="G383" s="1073"/>
      <c r="H383" s="1074"/>
      <c r="I383" s="1074"/>
      <c r="J383" s="1075"/>
      <c r="K383" s="1076"/>
      <c r="L383" s="1077"/>
      <c r="X383" s="1025"/>
    </row>
    <row r="384" spans="1:24" ht="15">
      <c r="A384" s="984">
        <v>8</v>
      </c>
      <c r="B384" s="1124" t="s">
        <v>1272</v>
      </c>
      <c r="C384" s="1082"/>
      <c r="D384" s="1037"/>
      <c r="E384" s="1037"/>
      <c r="F384" s="1037"/>
      <c r="G384" s="1073"/>
      <c r="H384" s="1074"/>
      <c r="I384" s="1074"/>
      <c r="J384" s="1075"/>
      <c r="K384" s="1076"/>
      <c r="L384" s="1077"/>
      <c r="X384" s="1025"/>
    </row>
    <row r="385" spans="1:24">
      <c r="A385" s="984"/>
      <c r="B385" s="1033" t="s">
        <v>1303</v>
      </c>
      <c r="C385" s="1129">
        <f>'Caract. produção'!C108</f>
        <v>1200</v>
      </c>
      <c r="D385" s="1037" t="s">
        <v>1220</v>
      </c>
      <c r="E385" s="1082"/>
      <c r="F385" s="1037"/>
      <c r="G385" s="1073"/>
      <c r="H385" s="1074"/>
      <c r="I385" s="1074"/>
      <c r="J385" s="1075"/>
      <c r="K385" s="1076"/>
      <c r="L385" s="1077"/>
      <c r="X385" s="1025"/>
    </row>
    <row r="386" spans="1:24">
      <c r="A386" s="984"/>
      <c r="B386" s="1033" t="s">
        <v>1304</v>
      </c>
      <c r="C386" s="1082">
        <f>C385*0.3</f>
        <v>360</v>
      </c>
      <c r="D386" s="1037" t="s">
        <v>1305</v>
      </c>
      <c r="E386" s="1037"/>
      <c r="F386" s="1037"/>
      <c r="G386" s="1073"/>
      <c r="H386" s="1074"/>
      <c r="I386" s="1074"/>
      <c r="J386" s="1075"/>
      <c r="K386" s="1076"/>
      <c r="L386" s="1077"/>
      <c r="X386" s="1025"/>
    </row>
    <row r="387" spans="1:24" ht="15">
      <c r="A387" s="984"/>
      <c r="B387" s="1033" t="s">
        <v>1507</v>
      </c>
      <c r="C387" s="1082">
        <v>3.0000000000000001E-3</v>
      </c>
      <c r="D387" s="1037" t="s">
        <v>1312</v>
      </c>
      <c r="E387" s="1037"/>
      <c r="F387" s="1037"/>
      <c r="G387" s="1073"/>
      <c r="H387" s="1074"/>
      <c r="I387" s="1074"/>
      <c r="J387" s="1075"/>
      <c r="K387" s="1076"/>
      <c r="L387" s="1077"/>
      <c r="M387" s="1099" t="s">
        <v>1306</v>
      </c>
      <c r="X387" s="1025"/>
    </row>
    <row r="388" spans="1:24">
      <c r="A388" s="984"/>
      <c r="B388" s="1033" t="s">
        <v>1313</v>
      </c>
      <c r="C388" s="1082">
        <v>1.2</v>
      </c>
      <c r="D388" s="1037" t="s">
        <v>1307</v>
      </c>
      <c r="E388" s="1037"/>
      <c r="F388" s="1037"/>
      <c r="G388" s="1073"/>
      <c r="H388" s="1074"/>
      <c r="I388" s="1074"/>
      <c r="J388" s="1075"/>
      <c r="K388" s="1076"/>
      <c r="L388" s="1077"/>
      <c r="M388" s="804" t="s">
        <v>1311</v>
      </c>
      <c r="X388" s="1025"/>
    </row>
    <row r="389" spans="1:24">
      <c r="A389" s="984"/>
      <c r="B389" s="1033" t="s">
        <v>1308</v>
      </c>
      <c r="C389" s="1082">
        <v>1000000</v>
      </c>
      <c r="D389" s="1037"/>
      <c r="E389" s="1037"/>
      <c r="F389" s="1037"/>
      <c r="G389" s="1073"/>
      <c r="H389" s="1074"/>
      <c r="I389" s="1074"/>
      <c r="J389" s="1075"/>
      <c r="K389" s="1076"/>
      <c r="L389" s="1077"/>
      <c r="X389" s="1025"/>
    </row>
    <row r="390" spans="1:24">
      <c r="A390" s="984"/>
      <c r="B390" s="1033" t="s">
        <v>1309</v>
      </c>
      <c r="C390" s="1082">
        <v>5400</v>
      </c>
      <c r="D390" s="1037" t="s">
        <v>1310</v>
      </c>
      <c r="E390" s="1037"/>
      <c r="F390" s="1037"/>
      <c r="G390" s="1073"/>
      <c r="H390" s="1074"/>
      <c r="I390" s="1074"/>
      <c r="J390" s="1075"/>
      <c r="K390" s="1076"/>
      <c r="L390" s="1077"/>
      <c r="X390" s="1025"/>
    </row>
    <row r="391" spans="1:24">
      <c r="A391" s="984"/>
      <c r="B391" s="1033" t="s">
        <v>1001</v>
      </c>
      <c r="C391" s="1082">
        <v>40</v>
      </c>
      <c r="D391" s="1037" t="s">
        <v>1002</v>
      </c>
      <c r="E391" s="1037"/>
      <c r="F391" s="1037"/>
      <c r="G391" s="1073"/>
      <c r="H391" s="1074"/>
      <c r="I391" s="1074"/>
      <c r="J391" s="1075"/>
      <c r="K391" s="1076"/>
      <c r="L391" s="1077"/>
      <c r="X391" s="1025"/>
    </row>
    <row r="392" spans="1:24">
      <c r="A392" s="984"/>
      <c r="B392" s="1033" t="s">
        <v>608</v>
      </c>
      <c r="C392" s="1082" t="s">
        <v>1432</v>
      </c>
      <c r="D392" s="1037"/>
      <c r="E392" s="1037"/>
      <c r="F392" s="1037"/>
      <c r="G392" s="1073"/>
      <c r="H392" s="1074"/>
      <c r="I392" s="1074"/>
      <c r="J392" s="1075"/>
      <c r="K392" s="1076"/>
      <c r="L392" s="1077"/>
      <c r="X392" s="1025"/>
    </row>
    <row r="393" spans="1:24">
      <c r="A393" s="984"/>
      <c r="B393" s="1033"/>
      <c r="C393" s="1082" t="s">
        <v>1554</v>
      </c>
      <c r="D393" s="1037"/>
      <c r="E393" s="1037"/>
      <c r="F393" s="1037"/>
      <c r="G393" s="1073"/>
      <c r="H393" s="1074"/>
      <c r="I393" s="1074"/>
      <c r="J393" s="1075"/>
      <c r="K393" s="1076"/>
      <c r="L393" s="1077"/>
      <c r="X393" s="1025"/>
    </row>
    <row r="394" spans="1:24">
      <c r="A394" s="984"/>
      <c r="B394" s="1033" t="s">
        <v>608</v>
      </c>
      <c r="C394" s="1082">
        <f>C386*C387*C388*C389*4186*C390/C385/C391</f>
        <v>610318800</v>
      </c>
      <c r="D394" s="1037" t="s">
        <v>583</v>
      </c>
      <c r="E394" s="1037"/>
      <c r="F394" s="1037"/>
      <c r="G394" s="1073"/>
      <c r="H394" s="1074"/>
      <c r="I394" s="1074"/>
      <c r="J394" s="1075"/>
      <c r="K394" s="1076"/>
      <c r="L394" s="1077"/>
      <c r="X394" s="1025"/>
    </row>
    <row r="395" spans="1:24">
      <c r="A395" s="984"/>
      <c r="B395" s="1088" t="s">
        <v>584</v>
      </c>
      <c r="C395" s="1100">
        <f>I395*J395</f>
        <v>130000</v>
      </c>
      <c r="D395" s="1037" t="s">
        <v>585</v>
      </c>
      <c r="E395" s="1037"/>
      <c r="F395" s="1037"/>
      <c r="G395" s="1093" t="s">
        <v>1470</v>
      </c>
      <c r="H395" s="1074">
        <v>1.2E+25</v>
      </c>
      <c r="I395" s="1074">
        <v>130000</v>
      </c>
      <c r="J395" s="1075">
        <v>1</v>
      </c>
      <c r="K395" s="1076"/>
      <c r="L395" s="1077"/>
      <c r="X395" s="1025"/>
    </row>
    <row r="396" spans="1:24">
      <c r="A396" s="984"/>
      <c r="B396" s="1033"/>
      <c r="C396" s="1037"/>
      <c r="D396" s="1037"/>
      <c r="E396" s="1037"/>
      <c r="F396" s="1037"/>
      <c r="G396" s="1073"/>
      <c r="H396" s="1074"/>
      <c r="I396" s="1074"/>
      <c r="J396" s="1075"/>
      <c r="K396" s="1076"/>
      <c r="L396" s="1077"/>
      <c r="X396" s="1025"/>
    </row>
    <row r="397" spans="1:24" ht="15">
      <c r="A397" s="984">
        <v>9</v>
      </c>
      <c r="B397" s="1124" t="s">
        <v>535</v>
      </c>
      <c r="C397" s="1037"/>
      <c r="D397" s="1037"/>
      <c r="E397" s="1037"/>
      <c r="F397" s="1037"/>
      <c r="G397" s="1073"/>
      <c r="H397" s="1074"/>
      <c r="I397" s="1074"/>
      <c r="J397" s="1075"/>
      <c r="K397" s="1076"/>
      <c r="L397" s="1077"/>
      <c r="X397" s="1025"/>
    </row>
    <row r="398" spans="1:24">
      <c r="A398" s="984"/>
      <c r="B398" s="1033" t="s">
        <v>1508</v>
      </c>
      <c r="C398" s="1129">
        <f>'Caract. produção'!C109</f>
        <v>0</v>
      </c>
      <c r="D398" s="1037" t="s">
        <v>1220</v>
      </c>
      <c r="E398" s="1129"/>
      <c r="F398" s="1037"/>
      <c r="G398" s="1073"/>
      <c r="H398" s="1074"/>
      <c r="I398" s="1074"/>
      <c r="J398" s="1075"/>
      <c r="K398" s="1076"/>
      <c r="L398" s="1077"/>
      <c r="X398" s="1025"/>
    </row>
    <row r="399" spans="1:24">
      <c r="A399" s="984"/>
      <c r="B399" s="1033" t="s">
        <v>1509</v>
      </c>
      <c r="C399" s="1037">
        <v>14940</v>
      </c>
      <c r="D399" s="1037" t="s">
        <v>1471</v>
      </c>
      <c r="E399" s="1123"/>
      <c r="F399" s="1037"/>
      <c r="G399" s="1073" t="s">
        <v>1506</v>
      </c>
      <c r="H399" s="1074"/>
      <c r="I399" s="1074"/>
      <c r="J399" s="1075"/>
      <c r="K399" s="1076"/>
      <c r="L399" s="1077"/>
      <c r="X399" s="1025"/>
    </row>
    <row r="400" spans="1:24">
      <c r="A400" s="984"/>
      <c r="B400" s="1033" t="s">
        <v>1507</v>
      </c>
      <c r="C400" s="1082">
        <v>3.0000000000000001E-3</v>
      </c>
      <c r="D400" s="1037" t="s">
        <v>1312</v>
      </c>
      <c r="E400" s="1123"/>
      <c r="F400" s="1037"/>
      <c r="G400" s="1073"/>
      <c r="H400" s="1074"/>
      <c r="I400" s="1074"/>
      <c r="J400" s="1075"/>
      <c r="K400" s="1076"/>
      <c r="L400" s="1077"/>
      <c r="X400" s="1025"/>
    </row>
    <row r="401" spans="1:24">
      <c r="A401" s="984"/>
      <c r="B401" s="1033" t="s">
        <v>1309</v>
      </c>
      <c r="C401" s="1082">
        <v>5400</v>
      </c>
      <c r="D401" s="1037" t="s">
        <v>1310</v>
      </c>
      <c r="E401" s="1123"/>
      <c r="F401" s="1037"/>
      <c r="G401" s="1073"/>
      <c r="H401" s="1074"/>
      <c r="I401" s="1074"/>
      <c r="J401" s="1075"/>
      <c r="K401" s="1076"/>
      <c r="L401" s="1077"/>
      <c r="X401" s="1025"/>
    </row>
    <row r="402" spans="1:24">
      <c r="A402" s="984"/>
      <c r="B402" s="1033" t="s">
        <v>604</v>
      </c>
      <c r="C402" s="1037" t="s">
        <v>1511</v>
      </c>
      <c r="D402" s="1037"/>
      <c r="E402" s="1123"/>
      <c r="F402" s="1037"/>
      <c r="G402" s="1073"/>
      <c r="H402" s="1074"/>
      <c r="I402" s="1074"/>
      <c r="J402" s="1075"/>
      <c r="K402" s="1076"/>
      <c r="L402" s="1077"/>
      <c r="X402" s="1025"/>
    </row>
    <row r="403" spans="1:24">
      <c r="A403" s="984"/>
      <c r="B403" s="1033"/>
      <c r="C403" s="1037" t="s">
        <v>1510</v>
      </c>
      <c r="D403" s="1037"/>
      <c r="E403" s="1037"/>
      <c r="F403" s="1037"/>
      <c r="G403" s="1073"/>
      <c r="H403" s="1074"/>
      <c r="I403" s="1074"/>
      <c r="J403" s="1075"/>
      <c r="K403" s="1076"/>
      <c r="L403" s="1077"/>
      <c r="X403" s="1025"/>
    </row>
    <row r="404" spans="1:24">
      <c r="A404" s="984"/>
      <c r="B404" s="1033" t="s">
        <v>608</v>
      </c>
      <c r="C404" s="804" t="s">
        <v>1512</v>
      </c>
      <c r="D404" s="1037"/>
      <c r="E404" s="1037"/>
      <c r="F404" s="1037"/>
      <c r="G404" s="1073"/>
      <c r="H404" s="1074"/>
      <c r="I404" s="1074"/>
      <c r="J404" s="1075"/>
      <c r="K404" s="1076"/>
      <c r="L404" s="1077"/>
      <c r="X404" s="1025"/>
    </row>
    <row r="405" spans="1:24">
      <c r="A405" s="984"/>
      <c r="B405" s="1033"/>
      <c r="C405" s="804" t="s">
        <v>1513</v>
      </c>
      <c r="D405" s="1123"/>
      <c r="E405" s="1037"/>
      <c r="F405" s="1037"/>
      <c r="G405" s="1073"/>
      <c r="H405" s="1074"/>
      <c r="I405" s="1074"/>
      <c r="J405" s="1075"/>
      <c r="K405" s="1076"/>
      <c r="L405" s="1077"/>
      <c r="X405" s="1025"/>
    </row>
    <row r="406" spans="1:24">
      <c r="A406" s="984"/>
      <c r="B406" s="1033" t="s">
        <v>608</v>
      </c>
      <c r="C406" s="1082">
        <f>(C399*C398/10000)*C400*C401*4186</f>
        <v>0</v>
      </c>
      <c r="D406" s="1037"/>
      <c r="E406" s="1037"/>
      <c r="F406" s="1037"/>
      <c r="G406" s="1073"/>
      <c r="H406" s="1074"/>
      <c r="I406" s="1074"/>
      <c r="J406" s="1075"/>
      <c r="K406" s="1076"/>
      <c r="L406" s="1077"/>
      <c r="X406" s="1025"/>
    </row>
    <row r="407" spans="1:24">
      <c r="A407" s="984"/>
      <c r="B407" s="1088" t="s">
        <v>584</v>
      </c>
      <c r="C407" s="1100">
        <f>I407*J407</f>
        <v>130000</v>
      </c>
      <c r="D407" s="1037" t="s">
        <v>585</v>
      </c>
      <c r="E407" s="1037"/>
      <c r="F407" s="1037"/>
      <c r="G407" s="1093" t="s">
        <v>1470</v>
      </c>
      <c r="H407" s="1074">
        <v>1.2E+25</v>
      </c>
      <c r="I407" s="1074">
        <v>130000</v>
      </c>
      <c r="J407" s="1075">
        <v>1</v>
      </c>
      <c r="K407" s="1076"/>
      <c r="L407" s="1077"/>
      <c r="X407" s="1025"/>
    </row>
    <row r="408" spans="1:24">
      <c r="A408" s="984"/>
      <c r="B408" s="1033"/>
      <c r="C408" s="1033"/>
      <c r="D408" s="1037"/>
      <c r="E408" s="1037"/>
      <c r="F408" s="1037"/>
      <c r="G408" s="1073"/>
      <c r="H408" s="1074"/>
      <c r="I408" s="1074"/>
      <c r="J408" s="1075"/>
      <c r="K408" s="1076"/>
      <c r="L408" s="1077"/>
      <c r="X408" s="1025"/>
    </row>
    <row r="409" spans="1:24" ht="15">
      <c r="A409" s="984">
        <v>10</v>
      </c>
      <c r="B409" s="1125" t="s">
        <v>729</v>
      </c>
      <c r="C409" s="1037"/>
      <c r="D409" s="1037"/>
      <c r="E409" s="1037"/>
      <c r="F409" s="1037"/>
      <c r="G409" s="1073"/>
      <c r="H409" s="1074"/>
      <c r="I409" s="1074"/>
      <c r="J409" s="1075"/>
      <c r="K409" s="1076"/>
      <c r="L409" s="1077"/>
      <c r="X409" s="1025"/>
    </row>
    <row r="410" spans="1:24">
      <c r="A410" s="984"/>
      <c r="B410" s="1033" t="s">
        <v>705</v>
      </c>
      <c r="C410" s="1037" t="s">
        <v>846</v>
      </c>
      <c r="D410" s="1037"/>
      <c r="E410" s="1037"/>
      <c r="F410" s="1037"/>
      <c r="G410" s="1073"/>
      <c r="H410" s="1074"/>
      <c r="I410" s="1074"/>
      <c r="J410" s="1075"/>
      <c r="K410" s="1076"/>
      <c r="L410" s="1077"/>
      <c r="X410" s="1025"/>
    </row>
    <row r="411" spans="1:24">
      <c r="A411" s="984"/>
      <c r="B411" s="1033"/>
      <c r="C411" s="1037" t="s">
        <v>847</v>
      </c>
      <c r="D411" s="1037"/>
      <c r="E411" s="1037"/>
      <c r="F411" s="1037"/>
      <c r="G411" s="1073"/>
      <c r="H411" s="1074"/>
      <c r="I411" s="1074"/>
      <c r="J411" s="1075"/>
      <c r="K411" s="1076"/>
      <c r="L411" s="1077"/>
      <c r="X411" s="1025"/>
    </row>
    <row r="412" spans="1:24">
      <c r="A412" s="984"/>
      <c r="B412" s="1033" t="s">
        <v>608</v>
      </c>
      <c r="C412" s="1037" t="s">
        <v>848</v>
      </c>
      <c r="D412" s="1037"/>
      <c r="E412" s="1037"/>
      <c r="F412" s="1037"/>
      <c r="G412" s="1073"/>
      <c r="H412" s="1074"/>
      <c r="I412" s="1074"/>
      <c r="J412" s="1075"/>
      <c r="K412" s="1076"/>
      <c r="L412" s="1077"/>
      <c r="X412" s="1025"/>
    </row>
    <row r="413" spans="1:24">
      <c r="A413" s="984"/>
      <c r="B413" s="1033"/>
      <c r="C413" s="1037" t="s">
        <v>849</v>
      </c>
      <c r="D413" s="1037"/>
      <c r="E413" s="1037"/>
      <c r="F413" s="1037"/>
      <c r="G413" s="1073"/>
      <c r="H413" s="1074"/>
      <c r="I413" s="1074"/>
      <c r="J413" s="1075"/>
      <c r="K413" s="1076"/>
      <c r="L413" s="1077"/>
      <c r="X413" s="1025"/>
    </row>
    <row r="414" spans="1:24">
      <c r="A414" s="984"/>
      <c r="B414" s="1033" t="s">
        <v>608</v>
      </c>
      <c r="C414" s="1082">
        <f>((Insumos!E103*'Caract. produção'!D74)*1.47*0.03*5.4*4186)</f>
        <v>75003.297969599997</v>
      </c>
      <c r="D414" s="1037" t="s">
        <v>583</v>
      </c>
      <c r="E414" s="1037"/>
      <c r="F414" s="1037"/>
      <c r="G414" s="1073"/>
      <c r="H414" s="1074"/>
      <c r="I414" s="1074"/>
      <c r="J414" s="1075"/>
      <c r="K414" s="1076"/>
      <c r="L414" s="1077"/>
      <c r="X414" s="1025"/>
    </row>
    <row r="415" spans="1:24">
      <c r="A415" s="984"/>
      <c r="B415" s="1088" t="s">
        <v>584</v>
      </c>
      <c r="C415" s="1100">
        <f>I415*J415</f>
        <v>26400</v>
      </c>
      <c r="D415" s="1037" t="s">
        <v>585</v>
      </c>
      <c r="E415" s="1037"/>
      <c r="F415" s="1037"/>
      <c r="G415" s="1093" t="s">
        <v>1470</v>
      </c>
      <c r="H415" s="1074">
        <v>1.2E+25</v>
      </c>
      <c r="I415" s="1074">
        <v>26400</v>
      </c>
      <c r="J415" s="1075">
        <v>1</v>
      </c>
      <c r="K415" s="1076"/>
      <c r="L415" s="1077"/>
      <c r="X415" s="1025"/>
    </row>
    <row r="416" spans="1:24">
      <c r="A416" s="984"/>
      <c r="B416" s="1033"/>
      <c r="C416" s="1037"/>
      <c r="D416" s="1037"/>
      <c r="E416" s="1037"/>
      <c r="F416" s="1037"/>
      <c r="G416" s="1073"/>
      <c r="H416" s="1074"/>
      <c r="I416" s="1074"/>
      <c r="J416" s="1075"/>
      <c r="K416" s="1076"/>
      <c r="L416" s="1077"/>
      <c r="X416" s="1025"/>
    </row>
    <row r="417" spans="1:24" ht="15">
      <c r="A417" s="984">
        <v>11</v>
      </c>
      <c r="B417" s="1086" t="s">
        <v>1022</v>
      </c>
      <c r="C417" s="1037"/>
      <c r="D417" s="1037"/>
      <c r="E417" s="1037"/>
      <c r="F417" s="1037"/>
      <c r="G417" s="1073"/>
      <c r="H417" s="1074"/>
      <c r="I417" s="1074"/>
      <c r="J417" s="1075"/>
      <c r="K417" s="1076"/>
      <c r="L417" s="1077"/>
      <c r="X417" s="1025"/>
    </row>
    <row r="418" spans="1:24">
      <c r="A418" s="984"/>
      <c r="B418" s="1033" t="s">
        <v>685</v>
      </c>
      <c r="C418" s="1037" t="s">
        <v>1033</v>
      </c>
      <c r="D418" s="1037"/>
      <c r="E418" s="1037"/>
      <c r="F418" s="1037"/>
      <c r="G418" s="1073"/>
      <c r="H418" s="1074"/>
      <c r="I418" s="1074"/>
      <c r="J418" s="1075"/>
      <c r="K418" s="1076"/>
      <c r="L418" s="1077"/>
      <c r="X418" s="1025"/>
    </row>
    <row r="419" spans="1:24">
      <c r="A419" s="984"/>
      <c r="B419" s="1033" t="s">
        <v>608</v>
      </c>
      <c r="C419" s="1037" t="s">
        <v>1034</v>
      </c>
      <c r="D419" s="1037"/>
      <c r="E419" s="1037"/>
      <c r="F419" s="1037"/>
      <c r="G419" s="1073"/>
      <c r="H419" s="1074"/>
      <c r="I419" s="1074"/>
      <c r="J419" s="1075"/>
      <c r="K419" s="1076"/>
      <c r="L419" s="1077"/>
      <c r="X419" s="1025"/>
    </row>
    <row r="420" spans="1:24">
      <c r="A420" s="984"/>
      <c r="B420" s="1033" t="s">
        <v>685</v>
      </c>
      <c r="C420" s="1082">
        <f>((Insumos!E102*13*'Caract. produção'!D74)/1000)/C110</f>
        <v>8.8302499999999985E-4</v>
      </c>
      <c r="D420" s="1037" t="s">
        <v>1606</v>
      </c>
      <c r="F420" s="1037"/>
      <c r="G420" s="1073"/>
      <c r="H420" s="1074"/>
      <c r="I420" s="1074"/>
      <c r="J420" s="1075"/>
      <c r="K420" s="1076"/>
      <c r="L420" s="1077"/>
      <c r="X420" s="1025"/>
    </row>
    <row r="421" spans="1:24">
      <c r="A421" s="984"/>
      <c r="B421" s="1033" t="s">
        <v>608</v>
      </c>
      <c r="C421" s="1037" t="s">
        <v>1023</v>
      </c>
      <c r="D421" s="1037"/>
      <c r="E421" s="1037"/>
      <c r="F421" s="1037"/>
      <c r="G421" s="1073"/>
      <c r="H421" s="1074"/>
      <c r="I421" s="1074"/>
      <c r="J421" s="1075"/>
      <c r="K421" s="1076"/>
      <c r="L421" s="1077"/>
      <c r="X421" s="1025"/>
    </row>
    <row r="422" spans="1:24">
      <c r="A422" s="984"/>
      <c r="B422" s="1033" t="s">
        <v>608</v>
      </c>
      <c r="C422" s="1037" t="s">
        <v>1030</v>
      </c>
      <c r="D422" s="1037"/>
      <c r="E422" s="1037"/>
      <c r="F422" s="1037"/>
      <c r="G422" s="1073"/>
      <c r="H422" s="1074"/>
      <c r="I422" s="1074"/>
      <c r="J422" s="1075"/>
      <c r="K422" s="1076"/>
      <c r="L422" s="1077"/>
      <c r="X422" s="1025"/>
    </row>
    <row r="423" spans="1:24">
      <c r="A423" s="984"/>
      <c r="B423" s="1033" t="s">
        <v>608</v>
      </c>
      <c r="C423" s="1082">
        <f>C420*1100000000</f>
        <v>971327.49999999988</v>
      </c>
      <c r="D423" s="1037" t="s">
        <v>583</v>
      </c>
      <c r="E423" s="1037"/>
      <c r="F423" s="1037"/>
      <c r="G423" s="1073"/>
      <c r="H423" s="1074"/>
      <c r="I423" s="1074"/>
      <c r="J423" s="1075"/>
      <c r="K423" s="1076"/>
      <c r="L423" s="1077"/>
      <c r="X423" s="1025"/>
    </row>
    <row r="424" spans="1:24">
      <c r="A424" s="984"/>
      <c r="B424" s="1088" t="s">
        <v>584</v>
      </c>
      <c r="C424" s="1100">
        <f>I424*J424</f>
        <v>29000</v>
      </c>
      <c r="D424" s="1037" t="s">
        <v>585</v>
      </c>
      <c r="E424" s="1037"/>
      <c r="F424" s="1037"/>
      <c r="G424" s="1093" t="s">
        <v>1470</v>
      </c>
      <c r="H424" s="1074">
        <v>1.2E+25</v>
      </c>
      <c r="I424" s="1074">
        <v>29000</v>
      </c>
      <c r="J424" s="1075">
        <v>1</v>
      </c>
      <c r="K424" s="1076"/>
      <c r="L424" s="1077"/>
      <c r="X424" s="1025"/>
    </row>
    <row r="425" spans="1:24">
      <c r="A425" s="984"/>
      <c r="B425" s="1033"/>
      <c r="C425" s="1037"/>
      <c r="E425" s="1037"/>
      <c r="F425" s="1037"/>
      <c r="G425" s="1073"/>
      <c r="H425" s="1074"/>
      <c r="I425" s="1074"/>
      <c r="J425" s="1075"/>
      <c r="K425" s="1076"/>
      <c r="L425" s="1077"/>
      <c r="X425" s="1025"/>
    </row>
    <row r="426" spans="1:24" ht="15">
      <c r="A426" s="984">
        <v>12</v>
      </c>
      <c r="B426" s="1086" t="s">
        <v>1588</v>
      </c>
      <c r="C426" s="1037"/>
      <c r="D426" s="1037"/>
      <c r="E426" s="1037"/>
      <c r="F426" s="1037"/>
      <c r="G426" s="1073"/>
      <c r="H426" s="1074"/>
      <c r="I426" s="1074"/>
      <c r="J426" s="1075"/>
      <c r="K426" s="1076"/>
      <c r="L426" s="1077"/>
      <c r="M426" s="804" t="s">
        <v>858</v>
      </c>
      <c r="X426" s="1025"/>
    </row>
    <row r="427" spans="1:24">
      <c r="A427" s="984"/>
      <c r="B427" s="1033" t="s">
        <v>685</v>
      </c>
      <c r="C427" s="1037" t="s">
        <v>1019</v>
      </c>
      <c r="D427" s="1037"/>
      <c r="E427" s="1037"/>
      <c r="F427" s="1037"/>
      <c r="G427" s="1073"/>
      <c r="H427" s="1074"/>
      <c r="I427" s="1074"/>
      <c r="J427" s="1075"/>
      <c r="K427" s="1076"/>
      <c r="L427" s="1077"/>
      <c r="M427" s="804" t="s">
        <v>859</v>
      </c>
      <c r="X427" s="1025"/>
    </row>
    <row r="428" spans="1:24">
      <c r="A428" s="984"/>
      <c r="B428" s="1033"/>
      <c r="C428" s="1037" t="s">
        <v>1020</v>
      </c>
      <c r="D428" s="1037"/>
      <c r="E428" s="1037"/>
      <c r="F428" s="1037"/>
      <c r="G428" s="1073"/>
      <c r="H428" s="1074"/>
      <c r="I428" s="1074"/>
      <c r="J428" s="1075"/>
      <c r="K428" s="1076"/>
      <c r="L428" s="1077"/>
      <c r="X428" s="1025"/>
    </row>
    <row r="429" spans="1:24">
      <c r="A429" s="984"/>
      <c r="B429" s="1033" t="s">
        <v>608</v>
      </c>
      <c r="C429" s="1037" t="s">
        <v>1021</v>
      </c>
      <c r="D429" s="1037"/>
      <c r="E429" s="1037"/>
      <c r="F429" s="1037"/>
      <c r="G429" s="1073"/>
      <c r="H429" s="1074"/>
      <c r="I429" s="1074"/>
      <c r="J429" s="1075"/>
      <c r="K429" s="1076"/>
      <c r="L429" s="1077"/>
      <c r="X429" s="1025"/>
    </row>
    <row r="430" spans="1:24">
      <c r="A430" s="984"/>
      <c r="B430" s="1033" t="s">
        <v>608</v>
      </c>
      <c r="C430" s="1082">
        <f>((Insumos!E112*1000000)*'Caract. produção'!D74/'Caract. produção'!D80)</f>
        <v>20899999.999999996</v>
      </c>
      <c r="D430" s="1037" t="s">
        <v>639</v>
      </c>
      <c r="E430" s="1037"/>
      <c r="F430" s="1082"/>
      <c r="G430" s="1130"/>
      <c r="H430" s="1074"/>
      <c r="I430" s="1074"/>
      <c r="J430" s="1075"/>
      <c r="K430" s="1076"/>
      <c r="L430" s="1077"/>
      <c r="X430" s="1025"/>
    </row>
    <row r="431" spans="1:24">
      <c r="A431" s="984"/>
      <c r="B431" s="1033" t="s">
        <v>1017</v>
      </c>
      <c r="C431" s="1037">
        <v>4</v>
      </c>
      <c r="D431" s="1037" t="s">
        <v>1018</v>
      </c>
      <c r="E431" s="1037"/>
      <c r="F431" s="1037"/>
      <c r="G431" s="1073"/>
      <c r="H431" s="1074"/>
      <c r="I431" s="1074"/>
      <c r="J431" s="1075"/>
      <c r="K431" s="1076"/>
      <c r="L431" s="1077"/>
      <c r="X431" s="1025"/>
    </row>
    <row r="432" spans="1:24">
      <c r="A432" s="984"/>
      <c r="B432" s="1033" t="s">
        <v>604</v>
      </c>
      <c r="C432" s="1082">
        <f>C430*C431*4186</f>
        <v>349949599999.99994</v>
      </c>
      <c r="D432" s="1037" t="s">
        <v>583</v>
      </c>
      <c r="E432" s="1037"/>
      <c r="F432" s="1037"/>
      <c r="G432" s="1073"/>
      <c r="H432" s="1074"/>
      <c r="I432" s="1074"/>
      <c r="J432" s="1075"/>
      <c r="K432" s="1076"/>
      <c r="L432" s="1077"/>
      <c r="X432" s="1025"/>
    </row>
    <row r="433" spans="1:24">
      <c r="A433" s="984"/>
      <c r="B433" s="1033" t="s">
        <v>584</v>
      </c>
      <c r="C433" s="1100">
        <f>I433*J433</f>
        <v>38000</v>
      </c>
      <c r="D433" s="1037" t="s">
        <v>585</v>
      </c>
      <c r="E433" s="1037"/>
      <c r="F433" s="1037"/>
      <c r="G433" s="1073" t="s">
        <v>1633</v>
      </c>
      <c r="H433" s="1074">
        <v>1.5829999999999999E+25</v>
      </c>
      <c r="I433" s="1074">
        <v>50000</v>
      </c>
      <c r="J433" s="1075">
        <v>0.76</v>
      </c>
      <c r="K433" s="1076">
        <v>43</v>
      </c>
      <c r="L433" s="1132" t="s">
        <v>1632</v>
      </c>
      <c r="M433" s="1049"/>
      <c r="X433" s="1025"/>
    </row>
    <row r="434" spans="1:24">
      <c r="A434" s="984"/>
      <c r="B434" s="1033"/>
      <c r="C434" s="1037"/>
      <c r="D434" s="1037"/>
      <c r="E434" s="1037"/>
      <c r="F434" s="1037"/>
      <c r="G434" s="1073"/>
      <c r="H434" s="1074"/>
      <c r="I434" s="1074"/>
      <c r="J434" s="1075"/>
      <c r="K434" s="1076"/>
      <c r="L434" s="1077"/>
      <c r="X434" s="1025"/>
    </row>
    <row r="435" spans="1:24" ht="15">
      <c r="A435" s="984">
        <v>13</v>
      </c>
      <c r="B435" s="1086" t="s">
        <v>538</v>
      </c>
      <c r="C435" s="1037" t="s">
        <v>1136</v>
      </c>
      <c r="D435" s="1037"/>
      <c r="E435" s="1037"/>
      <c r="F435" s="1037"/>
      <c r="G435" s="1073"/>
      <c r="H435" s="1074"/>
      <c r="I435" s="1074"/>
      <c r="J435" s="1075"/>
      <c r="K435" s="1076"/>
      <c r="L435" s="1077"/>
      <c r="X435" s="1025"/>
    </row>
    <row r="436" spans="1:24">
      <c r="A436" s="984"/>
      <c r="B436" s="1033" t="s">
        <v>619</v>
      </c>
      <c r="C436" s="1121">
        <f>(((SUM(Insumos!E99:E101)*'Caract. produção'!D74)))</f>
        <v>0</v>
      </c>
      <c r="D436" s="945" t="s">
        <v>620</v>
      </c>
      <c r="E436" s="1037"/>
      <c r="F436" s="1037"/>
      <c r="G436" s="1079"/>
      <c r="H436" s="1074"/>
      <c r="I436" s="1074"/>
      <c r="J436" s="1075"/>
      <c r="K436" s="1076"/>
      <c r="L436" s="1077"/>
      <c r="X436" s="1025"/>
    </row>
    <row r="437" spans="1:24">
      <c r="A437" s="984"/>
      <c r="B437" s="1033" t="s">
        <v>604</v>
      </c>
      <c r="C437" s="1082" t="s">
        <v>621</v>
      </c>
      <c r="D437" s="945"/>
      <c r="E437" s="1037"/>
      <c r="F437" s="1037"/>
      <c r="G437" s="1079"/>
      <c r="H437" s="1074"/>
      <c r="I437" s="1074"/>
      <c r="J437" s="1075"/>
      <c r="K437" s="1076"/>
      <c r="L437" s="1077"/>
      <c r="X437" s="1025"/>
    </row>
    <row r="438" spans="1:24">
      <c r="A438" s="984"/>
      <c r="B438" s="1033" t="s">
        <v>613</v>
      </c>
      <c r="C438" s="1036" t="s">
        <v>622</v>
      </c>
      <c r="D438" s="1037"/>
      <c r="E438" s="1037"/>
      <c r="F438" s="1037"/>
      <c r="G438" s="1079"/>
      <c r="H438" s="1074"/>
      <c r="I438" s="1074"/>
      <c r="J438" s="1075"/>
      <c r="K438" s="1076"/>
      <c r="L438" s="1077"/>
      <c r="X438" s="1025"/>
    </row>
    <row r="439" spans="1:24">
      <c r="A439" s="984"/>
      <c r="B439" s="1033" t="s">
        <v>615</v>
      </c>
      <c r="C439" s="1082">
        <f>C436*11400*4186</f>
        <v>0</v>
      </c>
      <c r="D439" s="1037" t="s">
        <v>583</v>
      </c>
      <c r="E439" s="1037"/>
      <c r="F439" s="1037"/>
      <c r="G439" s="1079"/>
      <c r="H439" s="1074"/>
      <c r="I439" s="1074"/>
      <c r="J439" s="1075"/>
      <c r="K439" s="1076"/>
      <c r="L439" s="1077"/>
      <c r="X439" s="1025"/>
    </row>
    <row r="440" spans="1:24">
      <c r="A440" s="984"/>
      <c r="B440" s="1033" t="s">
        <v>584</v>
      </c>
      <c r="C440" s="1100">
        <f>I440*J440</f>
        <v>140970</v>
      </c>
      <c r="D440" s="1037" t="s">
        <v>585</v>
      </c>
      <c r="E440" s="1037"/>
      <c r="F440" s="1037"/>
      <c r="G440" s="1084" t="s">
        <v>623</v>
      </c>
      <c r="H440" s="1074">
        <v>9.4399999999999998E+24</v>
      </c>
      <c r="I440" s="1074">
        <v>111000</v>
      </c>
      <c r="J440" s="1075">
        <v>1.27</v>
      </c>
      <c r="K440" s="1076"/>
      <c r="L440" s="1077"/>
      <c r="X440" s="1025"/>
    </row>
    <row r="441" spans="1:24">
      <c r="A441" s="984"/>
      <c r="B441" s="1033"/>
      <c r="C441" s="1033"/>
      <c r="D441" s="1037"/>
      <c r="E441" s="1037"/>
      <c r="F441" s="1037"/>
      <c r="G441" s="1073"/>
      <c r="H441" s="1074"/>
      <c r="I441" s="1074"/>
      <c r="J441" s="1075"/>
      <c r="K441" s="1076"/>
      <c r="L441" s="1077"/>
      <c r="X441" s="1025"/>
    </row>
    <row r="442" spans="1:24" ht="15">
      <c r="A442" s="984">
        <v>14</v>
      </c>
      <c r="B442" s="1125" t="s">
        <v>1604</v>
      </c>
      <c r="C442" s="1037"/>
      <c r="D442" s="1037"/>
      <c r="E442" s="1037"/>
      <c r="F442" s="1037"/>
      <c r="G442" s="1073"/>
      <c r="H442" s="1074"/>
      <c r="I442" s="1074"/>
      <c r="J442" s="1075"/>
      <c r="K442" s="1076"/>
      <c r="L442" s="1077"/>
      <c r="X442" s="1025"/>
    </row>
    <row r="443" spans="1:24">
      <c r="A443" s="984"/>
      <c r="B443" s="1033" t="s">
        <v>629</v>
      </c>
      <c r="C443" s="1121">
        <f>(Insumos!E104*'Caract. produção'!D74)</f>
        <v>11097.9</v>
      </c>
      <c r="D443" s="945" t="s">
        <v>630</v>
      </c>
      <c r="E443" s="945"/>
      <c r="F443" s="945"/>
      <c r="G443" s="1079"/>
      <c r="H443" s="1074"/>
      <c r="I443" s="1074"/>
      <c r="J443" s="1075"/>
      <c r="K443" s="1076"/>
      <c r="L443" s="1077"/>
      <c r="X443" s="1025"/>
    </row>
    <row r="444" spans="1:24">
      <c r="A444" s="984"/>
      <c r="B444" s="1033" t="s">
        <v>604</v>
      </c>
      <c r="C444" s="1082" t="s">
        <v>631</v>
      </c>
      <c r="D444" s="945"/>
      <c r="E444" s="945"/>
      <c r="F444" s="945"/>
      <c r="G444" s="1079"/>
      <c r="H444" s="1074"/>
      <c r="I444" s="1074"/>
      <c r="J444" s="1075"/>
      <c r="K444" s="1076"/>
      <c r="L444" s="1077"/>
      <c r="X444" s="1025"/>
    </row>
    <row r="445" spans="1:24">
      <c r="A445" s="984"/>
      <c r="B445" s="1033" t="s">
        <v>613</v>
      </c>
      <c r="C445" s="1036" t="s">
        <v>632</v>
      </c>
      <c r="D445" s="1037"/>
      <c r="E445" s="1082"/>
      <c r="F445" s="945"/>
      <c r="G445" s="1079"/>
      <c r="H445" s="1074"/>
      <c r="I445" s="1074"/>
      <c r="J445" s="1075"/>
      <c r="K445" s="1076"/>
      <c r="L445" s="1077"/>
      <c r="X445" s="1025"/>
    </row>
    <row r="446" spans="1:24">
      <c r="A446" s="984"/>
      <c r="B446" s="1033" t="s">
        <v>615</v>
      </c>
      <c r="C446" s="1082">
        <f>C443*3600000</f>
        <v>39952440000</v>
      </c>
      <c r="D446" s="1037" t="s">
        <v>583</v>
      </c>
      <c r="E446" s="1037"/>
      <c r="F446" s="1037"/>
      <c r="G446" s="1079"/>
      <c r="H446" s="1074"/>
      <c r="I446" s="1074"/>
      <c r="J446" s="1075"/>
      <c r="K446" s="1076"/>
      <c r="L446" s="1077"/>
      <c r="X446" s="1025"/>
    </row>
    <row r="447" spans="1:24">
      <c r="A447" s="984"/>
      <c r="B447" s="1033" t="s">
        <v>584</v>
      </c>
      <c r="C447" s="1100">
        <f>I447*J447</f>
        <v>64500</v>
      </c>
      <c r="D447" s="1037" t="s">
        <v>585</v>
      </c>
      <c r="E447" s="1037"/>
      <c r="F447" s="1037"/>
      <c r="G447" s="1073" t="s">
        <v>1470</v>
      </c>
      <c r="H447" s="1074">
        <v>1.2E+25</v>
      </c>
      <c r="I447" s="1074">
        <v>64500</v>
      </c>
      <c r="J447" s="1075">
        <v>1</v>
      </c>
      <c r="K447" s="1131">
        <v>65</v>
      </c>
      <c r="L447" s="1132" t="s">
        <v>1605</v>
      </c>
      <c r="X447" s="1025"/>
    </row>
    <row r="448" spans="1:24">
      <c r="A448" s="984"/>
      <c r="B448" s="1022"/>
      <c r="C448" s="1037"/>
      <c r="D448" s="1037"/>
      <c r="E448" s="1037"/>
      <c r="F448" s="1037"/>
      <c r="G448" s="1073"/>
      <c r="H448" s="1074"/>
      <c r="I448" s="1074"/>
      <c r="J448" s="1075"/>
      <c r="K448" s="1076"/>
      <c r="L448" s="1077"/>
      <c r="X448" s="1025"/>
    </row>
    <row r="449" spans="1:24" ht="15">
      <c r="A449" s="984">
        <v>15</v>
      </c>
      <c r="B449" s="1133" t="s">
        <v>540</v>
      </c>
      <c r="C449" s="1037"/>
      <c r="D449" s="1037"/>
      <c r="E449" s="1037"/>
      <c r="F449" s="1037"/>
      <c r="G449" s="1073"/>
      <c r="H449" s="1074"/>
      <c r="I449" s="1074"/>
      <c r="J449" s="1075"/>
      <c r="K449" s="1076"/>
      <c r="L449" s="1077"/>
      <c r="M449" s="804" t="s">
        <v>1628</v>
      </c>
      <c r="X449" s="1025"/>
    </row>
    <row r="450" spans="1:24">
      <c r="A450" s="984"/>
      <c r="B450" s="1033" t="s">
        <v>635</v>
      </c>
      <c r="C450" s="1121"/>
      <c r="D450" s="945" t="s">
        <v>636</v>
      </c>
      <c r="E450" s="1037"/>
      <c r="F450" s="1037"/>
      <c r="G450" s="1079"/>
      <c r="H450" s="1074"/>
      <c r="I450" s="1074"/>
      <c r="J450" s="1075"/>
      <c r="K450" s="1076"/>
      <c r="L450" s="1077"/>
      <c r="M450" s="804" t="s">
        <v>1629</v>
      </c>
      <c r="X450" s="1025"/>
    </row>
    <row r="451" spans="1:24">
      <c r="A451" s="984"/>
      <c r="B451" s="1033" t="s">
        <v>637</v>
      </c>
      <c r="C451" s="1036" t="s">
        <v>638</v>
      </c>
      <c r="D451" s="1037"/>
      <c r="E451" s="1037"/>
      <c r="F451" s="1037"/>
      <c r="G451" s="1079"/>
      <c r="H451" s="1074"/>
      <c r="I451" s="1074"/>
      <c r="J451" s="1075"/>
      <c r="K451" s="1076"/>
      <c r="L451" s="1077"/>
      <c r="M451" s="804" t="s">
        <v>1630</v>
      </c>
      <c r="X451" s="1025"/>
    </row>
    <row r="452" spans="1:24">
      <c r="A452" s="984"/>
      <c r="B452" s="1033" t="s">
        <v>615</v>
      </c>
      <c r="C452" s="1082">
        <f>C450*1000</f>
        <v>0</v>
      </c>
      <c r="D452" s="1037" t="s">
        <v>639</v>
      </c>
      <c r="E452" s="1037"/>
      <c r="F452" s="1037"/>
      <c r="G452" s="1079"/>
      <c r="H452" s="1074"/>
      <c r="I452" s="1074"/>
      <c r="J452" s="1075"/>
      <c r="K452" s="1076"/>
      <c r="L452" s="1077"/>
      <c r="M452" s="804" t="s">
        <v>1631</v>
      </c>
      <c r="X452" s="1025"/>
    </row>
    <row r="453" spans="1:24">
      <c r="A453" s="984"/>
      <c r="B453" s="1033" t="s">
        <v>584</v>
      </c>
      <c r="C453" s="1100">
        <f>I453*J453</f>
        <v>11248000000</v>
      </c>
      <c r="D453" s="1037" t="s">
        <v>640</v>
      </c>
      <c r="E453" s="1037"/>
      <c r="F453" s="1037"/>
      <c r="G453" s="1093" t="s">
        <v>641</v>
      </c>
      <c r="H453" s="1074">
        <v>1.5829999999999999E+25</v>
      </c>
      <c r="I453" s="1074">
        <v>14800000000</v>
      </c>
      <c r="J453" s="1103">
        <v>0.76</v>
      </c>
      <c r="K453" s="1076"/>
      <c r="L453" s="1077"/>
      <c r="X453" s="1025"/>
    </row>
    <row r="454" spans="1:24">
      <c r="A454" s="984"/>
      <c r="B454" s="1033"/>
      <c r="C454" s="1037"/>
      <c r="D454" s="1037"/>
      <c r="E454" s="1037"/>
      <c r="F454" s="1037"/>
      <c r="G454" s="1073"/>
      <c r="H454" s="1074"/>
      <c r="I454" s="1074"/>
      <c r="J454" s="1103"/>
      <c r="K454" s="1076"/>
      <c r="L454" s="1077"/>
      <c r="X454" s="1025"/>
    </row>
    <row r="455" spans="1:24" ht="15">
      <c r="A455" s="984">
        <v>16</v>
      </c>
      <c r="B455" s="1125" t="s">
        <v>1435</v>
      </c>
      <c r="C455" s="1037"/>
      <c r="D455" s="1037"/>
      <c r="E455" s="1037"/>
      <c r="F455" s="1037"/>
      <c r="G455" s="1073"/>
      <c r="H455" s="1074"/>
      <c r="I455" s="1074"/>
      <c r="J455" s="1103"/>
      <c r="K455" s="1076"/>
      <c r="L455" s="1077"/>
      <c r="X455" s="1025"/>
    </row>
    <row r="456" spans="1:24">
      <c r="A456" s="984"/>
      <c r="B456" s="1033" t="s">
        <v>1291</v>
      </c>
      <c r="C456" s="1083">
        <f>C110</f>
        <v>1200</v>
      </c>
      <c r="D456" s="1037" t="s">
        <v>1220</v>
      </c>
      <c r="E456" s="1037"/>
      <c r="F456" s="1037"/>
      <c r="G456" s="1073"/>
      <c r="H456" s="1074"/>
      <c r="I456" s="1074"/>
      <c r="J456" s="1103"/>
      <c r="K456" s="1076"/>
      <c r="L456" s="1077"/>
      <c r="X456" s="1025"/>
    </row>
    <row r="457" spans="1:24">
      <c r="A457" s="984"/>
      <c r="B457" s="1033" t="s">
        <v>608</v>
      </c>
      <c r="C457" s="1037" t="s">
        <v>1448</v>
      </c>
      <c r="D457" s="1037"/>
      <c r="E457" s="1037"/>
      <c r="F457" s="1037"/>
      <c r="G457" s="1130"/>
      <c r="H457" s="1074"/>
      <c r="I457" s="1074"/>
      <c r="J457" s="1103"/>
      <c r="K457" s="1076"/>
      <c r="L457" s="1077"/>
      <c r="X457" s="1025"/>
    </row>
    <row r="458" spans="1:24">
      <c r="A458" s="984"/>
      <c r="B458" s="1033"/>
      <c r="C458" s="1037" t="s">
        <v>1449</v>
      </c>
      <c r="D458" s="1037"/>
      <c r="E458" s="1037"/>
      <c r="F458" s="1037"/>
      <c r="G458" s="1073"/>
      <c r="H458" s="1074"/>
      <c r="I458" s="1074"/>
      <c r="J458" s="1103"/>
      <c r="K458" s="1076"/>
      <c r="L458" s="1077"/>
      <c r="X458" s="1025"/>
    </row>
    <row r="459" spans="1:24">
      <c r="A459" s="984"/>
      <c r="B459" s="1033"/>
      <c r="C459" s="1037" t="s">
        <v>1450</v>
      </c>
      <c r="D459" s="1037"/>
      <c r="E459" s="1037"/>
      <c r="F459" s="1037"/>
      <c r="G459" s="1073"/>
      <c r="H459" s="1074"/>
      <c r="I459" s="1074"/>
      <c r="J459" s="1103"/>
      <c r="K459" s="1076"/>
      <c r="L459" s="1077"/>
      <c r="X459" s="1025"/>
    </row>
    <row r="460" spans="1:24">
      <c r="A460" s="984"/>
      <c r="B460" s="1033"/>
      <c r="C460" s="1037" t="s">
        <v>1451</v>
      </c>
      <c r="D460" s="1037"/>
      <c r="E460" s="1037"/>
      <c r="F460" s="1037"/>
      <c r="G460" s="1073"/>
      <c r="H460" s="1074"/>
      <c r="I460" s="1074"/>
      <c r="J460" s="1103"/>
      <c r="K460" s="1076"/>
      <c r="L460" s="1077"/>
      <c r="X460" s="1025"/>
    </row>
    <row r="461" spans="1:24">
      <c r="A461" s="984"/>
      <c r="B461" s="1033" t="s">
        <v>608</v>
      </c>
      <c r="C461" s="1082">
        <f>'Caract. produção'!D70*'Caract. produção'!D73*'Caract. produção'!D74*1000</f>
        <v>4213440</v>
      </c>
      <c r="D461" s="1037" t="s">
        <v>187</v>
      </c>
      <c r="E461" s="1037"/>
      <c r="F461" s="1037"/>
      <c r="G461" s="1073"/>
      <c r="H461" s="1074"/>
      <c r="I461" s="1074"/>
      <c r="J461" s="1103"/>
      <c r="K461" s="1076"/>
      <c r="L461" s="1077"/>
      <c r="X461" s="1025"/>
    </row>
    <row r="462" spans="1:24">
      <c r="A462" s="984"/>
      <c r="B462" s="1033" t="s">
        <v>705</v>
      </c>
      <c r="C462" s="1037">
        <v>5.5</v>
      </c>
      <c r="D462" s="1037" t="s">
        <v>1018</v>
      </c>
      <c r="E462" s="1082"/>
      <c r="F462" s="1037"/>
      <c r="G462" s="1130"/>
      <c r="H462" s="1074"/>
      <c r="I462" s="1074"/>
      <c r="J462" s="1103"/>
      <c r="K462" s="1076"/>
      <c r="L462" s="1077"/>
      <c r="M462" s="804" t="s">
        <v>1444</v>
      </c>
      <c r="X462" s="1025"/>
    </row>
    <row r="463" spans="1:24">
      <c r="A463" s="984"/>
      <c r="B463" s="1033" t="s">
        <v>1447</v>
      </c>
      <c r="C463" s="1082">
        <f>C461*C462*4184</f>
        <v>96959681280</v>
      </c>
      <c r="D463" s="1037" t="s">
        <v>583</v>
      </c>
      <c r="E463" s="1037"/>
      <c r="F463" s="1037"/>
      <c r="G463" s="1073"/>
      <c r="H463" s="1074"/>
      <c r="I463" s="1074"/>
      <c r="J463" s="1103"/>
      <c r="K463" s="1076"/>
      <c r="L463" s="1077"/>
      <c r="M463" s="804" t="s">
        <v>1445</v>
      </c>
      <c r="X463" s="1025"/>
    </row>
    <row r="464" spans="1:24">
      <c r="A464" s="984"/>
      <c r="B464" s="1033" t="s">
        <v>584</v>
      </c>
      <c r="C464" s="1100">
        <f>I464*J464</f>
        <v>464360</v>
      </c>
      <c r="D464" s="1037" t="s">
        <v>640</v>
      </c>
      <c r="E464" s="1037"/>
      <c r="F464" s="1037"/>
      <c r="G464" s="1093" t="s">
        <v>1187</v>
      </c>
      <c r="H464" s="1074">
        <v>1.5829999999999999E+25</v>
      </c>
      <c r="I464" s="1074">
        <v>611000</v>
      </c>
      <c r="J464" s="1103">
        <v>0.76</v>
      </c>
      <c r="K464" s="1076"/>
      <c r="L464" s="1077"/>
      <c r="M464" s="804" t="s">
        <v>1446</v>
      </c>
      <c r="X464" s="1025"/>
    </row>
    <row r="465" spans="1:24" ht="15">
      <c r="A465" s="984"/>
      <c r="B465" s="1033"/>
      <c r="C465" s="1037"/>
      <c r="D465" s="1082"/>
      <c r="E465" s="1037"/>
      <c r="F465" s="1037"/>
      <c r="G465" s="1073"/>
      <c r="H465" s="1074"/>
      <c r="I465" s="1074"/>
      <c r="J465" s="1103"/>
      <c r="K465" s="1076"/>
      <c r="L465" s="1077"/>
      <c r="M465" s="1099" t="s">
        <v>1443</v>
      </c>
      <c r="X465" s="1025"/>
    </row>
    <row r="466" spans="1:24" ht="15">
      <c r="A466" s="984">
        <v>17</v>
      </c>
      <c r="B466" s="1125" t="s">
        <v>541</v>
      </c>
      <c r="C466" s="1037" t="s">
        <v>1195</v>
      </c>
      <c r="D466" s="1037"/>
      <c r="E466" s="1033" t="s">
        <v>520</v>
      </c>
      <c r="F466" s="1037"/>
      <c r="G466" s="1073"/>
      <c r="H466" s="1074"/>
      <c r="I466" s="1074"/>
      <c r="J466" s="1075"/>
      <c r="K466" s="1076"/>
      <c r="L466" s="1077"/>
      <c r="X466" s="1025"/>
    </row>
    <row r="467" spans="1:24">
      <c r="A467" s="984">
        <v>17.100000000000001</v>
      </c>
      <c r="B467" s="1134" t="s">
        <v>1196</v>
      </c>
      <c r="C467" s="1135">
        <f>IF('Caract. produção'!G49=1,0,IF('Caract. produção'!G49=2,SUM(Insumos!F13,Insumos!F29,Insumos!F45)*'Caract. produção'!D74*3901*4186,IF('Caract. produção'!G49=3,SUM(Insumos!F13,Insumos!F29,Insumos!F45)*'Caract. produção'!D74*3901*4186)))</f>
        <v>4483821353137.2373</v>
      </c>
      <c r="D467" s="1136" t="s">
        <v>583</v>
      </c>
      <c r="E467" s="1135">
        <f>I467*J467</f>
        <v>51000</v>
      </c>
      <c r="F467" s="1137" t="s">
        <v>585</v>
      </c>
      <c r="G467" s="1073" t="s">
        <v>1470</v>
      </c>
      <c r="H467" s="1074">
        <v>1.2E+25</v>
      </c>
      <c r="I467" s="1074">
        <v>51000</v>
      </c>
      <c r="J467" s="1075">
        <v>1</v>
      </c>
      <c r="K467" s="1076">
        <v>22</v>
      </c>
      <c r="L467" s="1132" t="s">
        <v>1187</v>
      </c>
      <c r="X467" s="1025"/>
    </row>
    <row r="468" spans="1:24">
      <c r="A468" s="984">
        <v>17.2</v>
      </c>
      <c r="B468" s="1138" t="s">
        <v>1197</v>
      </c>
      <c r="C468" s="1139">
        <f>IF('Caract. produção'!G49=1,0,IF('Caract. produção'!G49=2,SUM(Insumos!F14,Insumos!F30,Insumos!F46)*'Caract. produção'!D74*4118*4186,IF('Caract. produção'!G49=3,SUM(Insumos!F14,Insumos!F30,Insumos!F46)*'Caract. produção'!D74*4118*4186)))</f>
        <v>2601521774551.54</v>
      </c>
      <c r="D468" s="938" t="s">
        <v>583</v>
      </c>
      <c r="E468" s="1139">
        <f t="shared" ref="E468" si="21">I468*J468</f>
        <v>91960</v>
      </c>
      <c r="F468" s="1140" t="s">
        <v>585</v>
      </c>
      <c r="G468" s="1073" t="s">
        <v>1607</v>
      </c>
      <c r="H468" s="1074">
        <v>1.5829999999999999E+25</v>
      </c>
      <c r="I468" s="1074">
        <v>121000</v>
      </c>
      <c r="J468" s="1075">
        <v>0.76</v>
      </c>
      <c r="K468" s="1141">
        <v>33.4</v>
      </c>
      <c r="L468" s="1132" t="s">
        <v>1607</v>
      </c>
      <c r="X468" s="1025"/>
    </row>
    <row r="469" spans="1:24">
      <c r="A469" s="945"/>
      <c r="B469" s="1033"/>
      <c r="C469" s="1033"/>
      <c r="D469" s="1033"/>
      <c r="E469" s="1037"/>
      <c r="F469" s="1037"/>
      <c r="G469" s="1073"/>
      <c r="H469" s="1101"/>
      <c r="I469" s="1074"/>
      <c r="J469" s="1103"/>
      <c r="K469" s="1076"/>
      <c r="L469" s="1077"/>
      <c r="M469" s="1050"/>
      <c r="X469" s="1025"/>
    </row>
    <row r="470" spans="1:24" ht="15">
      <c r="A470" s="984">
        <v>18</v>
      </c>
      <c r="B470" s="1133" t="s">
        <v>542</v>
      </c>
      <c r="C470" s="1037"/>
      <c r="D470" s="1037"/>
      <c r="E470" s="1037" t="s">
        <v>1490</v>
      </c>
      <c r="F470" s="1037"/>
      <c r="G470" s="1073"/>
      <c r="H470" s="1074"/>
      <c r="I470" s="1074"/>
      <c r="J470" s="1075"/>
      <c r="K470" s="1076"/>
      <c r="L470" s="1077"/>
      <c r="X470" s="1025"/>
    </row>
    <row r="471" spans="1:24">
      <c r="A471" s="984"/>
      <c r="B471" s="1033" t="s">
        <v>655</v>
      </c>
      <c r="C471" s="1121">
        <f>('Caract. produção'!H117)</f>
        <v>0</v>
      </c>
      <c r="D471" s="945" t="s">
        <v>656</v>
      </c>
      <c r="E471" s="1121">
        <f>Inventário!E6</f>
        <v>0</v>
      </c>
      <c r="F471" s="945" t="s">
        <v>1002</v>
      </c>
      <c r="G471" s="1073"/>
      <c r="H471" s="1074"/>
      <c r="I471" s="1074"/>
      <c r="J471" s="1075"/>
      <c r="K471" s="1076"/>
      <c r="L471" s="1077"/>
      <c r="X471" s="1025"/>
    </row>
    <row r="472" spans="1:24">
      <c r="A472" s="984"/>
      <c r="B472" s="1033" t="s">
        <v>655</v>
      </c>
      <c r="C472" s="1121">
        <f>('Caract. produção'!H118)</f>
        <v>0</v>
      </c>
      <c r="D472" s="945" t="s">
        <v>656</v>
      </c>
      <c r="E472" s="1121">
        <f>Inventário!E7</f>
        <v>0</v>
      </c>
      <c r="F472" s="945" t="s">
        <v>1002</v>
      </c>
      <c r="G472" s="1073"/>
      <c r="H472" s="1074"/>
      <c r="I472" s="1074"/>
      <c r="J472" s="1075"/>
      <c r="K472" s="1076"/>
      <c r="L472" s="1077"/>
      <c r="X472" s="1025"/>
    </row>
    <row r="473" spans="1:24">
      <c r="A473" s="984"/>
      <c r="B473" s="1033" t="s">
        <v>655</v>
      </c>
      <c r="C473" s="1142">
        <f>('Caract. produção'!H119)</f>
        <v>5.4591200000000004</v>
      </c>
      <c r="D473" s="945" t="s">
        <v>656</v>
      </c>
      <c r="E473" s="1121">
        <f>Inventário!E8</f>
        <v>12</v>
      </c>
      <c r="F473" s="945" t="s">
        <v>1002</v>
      </c>
      <c r="G473" s="1073"/>
      <c r="H473" s="1074"/>
      <c r="I473" s="1074"/>
      <c r="J473" s="1075"/>
      <c r="K473" s="1076"/>
      <c r="L473" s="1077"/>
      <c r="X473" s="1025"/>
    </row>
    <row r="474" spans="1:24">
      <c r="A474" s="984"/>
      <c r="B474" s="1033" t="s">
        <v>655</v>
      </c>
      <c r="C474" s="1121">
        <f>('Caract. produção'!H120)</f>
        <v>0</v>
      </c>
      <c r="D474" s="945" t="s">
        <v>656</v>
      </c>
      <c r="E474" s="1121">
        <f>Inventário!E9</f>
        <v>0</v>
      </c>
      <c r="F474" s="945" t="s">
        <v>1002</v>
      </c>
      <c r="G474" s="1073"/>
      <c r="H474" s="1074"/>
      <c r="I474" s="1074"/>
      <c r="J474" s="1075"/>
      <c r="K474" s="1076"/>
      <c r="L474" s="1077"/>
      <c r="X474" s="1025"/>
    </row>
    <row r="475" spans="1:24">
      <c r="A475" s="984"/>
      <c r="B475" s="1033" t="s">
        <v>655</v>
      </c>
      <c r="C475" s="1121">
        <f>('Caract. produção'!H121)</f>
        <v>0</v>
      </c>
      <c r="D475" s="945" t="s">
        <v>656</v>
      </c>
      <c r="E475" s="1121">
        <f>Inventário!E10</f>
        <v>0</v>
      </c>
      <c r="F475" s="945" t="s">
        <v>1002</v>
      </c>
      <c r="G475" s="1073"/>
      <c r="H475" s="1074"/>
      <c r="I475" s="1074"/>
      <c r="J475" s="1075"/>
      <c r="K475" s="1076"/>
      <c r="L475" s="1077"/>
      <c r="X475" s="1025"/>
    </row>
    <row r="476" spans="1:24">
      <c r="A476" s="984"/>
      <c r="B476" s="1033" t="s">
        <v>655</v>
      </c>
      <c r="C476" s="1121">
        <f>('Caract. produção'!H122)</f>
        <v>0</v>
      </c>
      <c r="D476" s="945" t="s">
        <v>656</v>
      </c>
      <c r="E476" s="1121">
        <f>Inventário!E11</f>
        <v>0</v>
      </c>
      <c r="F476" s="945" t="s">
        <v>1002</v>
      </c>
      <c r="G476" s="1073"/>
      <c r="H476" s="1074"/>
      <c r="I476" s="1074"/>
      <c r="J476" s="1075"/>
      <c r="K476" s="1076"/>
      <c r="L476" s="1077"/>
      <c r="X476" s="1025"/>
    </row>
    <row r="477" spans="1:24">
      <c r="A477" s="984"/>
      <c r="B477" s="1033" t="s">
        <v>655</v>
      </c>
      <c r="C477" s="1121">
        <f>('Caract. produção'!H123)</f>
        <v>0</v>
      </c>
      <c r="D477" s="945" t="s">
        <v>656</v>
      </c>
      <c r="E477" s="1121">
        <f>Inventário!E12</f>
        <v>0</v>
      </c>
      <c r="F477" s="945" t="s">
        <v>1002</v>
      </c>
      <c r="G477" s="1073"/>
      <c r="H477" s="1074"/>
      <c r="I477" s="1074"/>
      <c r="J477" s="1075"/>
      <c r="K477" s="1076"/>
      <c r="L477" s="1077"/>
      <c r="X477" s="1025"/>
    </row>
    <row r="478" spans="1:24">
      <c r="A478" s="984"/>
      <c r="B478" s="1033" t="s">
        <v>655</v>
      </c>
      <c r="C478" s="1121">
        <f>('Caract. produção'!H124)</f>
        <v>0</v>
      </c>
      <c r="D478" s="945" t="s">
        <v>656</v>
      </c>
      <c r="E478" s="1121">
        <f>Inventário!E13</f>
        <v>0</v>
      </c>
      <c r="F478" s="945" t="s">
        <v>1002</v>
      </c>
      <c r="G478" s="1073"/>
      <c r="H478" s="1074"/>
      <c r="I478" s="1074"/>
      <c r="J478" s="1075"/>
      <c r="K478" s="1076"/>
      <c r="L478" s="1077"/>
      <c r="X478" s="1025"/>
    </row>
    <row r="479" spans="1:24">
      <c r="A479" s="984"/>
      <c r="B479" s="1033" t="s">
        <v>655</v>
      </c>
      <c r="C479" s="1121">
        <f>('Caract. produção'!H125)</f>
        <v>0</v>
      </c>
      <c r="D479" s="945" t="s">
        <v>656</v>
      </c>
      <c r="E479" s="1121">
        <f>Inventário!E14</f>
        <v>0</v>
      </c>
      <c r="F479" s="945" t="s">
        <v>1002</v>
      </c>
      <c r="G479" s="1073"/>
      <c r="H479" s="1074"/>
      <c r="I479" s="1074"/>
      <c r="J479" s="1075"/>
      <c r="K479" s="1076"/>
      <c r="L479" s="1077"/>
      <c r="X479" s="1025"/>
    </row>
    <row r="480" spans="1:24">
      <c r="A480" s="984"/>
      <c r="B480" s="1033" t="s">
        <v>655</v>
      </c>
      <c r="C480" s="1121">
        <f>('Caract. produção'!H126)</f>
        <v>0</v>
      </c>
      <c r="D480" s="945" t="s">
        <v>656</v>
      </c>
      <c r="E480" s="1121">
        <f>Inventário!E15</f>
        <v>0</v>
      </c>
      <c r="F480" s="945" t="s">
        <v>1002</v>
      </c>
      <c r="G480" s="1073"/>
      <c r="H480" s="1074"/>
      <c r="I480" s="1074"/>
      <c r="J480" s="1075"/>
      <c r="K480" s="1076"/>
      <c r="L480" s="1077"/>
      <c r="X480" s="1025"/>
    </row>
    <row r="481" spans="1:24">
      <c r="A481" s="984"/>
      <c r="B481" s="1033" t="s">
        <v>655</v>
      </c>
      <c r="C481" s="1121">
        <f>('Caract. produção'!H127)</f>
        <v>0</v>
      </c>
      <c r="D481" s="945" t="s">
        <v>656</v>
      </c>
      <c r="E481" s="1121">
        <f>Inventário!E16</f>
        <v>0</v>
      </c>
      <c r="F481" s="945" t="s">
        <v>1002</v>
      </c>
      <c r="G481" s="1073"/>
      <c r="H481" s="1074"/>
      <c r="I481" s="1074"/>
      <c r="J481" s="1075"/>
      <c r="K481" s="1076"/>
      <c r="L481" s="1077"/>
      <c r="X481" s="1025"/>
    </row>
    <row r="482" spans="1:24">
      <c r="A482" s="984"/>
      <c r="B482" s="1033" t="s">
        <v>655</v>
      </c>
      <c r="C482" s="1121">
        <f>('Caract. produção'!H128)</f>
        <v>0</v>
      </c>
      <c r="D482" s="945" t="s">
        <v>656</v>
      </c>
      <c r="E482" s="1121">
        <f>Inventário!E17</f>
        <v>0</v>
      </c>
      <c r="F482" s="945" t="s">
        <v>1002</v>
      </c>
      <c r="G482" s="1073"/>
      <c r="H482" s="1074"/>
      <c r="I482" s="1074"/>
      <c r="J482" s="1075"/>
      <c r="K482" s="1076"/>
      <c r="L482" s="1077"/>
      <c r="X482" s="1025"/>
    </row>
    <row r="483" spans="1:24">
      <c r="A483" s="984"/>
      <c r="B483" s="1033" t="s">
        <v>655</v>
      </c>
      <c r="C483" s="1121">
        <f>('Caract. produção'!H129)</f>
        <v>0</v>
      </c>
      <c r="D483" s="945" t="s">
        <v>656</v>
      </c>
      <c r="E483" s="1121">
        <f>Inventário!E18</f>
        <v>0</v>
      </c>
      <c r="F483" s="945" t="s">
        <v>1002</v>
      </c>
      <c r="G483" s="1073"/>
      <c r="H483" s="1074"/>
      <c r="I483" s="1074"/>
      <c r="J483" s="1075"/>
      <c r="K483" s="1076"/>
      <c r="L483" s="1077"/>
      <c r="X483" s="1025"/>
    </row>
    <row r="484" spans="1:24">
      <c r="A484" s="984"/>
      <c r="B484" s="1033"/>
      <c r="C484" s="1033"/>
      <c r="D484" s="945"/>
      <c r="E484" s="804"/>
      <c r="F484" s="804"/>
      <c r="G484" s="1073"/>
      <c r="H484" s="1074"/>
      <c r="I484" s="1074"/>
      <c r="J484" s="1075"/>
      <c r="K484" s="1076"/>
      <c r="L484" s="1077"/>
      <c r="X484" s="1025"/>
    </row>
    <row r="485" spans="1:24">
      <c r="A485" s="984"/>
      <c r="B485" s="1033" t="s">
        <v>1177</v>
      </c>
      <c r="C485" s="1126">
        <f>SUM(C471:C483)</f>
        <v>5.4591200000000004</v>
      </c>
      <c r="D485" s="945" t="s">
        <v>1178</v>
      </c>
      <c r="E485" s="1037"/>
      <c r="F485" s="1037"/>
      <c r="G485" s="1143"/>
      <c r="H485" s="1074"/>
      <c r="I485" s="1074"/>
      <c r="J485" s="1075"/>
      <c r="K485" s="1076"/>
      <c r="L485" s="1077"/>
      <c r="X485" s="1025"/>
    </row>
    <row r="486" spans="1:24" ht="15">
      <c r="A486" s="1106"/>
      <c r="B486" s="1033" t="s">
        <v>1179</v>
      </c>
      <c r="C486" s="1126">
        <f>SUM(E471:E483)</f>
        <v>12</v>
      </c>
      <c r="D486" s="945" t="s">
        <v>1002</v>
      </c>
      <c r="E486" s="1037"/>
      <c r="F486" s="1037"/>
      <c r="G486" s="1143"/>
      <c r="H486" s="1074"/>
      <c r="I486" s="1074"/>
      <c r="J486" s="1075"/>
      <c r="K486" s="1076"/>
      <c r="L486" s="1077"/>
      <c r="M486" s="1099"/>
      <c r="X486" s="1025"/>
    </row>
    <row r="487" spans="1:24" ht="15">
      <c r="A487" s="1106"/>
      <c r="B487" s="1033" t="s">
        <v>657</v>
      </c>
      <c r="C487" s="1036" t="s">
        <v>1539</v>
      </c>
      <c r="D487" s="945"/>
      <c r="E487" s="1037"/>
      <c r="F487" s="1037"/>
      <c r="G487" s="1143"/>
      <c r="H487" s="1074"/>
      <c r="I487" s="1074"/>
      <c r="J487" s="1075"/>
      <c r="K487" s="1076"/>
      <c r="L487" s="1077"/>
      <c r="M487" s="1099"/>
      <c r="X487" s="1025"/>
    </row>
    <row r="488" spans="1:24" ht="15">
      <c r="A488" s="1106"/>
      <c r="B488" s="1033" t="s">
        <v>657</v>
      </c>
      <c r="C488" s="1036" t="s">
        <v>1540</v>
      </c>
      <c r="D488" s="1037"/>
      <c r="E488" s="1037"/>
      <c r="F488" s="1037"/>
      <c r="G488" s="1143"/>
      <c r="H488" s="1074"/>
      <c r="I488" s="1074"/>
      <c r="J488" s="1075"/>
      <c r="K488" s="1076"/>
      <c r="L488" s="1077"/>
      <c r="M488" s="1099"/>
      <c r="X488" s="1025"/>
    </row>
    <row r="489" spans="1:24">
      <c r="A489" s="1106"/>
      <c r="B489" s="1033" t="s">
        <v>615</v>
      </c>
      <c r="C489" s="1082">
        <f>C485*1000000/C486</f>
        <v>454926.66666666669</v>
      </c>
      <c r="D489" s="1037" t="s">
        <v>639</v>
      </c>
      <c r="E489" s="1037"/>
      <c r="F489" s="1037"/>
      <c r="G489" s="1079"/>
      <c r="H489" s="1074"/>
      <c r="I489" s="1074"/>
      <c r="J489" s="1075"/>
      <c r="K489" s="1076"/>
      <c r="L489" s="1077"/>
      <c r="X489" s="1025"/>
    </row>
    <row r="490" spans="1:24">
      <c r="A490" s="1106"/>
      <c r="B490" s="1033" t="s">
        <v>584</v>
      </c>
      <c r="C490" s="1100">
        <f>I490*J490</f>
        <v>1824000000</v>
      </c>
      <c r="D490" s="1037" t="s">
        <v>640</v>
      </c>
      <c r="E490" s="1082"/>
      <c r="F490" s="1037"/>
      <c r="G490" s="1144" t="s">
        <v>1314</v>
      </c>
      <c r="H490" s="1074">
        <v>1.5829999999999999E+25</v>
      </c>
      <c r="I490" s="1074">
        <v>2400000000</v>
      </c>
      <c r="J490" s="1075">
        <v>0.76</v>
      </c>
      <c r="K490" s="1076"/>
      <c r="L490" s="1077"/>
      <c r="X490" s="1025"/>
    </row>
    <row r="491" spans="1:24">
      <c r="A491" s="1106"/>
      <c r="B491" s="1033"/>
      <c r="C491" s="1033"/>
      <c r="D491" s="1037"/>
      <c r="E491" s="1037"/>
      <c r="F491" s="1037"/>
      <c r="G491" s="1073"/>
      <c r="H491" s="1074"/>
      <c r="I491" s="1074"/>
      <c r="J491" s="1075"/>
      <c r="K491" s="1076"/>
      <c r="L491" s="1077"/>
      <c r="X491" s="1025"/>
    </row>
    <row r="492" spans="1:24">
      <c r="A492" s="1106">
        <v>18.100000000000001</v>
      </c>
      <c r="B492" s="1033" t="s">
        <v>1412</v>
      </c>
      <c r="C492" s="1037" t="s">
        <v>1422</v>
      </c>
      <c r="D492" s="1037"/>
      <c r="E492" s="1037"/>
      <c r="F492" s="1037"/>
      <c r="G492" s="1073"/>
      <c r="H492" s="1074"/>
      <c r="I492" s="1074"/>
      <c r="J492" s="1075"/>
      <c r="K492" s="1076"/>
      <c r="L492" s="1077"/>
      <c r="X492" s="1025"/>
    </row>
    <row r="493" spans="1:24">
      <c r="A493" s="1106"/>
      <c r="B493" s="1033" t="s">
        <v>608</v>
      </c>
      <c r="C493" s="1037" t="s">
        <v>1639</v>
      </c>
      <c r="D493" s="1037"/>
      <c r="E493" s="1037"/>
      <c r="F493" s="1037"/>
      <c r="G493" s="1073"/>
      <c r="H493" s="1074"/>
      <c r="I493" s="1074"/>
      <c r="J493" s="1075"/>
      <c r="K493" s="1076"/>
      <c r="L493" s="1077"/>
      <c r="X493" s="1025"/>
    </row>
    <row r="494" spans="1:24">
      <c r="A494" s="1106"/>
      <c r="B494" s="1033"/>
      <c r="C494" s="1126">
        <f>C489*C490/C486</f>
        <v>69148853333333.336</v>
      </c>
      <c r="D494" s="1037"/>
      <c r="E494" s="1037"/>
      <c r="F494" s="1037"/>
      <c r="G494" s="1073"/>
      <c r="H494" s="1074"/>
      <c r="I494" s="1074"/>
      <c r="J494" s="1075"/>
      <c r="K494" s="1076"/>
      <c r="L494" s="1077"/>
      <c r="X494" s="1025"/>
    </row>
    <row r="495" spans="1:24">
      <c r="A495" s="1106"/>
      <c r="B495" s="1033"/>
      <c r="C495" s="1033"/>
      <c r="D495" s="1037"/>
      <c r="E495" s="1037"/>
      <c r="F495" s="1037"/>
      <c r="G495" s="1073"/>
      <c r="H495" s="1074"/>
      <c r="I495" s="1074"/>
      <c r="J495" s="1075"/>
      <c r="K495" s="1076"/>
      <c r="L495" s="1077"/>
      <c r="X495" s="1025"/>
    </row>
    <row r="496" spans="1:24" ht="15">
      <c r="A496" s="984">
        <v>19</v>
      </c>
      <c r="B496" s="1125" t="s">
        <v>1234</v>
      </c>
      <c r="C496" s="1037"/>
      <c r="D496" s="1037"/>
      <c r="E496" s="1037"/>
      <c r="F496" s="1037"/>
      <c r="G496" s="1073"/>
      <c r="H496" s="1074"/>
      <c r="I496" s="1074"/>
      <c r="J496" s="1075"/>
      <c r="K496" s="1076"/>
      <c r="L496" s="1132"/>
      <c r="M496" s="1145" t="s">
        <v>1235</v>
      </c>
      <c r="X496" s="1025"/>
    </row>
    <row r="497" spans="1:24">
      <c r="A497" s="1106">
        <v>19.100000000000001</v>
      </c>
      <c r="B497" s="1113" t="s">
        <v>1263</v>
      </c>
      <c r="C497" s="804"/>
      <c r="D497" s="804"/>
      <c r="E497" s="1037"/>
      <c r="F497" s="1037"/>
      <c r="G497" s="1073"/>
      <c r="H497" s="1074"/>
      <c r="I497" s="1074"/>
      <c r="J497" s="1075"/>
      <c r="K497" s="1076"/>
      <c r="L497" s="1132"/>
      <c r="M497" s="1145" t="s">
        <v>1244</v>
      </c>
      <c r="X497" s="1025"/>
    </row>
    <row r="498" spans="1:24">
      <c r="A498" s="984"/>
      <c r="B498" s="1033" t="s">
        <v>1262</v>
      </c>
      <c r="C498" s="1112">
        <v>3</v>
      </c>
      <c r="D498" s="804"/>
      <c r="E498" s="1037"/>
      <c r="F498" s="1037"/>
      <c r="G498" s="1073"/>
      <c r="H498" s="1074"/>
      <c r="I498" s="1074"/>
      <c r="J498" s="1075"/>
      <c r="K498" s="1076"/>
      <c r="L498" s="1132"/>
      <c r="M498" s="1145" t="s">
        <v>1245</v>
      </c>
      <c r="X498" s="1025"/>
    </row>
    <row r="499" spans="1:24">
      <c r="A499" s="984"/>
      <c r="B499" s="1033" t="s">
        <v>1236</v>
      </c>
      <c r="C499" s="1082">
        <v>16</v>
      </c>
      <c r="D499" s="1037" t="s">
        <v>1259</v>
      </c>
      <c r="E499" s="1037"/>
      <c r="F499" s="1037"/>
      <c r="G499" s="1073" t="s">
        <v>1491</v>
      </c>
      <c r="H499" s="1074"/>
      <c r="I499" s="1074"/>
      <c r="J499" s="1075"/>
      <c r="K499" s="1076"/>
      <c r="L499" s="1077"/>
      <c r="X499" s="1025"/>
    </row>
    <row r="500" spans="1:24">
      <c r="A500" s="984"/>
      <c r="B500" s="1033" t="s">
        <v>1237</v>
      </c>
      <c r="C500" s="1082">
        <v>60</v>
      </c>
      <c r="D500" s="1037" t="s">
        <v>1240</v>
      </c>
      <c r="E500" s="1037"/>
      <c r="F500" s="1037"/>
      <c r="G500" s="1073"/>
      <c r="H500" s="1074"/>
      <c r="I500" s="1074"/>
      <c r="J500" s="1075"/>
      <c r="K500" s="1076"/>
      <c r="L500" s="1077"/>
      <c r="X500" s="1025"/>
    </row>
    <row r="501" spans="1:24">
      <c r="A501" s="984"/>
      <c r="B501" s="1033" t="s">
        <v>1247</v>
      </c>
      <c r="C501" s="1082">
        <f>'Caract. produção'!D74</f>
        <v>6.27</v>
      </c>
      <c r="D501" s="1037" t="s">
        <v>1260</v>
      </c>
      <c r="E501" s="1037"/>
      <c r="F501" s="1037"/>
      <c r="G501" s="1073"/>
      <c r="H501" s="1074"/>
      <c r="I501" s="1074"/>
      <c r="J501" s="1075"/>
      <c r="K501" s="1076"/>
      <c r="L501" s="1077"/>
      <c r="X501" s="1025"/>
    </row>
    <row r="502" spans="1:24">
      <c r="A502" s="984"/>
      <c r="B502" s="1033" t="s">
        <v>1238</v>
      </c>
      <c r="C502" s="1082">
        <f>C500*C499*C501</f>
        <v>6019.2</v>
      </c>
      <c r="D502" s="1037" t="s">
        <v>1299</v>
      </c>
      <c r="E502" s="1082"/>
      <c r="F502" s="1037"/>
      <c r="G502" s="1073"/>
      <c r="H502" s="1074"/>
      <c r="I502" s="1074"/>
      <c r="J502" s="1075"/>
      <c r="K502" s="1076"/>
      <c r="L502" s="1077"/>
      <c r="X502" s="1025"/>
    </row>
    <row r="503" spans="1:24">
      <c r="A503" s="984"/>
      <c r="B503" s="1033" t="s">
        <v>1261</v>
      </c>
      <c r="C503" s="1082">
        <v>34</v>
      </c>
      <c r="D503" s="1037" t="s">
        <v>1241</v>
      </c>
      <c r="E503" s="1082"/>
      <c r="F503" s="1037"/>
      <c r="G503" s="1144" t="s">
        <v>1254</v>
      </c>
      <c r="H503" s="1074"/>
      <c r="I503" s="1074"/>
      <c r="J503" s="1075"/>
      <c r="K503" s="1076"/>
      <c r="L503" s="1077"/>
      <c r="X503" s="1025"/>
    </row>
    <row r="504" spans="1:24">
      <c r="A504" s="984"/>
      <c r="B504" s="1033" t="s">
        <v>1239</v>
      </c>
      <c r="C504" s="1082">
        <v>14</v>
      </c>
      <c r="D504" s="1037" t="s">
        <v>656</v>
      </c>
      <c r="E504" s="1082"/>
      <c r="F504" s="1037"/>
      <c r="G504" s="1144" t="s">
        <v>1254</v>
      </c>
      <c r="H504" s="1074"/>
      <c r="I504" s="1074"/>
      <c r="J504" s="1075"/>
      <c r="K504" s="1076"/>
      <c r="L504" s="1077"/>
      <c r="X504" s="1025"/>
    </row>
    <row r="505" spans="1:24">
      <c r="A505" s="984"/>
      <c r="B505" s="1033" t="s">
        <v>657</v>
      </c>
      <c r="C505" s="1036" t="s">
        <v>658</v>
      </c>
      <c r="D505" s="1037"/>
      <c r="E505" s="1082"/>
      <c r="F505" s="1037"/>
      <c r="G505" s="1073"/>
      <c r="H505" s="1074"/>
      <c r="I505" s="1074"/>
      <c r="J505" s="1075"/>
      <c r="K505" s="1076"/>
      <c r="L505" s="1077"/>
      <c r="X505" s="1025"/>
    </row>
    <row r="506" spans="1:24">
      <c r="A506" s="984"/>
      <c r="B506" s="1033" t="s">
        <v>657</v>
      </c>
      <c r="C506" s="1036" t="s">
        <v>1176</v>
      </c>
      <c r="D506" s="1037"/>
      <c r="E506" s="1082"/>
      <c r="F506" s="1037"/>
      <c r="G506" s="1073"/>
      <c r="H506" s="1074"/>
      <c r="I506" s="1074"/>
      <c r="J506" s="1075"/>
      <c r="K506" s="1076"/>
      <c r="L506" s="1077"/>
      <c r="X506" s="1025"/>
    </row>
    <row r="507" spans="1:24">
      <c r="A507" s="984"/>
      <c r="B507" s="1033" t="s">
        <v>608</v>
      </c>
      <c r="C507" s="1082">
        <f>C498*C504*1000000/C503</f>
        <v>1235294.1176470588</v>
      </c>
      <c r="D507" s="1037" t="s">
        <v>639</v>
      </c>
      <c r="E507" s="1082"/>
      <c r="F507" s="1037"/>
      <c r="G507" s="1073"/>
      <c r="H507" s="1074"/>
      <c r="I507" s="1074"/>
      <c r="J507" s="1075"/>
      <c r="K507" s="1076"/>
      <c r="L507" s="1077"/>
      <c r="X507" s="1025"/>
    </row>
    <row r="508" spans="1:24">
      <c r="A508" s="984"/>
      <c r="B508" s="1033" t="s">
        <v>584</v>
      </c>
      <c r="C508" s="1100">
        <f>I508*J508</f>
        <v>5092000000</v>
      </c>
      <c r="D508" s="1037" t="s">
        <v>640</v>
      </c>
      <c r="E508" s="1037"/>
      <c r="F508" s="1037"/>
      <c r="G508" s="1144" t="s">
        <v>1600</v>
      </c>
      <c r="H508" s="1074">
        <v>1.5829999999999999E+25</v>
      </c>
      <c r="I508" s="1074">
        <v>6700000000</v>
      </c>
      <c r="J508" s="1075">
        <v>0.76</v>
      </c>
      <c r="K508" s="1076"/>
      <c r="L508" s="1077"/>
      <c r="X508" s="1025"/>
    </row>
    <row r="509" spans="1:24">
      <c r="A509" s="984"/>
      <c r="B509" s="1033"/>
      <c r="C509" s="1037"/>
      <c r="D509" s="1037"/>
      <c r="E509" s="1082"/>
      <c r="F509" s="1037"/>
      <c r="G509" s="1073"/>
      <c r="H509" s="1074"/>
      <c r="I509" s="1074"/>
      <c r="J509" s="1075"/>
      <c r="K509" s="1076"/>
      <c r="L509" s="1077"/>
      <c r="X509" s="1025"/>
    </row>
    <row r="510" spans="1:24">
      <c r="A510" s="1106">
        <v>19.2</v>
      </c>
      <c r="B510" s="1113" t="s">
        <v>543</v>
      </c>
      <c r="C510" s="1033"/>
      <c r="D510" s="1037"/>
      <c r="E510" s="1037"/>
      <c r="F510" s="1037"/>
      <c r="G510" s="1073"/>
      <c r="H510" s="1074"/>
      <c r="I510" s="1074"/>
      <c r="J510" s="1075"/>
      <c r="K510" s="1076"/>
      <c r="L510" s="1077"/>
      <c r="X510" s="1025"/>
    </row>
    <row r="511" spans="1:24">
      <c r="A511" s="984"/>
      <c r="B511" s="1033" t="s">
        <v>1256</v>
      </c>
      <c r="C511" s="1112">
        <v>3</v>
      </c>
      <c r="D511" s="804"/>
      <c r="E511" s="1037"/>
      <c r="F511" s="1037"/>
      <c r="G511" s="1073"/>
      <c r="H511" s="1074"/>
      <c r="I511" s="1074"/>
      <c r="J511" s="1075"/>
      <c r="K511" s="1076"/>
      <c r="L511" s="1077"/>
      <c r="X511" s="1025"/>
    </row>
    <row r="512" spans="1:24">
      <c r="A512" s="984"/>
      <c r="B512" s="824" t="s">
        <v>1250</v>
      </c>
      <c r="C512" s="1112">
        <v>1</v>
      </c>
      <c r="D512" s="804" t="s">
        <v>1246</v>
      </c>
      <c r="E512" s="1037"/>
      <c r="F512" s="1037"/>
      <c r="G512" s="1073"/>
      <c r="H512" s="1074"/>
      <c r="I512" s="1074"/>
      <c r="J512" s="1075"/>
      <c r="K512" s="1076"/>
      <c r="L512" s="1077"/>
      <c r="X512" s="1025"/>
    </row>
    <row r="513" spans="1:24">
      <c r="A513" s="984"/>
      <c r="B513" s="1033" t="s">
        <v>1236</v>
      </c>
      <c r="C513" s="1082">
        <v>16</v>
      </c>
      <c r="D513" s="804" t="s">
        <v>1645</v>
      </c>
      <c r="E513" s="1037"/>
      <c r="F513" s="1037"/>
      <c r="G513" s="1073"/>
      <c r="H513" s="1074"/>
      <c r="I513" s="1074"/>
      <c r="J513" s="1075"/>
      <c r="K513" s="1076"/>
      <c r="L513" s="1077"/>
      <c r="X513" s="1025"/>
    </row>
    <row r="514" spans="1:24">
      <c r="A514" s="984"/>
      <c r="B514" s="1033" t="s">
        <v>1258</v>
      </c>
      <c r="C514" s="1123">
        <f>'Caract. produção'!D74</f>
        <v>6.27</v>
      </c>
      <c r="D514" s="804" t="s">
        <v>1249</v>
      </c>
      <c r="E514" s="1037"/>
      <c r="F514" s="1037"/>
      <c r="G514" s="1073"/>
      <c r="H514" s="1074"/>
      <c r="I514" s="1074"/>
      <c r="J514" s="1075"/>
      <c r="K514" s="1076"/>
      <c r="L514" s="1077"/>
      <c r="X514" s="1025"/>
    </row>
    <row r="515" spans="1:24">
      <c r="A515" s="984"/>
      <c r="B515" s="824" t="s">
        <v>1251</v>
      </c>
      <c r="C515" s="1082">
        <f>(C511*C512*C513)*C514</f>
        <v>300.95999999999998</v>
      </c>
      <c r="D515" s="804" t="s">
        <v>1646</v>
      </c>
      <c r="E515" s="1037"/>
      <c r="F515" s="1037"/>
      <c r="G515" s="1073"/>
      <c r="H515" s="1074"/>
      <c r="I515" s="1074"/>
      <c r="J515" s="1075"/>
      <c r="K515" s="1076"/>
      <c r="L515" s="1077"/>
      <c r="X515" s="1025"/>
    </row>
    <row r="516" spans="1:24">
      <c r="A516" s="984"/>
      <c r="B516" s="1033" t="s">
        <v>1252</v>
      </c>
      <c r="C516" s="1082">
        <f>C515/24</f>
        <v>12.54</v>
      </c>
      <c r="D516" s="1037" t="s">
        <v>1528</v>
      </c>
      <c r="E516" s="1037"/>
      <c r="F516" s="1037"/>
      <c r="G516" s="1073"/>
      <c r="H516" s="1074"/>
      <c r="I516" s="1074"/>
      <c r="J516" s="1075"/>
      <c r="K516" s="1076"/>
      <c r="L516" s="1077"/>
      <c r="X516" s="1025"/>
    </row>
    <row r="517" spans="1:24">
      <c r="A517" s="984"/>
      <c r="B517" s="887" t="s">
        <v>604</v>
      </c>
      <c r="C517" s="870" t="s">
        <v>664</v>
      </c>
      <c r="D517" s="1037"/>
      <c r="E517" s="1037"/>
      <c r="F517" s="1037"/>
      <c r="G517" s="1073"/>
      <c r="H517" s="1074"/>
      <c r="I517" s="1074"/>
      <c r="J517" s="1075"/>
      <c r="K517" s="1076"/>
      <c r="L517" s="1077"/>
      <c r="X517" s="1025"/>
    </row>
    <row r="518" spans="1:24">
      <c r="A518" s="984"/>
      <c r="B518" s="887" t="s">
        <v>604</v>
      </c>
      <c r="C518" s="870" t="s">
        <v>665</v>
      </c>
      <c r="D518" s="1037"/>
      <c r="E518" s="1037"/>
      <c r="F518" s="1037"/>
      <c r="G518" s="1073"/>
      <c r="H518" s="1074"/>
      <c r="I518" s="1074"/>
      <c r="J518" s="1075"/>
      <c r="K518" s="1076"/>
      <c r="L518" s="1077"/>
      <c r="X518" s="1025"/>
    </row>
    <row r="519" spans="1:24">
      <c r="A519" s="984"/>
      <c r="B519" s="824" t="s">
        <v>604</v>
      </c>
      <c r="C519" s="1082">
        <f>(C516)*2500*4186</f>
        <v>131231099.99999999</v>
      </c>
      <c r="D519" s="1037" t="s">
        <v>583</v>
      </c>
      <c r="E519" s="1037"/>
      <c r="F519" s="1037"/>
      <c r="G519" s="1073"/>
      <c r="H519" s="1074"/>
      <c r="I519" s="1074"/>
      <c r="J519" s="1075"/>
      <c r="K519" s="1076"/>
      <c r="L519" s="1077"/>
      <c r="X519" s="1025"/>
    </row>
    <row r="520" spans="1:24">
      <c r="A520" s="984"/>
      <c r="B520" s="1088" t="s">
        <v>584</v>
      </c>
      <c r="C520" s="1100">
        <f>I520*J520</f>
        <v>31222.812953117449</v>
      </c>
      <c r="D520" s="1037" t="s">
        <v>585</v>
      </c>
      <c r="E520" s="1037"/>
      <c r="F520" s="1037"/>
      <c r="G520" s="1073" t="s">
        <v>1468</v>
      </c>
      <c r="H520" s="1074">
        <v>1.5829999999999999E+25</v>
      </c>
      <c r="I520" s="1074">
        <v>41082.64862252296</v>
      </c>
      <c r="J520" s="1075">
        <v>0.76</v>
      </c>
      <c r="K520" s="1076">
        <v>5</v>
      </c>
      <c r="L520" s="1077" t="s">
        <v>1634</v>
      </c>
      <c r="X520" s="1025"/>
    </row>
    <row r="521" spans="1:24">
      <c r="A521" s="984"/>
      <c r="B521" s="1033"/>
      <c r="C521" s="1033"/>
      <c r="D521" s="1037"/>
      <c r="E521" s="1037"/>
      <c r="F521" s="1037"/>
      <c r="G521" s="1073"/>
      <c r="H521" s="1074"/>
      <c r="I521" s="1074"/>
      <c r="J521" s="1075"/>
      <c r="K521" s="1076"/>
      <c r="L521" s="1077"/>
      <c r="X521" s="1025"/>
    </row>
    <row r="522" spans="1:24">
      <c r="A522" s="1106">
        <v>19.3</v>
      </c>
      <c r="B522" s="1113" t="s">
        <v>1242</v>
      </c>
      <c r="C522" s="804"/>
      <c r="D522" s="1037"/>
      <c r="E522" s="1037"/>
      <c r="F522" s="1037"/>
      <c r="G522" s="1073"/>
      <c r="H522" s="1074"/>
      <c r="I522" s="1074"/>
      <c r="J522" s="1075"/>
      <c r="K522" s="1076"/>
      <c r="L522" s="1077"/>
      <c r="X522" s="1025"/>
    </row>
    <row r="523" spans="1:24">
      <c r="A523" s="984"/>
      <c r="B523" s="1033" t="s">
        <v>1237</v>
      </c>
      <c r="C523" s="1082">
        <f>(8*60)+(1*60)+(7*60)</f>
        <v>960</v>
      </c>
      <c r="D523" s="1037" t="s">
        <v>1240</v>
      </c>
      <c r="E523" s="1037"/>
      <c r="F523" s="1037"/>
      <c r="G523" s="1073" t="s">
        <v>1491</v>
      </c>
      <c r="H523" s="1074"/>
      <c r="I523" s="1074"/>
      <c r="J523" s="1075"/>
      <c r="K523" s="1076"/>
      <c r="L523" s="1077"/>
      <c r="X523" s="1025"/>
    </row>
    <row r="524" spans="1:24">
      <c r="A524" s="984"/>
      <c r="B524" s="1033" t="s">
        <v>1248</v>
      </c>
      <c r="C524" s="1082">
        <v>0.1</v>
      </c>
      <c r="D524" s="1037" t="s">
        <v>1243</v>
      </c>
      <c r="E524" s="1037"/>
      <c r="F524" s="1037"/>
      <c r="G524" s="1073"/>
      <c r="H524" s="1074"/>
      <c r="I524" s="1074"/>
      <c r="J524" s="1075"/>
      <c r="K524" s="1076"/>
      <c r="L524" s="1077"/>
      <c r="X524" s="1025"/>
    </row>
    <row r="525" spans="1:24">
      <c r="A525" s="984"/>
      <c r="B525" s="1033" t="s">
        <v>1247</v>
      </c>
      <c r="C525" s="1112">
        <f>'Caract. produção'!D74</f>
        <v>6.27</v>
      </c>
      <c r="D525" s="1037" t="s">
        <v>1249</v>
      </c>
      <c r="E525" s="1037"/>
      <c r="F525" s="1037"/>
      <c r="G525" s="1073"/>
      <c r="H525" s="1074"/>
      <c r="I525" s="1074"/>
      <c r="J525" s="1075"/>
      <c r="K525" s="1076"/>
      <c r="L525" s="1077"/>
      <c r="X525" s="1025"/>
    </row>
    <row r="526" spans="1:24">
      <c r="A526" s="984"/>
      <c r="B526" s="1033" t="s">
        <v>619</v>
      </c>
      <c r="C526" s="1082">
        <f>C523*C524*C525</f>
        <v>601.91999999999996</v>
      </c>
      <c r="D526" s="945" t="s">
        <v>620</v>
      </c>
      <c r="E526" s="1037"/>
      <c r="F526" s="1037"/>
      <c r="G526" s="1079"/>
      <c r="H526" s="1074"/>
      <c r="I526" s="1074"/>
      <c r="J526" s="1075"/>
      <c r="K526" s="1076"/>
      <c r="L526" s="1077"/>
      <c r="X526" s="1025"/>
    </row>
    <row r="527" spans="1:24">
      <c r="A527" s="984"/>
      <c r="B527" s="1033" t="s">
        <v>604</v>
      </c>
      <c r="C527" s="1082" t="s">
        <v>621</v>
      </c>
      <c r="D527" s="945"/>
      <c r="E527" s="1037"/>
      <c r="F527" s="1037"/>
      <c r="G527" s="1079"/>
      <c r="H527" s="1074"/>
      <c r="I527" s="1074"/>
      <c r="J527" s="1075"/>
      <c r="K527" s="1076"/>
      <c r="L527" s="1077"/>
      <c r="X527" s="1025"/>
    </row>
    <row r="528" spans="1:24">
      <c r="A528" s="984"/>
      <c r="B528" s="1033" t="s">
        <v>613</v>
      </c>
      <c r="C528" s="1036" t="s">
        <v>622</v>
      </c>
      <c r="D528" s="1037"/>
      <c r="E528" s="1037"/>
      <c r="F528" s="1037"/>
      <c r="G528" s="1079"/>
      <c r="H528" s="1074"/>
      <c r="I528" s="1074"/>
      <c r="J528" s="1075"/>
      <c r="K528" s="1076"/>
      <c r="L528" s="1077"/>
      <c r="X528" s="1025"/>
    </row>
    <row r="529" spans="1:24">
      <c r="A529" s="984"/>
      <c r="B529" s="1033" t="s">
        <v>615</v>
      </c>
      <c r="C529" s="1082">
        <f>C526*11400*4186</f>
        <v>28723863167.999996</v>
      </c>
      <c r="D529" s="1037" t="s">
        <v>583</v>
      </c>
      <c r="E529" s="1037"/>
      <c r="F529" s="1037"/>
      <c r="G529" s="1079"/>
      <c r="H529" s="1074"/>
      <c r="I529" s="1074"/>
      <c r="J529" s="1075"/>
      <c r="K529" s="1076"/>
      <c r="L529" s="1077"/>
      <c r="X529" s="1025"/>
    </row>
    <row r="530" spans="1:24">
      <c r="A530" s="984"/>
      <c r="B530" s="1033" t="s">
        <v>584</v>
      </c>
      <c r="C530" s="1100">
        <f>I530*J530</f>
        <v>140970</v>
      </c>
      <c r="D530" s="1037" t="s">
        <v>585</v>
      </c>
      <c r="E530" s="1037"/>
      <c r="F530" s="1037"/>
      <c r="G530" s="1084" t="s">
        <v>1601</v>
      </c>
      <c r="H530" s="1074">
        <v>9.4399999999999998E+24</v>
      </c>
      <c r="I530" s="1074">
        <v>111000</v>
      </c>
      <c r="J530" s="1075">
        <v>1.27</v>
      </c>
      <c r="K530" s="1076"/>
      <c r="L530" s="1077"/>
      <c r="X530" s="1025"/>
    </row>
    <row r="531" spans="1:24">
      <c r="A531" s="984"/>
      <c r="B531" s="1033"/>
      <c r="C531" s="1033"/>
      <c r="D531" s="1037"/>
      <c r="E531" s="1037"/>
      <c r="F531" s="1037"/>
      <c r="G531" s="1073"/>
      <c r="H531" s="1074"/>
      <c r="I531" s="1074"/>
      <c r="J531" s="1075"/>
      <c r="K531" s="1076"/>
      <c r="L531" s="1077"/>
      <c r="X531" s="1025"/>
    </row>
    <row r="532" spans="1:24" ht="15">
      <c r="A532" s="984">
        <v>20</v>
      </c>
      <c r="B532" s="1125" t="s">
        <v>543</v>
      </c>
      <c r="C532" s="1037"/>
      <c r="D532" s="1037"/>
      <c r="E532" s="1037"/>
      <c r="F532" s="1037"/>
      <c r="G532" s="1073"/>
      <c r="H532" s="1074"/>
      <c r="I532" s="1074"/>
      <c r="J532" s="1075"/>
      <c r="K532" s="1076"/>
      <c r="L532" s="1077"/>
      <c r="X532" s="1025"/>
    </row>
    <row r="533" spans="1:24" ht="15">
      <c r="A533" s="984"/>
      <c r="B533" s="1033" t="s">
        <v>1593</v>
      </c>
      <c r="C533" s="1037">
        <v>1</v>
      </c>
      <c r="D533" s="1037"/>
      <c r="E533" s="1037"/>
      <c r="F533" s="1037"/>
      <c r="G533" s="1073"/>
      <c r="H533" s="1074"/>
      <c r="I533" s="1074"/>
      <c r="J533" s="1075"/>
      <c r="K533" s="1076"/>
      <c r="L533" s="1077"/>
      <c r="M533" s="1099"/>
      <c r="X533" s="1025"/>
    </row>
    <row r="534" spans="1:24">
      <c r="A534" s="984"/>
      <c r="B534" s="1033" t="s">
        <v>1594</v>
      </c>
      <c r="C534" s="1037" t="b">
        <f>IF('Caract. produção'!D142&gt;0,1)</f>
        <v>0</v>
      </c>
      <c r="D534" s="1037"/>
      <c r="E534" s="1037"/>
      <c r="F534" s="1082"/>
      <c r="G534" s="1073"/>
      <c r="H534" s="1074"/>
      <c r="I534" s="1074"/>
      <c r="J534" s="1075"/>
      <c r="K534" s="1076"/>
      <c r="L534" s="1077"/>
      <c r="X534" s="1025"/>
    </row>
    <row r="535" spans="1:24">
      <c r="A535" s="984"/>
      <c r="B535" s="1033" t="s">
        <v>1595</v>
      </c>
      <c r="C535" s="1037" t="b">
        <f>IF('Caract. produção'!D143&gt;0,1)</f>
        <v>0</v>
      </c>
      <c r="D535" s="1037"/>
      <c r="E535" s="1037"/>
      <c r="F535" s="1082"/>
      <c r="G535" s="1073"/>
      <c r="H535" s="1074"/>
      <c r="I535" s="1074"/>
      <c r="J535" s="1075"/>
      <c r="K535" s="1076"/>
      <c r="L535" s="1077"/>
      <c r="X535" s="1025"/>
    </row>
    <row r="536" spans="1:24">
      <c r="A536" s="984"/>
      <c r="B536" s="1033" t="s">
        <v>1596</v>
      </c>
      <c r="C536" s="1037" t="b">
        <f>IF('Caract. produção'!D144&gt;0,1)</f>
        <v>0</v>
      </c>
      <c r="D536" s="1037"/>
      <c r="E536" s="1037"/>
      <c r="F536" s="1082"/>
      <c r="G536" s="1073"/>
      <c r="H536" s="1074"/>
      <c r="I536" s="1074"/>
      <c r="J536" s="1075"/>
      <c r="K536" s="1076"/>
      <c r="L536" s="1077"/>
      <c r="X536" s="1025"/>
    </row>
    <row r="537" spans="1:24">
      <c r="A537" s="984"/>
      <c r="B537" s="1033" t="s">
        <v>1597</v>
      </c>
      <c r="C537" s="1037" t="b">
        <f>IF('Caract. produção'!D145&gt;0,1)</f>
        <v>0</v>
      </c>
      <c r="D537" s="1037"/>
      <c r="E537" s="1037"/>
      <c r="F537" s="1037"/>
      <c r="G537" s="1073"/>
      <c r="H537" s="1074"/>
      <c r="I537" s="1074"/>
      <c r="J537" s="1075"/>
      <c r="K537" s="1076"/>
      <c r="L537" s="1077"/>
      <c r="M537" s="804" t="s">
        <v>1016</v>
      </c>
      <c r="X537" s="1025"/>
    </row>
    <row r="538" spans="1:24">
      <c r="A538" s="984"/>
      <c r="B538" s="1033" t="s">
        <v>1598</v>
      </c>
      <c r="C538" s="1037" t="b">
        <f>IF('Caract. produção'!D146&gt;0,1)</f>
        <v>0</v>
      </c>
      <c r="D538" s="1037"/>
      <c r="E538" s="1037"/>
      <c r="F538" s="1037"/>
      <c r="G538" s="1073"/>
      <c r="H538" s="1074"/>
      <c r="I538" s="1074"/>
      <c r="J538" s="1075"/>
      <c r="K538" s="1076"/>
      <c r="L538" s="1077"/>
      <c r="X538" s="1025"/>
    </row>
    <row r="539" spans="1:24">
      <c r="A539" s="984"/>
      <c r="B539" s="1033" t="s">
        <v>1522</v>
      </c>
      <c r="C539" s="1129">
        <f>'Caract. produção'!D77</f>
        <v>42</v>
      </c>
      <c r="D539" s="1037" t="s">
        <v>1514</v>
      </c>
      <c r="E539" s="1037"/>
      <c r="F539" s="1037"/>
      <c r="G539" s="1073"/>
      <c r="H539" s="1074"/>
      <c r="I539" s="1074"/>
      <c r="J539" s="1075"/>
      <c r="K539" s="1076"/>
      <c r="L539" s="1077"/>
      <c r="X539" s="1025"/>
    </row>
    <row r="540" spans="1:24">
      <c r="A540" s="984"/>
      <c r="B540" s="1033" t="s">
        <v>1522</v>
      </c>
      <c r="C540" s="1146">
        <f>C539/7</f>
        <v>6</v>
      </c>
      <c r="D540" s="1037" t="s">
        <v>1515</v>
      </c>
      <c r="E540" s="1037"/>
      <c r="F540" s="1037"/>
      <c r="G540" s="1073"/>
      <c r="H540" s="1074"/>
      <c r="I540" s="1074"/>
      <c r="J540" s="1075"/>
      <c r="K540" s="1076"/>
      <c r="L540" s="1077"/>
      <c r="X540" s="1025"/>
    </row>
    <row r="541" spans="1:24">
      <c r="A541" s="984"/>
      <c r="B541" s="1033" t="s">
        <v>1516</v>
      </c>
      <c r="C541" s="1129">
        <v>3</v>
      </c>
      <c r="D541" s="1037" t="s">
        <v>1517</v>
      </c>
      <c r="E541" s="1037"/>
      <c r="F541" s="1037"/>
      <c r="G541" s="1073"/>
      <c r="H541" s="1074"/>
      <c r="I541" s="1074"/>
      <c r="J541" s="1075"/>
      <c r="K541" s="1076"/>
      <c r="L541" s="1077"/>
      <c r="X541" s="1025"/>
    </row>
    <row r="542" spans="1:24">
      <c r="A542" s="984"/>
      <c r="B542" s="1033" t="s">
        <v>1520</v>
      </c>
      <c r="C542" s="1129">
        <v>3</v>
      </c>
      <c r="D542" s="1037" t="s">
        <v>1519</v>
      </c>
      <c r="E542" s="1037"/>
      <c r="F542" s="1037"/>
      <c r="G542" s="1073"/>
      <c r="H542" s="1074"/>
      <c r="I542" s="1074"/>
      <c r="J542" s="1075"/>
      <c r="K542" s="1076"/>
      <c r="L542" s="1077"/>
      <c r="X542" s="1025"/>
    </row>
    <row r="543" spans="1:24">
      <c r="A543" s="984"/>
      <c r="B543" s="1033" t="s">
        <v>1521</v>
      </c>
      <c r="C543" s="1147">
        <f>'Caract. produção'!D74</f>
        <v>6.27</v>
      </c>
      <c r="D543" s="1037" t="s">
        <v>1249</v>
      </c>
      <c r="E543" s="1037"/>
      <c r="F543" s="1037"/>
      <c r="G543" s="1073"/>
      <c r="H543" s="1074"/>
      <c r="I543" s="1074"/>
      <c r="J543" s="1075"/>
      <c r="K543" s="1076"/>
      <c r="L543" s="1077"/>
      <c r="X543" s="1025"/>
    </row>
    <row r="544" spans="1:24">
      <c r="A544" s="984"/>
      <c r="B544" s="1033" t="s">
        <v>1008</v>
      </c>
      <c r="C544" s="1037" t="s">
        <v>1494</v>
      </c>
      <c r="D544" s="1037"/>
      <c r="E544" s="1037"/>
      <c r="F544" s="1037"/>
      <c r="G544" s="1073"/>
      <c r="H544" s="1074"/>
      <c r="I544" s="1074"/>
      <c r="J544" s="1075"/>
      <c r="K544" s="1076"/>
      <c r="L544" s="1077"/>
      <c r="X544" s="1025"/>
    </row>
    <row r="545" spans="1:24">
      <c r="A545" s="984"/>
      <c r="B545" s="1033" t="s">
        <v>608</v>
      </c>
      <c r="C545" s="1082" t="s">
        <v>1495</v>
      </c>
      <c r="D545" s="1037"/>
      <c r="E545" s="1037"/>
      <c r="F545" s="1037"/>
      <c r="G545" s="1073"/>
      <c r="H545" s="1074"/>
      <c r="I545" s="1074"/>
      <c r="J545" s="1075"/>
      <c r="K545" s="1076"/>
      <c r="L545" s="1077"/>
      <c r="X545" s="1025"/>
    </row>
    <row r="546" spans="1:24">
      <c r="A546" s="984"/>
      <c r="B546" s="1033"/>
      <c r="C546" s="1082">
        <f>IF('Caract. produção'!G47=3,(SUM(C533:C538)*C540*C541*C542*C543/24),IF('Caract. produção'!G47=1,0,IF('Caract. produção'!G47=2,(SUM(C533:C538))*C540*C541*C542*C543/24)))</f>
        <v>14.1075</v>
      </c>
      <c r="D546" s="1037" t="s">
        <v>1528</v>
      </c>
      <c r="E546" s="1037"/>
      <c r="F546" s="1037"/>
      <c r="G546" s="1073"/>
      <c r="H546" s="1074"/>
      <c r="I546" s="1074"/>
      <c r="J546" s="1075"/>
      <c r="K546" s="1076"/>
      <c r="L546" s="1077"/>
      <c r="X546" s="1025"/>
    </row>
    <row r="547" spans="1:24">
      <c r="A547" s="984"/>
      <c r="B547" s="887" t="s">
        <v>604</v>
      </c>
      <c r="C547" s="870" t="s">
        <v>1518</v>
      </c>
      <c r="D547" s="1037"/>
      <c r="E547" s="1037"/>
      <c r="F547" s="1037"/>
      <c r="G547" s="1073"/>
      <c r="H547" s="1074"/>
      <c r="I547" s="1074"/>
      <c r="J547" s="1075"/>
      <c r="K547" s="1076"/>
      <c r="L547" s="1077"/>
      <c r="X547" s="1025"/>
    </row>
    <row r="548" spans="1:24">
      <c r="A548" s="984"/>
      <c r="B548" s="887" t="s">
        <v>604</v>
      </c>
      <c r="C548" s="870" t="s">
        <v>665</v>
      </c>
      <c r="D548" s="1037"/>
      <c r="E548" s="1037"/>
      <c r="F548" s="1037"/>
      <c r="G548" s="1073"/>
      <c r="H548" s="1074"/>
      <c r="I548" s="1074"/>
      <c r="J548" s="1075"/>
      <c r="K548" s="1076"/>
      <c r="L548" s="1077"/>
      <c r="X548" s="1025"/>
    </row>
    <row r="549" spans="1:24">
      <c r="A549" s="984"/>
      <c r="B549" s="824" t="s">
        <v>604</v>
      </c>
      <c r="C549" s="1112">
        <f>C546*2500*4186</f>
        <v>147634987.5</v>
      </c>
      <c r="D549" s="1037" t="s">
        <v>583</v>
      </c>
      <c r="E549" s="1037"/>
      <c r="F549" s="1037"/>
      <c r="G549" s="1073"/>
      <c r="H549" s="1074"/>
      <c r="I549" s="1074"/>
      <c r="J549" s="1075"/>
      <c r="K549" s="1076"/>
      <c r="L549" s="1077"/>
      <c r="X549" s="1025"/>
    </row>
    <row r="550" spans="1:24">
      <c r="A550" s="984"/>
      <c r="B550" s="1088" t="s">
        <v>584</v>
      </c>
      <c r="C550" s="1100">
        <f>I550*J550</f>
        <v>31222.812953117449</v>
      </c>
      <c r="D550" s="1037" t="s">
        <v>585</v>
      </c>
      <c r="E550" s="1087"/>
      <c r="F550" s="1087"/>
      <c r="G550" s="1073" t="s">
        <v>1468</v>
      </c>
      <c r="H550" s="1074">
        <v>1.5829999999999999E+25</v>
      </c>
      <c r="I550" s="1074">
        <v>41082.64862252296</v>
      </c>
      <c r="J550" s="1075">
        <v>0.76</v>
      </c>
      <c r="K550" s="1076">
        <v>5</v>
      </c>
      <c r="L550" s="1077" t="s">
        <v>1634</v>
      </c>
      <c r="X550" s="1025"/>
    </row>
    <row r="551" spans="1:24">
      <c r="A551" s="984"/>
      <c r="B551" s="1033"/>
      <c r="C551" s="1033"/>
      <c r="D551" s="1037"/>
      <c r="E551" s="1037"/>
      <c r="F551" s="1037"/>
      <c r="G551" s="1073"/>
      <c r="H551" s="1074"/>
      <c r="I551" s="1074"/>
      <c r="J551" s="1075"/>
      <c r="K551" s="1076"/>
      <c r="L551" s="1077"/>
      <c r="X551" s="1025"/>
    </row>
    <row r="552" spans="1:24">
      <c r="A552" s="984"/>
      <c r="B552" s="1033" t="s">
        <v>1592</v>
      </c>
      <c r="C552" s="1049" t="s">
        <v>1009</v>
      </c>
      <c r="D552" s="1037"/>
      <c r="E552" s="1037"/>
      <c r="F552" s="1037"/>
      <c r="G552" s="1073"/>
      <c r="H552" s="1074"/>
      <c r="I552" s="1074"/>
      <c r="J552" s="1075"/>
      <c r="K552" s="1076"/>
      <c r="L552" s="1077"/>
      <c r="M552" s="804" t="s">
        <v>1257</v>
      </c>
      <c r="X552" s="1025"/>
    </row>
    <row r="553" spans="1:24">
      <c r="A553" s="984"/>
      <c r="B553" s="1033"/>
      <c r="C553" s="1049" t="s">
        <v>1010</v>
      </c>
      <c r="D553" s="1037"/>
      <c r="E553" s="1037"/>
      <c r="F553" s="1037"/>
      <c r="G553" s="1073"/>
      <c r="H553" s="1074"/>
      <c r="I553" s="1074"/>
      <c r="J553" s="1075"/>
      <c r="K553" s="1076"/>
      <c r="L553" s="1077"/>
      <c r="X553" s="1025"/>
    </row>
    <row r="554" spans="1:24">
      <c r="A554" s="984"/>
      <c r="B554" s="1033" t="s">
        <v>608</v>
      </c>
      <c r="C554" s="1049" t="s">
        <v>1011</v>
      </c>
      <c r="D554" s="1037"/>
      <c r="E554" s="1037"/>
      <c r="F554" s="1037"/>
      <c r="G554" s="1073"/>
      <c r="H554" s="1074"/>
      <c r="I554" s="1074"/>
      <c r="J554" s="1075"/>
      <c r="K554" s="1076"/>
      <c r="L554" s="1077"/>
      <c r="X554" s="1025"/>
    </row>
    <row r="555" spans="1:24">
      <c r="A555" s="984"/>
      <c r="B555" s="1033"/>
      <c r="C555" s="1049" t="s">
        <v>1012</v>
      </c>
      <c r="D555" s="1037"/>
      <c r="E555" s="1037"/>
      <c r="F555" s="1037"/>
      <c r="G555" s="1073"/>
      <c r="H555" s="1074"/>
      <c r="I555" s="1074"/>
      <c r="J555" s="1075"/>
      <c r="K555" s="1076"/>
      <c r="L555" s="1077"/>
      <c r="M555" s="1080"/>
      <c r="X555" s="1025"/>
    </row>
    <row r="556" spans="1:24">
      <c r="A556" s="984"/>
      <c r="B556" s="1033" t="s">
        <v>1255</v>
      </c>
      <c r="C556" s="1112" t="b">
        <f>IF(Trabalho!E10&gt;0,1)</f>
        <v>0</v>
      </c>
      <c r="D556" s="1037"/>
      <c r="E556" s="1037"/>
      <c r="F556" s="1037"/>
      <c r="G556" s="1073"/>
      <c r="H556" s="1074"/>
      <c r="I556" s="1074"/>
      <c r="J556" s="1075"/>
      <c r="K556" s="1076"/>
      <c r="L556" s="1077"/>
      <c r="M556" s="1080"/>
      <c r="X556" s="1025"/>
    </row>
    <row r="557" spans="1:24">
      <c r="A557" s="984"/>
      <c r="B557" s="1033" t="s">
        <v>1255</v>
      </c>
      <c r="C557" s="1112" t="b">
        <f>IF(Trabalho!E11&gt;0,1)</f>
        <v>0</v>
      </c>
      <c r="D557" s="804"/>
      <c r="E557" s="1037"/>
      <c r="F557" s="1037"/>
      <c r="G557" s="1073"/>
      <c r="H557" s="1074"/>
      <c r="I557" s="1074"/>
      <c r="J557" s="1075"/>
      <c r="K557" s="1076"/>
      <c r="L557" s="1077"/>
      <c r="X557" s="1025"/>
    </row>
    <row r="558" spans="1:24">
      <c r="A558" s="984"/>
      <c r="B558" s="1033" t="s">
        <v>1255</v>
      </c>
      <c r="C558" s="1112" t="b">
        <f>IF(Trabalho!E12&gt;0,1)</f>
        <v>0</v>
      </c>
      <c r="D558" s="804"/>
      <c r="E558" s="1037"/>
      <c r="F558" s="1037"/>
      <c r="G558" s="1073"/>
      <c r="H558" s="1074"/>
      <c r="I558" s="1074"/>
      <c r="J558" s="1075"/>
      <c r="K558" s="1076"/>
      <c r="L558" s="1077"/>
      <c r="X558" s="1025"/>
    </row>
    <row r="559" spans="1:24">
      <c r="A559" s="984"/>
      <c r="B559" s="1033" t="s">
        <v>1255</v>
      </c>
      <c r="C559" s="1112" t="b">
        <f>IF(Trabalho!E13&gt;0,1)</f>
        <v>0</v>
      </c>
      <c r="D559" s="804"/>
      <c r="E559" s="1037"/>
      <c r="F559" s="1037"/>
      <c r="G559" s="1073"/>
      <c r="H559" s="1074"/>
      <c r="I559" s="1074"/>
      <c r="J559" s="1075"/>
      <c r="K559" s="1076"/>
      <c r="L559" s="1077"/>
      <c r="X559" s="1025"/>
    </row>
    <row r="560" spans="1:24">
      <c r="A560" s="984"/>
      <c r="B560" s="1033" t="s">
        <v>1255</v>
      </c>
      <c r="C560" s="1082">
        <f>((SUM(C556,C557,C558,C559)*(365-30)*8)/24)/C110</f>
        <v>0</v>
      </c>
      <c r="D560" s="1037" t="s">
        <v>1180</v>
      </c>
      <c r="E560" s="1037"/>
      <c r="F560" s="1037"/>
      <c r="G560" s="1073"/>
      <c r="H560" s="1074"/>
      <c r="I560" s="1074"/>
      <c r="J560" s="1075"/>
      <c r="K560" s="1076"/>
      <c r="L560" s="1077"/>
      <c r="X560" s="1025"/>
    </row>
    <row r="561" spans="1:24">
      <c r="A561" s="984"/>
      <c r="B561" s="887" t="s">
        <v>604</v>
      </c>
      <c r="C561" s="870" t="s">
        <v>664</v>
      </c>
      <c r="D561" s="1037"/>
      <c r="E561" s="1037"/>
      <c r="F561" s="1037"/>
      <c r="G561" s="1073"/>
      <c r="H561" s="1074"/>
      <c r="I561" s="1074"/>
      <c r="J561" s="1075"/>
      <c r="K561" s="1076"/>
      <c r="L561" s="1077"/>
      <c r="X561" s="1025"/>
    </row>
    <row r="562" spans="1:24">
      <c r="A562" s="984"/>
      <c r="B562" s="887" t="s">
        <v>604</v>
      </c>
      <c r="C562" s="870" t="s">
        <v>665</v>
      </c>
      <c r="D562" s="1037"/>
      <c r="E562" s="1037"/>
      <c r="F562" s="1037"/>
      <c r="G562" s="1073"/>
      <c r="H562" s="1074"/>
      <c r="I562" s="1074"/>
      <c r="J562" s="1075"/>
      <c r="K562" s="1076"/>
      <c r="L562" s="1077"/>
      <c r="X562" s="1025"/>
    </row>
    <row r="563" spans="1:24">
      <c r="A563" s="984"/>
      <c r="B563" s="824" t="s">
        <v>604</v>
      </c>
      <c r="C563" s="1082">
        <f>(C560)*2500*4186</f>
        <v>0</v>
      </c>
      <c r="D563" s="1037" t="s">
        <v>583</v>
      </c>
      <c r="E563" s="1037"/>
      <c r="F563" s="1037"/>
      <c r="G563" s="1073"/>
      <c r="H563" s="1074"/>
      <c r="I563" s="1074"/>
      <c r="J563" s="1075"/>
      <c r="K563" s="1076"/>
      <c r="L563" s="1077"/>
      <c r="X563" s="1025"/>
    </row>
    <row r="564" spans="1:24">
      <c r="A564" s="984"/>
      <c r="B564" s="1088" t="s">
        <v>584</v>
      </c>
      <c r="C564" s="1100">
        <f>I564*J564</f>
        <v>31222.812953117449</v>
      </c>
      <c r="D564" s="1037" t="s">
        <v>585</v>
      </c>
      <c r="E564" s="1087"/>
      <c r="F564" s="1087"/>
      <c r="G564" s="1073" t="s">
        <v>1468</v>
      </c>
      <c r="H564" s="1074">
        <v>1.5829999999999999E+25</v>
      </c>
      <c r="I564" s="1074">
        <v>41082.64862252296</v>
      </c>
      <c r="J564" s="1075">
        <v>0.76</v>
      </c>
      <c r="K564" s="1076">
        <v>5</v>
      </c>
      <c r="L564" s="1077" t="s">
        <v>1634</v>
      </c>
      <c r="X564" s="1025"/>
    </row>
    <row r="565" spans="1:24">
      <c r="A565" s="984"/>
      <c r="B565" s="1033" t="s">
        <v>766</v>
      </c>
      <c r="C565" s="1033">
        <v>0</v>
      </c>
      <c r="D565" s="1037"/>
      <c r="E565" s="1037"/>
      <c r="F565" s="1037"/>
      <c r="G565" s="1073"/>
      <c r="H565" s="1074"/>
      <c r="I565" s="1074"/>
      <c r="J565" s="1075"/>
      <c r="K565" s="1076"/>
      <c r="L565" s="1077"/>
      <c r="X565" s="1025"/>
    </row>
    <row r="566" spans="1:24">
      <c r="A566" s="984"/>
      <c r="B566" s="824"/>
      <c r="C566" s="824"/>
      <c r="D566" s="824"/>
      <c r="E566" s="1037"/>
      <c r="F566" s="1037"/>
      <c r="G566" s="1073"/>
      <c r="H566" s="1074"/>
      <c r="I566" s="1074"/>
      <c r="J566" s="1075"/>
      <c r="K566" s="1076"/>
      <c r="L566" s="1077"/>
      <c r="X566" s="1025"/>
    </row>
    <row r="567" spans="1:24">
      <c r="A567" s="984"/>
      <c r="B567" s="824" t="s">
        <v>1599</v>
      </c>
      <c r="C567" s="824">
        <v>0</v>
      </c>
      <c r="D567" s="1037" t="s">
        <v>1003</v>
      </c>
      <c r="E567" s="1037"/>
      <c r="F567" s="1037"/>
      <c r="G567" s="1073"/>
      <c r="H567" s="1074"/>
      <c r="I567" s="1074"/>
      <c r="J567" s="1075"/>
      <c r="K567" s="1076"/>
      <c r="L567" s="1077"/>
      <c r="X567" s="1025"/>
    </row>
    <row r="568" spans="1:24">
      <c r="A568" s="984"/>
      <c r="B568" s="824" t="s">
        <v>1013</v>
      </c>
      <c r="C568" s="824">
        <f>'Caract. produção'!G133</f>
        <v>0</v>
      </c>
      <c r="D568" s="1037" t="s">
        <v>1004</v>
      </c>
      <c r="E568" s="1037"/>
      <c r="F568" s="1037"/>
      <c r="G568" s="1073"/>
      <c r="H568" s="1074"/>
      <c r="I568" s="1074"/>
      <c r="J568" s="1075"/>
      <c r="K568" s="1076"/>
      <c r="L568" s="1077"/>
      <c r="X568" s="1025"/>
    </row>
    <row r="569" spans="1:24">
      <c r="A569" s="984"/>
      <c r="B569" s="824" t="s">
        <v>1007</v>
      </c>
      <c r="C569" s="804" t="s">
        <v>1005</v>
      </c>
      <c r="D569" s="1037"/>
      <c r="E569" s="1037"/>
      <c r="F569" s="1037"/>
      <c r="G569" s="1073"/>
      <c r="H569" s="1074"/>
      <c r="I569" s="1074"/>
      <c r="J569" s="1075"/>
      <c r="K569" s="1076"/>
      <c r="L569" s="1077"/>
      <c r="X569" s="1025"/>
    </row>
    <row r="570" spans="1:24">
      <c r="A570" s="984"/>
      <c r="B570" s="824"/>
      <c r="C570" s="804" t="s">
        <v>1006</v>
      </c>
      <c r="D570" s="1037"/>
      <c r="E570" s="1037"/>
      <c r="F570" s="1037"/>
      <c r="G570" s="1073"/>
      <c r="H570" s="1074"/>
      <c r="I570" s="1074"/>
      <c r="J570" s="1075"/>
      <c r="K570" s="1076"/>
      <c r="L570" s="1077"/>
      <c r="X570" s="1025"/>
    </row>
    <row r="571" spans="1:24">
      <c r="A571" s="984"/>
      <c r="B571" s="824" t="s">
        <v>608</v>
      </c>
      <c r="C571" s="804" t="s">
        <v>1014</v>
      </c>
      <c r="D571" s="1037"/>
      <c r="E571" s="1037"/>
      <c r="F571" s="1037"/>
      <c r="G571" s="1073"/>
      <c r="H571" s="1074"/>
      <c r="I571" s="1074"/>
      <c r="J571" s="1075"/>
      <c r="K571" s="1076"/>
      <c r="L571" s="1077"/>
      <c r="X571" s="1025"/>
    </row>
    <row r="572" spans="1:24">
      <c r="A572" s="984"/>
      <c r="B572" s="824"/>
      <c r="C572" s="804" t="s">
        <v>1015</v>
      </c>
      <c r="D572" s="1037"/>
      <c r="E572" s="1037"/>
      <c r="F572" s="1037"/>
      <c r="G572" s="1073"/>
      <c r="H572" s="1074"/>
      <c r="I572" s="1074"/>
      <c r="J572" s="1075"/>
      <c r="K572" s="1076"/>
      <c r="L572" s="1077"/>
      <c r="X572" s="1025"/>
    </row>
    <row r="573" spans="1:24">
      <c r="A573" s="984"/>
      <c r="B573" s="824" t="s">
        <v>608</v>
      </c>
      <c r="C573" s="1112">
        <f>(('Caract. produção'!D77*C568/(24*'Caract. produção'!D77))*'Caract. produção'!D74)</f>
        <v>0</v>
      </c>
      <c r="D573" s="1037" t="s">
        <v>1528</v>
      </c>
      <c r="E573" s="1037"/>
      <c r="F573" s="1037"/>
      <c r="G573" s="1073"/>
      <c r="H573" s="1074"/>
      <c r="I573" s="1074"/>
      <c r="J573" s="1075"/>
      <c r="K573" s="1076"/>
      <c r="L573" s="1077"/>
      <c r="X573" s="1025"/>
    </row>
    <row r="574" spans="1:24">
      <c r="A574" s="984"/>
      <c r="B574" s="887" t="s">
        <v>604</v>
      </c>
      <c r="C574" s="870" t="s">
        <v>664</v>
      </c>
      <c r="D574" s="1037"/>
      <c r="E574" s="1037"/>
      <c r="F574" s="1037"/>
      <c r="G574" s="1073"/>
      <c r="H574" s="1074"/>
      <c r="I574" s="1074"/>
      <c r="J574" s="1075"/>
      <c r="K574" s="1076"/>
      <c r="L574" s="1077"/>
      <c r="X574" s="1025"/>
    </row>
    <row r="575" spans="1:24">
      <c r="A575" s="984"/>
      <c r="B575" s="887" t="s">
        <v>608</v>
      </c>
      <c r="C575" s="870" t="s">
        <v>665</v>
      </c>
      <c r="D575" s="1037"/>
      <c r="E575" s="1037"/>
      <c r="F575" s="1037"/>
      <c r="G575" s="1073"/>
      <c r="H575" s="1074"/>
      <c r="I575" s="1074"/>
      <c r="J575" s="1075"/>
      <c r="K575" s="1076"/>
      <c r="L575" s="1077"/>
      <c r="X575" s="1025"/>
    </row>
    <row r="576" spans="1:24">
      <c r="A576" s="984"/>
      <c r="B576" s="887" t="s">
        <v>604</v>
      </c>
      <c r="C576" s="870" t="s">
        <v>664</v>
      </c>
      <c r="D576" s="870"/>
      <c r="E576" s="870"/>
      <c r="F576" s="870"/>
      <c r="G576" s="1073"/>
      <c r="H576" s="1074"/>
      <c r="I576" s="1074"/>
      <c r="J576" s="1075"/>
      <c r="K576" s="1076"/>
      <c r="L576" s="1077"/>
      <c r="X576" s="1025"/>
    </row>
    <row r="577" spans="1:24">
      <c r="A577" s="984"/>
      <c r="B577" s="887" t="s">
        <v>604</v>
      </c>
      <c r="C577" s="870" t="s">
        <v>665</v>
      </c>
      <c r="D577" s="870"/>
      <c r="E577" s="870"/>
      <c r="F577" s="870"/>
      <c r="G577" s="1073"/>
      <c r="H577" s="1074"/>
      <c r="I577" s="1074"/>
      <c r="J577" s="1075"/>
      <c r="K577" s="1076"/>
      <c r="L577" s="1077"/>
      <c r="X577" s="1025"/>
    </row>
    <row r="578" spans="1:24">
      <c r="A578" s="984"/>
      <c r="B578" s="824" t="s">
        <v>604</v>
      </c>
      <c r="C578" s="1148">
        <f>C573*2500*4186</f>
        <v>0</v>
      </c>
      <c r="D578" s="1037" t="s">
        <v>583</v>
      </c>
      <c r="E578" s="870"/>
      <c r="F578" s="870"/>
      <c r="G578" s="1073"/>
      <c r="H578" s="1074"/>
      <c r="I578" s="1074"/>
      <c r="J578" s="1075"/>
      <c r="K578" s="1076"/>
      <c r="L578" s="1077"/>
      <c r="X578" s="1025"/>
    </row>
    <row r="579" spans="1:24">
      <c r="A579" s="984"/>
      <c r="B579" s="1033" t="s">
        <v>584</v>
      </c>
      <c r="C579" s="1100">
        <f>I579*J579</f>
        <v>31222.812953117449</v>
      </c>
      <c r="D579" s="1037" t="s">
        <v>585</v>
      </c>
      <c r="E579" s="1037"/>
      <c r="F579" s="1037"/>
      <c r="G579" s="1073" t="s">
        <v>1468</v>
      </c>
      <c r="H579" s="1074">
        <v>1.5829999999999999E+25</v>
      </c>
      <c r="I579" s="1074">
        <v>41082.64862252296</v>
      </c>
      <c r="J579" s="1075">
        <v>0.76</v>
      </c>
      <c r="K579" s="1076">
        <v>5</v>
      </c>
      <c r="L579" s="1077" t="s">
        <v>1634</v>
      </c>
      <c r="X579" s="1025"/>
    </row>
    <row r="580" spans="1:24">
      <c r="A580" s="984"/>
      <c r="B580" s="1033"/>
      <c r="C580" s="1033"/>
      <c r="D580" s="1037"/>
      <c r="E580" s="1037"/>
      <c r="F580" s="1037"/>
      <c r="G580" s="1073"/>
      <c r="H580" s="1074"/>
      <c r="I580" s="1074"/>
      <c r="J580" s="1075"/>
      <c r="K580" s="1076"/>
      <c r="L580" s="1077"/>
      <c r="X580" s="1025"/>
    </row>
    <row r="581" spans="1:24">
      <c r="A581" s="984"/>
      <c r="B581" s="824" t="s">
        <v>1271</v>
      </c>
      <c r="C581" s="1037">
        <v>12</v>
      </c>
      <c r="D581" s="1037"/>
      <c r="E581" s="1037"/>
      <c r="F581" s="1037"/>
      <c r="G581" s="1073"/>
      <c r="H581" s="1074"/>
      <c r="I581" s="1074"/>
      <c r="J581" s="1075"/>
      <c r="K581" s="1076"/>
      <c r="L581" s="1077"/>
      <c r="X581" s="1025"/>
    </row>
    <row r="582" spans="1:24">
      <c r="A582" s="984"/>
      <c r="B582" s="824" t="s">
        <v>1013</v>
      </c>
      <c r="C582" s="1149">
        <f>8.7*'Caract. produção'!D71/3600/C581</f>
        <v>3.0933333333333333</v>
      </c>
      <c r="D582" s="1037" t="s">
        <v>1004</v>
      </c>
      <c r="E582" s="1037"/>
      <c r="F582" s="1037"/>
      <c r="G582" s="1073"/>
      <c r="H582" s="1074"/>
      <c r="I582" s="1074"/>
      <c r="J582" s="1075"/>
      <c r="K582" s="1076"/>
      <c r="L582" s="1077"/>
      <c r="X582" s="1025"/>
    </row>
    <row r="583" spans="1:24">
      <c r="A583" s="984"/>
      <c r="B583" s="824" t="s">
        <v>1007</v>
      </c>
      <c r="C583" s="804" t="s">
        <v>1005</v>
      </c>
      <c r="D583" s="1037"/>
      <c r="E583" s="1037"/>
      <c r="F583" s="1037"/>
      <c r="G583" s="1073"/>
      <c r="H583" s="1074"/>
      <c r="I583" s="1074"/>
      <c r="J583" s="1075"/>
      <c r="K583" s="1076"/>
      <c r="L583" s="1077"/>
      <c r="X583" s="1025"/>
    </row>
    <row r="584" spans="1:24">
      <c r="A584" s="984"/>
      <c r="B584" s="824"/>
      <c r="C584" s="804" t="s">
        <v>1006</v>
      </c>
      <c r="D584" s="1037"/>
      <c r="E584" s="1037"/>
      <c r="F584" s="1037"/>
      <c r="G584" s="1073"/>
      <c r="H584" s="1074"/>
      <c r="I584" s="1074"/>
      <c r="J584" s="1075"/>
      <c r="K584" s="1076"/>
      <c r="L584" s="1077"/>
      <c r="X584" s="1025"/>
    </row>
    <row r="585" spans="1:24">
      <c r="A585" s="984"/>
      <c r="B585" s="824" t="s">
        <v>608</v>
      </c>
      <c r="C585" s="804" t="s">
        <v>1014</v>
      </c>
      <c r="D585" s="1037"/>
      <c r="E585" s="1037"/>
      <c r="F585" s="1037"/>
      <c r="G585" s="1073"/>
      <c r="H585" s="1074"/>
      <c r="I585" s="1074"/>
      <c r="J585" s="1075"/>
      <c r="K585" s="1076"/>
      <c r="L585" s="1077"/>
      <c r="X585" s="1025"/>
    </row>
    <row r="586" spans="1:24">
      <c r="A586" s="984"/>
      <c r="B586" s="824"/>
      <c r="C586" s="804" t="s">
        <v>1015</v>
      </c>
      <c r="D586" s="1037"/>
      <c r="E586" s="1037"/>
      <c r="F586" s="1037"/>
      <c r="G586" s="1073"/>
      <c r="H586" s="1074"/>
      <c r="I586" s="1074"/>
      <c r="J586" s="1075"/>
      <c r="K586" s="1076"/>
      <c r="L586" s="1077"/>
      <c r="X586" s="1025"/>
    </row>
    <row r="587" spans="1:24">
      <c r="A587" s="984"/>
      <c r="B587" s="824" t="s">
        <v>608</v>
      </c>
      <c r="C587" s="1112">
        <f>(C582*C581)/24*'Caract. produção'!D74</f>
        <v>9.6975999999999996</v>
      </c>
      <c r="D587" s="1037" t="s">
        <v>1528</v>
      </c>
      <c r="E587" s="1037"/>
      <c r="F587" s="1037"/>
      <c r="G587" s="1073"/>
      <c r="H587" s="1074"/>
      <c r="I587" s="1074"/>
      <c r="J587" s="1075"/>
      <c r="K587" s="1076"/>
      <c r="L587" s="1077"/>
      <c r="X587" s="1025"/>
    </row>
    <row r="588" spans="1:24">
      <c r="A588" s="984"/>
      <c r="B588" s="887" t="s">
        <v>604</v>
      </c>
      <c r="C588" s="870" t="s">
        <v>664</v>
      </c>
      <c r="D588" s="1037"/>
      <c r="E588" s="1037"/>
      <c r="F588" s="1037"/>
      <c r="G588" s="1073"/>
      <c r="H588" s="1074"/>
      <c r="I588" s="1074"/>
      <c r="J588" s="1075"/>
      <c r="K588" s="1076"/>
      <c r="L588" s="1077"/>
      <c r="M588" s="804" t="s">
        <v>1083</v>
      </c>
      <c r="X588" s="1025"/>
    </row>
    <row r="589" spans="1:24">
      <c r="A589" s="984"/>
      <c r="B589" s="887" t="s">
        <v>608</v>
      </c>
      <c r="C589" s="870" t="s">
        <v>665</v>
      </c>
      <c r="D589" s="1037"/>
      <c r="E589" s="1037"/>
      <c r="F589" s="1037"/>
      <c r="G589" s="1073"/>
      <c r="H589" s="1074"/>
      <c r="I589" s="1074"/>
      <c r="J589" s="1075"/>
      <c r="K589" s="1076"/>
      <c r="L589" s="1077"/>
      <c r="X589" s="1025"/>
    </row>
    <row r="590" spans="1:24">
      <c r="A590" s="984"/>
      <c r="B590" s="887" t="s">
        <v>604</v>
      </c>
      <c r="C590" s="870" t="s">
        <v>664</v>
      </c>
      <c r="D590" s="870"/>
      <c r="E590" s="870"/>
      <c r="F590" s="870"/>
      <c r="G590" s="1073"/>
      <c r="H590" s="1074"/>
      <c r="I590" s="1074"/>
      <c r="J590" s="1075"/>
      <c r="K590" s="1076"/>
      <c r="L590" s="1077"/>
      <c r="X590" s="1025"/>
    </row>
    <row r="591" spans="1:24">
      <c r="A591" s="984"/>
      <c r="B591" s="887" t="s">
        <v>604</v>
      </c>
      <c r="C591" s="870" t="s">
        <v>665</v>
      </c>
      <c r="D591" s="870"/>
      <c r="E591" s="870"/>
      <c r="F591" s="870"/>
      <c r="G591" s="1073"/>
      <c r="H591" s="1074"/>
      <c r="I591" s="1074"/>
      <c r="J591" s="1075"/>
      <c r="K591" s="1076"/>
      <c r="L591" s="1077"/>
      <c r="X591" s="1025"/>
    </row>
    <row r="592" spans="1:24">
      <c r="A592" s="984"/>
      <c r="B592" s="824" t="s">
        <v>604</v>
      </c>
      <c r="C592" s="1148">
        <f>C587*2500*4186</f>
        <v>101485384</v>
      </c>
      <c r="D592" s="1037" t="s">
        <v>583</v>
      </c>
      <c r="E592" s="870"/>
      <c r="F592" s="870"/>
      <c r="G592" s="1073"/>
      <c r="H592" s="1074"/>
      <c r="I592" s="1074"/>
      <c r="J592" s="1075"/>
      <c r="K592" s="1076"/>
      <c r="L592" s="1077"/>
      <c r="X592" s="1025"/>
    </row>
    <row r="593" spans="1:24" ht="15">
      <c r="A593" s="984"/>
      <c r="B593" s="1033" t="s">
        <v>584</v>
      </c>
      <c r="C593" s="1100">
        <f>I593*J593</f>
        <v>31222.812953117449</v>
      </c>
      <c r="D593" s="1037" t="s">
        <v>585</v>
      </c>
      <c r="E593" s="1037"/>
      <c r="F593" s="1037"/>
      <c r="G593" s="1073" t="s">
        <v>1468</v>
      </c>
      <c r="H593" s="1074">
        <v>1.5829999999999999E+25</v>
      </c>
      <c r="I593" s="1074">
        <v>41082.64862252296</v>
      </c>
      <c r="J593" s="1075">
        <v>0.76</v>
      </c>
      <c r="K593" s="1076">
        <v>5</v>
      </c>
      <c r="L593" s="1077" t="s">
        <v>1634</v>
      </c>
      <c r="M593" s="1184"/>
      <c r="X593" s="1025"/>
    </row>
    <row r="594" spans="1:24" ht="15">
      <c r="A594" s="984"/>
      <c r="B594" s="887"/>
      <c r="C594" s="887"/>
      <c r="D594" s="870"/>
      <c r="E594" s="870"/>
      <c r="F594" s="870"/>
      <c r="G594" s="1073"/>
      <c r="H594" s="1074"/>
      <c r="I594" s="1074"/>
      <c r="J594" s="1075"/>
      <c r="K594" s="1076"/>
      <c r="L594" s="1077"/>
      <c r="M594" s="1184"/>
      <c r="X594" s="1025"/>
    </row>
    <row r="595" spans="1:24" ht="15">
      <c r="A595" s="984">
        <v>21</v>
      </c>
      <c r="B595" s="1064" t="s">
        <v>1295</v>
      </c>
      <c r="C595" s="1087"/>
      <c r="D595" s="1087"/>
      <c r="E595" s="1037"/>
      <c r="F595" s="1037"/>
      <c r="G595" s="1150"/>
      <c r="H595" s="1074"/>
      <c r="I595" s="1074"/>
      <c r="J595" s="1075"/>
      <c r="K595" s="1076"/>
      <c r="L595" s="1077"/>
      <c r="X595" s="1025"/>
    </row>
    <row r="596" spans="1:24">
      <c r="A596" s="984"/>
      <c r="B596" s="1033"/>
      <c r="C596" s="1037"/>
      <c r="D596" s="1037"/>
      <c r="E596" s="1037"/>
      <c r="F596" s="1037"/>
      <c r="G596" s="1073"/>
      <c r="H596" s="1074"/>
      <c r="I596" s="1074"/>
      <c r="J596" s="1075"/>
      <c r="K596" s="1076"/>
      <c r="L596" s="1077"/>
      <c r="X596" s="1025"/>
    </row>
    <row r="597" spans="1:24">
      <c r="A597" s="984"/>
      <c r="B597" s="1033" t="s">
        <v>1291</v>
      </c>
      <c r="C597" s="1083">
        <f>'Caract. produção'!C108</f>
        <v>1200</v>
      </c>
      <c r="D597" s="1037" t="s">
        <v>1220</v>
      </c>
      <c r="E597" s="1037"/>
      <c r="F597" s="1037"/>
      <c r="G597" s="1073"/>
      <c r="H597" s="1074"/>
      <c r="I597" s="1074"/>
      <c r="J597" s="1075"/>
      <c r="K597" s="1076"/>
      <c r="L597" s="1077"/>
      <c r="X597" s="1025"/>
    </row>
    <row r="598" spans="1:24">
      <c r="A598" s="984"/>
      <c r="B598" s="1033" t="s">
        <v>1001</v>
      </c>
      <c r="C598" s="1129">
        <f>'Caract. produção'!E108</f>
        <v>40</v>
      </c>
      <c r="D598" s="1037" t="s">
        <v>1002</v>
      </c>
      <c r="E598" s="1037"/>
      <c r="F598" s="1037"/>
      <c r="G598" s="1073"/>
      <c r="H598" s="1074"/>
      <c r="I598" s="1074"/>
      <c r="J598" s="1075"/>
      <c r="K598" s="1076"/>
      <c r="L598" s="1077"/>
      <c r="X598" s="1025"/>
    </row>
    <row r="599" spans="1:24">
      <c r="A599" s="984"/>
      <c r="B599" s="1033" t="s">
        <v>608</v>
      </c>
      <c r="C599" s="1037" t="s">
        <v>1414</v>
      </c>
      <c r="D599" s="1037"/>
      <c r="E599" s="1037"/>
      <c r="F599" s="1037"/>
      <c r="G599" s="1073"/>
      <c r="H599" s="1074"/>
      <c r="I599" s="1074"/>
      <c r="J599" s="1075"/>
      <c r="K599" s="1076"/>
      <c r="L599" s="1077"/>
      <c r="X599" s="1025"/>
    </row>
    <row r="600" spans="1:24">
      <c r="A600" s="984"/>
      <c r="B600" s="1033" t="s">
        <v>608</v>
      </c>
      <c r="C600" s="1037" t="s">
        <v>1643</v>
      </c>
      <c r="D600" s="1037"/>
      <c r="E600" s="1037"/>
      <c r="F600" s="1037"/>
      <c r="G600" s="1073"/>
      <c r="H600" s="1074"/>
      <c r="I600" s="1074"/>
      <c r="J600" s="1075"/>
      <c r="K600" s="1076"/>
      <c r="L600" s="1077"/>
      <c r="X600" s="1025"/>
    </row>
    <row r="601" spans="1:24">
      <c r="A601" s="984"/>
      <c r="B601" s="1033"/>
      <c r="C601" s="1037"/>
      <c r="D601" s="1037"/>
      <c r="E601" s="1037"/>
      <c r="F601" s="1037"/>
      <c r="G601" s="1073"/>
      <c r="H601" s="1074"/>
      <c r="I601" s="1074"/>
      <c r="J601" s="1075"/>
      <c r="K601" s="1076"/>
      <c r="L601" s="1077"/>
      <c r="X601" s="1025"/>
    </row>
    <row r="602" spans="1:24" ht="15">
      <c r="A602" s="984">
        <v>21</v>
      </c>
      <c r="B602" s="1125"/>
      <c r="C602" s="1037" t="s">
        <v>1411</v>
      </c>
      <c r="D602" s="1037"/>
      <c r="E602" s="1033" t="s">
        <v>520</v>
      </c>
      <c r="F602" s="1037"/>
      <c r="G602" s="1073"/>
      <c r="H602" s="1074"/>
      <c r="I602" s="1074"/>
      <c r="J602" s="1075"/>
      <c r="K602" s="1076"/>
      <c r="L602" s="1077"/>
      <c r="X602" s="1025"/>
    </row>
    <row r="603" spans="1:24">
      <c r="A603" s="1151">
        <v>21.1</v>
      </c>
      <c r="B603" s="1152" t="s">
        <v>1401</v>
      </c>
      <c r="C603" s="1135">
        <f>32.0028*1000*C597/C598</f>
        <v>960084</v>
      </c>
      <c r="D603" s="1136" t="s">
        <v>1644</v>
      </c>
      <c r="E603" s="1135">
        <f>I603*J603</f>
        <v>668800000</v>
      </c>
      <c r="F603" s="1136" t="s">
        <v>640</v>
      </c>
      <c r="G603" s="1153" t="s">
        <v>1400</v>
      </c>
      <c r="H603" s="1074">
        <v>1.5829999999999999E+25</v>
      </c>
      <c r="I603" s="1074">
        <v>880000000</v>
      </c>
      <c r="J603" s="1075">
        <v>0.76</v>
      </c>
      <c r="K603" s="1076"/>
      <c r="L603" s="1077"/>
      <c r="M603" s="804" t="s">
        <v>1407</v>
      </c>
      <c r="X603" s="1025"/>
    </row>
    <row r="604" spans="1:24">
      <c r="A604" s="1154">
        <v>21.2</v>
      </c>
      <c r="B604" s="1033" t="s">
        <v>1402</v>
      </c>
      <c r="C604" s="1082">
        <f>2.36*1000*C597/C598</f>
        <v>70800</v>
      </c>
      <c r="D604" s="1037" t="s">
        <v>1644</v>
      </c>
      <c r="E604" s="1082">
        <f t="shared" ref="E604:E609" si="22">I604*J604</f>
        <v>2386400000</v>
      </c>
      <c r="F604" s="1037" t="s">
        <v>640</v>
      </c>
      <c r="G604" s="1073" t="s">
        <v>1400</v>
      </c>
      <c r="H604" s="1074">
        <v>1.5829999999999999E+25</v>
      </c>
      <c r="I604" s="1074">
        <v>3140000000</v>
      </c>
      <c r="J604" s="1075">
        <v>0.76</v>
      </c>
      <c r="K604" s="1076"/>
      <c r="L604" s="1077"/>
      <c r="M604" s="804" t="s">
        <v>1408</v>
      </c>
      <c r="X604" s="1025"/>
    </row>
    <row r="605" spans="1:24">
      <c r="A605" s="1154">
        <v>21.3</v>
      </c>
      <c r="B605" s="1033" t="s">
        <v>1403</v>
      </c>
      <c r="C605" s="1082">
        <f>12.8*1000*C597/C598</f>
        <v>384000</v>
      </c>
      <c r="D605" s="1037" t="s">
        <v>1644</v>
      </c>
      <c r="E605" s="1082">
        <f t="shared" si="22"/>
        <v>851200000</v>
      </c>
      <c r="F605" s="1037" t="s">
        <v>640</v>
      </c>
      <c r="G605" s="1073" t="s">
        <v>1400</v>
      </c>
      <c r="H605" s="1074">
        <v>1.5829999999999999E+25</v>
      </c>
      <c r="I605" s="1074">
        <v>1120000000</v>
      </c>
      <c r="J605" s="1075">
        <v>0.76</v>
      </c>
      <c r="K605" s="1076"/>
      <c r="L605" s="1077"/>
      <c r="M605" s="804" t="s">
        <v>1409</v>
      </c>
      <c r="X605" s="1025"/>
    </row>
    <row r="606" spans="1:24">
      <c r="A606" s="1154">
        <v>21.4</v>
      </c>
      <c r="B606" s="1033" t="s">
        <v>1404</v>
      </c>
      <c r="C606" s="1082">
        <f>3.9298*1000*C597/C598</f>
        <v>117894</v>
      </c>
      <c r="D606" s="1037" t="s">
        <v>1644</v>
      </c>
      <c r="E606" s="1082">
        <f t="shared" si="22"/>
        <v>1573200000</v>
      </c>
      <c r="F606" s="1037" t="s">
        <v>640</v>
      </c>
      <c r="G606" s="1073" t="s">
        <v>1400</v>
      </c>
      <c r="H606" s="1074">
        <v>1.5829999999999999E+25</v>
      </c>
      <c r="I606" s="1074">
        <v>2070000000</v>
      </c>
      <c r="J606" s="1075">
        <v>0.76</v>
      </c>
      <c r="K606" s="1076"/>
      <c r="L606" s="1077"/>
      <c r="X606" s="1025"/>
    </row>
    <row r="607" spans="1:24">
      <c r="A607" s="1154">
        <v>21.5</v>
      </c>
      <c r="B607" s="1033" t="s">
        <v>1406</v>
      </c>
      <c r="C607" s="1082">
        <f>11.8*1000*C597/C598</f>
        <v>354000</v>
      </c>
      <c r="D607" s="1037" t="s">
        <v>1644</v>
      </c>
      <c r="E607" s="1082">
        <f t="shared" si="22"/>
        <v>1276800000</v>
      </c>
      <c r="F607" s="1037" t="s">
        <v>640</v>
      </c>
      <c r="G607" s="1073" t="s">
        <v>1413</v>
      </c>
      <c r="H607" s="1074">
        <v>1.5829999999999999E+25</v>
      </c>
      <c r="I607" s="1074">
        <v>1680000000</v>
      </c>
      <c r="J607" s="1075">
        <v>0.76</v>
      </c>
      <c r="K607" s="1076"/>
      <c r="L607" s="1077"/>
      <c r="X607" s="1025"/>
    </row>
    <row r="608" spans="1:24">
      <c r="A608" s="1154">
        <v>21.6</v>
      </c>
      <c r="B608" s="1033" t="s">
        <v>1410</v>
      </c>
      <c r="C608" s="1082">
        <f>2.75*1000*C597/C598</f>
        <v>82500</v>
      </c>
      <c r="D608" s="1037" t="s">
        <v>1644</v>
      </c>
      <c r="E608" s="1082">
        <f t="shared" si="22"/>
        <v>1763200000</v>
      </c>
      <c r="F608" s="1037" t="s">
        <v>640</v>
      </c>
      <c r="G608" s="1073" t="s">
        <v>1400</v>
      </c>
      <c r="H608" s="1074">
        <v>1.5829999999999999E+25</v>
      </c>
      <c r="I608" s="1074">
        <v>2320000000</v>
      </c>
      <c r="J608" s="1075">
        <v>0.76</v>
      </c>
      <c r="K608" s="1076"/>
      <c r="L608" s="1077"/>
      <c r="X608" s="1025"/>
    </row>
    <row r="609" spans="1:24">
      <c r="A609" s="1155">
        <v>21.7</v>
      </c>
      <c r="B609" s="1156" t="s">
        <v>1405</v>
      </c>
      <c r="C609" s="1139">
        <f>51.528*1000*C597/C598</f>
        <v>1545840</v>
      </c>
      <c r="D609" s="938" t="s">
        <v>1644</v>
      </c>
      <c r="E609" s="1139">
        <f t="shared" si="22"/>
        <v>2325600000</v>
      </c>
      <c r="F609" s="938" t="s">
        <v>640</v>
      </c>
      <c r="G609" s="1157" t="s">
        <v>1400</v>
      </c>
      <c r="H609" s="1074">
        <v>1.5829999999999999E+25</v>
      </c>
      <c r="I609" s="1074">
        <v>3060000000</v>
      </c>
      <c r="J609" s="1075">
        <v>0.76</v>
      </c>
      <c r="K609" s="1076"/>
      <c r="L609" s="1077"/>
      <c r="X609" s="1025"/>
    </row>
    <row r="610" spans="1:24">
      <c r="A610" s="984"/>
      <c r="B610" s="1158"/>
      <c r="C610" s="1037"/>
      <c r="D610" s="1037"/>
      <c r="E610" s="1037"/>
      <c r="F610" s="1037"/>
      <c r="G610" s="1073"/>
      <c r="H610" s="1074"/>
      <c r="I610" s="1074"/>
      <c r="J610" s="1075"/>
      <c r="K610" s="1076"/>
      <c r="L610" s="1077"/>
      <c r="X610" s="1025"/>
    </row>
    <row r="611" spans="1:24">
      <c r="A611" s="984"/>
      <c r="B611" s="1033" t="s">
        <v>1412</v>
      </c>
      <c r="C611" s="1037" t="s">
        <v>1422</v>
      </c>
      <c r="D611" s="1082"/>
      <c r="E611" s="1037"/>
      <c r="F611" s="1037"/>
      <c r="G611" s="1073"/>
      <c r="H611" s="1074"/>
      <c r="I611" s="1074"/>
      <c r="J611" s="1075"/>
      <c r="K611" s="1076"/>
      <c r="L611" s="1077"/>
      <c r="X611" s="1025"/>
    </row>
    <row r="612" spans="1:24">
      <c r="A612" s="984"/>
      <c r="B612" s="1033" t="s">
        <v>608</v>
      </c>
      <c r="C612" s="1037" t="s">
        <v>1415</v>
      </c>
      <c r="D612" s="1082"/>
      <c r="E612" s="1037"/>
      <c r="F612" s="1037"/>
      <c r="G612" s="1073"/>
      <c r="H612" s="1074"/>
      <c r="I612" s="1074"/>
      <c r="J612" s="1075"/>
      <c r="K612" s="1076"/>
      <c r="L612" s="1077"/>
      <c r="X612" s="1025"/>
    </row>
    <row r="613" spans="1:24">
      <c r="A613" s="984"/>
      <c r="B613" s="1033"/>
      <c r="C613" s="1037"/>
      <c r="D613" s="1037"/>
      <c r="E613" s="1037"/>
      <c r="F613" s="1037"/>
      <c r="G613" s="1073"/>
      <c r="H613" s="1074"/>
      <c r="I613" s="1074"/>
      <c r="J613" s="1075"/>
      <c r="K613" s="1076"/>
      <c r="L613" s="1077"/>
      <c r="X613" s="1025"/>
    </row>
    <row r="614" spans="1:24" ht="15">
      <c r="A614" s="984">
        <v>21</v>
      </c>
      <c r="B614" s="1125"/>
      <c r="C614" s="1037" t="s">
        <v>1411</v>
      </c>
      <c r="D614" s="1037"/>
      <c r="E614" s="1033" t="s">
        <v>520</v>
      </c>
      <c r="F614" s="1037"/>
      <c r="G614" s="1073"/>
      <c r="H614" s="1074"/>
      <c r="I614" s="1074"/>
      <c r="J614" s="1075"/>
      <c r="K614" s="1076"/>
      <c r="L614" s="1077"/>
      <c r="X614" s="1025"/>
    </row>
    <row r="615" spans="1:24">
      <c r="A615" s="1151">
        <v>21.1</v>
      </c>
      <c r="B615" s="1152" t="s">
        <v>1401</v>
      </c>
      <c r="C615" s="1135">
        <f t="shared" ref="C615:C621" si="23">C603/$C$598</f>
        <v>24002.1</v>
      </c>
      <c r="D615" s="1136" t="s">
        <v>1644</v>
      </c>
      <c r="E615" s="1135">
        <f>I615*J615</f>
        <v>668800000</v>
      </c>
      <c r="F615" s="1136" t="s">
        <v>640</v>
      </c>
      <c r="G615" s="1153" t="s">
        <v>1400</v>
      </c>
      <c r="H615" s="1074">
        <v>1.5829999999999999E+25</v>
      </c>
      <c r="I615" s="1074">
        <v>880000000</v>
      </c>
      <c r="J615" s="1075">
        <v>0.76</v>
      </c>
      <c r="K615" s="1076"/>
      <c r="L615" s="1077"/>
      <c r="X615" s="1025"/>
    </row>
    <row r="616" spans="1:24">
      <c r="A616" s="1154">
        <v>21.2</v>
      </c>
      <c r="B616" s="1033" t="s">
        <v>1402</v>
      </c>
      <c r="C616" s="1082">
        <f>C604/$C$598</f>
        <v>1770</v>
      </c>
      <c r="D616" s="1037" t="s">
        <v>1644</v>
      </c>
      <c r="E616" s="1082">
        <f t="shared" ref="E616:E621" si="24">I616*J616</f>
        <v>2386400000</v>
      </c>
      <c r="F616" s="1037" t="s">
        <v>640</v>
      </c>
      <c r="G616" s="1073" t="s">
        <v>1400</v>
      </c>
      <c r="H616" s="1074">
        <v>1.5829999999999999E+25</v>
      </c>
      <c r="I616" s="1074">
        <v>3140000000</v>
      </c>
      <c r="J616" s="1075">
        <v>0.76</v>
      </c>
      <c r="K616" s="1076"/>
      <c r="L616" s="1077"/>
      <c r="X616" s="1025"/>
    </row>
    <row r="617" spans="1:24">
      <c r="A617" s="1154">
        <v>21.3</v>
      </c>
      <c r="B617" s="1033" t="s">
        <v>1403</v>
      </c>
      <c r="C617" s="1082">
        <f t="shared" si="23"/>
        <v>9600</v>
      </c>
      <c r="D617" s="1037" t="s">
        <v>1644</v>
      </c>
      <c r="E617" s="1082">
        <f t="shared" si="24"/>
        <v>851200000</v>
      </c>
      <c r="F617" s="1037" t="s">
        <v>640</v>
      </c>
      <c r="G617" s="1073" t="s">
        <v>1400</v>
      </c>
      <c r="H617" s="1074">
        <v>1.5829999999999999E+25</v>
      </c>
      <c r="I617" s="1074">
        <v>1120000000</v>
      </c>
      <c r="J617" s="1075">
        <v>0.76</v>
      </c>
      <c r="K617" s="1076"/>
      <c r="L617" s="1077"/>
      <c r="X617" s="1025"/>
    </row>
    <row r="618" spans="1:24">
      <c r="A618" s="1154">
        <v>21.4</v>
      </c>
      <c r="B618" s="1033" t="s">
        <v>1404</v>
      </c>
      <c r="C618" s="1082">
        <f t="shared" si="23"/>
        <v>2947.35</v>
      </c>
      <c r="D618" s="1037" t="s">
        <v>1644</v>
      </c>
      <c r="E618" s="1082">
        <f t="shared" si="24"/>
        <v>1573200000</v>
      </c>
      <c r="F618" s="1037" t="s">
        <v>640</v>
      </c>
      <c r="G618" s="1073" t="s">
        <v>1400</v>
      </c>
      <c r="H618" s="1074">
        <v>1.5829999999999999E+25</v>
      </c>
      <c r="I618" s="1074">
        <v>2070000000</v>
      </c>
      <c r="J618" s="1075">
        <v>0.76</v>
      </c>
      <c r="K618" s="1076"/>
      <c r="L618" s="1077"/>
      <c r="X618" s="1025"/>
    </row>
    <row r="619" spans="1:24">
      <c r="A619" s="1154">
        <v>21.5</v>
      </c>
      <c r="B619" s="1033" t="s">
        <v>1406</v>
      </c>
      <c r="C619" s="1082">
        <f t="shared" si="23"/>
        <v>8850</v>
      </c>
      <c r="D619" s="1037" t="s">
        <v>1644</v>
      </c>
      <c r="E619" s="1082">
        <f t="shared" si="24"/>
        <v>1276800000</v>
      </c>
      <c r="F619" s="1037" t="s">
        <v>640</v>
      </c>
      <c r="G619" s="1073" t="s">
        <v>1413</v>
      </c>
      <c r="H619" s="1074">
        <v>1.5829999999999999E+25</v>
      </c>
      <c r="I619" s="1074">
        <v>1680000000</v>
      </c>
      <c r="J619" s="1075">
        <v>0.76</v>
      </c>
      <c r="K619" s="1076"/>
      <c r="L619" s="1077"/>
      <c r="X619" s="1025"/>
    </row>
    <row r="620" spans="1:24">
      <c r="A620" s="1154">
        <v>21.6</v>
      </c>
      <c r="B620" s="1033" t="s">
        <v>1410</v>
      </c>
      <c r="C620" s="1082">
        <f t="shared" si="23"/>
        <v>2062.5</v>
      </c>
      <c r="D620" s="1037" t="s">
        <v>1644</v>
      </c>
      <c r="E620" s="1082">
        <f t="shared" si="24"/>
        <v>1763200000</v>
      </c>
      <c r="F620" s="1037" t="s">
        <v>640</v>
      </c>
      <c r="G620" s="1073" t="s">
        <v>1400</v>
      </c>
      <c r="H620" s="1074">
        <v>1.5829999999999999E+25</v>
      </c>
      <c r="I620" s="1074">
        <v>2320000000</v>
      </c>
      <c r="J620" s="1075">
        <v>0.76</v>
      </c>
      <c r="K620" s="1076"/>
      <c r="L620" s="1077"/>
      <c r="X620" s="1025"/>
    </row>
    <row r="621" spans="1:24">
      <c r="A621" s="1155">
        <v>21.7</v>
      </c>
      <c r="B621" s="1156" t="s">
        <v>1405</v>
      </c>
      <c r="C621" s="1139">
        <f t="shared" si="23"/>
        <v>38646</v>
      </c>
      <c r="D621" s="938" t="s">
        <v>1644</v>
      </c>
      <c r="E621" s="1139">
        <f t="shared" si="24"/>
        <v>2325600000</v>
      </c>
      <c r="F621" s="938" t="s">
        <v>640</v>
      </c>
      <c r="G621" s="1157" t="s">
        <v>1400</v>
      </c>
      <c r="H621" s="1074">
        <v>1.5829999999999999E+25</v>
      </c>
      <c r="I621" s="1074">
        <v>3060000000</v>
      </c>
      <c r="J621" s="1075">
        <v>0.76</v>
      </c>
      <c r="K621" s="1076"/>
      <c r="L621" s="1077"/>
      <c r="X621" s="1025"/>
    </row>
    <row r="622" spans="1:24">
      <c r="A622" s="945"/>
      <c r="B622" s="1033" t="s">
        <v>713</v>
      </c>
      <c r="C622" s="1126">
        <f>SUMPRODUCT(C615:C621,E615:E621)</f>
        <v>137896241100000</v>
      </c>
      <c r="D622" s="1037"/>
      <c r="E622" s="1033"/>
      <c r="F622" s="1033"/>
      <c r="G622" s="1073"/>
      <c r="H622" s="1074"/>
      <c r="I622" s="1074"/>
      <c r="J622" s="1075"/>
      <c r="K622" s="1076"/>
      <c r="L622" s="1077"/>
      <c r="X622" s="1025"/>
    </row>
    <row r="623" spans="1:24">
      <c r="A623" s="945"/>
      <c r="B623" s="1033"/>
      <c r="C623" s="1033"/>
      <c r="D623" s="1033"/>
      <c r="E623" s="1033"/>
      <c r="F623" s="1037"/>
      <c r="G623" s="1073"/>
      <c r="H623" s="1074"/>
      <c r="I623" s="1074"/>
      <c r="J623" s="1075"/>
      <c r="K623" s="1076"/>
      <c r="L623" s="1077"/>
      <c r="X623" s="1025"/>
    </row>
    <row r="624" spans="1:24" ht="15">
      <c r="A624" s="984">
        <v>22</v>
      </c>
      <c r="B624" s="1133" t="s">
        <v>1589</v>
      </c>
      <c r="C624" s="1037"/>
      <c r="D624" s="1037"/>
      <c r="E624" s="1082"/>
      <c r="F624" s="1037"/>
      <c r="G624" s="1073"/>
      <c r="H624" s="1074"/>
      <c r="I624" s="1074"/>
      <c r="J624" s="1075"/>
      <c r="K624" s="1076"/>
      <c r="L624" s="1077"/>
      <c r="M624" s="1185" t="s">
        <v>1635</v>
      </c>
      <c r="X624" s="1025"/>
    </row>
    <row r="625" spans="1:24">
      <c r="A625" s="984"/>
      <c r="B625" s="1033" t="s">
        <v>1291</v>
      </c>
      <c r="C625" s="1082">
        <f>C110</f>
        <v>1200</v>
      </c>
      <c r="D625" s="1037"/>
      <c r="E625" s="1037"/>
      <c r="F625" s="1082"/>
      <c r="G625" s="1150"/>
      <c r="H625" s="1074"/>
      <c r="I625" s="1074"/>
      <c r="J625" s="1075"/>
      <c r="K625" s="1076"/>
      <c r="L625" s="1077"/>
      <c r="M625" s="804" t="s">
        <v>1636</v>
      </c>
      <c r="X625" s="1025"/>
    </row>
    <row r="626" spans="1:24">
      <c r="A626" s="984"/>
      <c r="B626" s="1033" t="s">
        <v>1433</v>
      </c>
      <c r="C626" s="1082" t="s">
        <v>1642</v>
      </c>
      <c r="D626" s="1037"/>
      <c r="E626" s="1037"/>
      <c r="F626" s="1082"/>
      <c r="G626" s="1150"/>
      <c r="H626" s="1074"/>
      <c r="I626" s="1074"/>
      <c r="J626" s="1075"/>
      <c r="K626" s="1076"/>
      <c r="L626" s="1077"/>
      <c r="M626" s="804" t="s">
        <v>1637</v>
      </c>
      <c r="X626" s="1025"/>
    </row>
    <row r="627" spans="1:24">
      <c r="A627" s="984"/>
      <c r="B627" s="1033" t="s">
        <v>1433</v>
      </c>
      <c r="C627" s="1082" t="s">
        <v>1641</v>
      </c>
      <c r="D627" s="1037"/>
      <c r="E627" s="1037"/>
      <c r="F627" s="1082"/>
      <c r="G627" s="1150"/>
      <c r="H627" s="1074"/>
      <c r="I627" s="1074"/>
      <c r="J627" s="1075"/>
      <c r="K627" s="1076"/>
      <c r="L627" s="1077"/>
      <c r="X627" s="1025"/>
    </row>
    <row r="628" spans="1:24">
      <c r="A628" s="972">
        <v>22.1</v>
      </c>
      <c r="B628" s="1033" t="s">
        <v>543</v>
      </c>
      <c r="C628" s="1082">
        <f>CPM_frango!K5*'Caract. produção'!$D$74/$F$5</f>
        <v>27874.750150511736</v>
      </c>
      <c r="D628" s="1037" t="s">
        <v>1640</v>
      </c>
      <c r="E628" s="1037"/>
      <c r="F628" s="1082"/>
      <c r="G628" s="1150"/>
      <c r="H628" s="1074"/>
      <c r="I628" s="1074"/>
      <c r="J628" s="1075"/>
      <c r="K628" s="1076">
        <v>17</v>
      </c>
      <c r="L628" s="1077" t="s">
        <v>1638</v>
      </c>
      <c r="X628" s="1025"/>
    </row>
    <row r="629" spans="1:24" ht="15">
      <c r="A629" s="972">
        <v>22.2</v>
      </c>
      <c r="B629" s="1033" t="s">
        <v>1264</v>
      </c>
      <c r="C629" s="1082">
        <f>CPM_frango!K8*'Caract. produção'!$D$74/$F$5</f>
        <v>440.55470417601663</v>
      </c>
      <c r="D629" s="1037" t="s">
        <v>1640</v>
      </c>
      <c r="E629" s="1037"/>
      <c r="F629" s="1082"/>
      <c r="G629" s="1150"/>
      <c r="H629" s="1074"/>
      <c r="I629" s="1074"/>
      <c r="J629" s="1075"/>
      <c r="K629" s="1076">
        <v>17</v>
      </c>
      <c r="L629" s="1077"/>
      <c r="M629" s="1183"/>
      <c r="X629" s="1025"/>
    </row>
    <row r="630" spans="1:24">
      <c r="A630" s="972">
        <v>22.3</v>
      </c>
      <c r="B630" s="1033" t="s">
        <v>1234</v>
      </c>
      <c r="C630" s="1082">
        <f>CPM_frango!K9*'Caract. produção'!$D$74/$F$5</f>
        <v>10494.222025285972</v>
      </c>
      <c r="D630" s="1037" t="s">
        <v>1640</v>
      </c>
      <c r="E630" s="1037"/>
      <c r="F630" s="1082"/>
      <c r="G630" s="1150"/>
      <c r="H630" s="1074"/>
      <c r="I630" s="1074"/>
      <c r="J630" s="1075"/>
      <c r="K630" s="1076">
        <v>17</v>
      </c>
      <c r="L630" s="1077"/>
      <c r="X630" s="1025"/>
    </row>
    <row r="631" spans="1:24">
      <c r="A631" s="972">
        <v>22.4</v>
      </c>
      <c r="B631" s="1033" t="s">
        <v>1621</v>
      </c>
      <c r="C631" s="1082">
        <f>CPM_frango!K10*'Caract. produção'!$D$74/$F$5</f>
        <v>1214.8103552077062</v>
      </c>
      <c r="D631" s="1037" t="s">
        <v>1640</v>
      </c>
      <c r="E631" s="1037"/>
      <c r="F631" s="1082"/>
      <c r="G631" s="1150"/>
      <c r="H631" s="1074"/>
      <c r="I631" s="1074"/>
      <c r="J631" s="1075"/>
      <c r="K631" s="1076">
        <v>17</v>
      </c>
      <c r="L631" s="1077"/>
      <c r="X631" s="1025"/>
    </row>
    <row r="632" spans="1:24">
      <c r="A632" s="972">
        <v>22.5</v>
      </c>
      <c r="B632" s="1033" t="s">
        <v>538</v>
      </c>
      <c r="C632" s="1082">
        <f>CPM_frango!K11*'Caract. produção'!$D$74/$F$5</f>
        <v>0</v>
      </c>
      <c r="D632" s="1037" t="s">
        <v>1640</v>
      </c>
      <c r="E632" s="1037"/>
      <c r="F632" s="1082"/>
      <c r="G632" s="1150"/>
      <c r="H632" s="1074"/>
      <c r="I632" s="1074"/>
      <c r="J632" s="1075"/>
      <c r="K632" s="1076">
        <v>17</v>
      </c>
      <c r="L632" s="1077"/>
      <c r="X632" s="1025"/>
    </row>
    <row r="633" spans="1:24">
      <c r="A633" s="972">
        <v>22.6</v>
      </c>
      <c r="B633" s="1033" t="s">
        <v>1230</v>
      </c>
      <c r="C633" s="1082">
        <f>CPM_frango!K12*'Caract. produção'!$D$74/$F$5</f>
        <v>3078.2059000602044</v>
      </c>
      <c r="D633" s="1037" t="s">
        <v>1640</v>
      </c>
      <c r="E633" s="1037"/>
      <c r="F633" s="1082"/>
      <c r="G633" s="1150"/>
      <c r="H633" s="1074"/>
      <c r="I633" s="1074"/>
      <c r="J633" s="1075"/>
      <c r="K633" s="1076">
        <v>17</v>
      </c>
      <c r="L633" s="1077"/>
      <c r="X633" s="1025"/>
    </row>
    <row r="634" spans="1:24">
      <c r="A634" s="972">
        <v>22.7</v>
      </c>
      <c r="B634" s="1033" t="s">
        <v>1189</v>
      </c>
      <c r="C634" s="1082">
        <f>CPM_frango!K13*'Caract. produção'!$D$74/$F$5</f>
        <v>57.194461167971106</v>
      </c>
      <c r="D634" s="1037" t="s">
        <v>1640</v>
      </c>
      <c r="E634" s="1037"/>
      <c r="F634" s="1082"/>
      <c r="G634" s="1150"/>
      <c r="H634" s="1074"/>
      <c r="I634" s="1074"/>
      <c r="J634" s="1075"/>
      <c r="K634" s="1076">
        <v>17</v>
      </c>
      <c r="L634" s="1077"/>
      <c r="X634" s="1025"/>
    </row>
    <row r="635" spans="1:24">
      <c r="A635" s="972">
        <v>22.8</v>
      </c>
      <c r="B635" s="1033" t="s">
        <v>1436</v>
      </c>
      <c r="C635" s="1082">
        <f>CPM_frango!K14*'Caract. produção'!$D$74/$F$5</f>
        <v>104619.61324675496</v>
      </c>
      <c r="D635" s="1037" t="s">
        <v>1640</v>
      </c>
      <c r="E635" s="1037"/>
      <c r="F635" s="1082"/>
      <c r="G635" s="1150"/>
      <c r="H635" s="1074"/>
      <c r="I635" s="1074"/>
      <c r="J635" s="1075"/>
      <c r="K635" s="1076">
        <v>17</v>
      </c>
      <c r="L635" s="1077"/>
      <c r="X635" s="1025"/>
    </row>
    <row r="636" spans="1:24">
      <c r="A636" s="972">
        <v>22.9</v>
      </c>
      <c r="B636" s="1033" t="s">
        <v>1437</v>
      </c>
      <c r="C636" s="1082">
        <f>CPM_frango!K15*'Caract. produção'!$D$74/$F$5</f>
        <v>21962.673088500902</v>
      </c>
      <c r="D636" s="1037" t="s">
        <v>1640</v>
      </c>
      <c r="E636" s="1037"/>
      <c r="F636" s="1082"/>
      <c r="G636" s="1150"/>
      <c r="H636" s="1074"/>
      <c r="I636" s="1074"/>
      <c r="J636" s="1075"/>
      <c r="K636" s="1076">
        <v>17</v>
      </c>
      <c r="L636" s="1077"/>
      <c r="X636" s="1025"/>
    </row>
    <row r="637" spans="1:24">
      <c r="A637" s="995" t="s">
        <v>1615</v>
      </c>
      <c r="B637" s="1033" t="s">
        <v>1438</v>
      </c>
      <c r="C637" s="1082">
        <f>CPM_frango!K16*'Caract. produção'!$D$74/$F$5</f>
        <v>92.655027092113201</v>
      </c>
      <c r="D637" s="1037" t="s">
        <v>1640</v>
      </c>
      <c r="E637" s="1037"/>
      <c r="F637" s="1082"/>
      <c r="G637" s="1150"/>
      <c r="H637" s="1074"/>
      <c r="I637" s="1074"/>
      <c r="J637" s="1075"/>
      <c r="K637" s="1076">
        <v>17</v>
      </c>
      <c r="L637" s="1077"/>
      <c r="X637" s="1025"/>
    </row>
    <row r="638" spans="1:24">
      <c r="A638" s="995" t="s">
        <v>1616</v>
      </c>
      <c r="B638" s="1033" t="s">
        <v>1439</v>
      </c>
      <c r="C638" s="1082">
        <f>CPM_frango!K19*'Caract. produção'!$D$74/$F$5</f>
        <v>90.319686935580961</v>
      </c>
      <c r="D638" s="1037" t="s">
        <v>1640</v>
      </c>
      <c r="E638" s="1037"/>
      <c r="F638" s="1082"/>
      <c r="G638" s="1150"/>
      <c r="H638" s="1074"/>
      <c r="I638" s="1074"/>
      <c r="J638" s="1075"/>
      <c r="K638" s="1076">
        <v>17</v>
      </c>
      <c r="L638" s="1077"/>
      <c r="X638" s="1025"/>
    </row>
    <row r="639" spans="1:24">
      <c r="A639" s="995" t="s">
        <v>1617</v>
      </c>
      <c r="B639" s="1033" t="s">
        <v>1440</v>
      </c>
      <c r="C639" s="1082">
        <f>CPM_frango!K20*'Caract. produção'!$D$74/$F$5</f>
        <v>1061.6974516994142</v>
      </c>
      <c r="D639" s="1037" t="s">
        <v>1640</v>
      </c>
      <c r="E639" s="1037"/>
      <c r="F639" s="1082"/>
      <c r="G639" s="1150"/>
      <c r="H639" s="1074"/>
      <c r="I639" s="1074"/>
      <c r="J639" s="1075"/>
      <c r="K639" s="1076">
        <v>17</v>
      </c>
      <c r="L639" s="1077"/>
      <c r="X639" s="1025"/>
    </row>
    <row r="640" spans="1:24">
      <c r="A640" s="995" t="s">
        <v>1618</v>
      </c>
      <c r="B640" s="1033" t="s">
        <v>1296</v>
      </c>
      <c r="C640" s="1082">
        <f>CPM_frango!K21*'Caract. produção'!$D$74/$F$5</f>
        <v>8457.5812161348567</v>
      </c>
      <c r="D640" s="1037" t="s">
        <v>1640</v>
      </c>
      <c r="E640" s="1037"/>
      <c r="F640" s="1082"/>
      <c r="G640" s="1150"/>
      <c r="H640" s="1074"/>
      <c r="I640" s="1074"/>
      <c r="J640" s="1075"/>
      <c r="K640" s="1076">
        <v>17</v>
      </c>
      <c r="L640" s="1077"/>
      <c r="X640" s="1025"/>
    </row>
    <row r="641" spans="1:24">
      <c r="A641" s="995" t="s">
        <v>1619</v>
      </c>
      <c r="B641" s="1033" t="s">
        <v>1442</v>
      </c>
      <c r="C641" s="1082">
        <f>CPM_frango!K22*'Caract. produção'!$D$74/$F$5</f>
        <v>24228.853401674092</v>
      </c>
      <c r="D641" s="1037" t="s">
        <v>1640</v>
      </c>
      <c r="E641" s="1037"/>
      <c r="F641" s="1123"/>
      <c r="G641" s="1150"/>
      <c r="H641" s="1074"/>
      <c r="I641" s="1074"/>
      <c r="J641" s="1075"/>
      <c r="K641" s="1076">
        <v>17</v>
      </c>
      <c r="L641" s="1077"/>
      <c r="X641" s="1025"/>
    </row>
    <row r="642" spans="1:24">
      <c r="A642" s="995" t="s">
        <v>1620</v>
      </c>
      <c r="B642" s="1033" t="s">
        <v>1441</v>
      </c>
      <c r="C642" s="1082">
        <f>(CPM_frango!K28+CPM_frango!K27)*'Caract. produção'!$D$74/$F$5</f>
        <v>4258.7978642473745</v>
      </c>
      <c r="D642" s="1037" t="s">
        <v>1640</v>
      </c>
      <c r="E642" s="1037"/>
      <c r="F642" s="1123"/>
      <c r="G642" s="1150"/>
      <c r="H642" s="1074"/>
      <c r="I642" s="1074"/>
      <c r="J642" s="1075"/>
      <c r="K642" s="1076">
        <v>17</v>
      </c>
      <c r="L642" s="1077"/>
      <c r="X642" s="1025"/>
    </row>
    <row r="643" spans="1:24">
      <c r="A643" s="984"/>
      <c r="B643" s="1033" t="s">
        <v>1434</v>
      </c>
      <c r="C643" s="1121">
        <f>SUM(C628:C642)</f>
        <v>207931.9285794489</v>
      </c>
      <c r="D643" s="1037" t="s">
        <v>1640</v>
      </c>
      <c r="E643" s="1037"/>
      <c r="F643" s="1123"/>
      <c r="G643" s="1150"/>
      <c r="H643" s="1074"/>
      <c r="I643" s="1074"/>
      <c r="J643" s="1075"/>
      <c r="K643" s="1076"/>
      <c r="L643" s="1077"/>
      <c r="X643" s="1025"/>
    </row>
    <row r="644" spans="1:24">
      <c r="A644" s="984"/>
      <c r="B644" s="1033" t="s">
        <v>1555</v>
      </c>
      <c r="C644" s="1100">
        <f>I644*J644</f>
        <v>2356000000000</v>
      </c>
      <c r="D644" s="1037" t="s">
        <v>1556</v>
      </c>
      <c r="E644" s="1037"/>
      <c r="F644" s="1037"/>
      <c r="G644" s="1084" t="s">
        <v>1542</v>
      </c>
      <c r="H644" s="1074">
        <v>1.5829999999999999E+25</v>
      </c>
      <c r="I644" s="1074">
        <v>3100000000000</v>
      </c>
      <c r="J644" s="1075">
        <v>0.76</v>
      </c>
      <c r="K644" s="1076"/>
      <c r="L644" s="1077"/>
      <c r="X644" s="1025"/>
    </row>
    <row r="645" spans="1:24" ht="13.5" thickBot="1">
      <c r="A645" s="984"/>
      <c r="B645" s="1022"/>
      <c r="C645" s="1037"/>
      <c r="D645" s="1037"/>
      <c r="E645" s="1037"/>
      <c r="F645" s="1123"/>
      <c r="G645" s="1150"/>
      <c r="H645" s="1159"/>
      <c r="I645" s="1074"/>
      <c r="J645" s="1075"/>
      <c r="K645" s="1076"/>
      <c r="L645" s="1077"/>
      <c r="X645" s="1025"/>
    </row>
    <row r="646" spans="1:24" ht="15.75" thickBot="1">
      <c r="A646" s="1160">
        <v>23</v>
      </c>
      <c r="B646" s="1161" t="s">
        <v>1602</v>
      </c>
      <c r="C646" s="1162"/>
      <c r="D646" s="1162"/>
      <c r="E646" s="1162"/>
      <c r="F646" s="1162"/>
      <c r="G646" s="1163"/>
      <c r="H646" s="1164"/>
      <c r="I646" s="1164"/>
      <c r="J646" s="1165"/>
      <c r="K646" s="1166"/>
      <c r="L646" s="1077"/>
      <c r="M646" s="804" t="s">
        <v>1203</v>
      </c>
      <c r="X646" s="1025"/>
    </row>
    <row r="647" spans="1:24">
      <c r="A647" s="1106">
        <v>23.1</v>
      </c>
      <c r="B647" s="1033" t="s">
        <v>1563</v>
      </c>
      <c r="C647" s="1037" t="s">
        <v>1044</v>
      </c>
      <c r="D647" s="1037"/>
      <c r="E647" s="1037"/>
      <c r="F647" s="1037"/>
      <c r="G647" s="1073"/>
      <c r="H647" s="1074"/>
      <c r="I647" s="1074"/>
      <c r="J647" s="1075"/>
      <c r="K647" s="1076"/>
      <c r="L647" s="1077"/>
      <c r="M647" s="804" t="s">
        <v>1204</v>
      </c>
      <c r="X647" s="1025"/>
    </row>
    <row r="648" spans="1:24">
      <c r="A648" s="1106"/>
      <c r="B648" s="1022"/>
      <c r="C648" s="1037" t="s">
        <v>1523</v>
      </c>
      <c r="D648" s="1037"/>
      <c r="E648" s="1037"/>
      <c r="F648" s="1037"/>
      <c r="G648" s="1073"/>
      <c r="H648" s="1074"/>
      <c r="I648" s="1074"/>
      <c r="J648" s="1075"/>
      <c r="K648" s="1076"/>
      <c r="L648" s="1077"/>
      <c r="M648" s="1167" t="s">
        <v>1205</v>
      </c>
      <c r="X648" s="1025"/>
    </row>
    <row r="649" spans="1:24">
      <c r="A649" s="1106"/>
      <c r="B649" s="1033" t="s">
        <v>671</v>
      </c>
      <c r="C649" s="1121">
        <f>(('Caract. produção'!D71*'Caract. produção'!D74*'Caract. produção'!D78))/1000</f>
        <v>255.40669440000002</v>
      </c>
      <c r="D649" s="1037" t="s">
        <v>1529</v>
      </c>
      <c r="E649" s="1037"/>
      <c r="F649" s="1037"/>
      <c r="G649" s="1073"/>
      <c r="H649" s="1074"/>
      <c r="I649" s="1074"/>
      <c r="J649" s="1075"/>
      <c r="K649" s="1076"/>
      <c r="L649" s="1077"/>
      <c r="M649" s="804" t="s">
        <v>1626</v>
      </c>
      <c r="X649" s="1025"/>
    </row>
    <row r="650" spans="1:24">
      <c r="A650" s="1106"/>
      <c r="B650" s="1033"/>
      <c r="C650" s="1082">
        <f>C649*1000</f>
        <v>255406.69440000001</v>
      </c>
      <c r="D650" s="1037" t="s">
        <v>184</v>
      </c>
      <c r="E650" s="1082"/>
      <c r="F650" s="1037"/>
      <c r="G650" s="1073"/>
      <c r="H650" s="1074"/>
      <c r="I650" s="1074"/>
      <c r="J650" s="1075"/>
      <c r="K650" s="1076"/>
      <c r="L650" s="1077"/>
      <c r="X650" s="1025"/>
    </row>
    <row r="651" spans="1:24">
      <c r="A651" s="1106"/>
      <c r="B651" s="1033"/>
      <c r="C651" s="1033"/>
      <c r="D651" s="1037"/>
      <c r="E651" s="1082"/>
      <c r="F651" s="1037"/>
      <c r="G651" s="1073"/>
      <c r="H651" s="1074"/>
      <c r="I651" s="1074"/>
      <c r="J651" s="1075"/>
      <c r="K651" s="1076"/>
      <c r="L651" s="1077"/>
      <c r="X651" s="1025"/>
    </row>
    <row r="652" spans="1:24" ht="15">
      <c r="A652" s="1106">
        <v>23.2</v>
      </c>
      <c r="B652" s="1033" t="s">
        <v>1563</v>
      </c>
      <c r="C652" s="1037"/>
      <c r="D652" s="1037"/>
      <c r="E652" s="1037"/>
      <c r="F652" s="1037"/>
      <c r="G652" s="1073"/>
      <c r="H652" s="1074"/>
      <c r="I652" s="1074"/>
      <c r="J652" s="1075"/>
      <c r="K652" s="1076"/>
      <c r="L652" s="1077"/>
      <c r="M652" s="1099"/>
      <c r="X652" s="1025"/>
    </row>
    <row r="653" spans="1:24">
      <c r="A653" s="984"/>
      <c r="B653" s="887" t="s">
        <v>675</v>
      </c>
      <c r="C653" s="1168">
        <f>C649</f>
        <v>255.40669440000002</v>
      </c>
      <c r="D653" s="870" t="s">
        <v>643</v>
      </c>
      <c r="E653" s="870" t="s">
        <v>644</v>
      </c>
      <c r="F653" s="870"/>
      <c r="G653" s="1073"/>
      <c r="H653" s="1074"/>
      <c r="I653" s="1074"/>
      <c r="J653" s="1075"/>
      <c r="K653" s="1076"/>
      <c r="L653" s="1077"/>
      <c r="X653" s="1025"/>
    </row>
    <row r="654" spans="1:24">
      <c r="A654" s="1169"/>
      <c r="B654" s="1170" t="s">
        <v>645</v>
      </c>
      <c r="C654" s="1171">
        <v>16.399999999999999</v>
      </c>
      <c r="D654" s="872" t="s">
        <v>31</v>
      </c>
      <c r="E654" s="872">
        <v>24</v>
      </c>
      <c r="F654" s="872" t="s">
        <v>646</v>
      </c>
      <c r="G654" s="1172"/>
      <c r="H654" s="1074"/>
      <c r="I654" s="1074"/>
      <c r="J654" s="1075"/>
      <c r="K654" s="1076"/>
      <c r="L654" s="1077"/>
      <c r="X654" s="1025"/>
    </row>
    <row r="655" spans="1:24">
      <c r="A655" s="984"/>
      <c r="B655" s="887" t="s">
        <v>647</v>
      </c>
      <c r="C655" s="1173">
        <v>17.3</v>
      </c>
      <c r="D655" s="870" t="s">
        <v>31</v>
      </c>
      <c r="E655" s="870">
        <v>39</v>
      </c>
      <c r="F655" s="870" t="s">
        <v>646</v>
      </c>
      <c r="G655" s="1174"/>
      <c r="H655" s="1074"/>
      <c r="I655" s="1074"/>
      <c r="J655" s="1075"/>
      <c r="K655" s="1076"/>
      <c r="L655" s="1077"/>
      <c r="M655" s="804" t="s">
        <v>1206</v>
      </c>
      <c r="X655" s="1025"/>
    </row>
    <row r="656" spans="1:24">
      <c r="A656" s="1175"/>
      <c r="B656" s="890" t="s">
        <v>649</v>
      </c>
      <c r="C656" s="1176">
        <v>0</v>
      </c>
      <c r="D656" s="877" t="s">
        <v>31</v>
      </c>
      <c r="E656" s="877">
        <v>17</v>
      </c>
      <c r="F656" s="877" t="s">
        <v>646</v>
      </c>
      <c r="G656" s="1157"/>
      <c r="H656" s="1074"/>
      <c r="I656" s="1074"/>
      <c r="J656" s="1075"/>
      <c r="K656" s="1076"/>
      <c r="L656" s="1077"/>
      <c r="M656" s="804" t="s">
        <v>857</v>
      </c>
      <c r="X656" s="1025"/>
    </row>
    <row r="657" spans="1:24">
      <c r="A657" s="984"/>
      <c r="B657" s="887" t="s">
        <v>604</v>
      </c>
      <c r="C657" s="870" t="s">
        <v>676</v>
      </c>
      <c r="D657" s="870"/>
      <c r="E657" s="870"/>
      <c r="F657" s="870"/>
      <c r="G657" s="1073"/>
      <c r="H657" s="1074"/>
      <c r="I657" s="1074"/>
      <c r="J657" s="1075"/>
      <c r="K657" s="1076"/>
      <c r="L657" s="1077"/>
      <c r="M657" s="804" t="s">
        <v>1627</v>
      </c>
      <c r="X657" s="1025"/>
    </row>
    <row r="658" spans="1:24">
      <c r="A658" s="984"/>
      <c r="B658" s="887" t="s">
        <v>604</v>
      </c>
      <c r="C658" s="870" t="s">
        <v>651</v>
      </c>
      <c r="D658" s="870"/>
      <c r="E658" s="870"/>
      <c r="F658" s="870"/>
      <c r="G658" s="1073"/>
      <c r="H658" s="1074"/>
      <c r="I658" s="1074"/>
      <c r="J658" s="1075"/>
      <c r="K658" s="1076"/>
      <c r="L658" s="1077"/>
      <c r="M658" s="804" t="s">
        <v>1207</v>
      </c>
      <c r="X658" s="1025"/>
    </row>
    <row r="659" spans="1:24">
      <c r="A659" s="984"/>
      <c r="B659" s="887" t="s">
        <v>608</v>
      </c>
      <c r="C659" s="1148">
        <f>((C653*C654*0.01*E654)+(C653*C655*0.01*E655)+(C653*C656*0.01*E656))*1000*1000000</f>
        <v>2728509716275.2007</v>
      </c>
      <c r="D659" s="870" t="s">
        <v>583</v>
      </c>
      <c r="E659" s="870"/>
      <c r="F659" s="870"/>
      <c r="G659" s="1073"/>
      <c r="H659" s="1074"/>
      <c r="I659" s="1074"/>
      <c r="J659" s="1075"/>
      <c r="K659" s="1076"/>
      <c r="L659" s="1077"/>
      <c r="X659" s="1025"/>
    </row>
    <row r="660" spans="1:24">
      <c r="A660" s="984"/>
      <c r="B660" s="887"/>
      <c r="C660" s="870"/>
      <c r="D660" s="870"/>
      <c r="E660" s="870"/>
      <c r="F660" s="870"/>
      <c r="G660" s="1073"/>
      <c r="H660" s="1074"/>
      <c r="I660" s="1074"/>
      <c r="J660" s="1075"/>
      <c r="K660" s="1076"/>
      <c r="L660" s="1077"/>
      <c r="X660" s="1025"/>
    </row>
    <row r="661" spans="1:24">
      <c r="A661" s="1106">
        <v>23.3</v>
      </c>
      <c r="B661" s="887" t="s">
        <v>1564</v>
      </c>
      <c r="C661" s="870" t="s">
        <v>1569</v>
      </c>
      <c r="D661" s="870"/>
      <c r="E661" s="870"/>
      <c r="F661" s="870"/>
      <c r="G661" s="1073"/>
      <c r="H661" s="1074"/>
      <c r="I661" s="1074"/>
      <c r="J661" s="1075"/>
      <c r="K661" s="1076"/>
      <c r="L661" s="1077"/>
      <c r="X661" s="1025"/>
    </row>
    <row r="662" spans="1:24">
      <c r="A662" s="984"/>
      <c r="B662" s="887" t="s">
        <v>608</v>
      </c>
      <c r="C662" s="1148">
        <f>C430/1000</f>
        <v>20899.999999999996</v>
      </c>
      <c r="D662" s="870" t="s">
        <v>765</v>
      </c>
      <c r="E662" s="870"/>
      <c r="F662" s="870"/>
      <c r="G662" s="1073"/>
      <c r="H662" s="1074"/>
      <c r="I662" s="1074"/>
      <c r="J662" s="1075"/>
      <c r="K662" s="1076"/>
      <c r="L662" s="1077"/>
      <c r="X662" s="1025"/>
    </row>
    <row r="663" spans="1:24">
      <c r="A663" s="984"/>
      <c r="B663" s="887"/>
      <c r="C663" s="870"/>
      <c r="D663" s="870"/>
      <c r="E663" s="870"/>
      <c r="F663" s="870"/>
      <c r="G663" s="1073"/>
      <c r="H663" s="1074"/>
      <c r="I663" s="1074"/>
      <c r="J663" s="1075"/>
      <c r="K663" s="1076"/>
      <c r="L663" s="1077"/>
      <c r="X663" s="1025"/>
    </row>
    <row r="664" spans="1:24">
      <c r="A664" s="1106">
        <v>23.4</v>
      </c>
      <c r="B664" s="887" t="s">
        <v>1564</v>
      </c>
      <c r="C664" s="870" t="s">
        <v>1613</v>
      </c>
      <c r="D664" s="870"/>
      <c r="E664" s="870"/>
      <c r="F664" s="870"/>
      <c r="G664" s="1073"/>
      <c r="H664" s="1074"/>
      <c r="I664" s="1074"/>
      <c r="J664" s="1075"/>
      <c r="K664" s="1076"/>
      <c r="L664" s="1077"/>
      <c r="X664" s="1025"/>
    </row>
    <row r="665" spans="1:24">
      <c r="A665" s="1106"/>
      <c r="B665" s="887" t="s">
        <v>604</v>
      </c>
      <c r="C665" s="870" t="s">
        <v>1614</v>
      </c>
      <c r="D665" s="870"/>
      <c r="E665" s="870"/>
      <c r="F665" s="870"/>
      <c r="G665" s="1073"/>
      <c r="H665" s="1074"/>
      <c r="I665" s="1074"/>
      <c r="J665" s="1075"/>
      <c r="K665" s="1076"/>
      <c r="L665" s="1077"/>
      <c r="X665" s="1025"/>
    </row>
    <row r="666" spans="1:24">
      <c r="A666" s="984"/>
      <c r="B666" s="887" t="s">
        <v>604</v>
      </c>
      <c r="C666" s="1148">
        <f>C662*1000*4*4186</f>
        <v>349949599999.99994</v>
      </c>
      <c r="D666" s="870" t="s">
        <v>583</v>
      </c>
      <c r="E666" s="870"/>
      <c r="F666" s="870"/>
      <c r="G666" s="1073"/>
      <c r="H666" s="1074"/>
      <c r="I666" s="1074"/>
      <c r="J666" s="1075"/>
      <c r="K666" s="1076"/>
      <c r="L666" s="1077"/>
      <c r="X666" s="1025"/>
    </row>
    <row r="667" spans="1:24" ht="13.5" thickBot="1">
      <c r="A667" s="1053"/>
      <c r="B667" s="1177"/>
      <c r="C667" s="1177"/>
      <c r="D667" s="1177"/>
      <c r="E667" s="1177"/>
      <c r="F667" s="1177"/>
      <c r="G667" s="1178"/>
      <c r="H667" s="1159"/>
      <c r="I667" s="1159"/>
      <c r="J667" s="1179"/>
      <c r="K667" s="1180"/>
      <c r="L667" s="1181"/>
      <c r="M667" s="848"/>
      <c r="N667" s="848"/>
      <c r="O667" s="848"/>
      <c r="P667" s="848"/>
      <c r="Q667" s="848"/>
      <c r="R667" s="848"/>
      <c r="S667" s="848"/>
      <c r="T667" s="848"/>
      <c r="U667" s="848"/>
      <c r="V667" s="848"/>
      <c r="W667" s="848"/>
      <c r="X667" s="1182"/>
    </row>
    <row r="668" spans="1:24">
      <c r="M668" s="807"/>
    </row>
  </sheetData>
  <customSheetViews>
    <customSheetView guid="{B21478FB-9ACB-45B8-8FD5-2F18F035D5FD}" hiddenRows="1">
      <selection activeCell="D674" sqref="D674"/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4">
    <mergeCell ref="A1:K1"/>
    <mergeCell ref="D4:E4"/>
    <mergeCell ref="D5:E5"/>
    <mergeCell ref="D3:E3"/>
  </mergeCells>
  <phoneticPr fontId="104" type="noConversion"/>
  <hyperlinks>
    <hyperlink ref="B109" location="SAMeFrame!B12" display="Sun"/>
    <hyperlink ref="B119" location="SAMeFrame!B13" display="Rain, geopotential"/>
    <hyperlink ref="B409" location="SAMeFrame!B23" display="Wood"/>
    <hyperlink ref="B417" location="SAMeFrame!B24" display="Natural gas"/>
    <hyperlink ref="B426" location="SAMeFrame!B25" display="Wooden shave"/>
    <hyperlink ref="B435" location="SAMeFrame!B26" display="Fuel"/>
    <hyperlink ref="B442" location="SAMeFrame!B27" display="Electricity"/>
    <hyperlink ref="B449" location="SAMeFrame!B28" display="Pesticides and vaccines"/>
    <hyperlink ref="B470" location="SAMeFrame!B41" display="Mechanical equipment"/>
    <hyperlink ref="B646" location="SAMeFrame!B47" display="Yield"/>
    <hyperlink ref="M120" r:id="rId2" display="http://www.cnpsa.embrapa.br/meteor/"/>
    <hyperlink ref="B145" location="SAMeFrame!B15" display="Wind, kinetic energy"/>
    <hyperlink ref="B156" location="SAMeFrame!B48" display="Wind to GHG dissolution"/>
    <hyperlink ref="B532" location="SAMeFrame!B42" display="Labor"/>
    <hyperlink ref="B496" location="SAMeFrame!B45" display="Transport"/>
    <hyperlink ref="B466" location="SAMeFrame!B31" display="Feed"/>
    <hyperlink ref="M377" r:id="rId3"/>
    <hyperlink ref="B132" location="SAMeFrame!B13" display="Rain, geopotential"/>
    <hyperlink ref="M135" r:id="rId4" display="https://portalcultura.campinas.sp.gov.br/estrutura/gs/cspc/cedoc/permeabilidade_alternativa"/>
    <hyperlink ref="B595" location="SAMeFrame!B43" display="Services ($ per ha)"/>
    <hyperlink ref="M347" r:id="rId5"/>
    <hyperlink ref="B624" location="SAMeFrame!B43" display="Services ($ per ha)"/>
    <hyperlink ref="M465" r:id="rId6"/>
    <hyperlink ref="B455" location="SAMeFrame!B33" display="Chicks"/>
    <hyperlink ref="B360" location="SAMeFrame!B18" display="Groundwater"/>
    <hyperlink ref="M387" r:id="rId7"/>
    <hyperlink ref="M369" r:id="rId8"/>
  </hyperlinks>
  <pageMargins left="0.511811024" right="0.511811024" top="0.78740157499999996" bottom="0.78740157499999996" header="0.31496062000000002" footer="0.31496062000000002"/>
  <pageSetup paperSize="9" orientation="portrait" r:id="rId9"/>
  <legacyDrawing r:id="rId1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3">
    <tabColor theme="5" tint="0.39997558519241921"/>
  </sheetPr>
  <dimension ref="A1:M143"/>
  <sheetViews>
    <sheetView workbookViewId="0"/>
  </sheetViews>
  <sheetFormatPr defaultRowHeight="12.75"/>
  <cols>
    <col min="1" max="1" width="12.83203125" style="78" customWidth="1"/>
    <col min="2" max="2" width="24" style="78" customWidth="1"/>
    <col min="3" max="3" width="11" style="78" customWidth="1"/>
    <col min="4" max="4" width="18.6640625" style="78" customWidth="1"/>
    <col min="5" max="5" width="18.5" style="78" customWidth="1"/>
    <col min="6" max="6" width="11.5" style="78" customWidth="1"/>
    <col min="7" max="7" width="15.5" style="78" customWidth="1"/>
    <col min="8" max="11" width="9.33203125" style="78"/>
    <col min="12" max="12" width="11.1640625" style="78" bestFit="1" customWidth="1"/>
    <col min="13" max="256" width="9.33203125" style="78"/>
    <col min="257" max="257" width="21.33203125" style="78" customWidth="1"/>
    <col min="258" max="258" width="34.1640625" style="78" customWidth="1"/>
    <col min="259" max="512" width="9.33203125" style="78"/>
    <col min="513" max="513" width="21.33203125" style="78" customWidth="1"/>
    <col min="514" max="514" width="34.1640625" style="78" customWidth="1"/>
    <col min="515" max="768" width="9.33203125" style="78"/>
    <col min="769" max="769" width="21.33203125" style="78" customWidth="1"/>
    <col min="770" max="770" width="34.1640625" style="78" customWidth="1"/>
    <col min="771" max="1024" width="9.33203125" style="78"/>
    <col min="1025" max="1025" width="21.33203125" style="78" customWidth="1"/>
    <col min="1026" max="1026" width="34.1640625" style="78" customWidth="1"/>
    <col min="1027" max="1280" width="9.33203125" style="78"/>
    <col min="1281" max="1281" width="21.33203125" style="78" customWidth="1"/>
    <col min="1282" max="1282" width="34.1640625" style="78" customWidth="1"/>
    <col min="1283" max="1536" width="9.33203125" style="78"/>
    <col min="1537" max="1537" width="21.33203125" style="78" customWidth="1"/>
    <col min="1538" max="1538" width="34.1640625" style="78" customWidth="1"/>
    <col min="1539" max="1792" width="9.33203125" style="78"/>
    <col min="1793" max="1793" width="21.33203125" style="78" customWidth="1"/>
    <col min="1794" max="1794" width="34.1640625" style="78" customWidth="1"/>
    <col min="1795" max="2048" width="9.33203125" style="78"/>
    <col min="2049" max="2049" width="21.33203125" style="78" customWidth="1"/>
    <col min="2050" max="2050" width="34.1640625" style="78" customWidth="1"/>
    <col min="2051" max="2304" width="9.33203125" style="78"/>
    <col min="2305" max="2305" width="21.33203125" style="78" customWidth="1"/>
    <col min="2306" max="2306" width="34.1640625" style="78" customWidth="1"/>
    <col min="2307" max="2560" width="9.33203125" style="78"/>
    <col min="2561" max="2561" width="21.33203125" style="78" customWidth="1"/>
    <col min="2562" max="2562" width="34.1640625" style="78" customWidth="1"/>
    <col min="2563" max="2816" width="9.33203125" style="78"/>
    <col min="2817" max="2817" width="21.33203125" style="78" customWidth="1"/>
    <col min="2818" max="2818" width="34.1640625" style="78" customWidth="1"/>
    <col min="2819" max="3072" width="9.33203125" style="78"/>
    <col min="3073" max="3073" width="21.33203125" style="78" customWidth="1"/>
    <col min="3074" max="3074" width="34.1640625" style="78" customWidth="1"/>
    <col min="3075" max="3328" width="9.33203125" style="78"/>
    <col min="3329" max="3329" width="21.33203125" style="78" customWidth="1"/>
    <col min="3330" max="3330" width="34.1640625" style="78" customWidth="1"/>
    <col min="3331" max="3584" width="9.33203125" style="78"/>
    <col min="3585" max="3585" width="21.33203125" style="78" customWidth="1"/>
    <col min="3586" max="3586" width="34.1640625" style="78" customWidth="1"/>
    <col min="3587" max="3840" width="9.33203125" style="78"/>
    <col min="3841" max="3841" width="21.33203125" style="78" customWidth="1"/>
    <col min="3842" max="3842" width="34.1640625" style="78" customWidth="1"/>
    <col min="3843" max="4096" width="9.33203125" style="78"/>
    <col min="4097" max="4097" width="21.33203125" style="78" customWidth="1"/>
    <col min="4098" max="4098" width="34.1640625" style="78" customWidth="1"/>
    <col min="4099" max="4352" width="9.33203125" style="78"/>
    <col min="4353" max="4353" width="21.33203125" style="78" customWidth="1"/>
    <col min="4354" max="4354" width="34.1640625" style="78" customWidth="1"/>
    <col min="4355" max="4608" width="9.33203125" style="78"/>
    <col min="4609" max="4609" width="21.33203125" style="78" customWidth="1"/>
    <col min="4610" max="4610" width="34.1640625" style="78" customWidth="1"/>
    <col min="4611" max="4864" width="9.33203125" style="78"/>
    <col min="4865" max="4865" width="21.33203125" style="78" customWidth="1"/>
    <col min="4866" max="4866" width="34.1640625" style="78" customWidth="1"/>
    <col min="4867" max="5120" width="9.33203125" style="78"/>
    <col min="5121" max="5121" width="21.33203125" style="78" customWidth="1"/>
    <col min="5122" max="5122" width="34.1640625" style="78" customWidth="1"/>
    <col min="5123" max="5376" width="9.33203125" style="78"/>
    <col min="5377" max="5377" width="21.33203125" style="78" customWidth="1"/>
    <col min="5378" max="5378" width="34.1640625" style="78" customWidth="1"/>
    <col min="5379" max="5632" width="9.33203125" style="78"/>
    <col min="5633" max="5633" width="21.33203125" style="78" customWidth="1"/>
    <col min="5634" max="5634" width="34.1640625" style="78" customWidth="1"/>
    <col min="5635" max="5888" width="9.33203125" style="78"/>
    <col min="5889" max="5889" width="21.33203125" style="78" customWidth="1"/>
    <col min="5890" max="5890" width="34.1640625" style="78" customWidth="1"/>
    <col min="5891" max="6144" width="9.33203125" style="78"/>
    <col min="6145" max="6145" width="21.33203125" style="78" customWidth="1"/>
    <col min="6146" max="6146" width="34.1640625" style="78" customWidth="1"/>
    <col min="6147" max="6400" width="9.33203125" style="78"/>
    <col min="6401" max="6401" width="21.33203125" style="78" customWidth="1"/>
    <col min="6402" max="6402" width="34.1640625" style="78" customWidth="1"/>
    <col min="6403" max="6656" width="9.33203125" style="78"/>
    <col min="6657" max="6657" width="21.33203125" style="78" customWidth="1"/>
    <col min="6658" max="6658" width="34.1640625" style="78" customWidth="1"/>
    <col min="6659" max="6912" width="9.33203125" style="78"/>
    <col min="6913" max="6913" width="21.33203125" style="78" customWidth="1"/>
    <col min="6914" max="6914" width="34.1640625" style="78" customWidth="1"/>
    <col min="6915" max="7168" width="9.33203125" style="78"/>
    <col min="7169" max="7169" width="21.33203125" style="78" customWidth="1"/>
    <col min="7170" max="7170" width="34.1640625" style="78" customWidth="1"/>
    <col min="7171" max="7424" width="9.33203125" style="78"/>
    <col min="7425" max="7425" width="21.33203125" style="78" customWidth="1"/>
    <col min="7426" max="7426" width="34.1640625" style="78" customWidth="1"/>
    <col min="7427" max="7680" width="9.33203125" style="78"/>
    <col min="7681" max="7681" width="21.33203125" style="78" customWidth="1"/>
    <col min="7682" max="7682" width="34.1640625" style="78" customWidth="1"/>
    <col min="7683" max="7936" width="9.33203125" style="78"/>
    <col min="7937" max="7937" width="21.33203125" style="78" customWidth="1"/>
    <col min="7938" max="7938" width="34.1640625" style="78" customWidth="1"/>
    <col min="7939" max="8192" width="9.33203125" style="78"/>
    <col min="8193" max="8193" width="21.33203125" style="78" customWidth="1"/>
    <col min="8194" max="8194" width="34.1640625" style="78" customWidth="1"/>
    <col min="8195" max="8448" width="9.33203125" style="78"/>
    <col min="8449" max="8449" width="21.33203125" style="78" customWidth="1"/>
    <col min="8450" max="8450" width="34.1640625" style="78" customWidth="1"/>
    <col min="8451" max="8704" width="9.33203125" style="78"/>
    <col min="8705" max="8705" width="21.33203125" style="78" customWidth="1"/>
    <col min="8706" max="8706" width="34.1640625" style="78" customWidth="1"/>
    <col min="8707" max="8960" width="9.33203125" style="78"/>
    <col min="8961" max="8961" width="21.33203125" style="78" customWidth="1"/>
    <col min="8962" max="8962" width="34.1640625" style="78" customWidth="1"/>
    <col min="8963" max="9216" width="9.33203125" style="78"/>
    <col min="9217" max="9217" width="21.33203125" style="78" customWidth="1"/>
    <col min="9218" max="9218" width="34.1640625" style="78" customWidth="1"/>
    <col min="9219" max="9472" width="9.33203125" style="78"/>
    <col min="9473" max="9473" width="21.33203125" style="78" customWidth="1"/>
    <col min="9474" max="9474" width="34.1640625" style="78" customWidth="1"/>
    <col min="9475" max="9728" width="9.33203125" style="78"/>
    <col min="9729" max="9729" width="21.33203125" style="78" customWidth="1"/>
    <col min="9730" max="9730" width="34.1640625" style="78" customWidth="1"/>
    <col min="9731" max="9984" width="9.33203125" style="78"/>
    <col min="9985" max="9985" width="21.33203125" style="78" customWidth="1"/>
    <col min="9986" max="9986" width="34.1640625" style="78" customWidth="1"/>
    <col min="9987" max="10240" width="9.33203125" style="78"/>
    <col min="10241" max="10241" width="21.33203125" style="78" customWidth="1"/>
    <col min="10242" max="10242" width="34.1640625" style="78" customWidth="1"/>
    <col min="10243" max="10496" width="9.33203125" style="78"/>
    <col min="10497" max="10497" width="21.33203125" style="78" customWidth="1"/>
    <col min="10498" max="10498" width="34.1640625" style="78" customWidth="1"/>
    <col min="10499" max="10752" width="9.33203125" style="78"/>
    <col min="10753" max="10753" width="21.33203125" style="78" customWidth="1"/>
    <col min="10754" max="10754" width="34.1640625" style="78" customWidth="1"/>
    <col min="10755" max="11008" width="9.33203125" style="78"/>
    <col min="11009" max="11009" width="21.33203125" style="78" customWidth="1"/>
    <col min="11010" max="11010" width="34.1640625" style="78" customWidth="1"/>
    <col min="11011" max="11264" width="9.33203125" style="78"/>
    <col min="11265" max="11265" width="21.33203125" style="78" customWidth="1"/>
    <col min="11266" max="11266" width="34.1640625" style="78" customWidth="1"/>
    <col min="11267" max="11520" width="9.33203125" style="78"/>
    <col min="11521" max="11521" width="21.33203125" style="78" customWidth="1"/>
    <col min="11522" max="11522" width="34.1640625" style="78" customWidth="1"/>
    <col min="11523" max="11776" width="9.33203125" style="78"/>
    <col min="11777" max="11777" width="21.33203125" style="78" customWidth="1"/>
    <col min="11778" max="11778" width="34.1640625" style="78" customWidth="1"/>
    <col min="11779" max="12032" width="9.33203125" style="78"/>
    <col min="12033" max="12033" width="21.33203125" style="78" customWidth="1"/>
    <col min="12034" max="12034" width="34.1640625" style="78" customWidth="1"/>
    <col min="12035" max="12288" width="9.33203125" style="78"/>
    <col min="12289" max="12289" width="21.33203125" style="78" customWidth="1"/>
    <col min="12290" max="12290" width="34.1640625" style="78" customWidth="1"/>
    <col min="12291" max="12544" width="9.33203125" style="78"/>
    <col min="12545" max="12545" width="21.33203125" style="78" customWidth="1"/>
    <col min="12546" max="12546" width="34.1640625" style="78" customWidth="1"/>
    <col min="12547" max="12800" width="9.33203125" style="78"/>
    <col min="12801" max="12801" width="21.33203125" style="78" customWidth="1"/>
    <col min="12802" max="12802" width="34.1640625" style="78" customWidth="1"/>
    <col min="12803" max="13056" width="9.33203125" style="78"/>
    <col min="13057" max="13057" width="21.33203125" style="78" customWidth="1"/>
    <col min="13058" max="13058" width="34.1640625" style="78" customWidth="1"/>
    <col min="13059" max="13312" width="9.33203125" style="78"/>
    <col min="13313" max="13313" width="21.33203125" style="78" customWidth="1"/>
    <col min="13314" max="13314" width="34.1640625" style="78" customWidth="1"/>
    <col min="13315" max="13568" width="9.33203125" style="78"/>
    <col min="13569" max="13569" width="21.33203125" style="78" customWidth="1"/>
    <col min="13570" max="13570" width="34.1640625" style="78" customWidth="1"/>
    <col min="13571" max="13824" width="9.33203125" style="78"/>
    <col min="13825" max="13825" width="21.33203125" style="78" customWidth="1"/>
    <col min="13826" max="13826" width="34.1640625" style="78" customWidth="1"/>
    <col min="13827" max="14080" width="9.33203125" style="78"/>
    <col min="14081" max="14081" width="21.33203125" style="78" customWidth="1"/>
    <col min="14082" max="14082" width="34.1640625" style="78" customWidth="1"/>
    <col min="14083" max="14336" width="9.33203125" style="78"/>
    <col min="14337" max="14337" width="21.33203125" style="78" customWidth="1"/>
    <col min="14338" max="14338" width="34.1640625" style="78" customWidth="1"/>
    <col min="14339" max="14592" width="9.33203125" style="78"/>
    <col min="14593" max="14593" width="21.33203125" style="78" customWidth="1"/>
    <col min="14594" max="14594" width="34.1640625" style="78" customWidth="1"/>
    <col min="14595" max="14848" width="9.33203125" style="78"/>
    <col min="14849" max="14849" width="21.33203125" style="78" customWidth="1"/>
    <col min="14850" max="14850" width="34.1640625" style="78" customWidth="1"/>
    <col min="14851" max="15104" width="9.33203125" style="78"/>
    <col min="15105" max="15105" width="21.33203125" style="78" customWidth="1"/>
    <col min="15106" max="15106" width="34.1640625" style="78" customWidth="1"/>
    <col min="15107" max="15360" width="9.33203125" style="78"/>
    <col min="15361" max="15361" width="21.33203125" style="78" customWidth="1"/>
    <col min="15362" max="15362" width="34.1640625" style="78" customWidth="1"/>
    <col min="15363" max="15616" width="9.33203125" style="78"/>
    <col min="15617" max="15617" width="21.33203125" style="78" customWidth="1"/>
    <col min="15618" max="15618" width="34.1640625" style="78" customWidth="1"/>
    <col min="15619" max="15872" width="9.33203125" style="78"/>
    <col min="15873" max="15873" width="21.33203125" style="78" customWidth="1"/>
    <col min="15874" max="15874" width="34.1640625" style="78" customWidth="1"/>
    <col min="15875" max="16128" width="9.33203125" style="78"/>
    <col min="16129" max="16129" width="21.33203125" style="78" customWidth="1"/>
    <col min="16130" max="16130" width="34.1640625" style="78" customWidth="1"/>
    <col min="16131" max="16384" width="9.33203125" style="78"/>
  </cols>
  <sheetData>
    <row r="1" spans="1:7">
      <c r="A1" s="193" t="s">
        <v>513</v>
      </c>
      <c r="B1" s="194"/>
      <c r="C1" s="194"/>
      <c r="D1" s="194"/>
      <c r="E1" s="195" t="s">
        <v>514</v>
      </c>
      <c r="F1" s="194" t="s">
        <v>515</v>
      </c>
      <c r="G1" s="196"/>
    </row>
    <row r="2" spans="1:7">
      <c r="A2" s="197"/>
      <c r="B2" s="198"/>
      <c r="C2" s="198"/>
      <c r="D2" s="199" t="s">
        <v>516</v>
      </c>
      <c r="E2" s="198"/>
      <c r="F2" s="198"/>
      <c r="G2" s="200"/>
    </row>
    <row r="3" spans="1:7">
      <c r="A3" s="201"/>
      <c r="B3" s="202"/>
      <c r="C3" s="202"/>
      <c r="D3" s="202"/>
      <c r="E3" s="203"/>
      <c r="F3" s="204" t="s">
        <v>517</v>
      </c>
      <c r="G3" s="205" t="s">
        <v>518</v>
      </c>
    </row>
    <row r="4" spans="1:7">
      <c r="A4" s="197"/>
      <c r="B4" s="198"/>
      <c r="C4" s="198"/>
      <c r="D4" s="206" t="s">
        <v>519</v>
      </c>
      <c r="E4" s="206" t="s">
        <v>520</v>
      </c>
      <c r="F4" s="207" t="s">
        <v>521</v>
      </c>
      <c r="G4" s="208" t="s">
        <v>522</v>
      </c>
    </row>
    <row r="5" spans="1:7">
      <c r="A5" s="209" t="s">
        <v>523</v>
      </c>
      <c r="B5" s="210" t="s">
        <v>461</v>
      </c>
      <c r="C5" s="211" t="s">
        <v>524</v>
      </c>
      <c r="D5" s="210" t="s">
        <v>525</v>
      </c>
      <c r="E5" s="210" t="s">
        <v>526</v>
      </c>
      <c r="F5" s="212" t="s">
        <v>527</v>
      </c>
      <c r="G5" s="213" t="s">
        <v>528</v>
      </c>
    </row>
    <row r="6" spans="1:7">
      <c r="A6" s="214"/>
      <c r="B6" s="206"/>
      <c r="C6" s="215"/>
      <c r="D6" s="206"/>
      <c r="E6" s="206"/>
      <c r="F6" s="207"/>
      <c r="G6" s="208"/>
    </row>
    <row r="7" spans="1:7">
      <c r="A7" s="216" t="s">
        <v>529</v>
      </c>
      <c r="B7" s="206"/>
      <c r="C7" s="215"/>
      <c r="D7" s="206"/>
      <c r="E7" s="206"/>
      <c r="F7" s="207"/>
      <c r="G7" s="208"/>
    </row>
    <row r="8" spans="1:7">
      <c r="A8" s="214">
        <v>1</v>
      </c>
      <c r="B8" s="215" t="s">
        <v>530</v>
      </c>
      <c r="C8" s="215" t="s">
        <v>388</v>
      </c>
      <c r="D8" s="217">
        <f>C50</f>
        <v>13651048320000.002</v>
      </c>
      <c r="E8" s="217">
        <f>C51</f>
        <v>1</v>
      </c>
      <c r="F8" s="218">
        <f>D8*E8/10000000000000</f>
        <v>1.3651048320000001</v>
      </c>
      <c r="G8" s="219">
        <f>F8*10000000000000/$E$23</f>
        <v>11.518529178262613</v>
      </c>
    </row>
    <row r="9" spans="1:7">
      <c r="A9" s="214">
        <v>2</v>
      </c>
      <c r="B9" s="215" t="s">
        <v>531</v>
      </c>
      <c r="C9" s="215" t="s">
        <v>388</v>
      </c>
      <c r="D9" s="217">
        <f>C59</f>
        <v>242169760.00000006</v>
      </c>
      <c r="E9" s="217">
        <f>C60</f>
        <v>47000</v>
      </c>
      <c r="F9" s="218">
        <f>D9*E9/10000000000000</f>
        <v>1.1381978720000001</v>
      </c>
      <c r="G9" s="219">
        <f>F9*10000000000000/$E$23</f>
        <v>9.6039257146724495</v>
      </c>
    </row>
    <row r="10" spans="1:7">
      <c r="A10" s="214">
        <v>3</v>
      </c>
      <c r="B10" s="215" t="s">
        <v>532</v>
      </c>
      <c r="C10" s="215" t="s">
        <v>388</v>
      </c>
      <c r="D10" s="217">
        <f>C64</f>
        <v>15922608000.000002</v>
      </c>
      <c r="E10" s="217">
        <f>C65</f>
        <v>30500</v>
      </c>
      <c r="F10" s="218">
        <f>D10*E10/10000000000000</f>
        <v>48.563954400000007</v>
      </c>
      <c r="G10" s="219">
        <f>F10*10000000000000/$E$23</f>
        <v>409.77462877240401</v>
      </c>
    </row>
    <row r="11" spans="1:7">
      <c r="A11" s="214">
        <v>4</v>
      </c>
      <c r="B11" s="215" t="s">
        <v>533</v>
      </c>
      <c r="C11" s="215" t="s">
        <v>388</v>
      </c>
      <c r="D11" s="217">
        <f>C70</f>
        <v>4582000000</v>
      </c>
      <c r="E11" s="217">
        <f>C71</f>
        <v>58000</v>
      </c>
      <c r="F11" s="218">
        <f>D11*E11/10000000000000</f>
        <v>26.575600000000001</v>
      </c>
      <c r="G11" s="219">
        <f>F11*10000000000000/$E$23</f>
        <v>224.24052486969427</v>
      </c>
    </row>
    <row r="12" spans="1:7">
      <c r="A12" s="216" t="s">
        <v>534</v>
      </c>
      <c r="B12" s="215"/>
      <c r="C12" s="215"/>
      <c r="D12" s="217"/>
      <c r="E12" s="217"/>
      <c r="F12" s="218"/>
      <c r="G12" s="219"/>
    </row>
    <row r="13" spans="1:7">
      <c r="A13" s="214">
        <v>5</v>
      </c>
      <c r="B13" s="220" t="s">
        <v>535</v>
      </c>
      <c r="C13" s="215" t="s">
        <v>388</v>
      </c>
      <c r="D13" s="217">
        <f>C76</f>
        <v>0</v>
      </c>
      <c r="E13" s="217">
        <f>C77</f>
        <v>74000</v>
      </c>
      <c r="F13" s="218">
        <f>D13*E13/10000000000000</f>
        <v>0</v>
      </c>
      <c r="G13" s="219">
        <f>F13*10000000000000/$E$23</f>
        <v>0</v>
      </c>
    </row>
    <row r="14" spans="1:7">
      <c r="A14" s="214"/>
      <c r="B14" s="221" t="s">
        <v>536</v>
      </c>
      <c r="C14" s="198"/>
      <c r="D14" s="198"/>
      <c r="E14" s="198"/>
      <c r="F14" s="218">
        <f>F10+F13</f>
        <v>48.563954400000007</v>
      </c>
      <c r="G14" s="219">
        <f>F14*10000000000000/$E$23</f>
        <v>409.77462877240401</v>
      </c>
    </row>
    <row r="15" spans="1:7">
      <c r="A15" s="214"/>
      <c r="B15" s="215"/>
      <c r="C15" s="215"/>
      <c r="D15" s="217"/>
      <c r="E15" s="217"/>
      <c r="F15" s="218"/>
      <c r="G15" s="219"/>
    </row>
    <row r="16" spans="1:7">
      <c r="A16" s="216" t="s">
        <v>537</v>
      </c>
      <c r="B16" s="215"/>
      <c r="C16" s="215"/>
      <c r="D16" s="217"/>
      <c r="E16" s="217"/>
      <c r="F16" s="218"/>
      <c r="G16" s="219"/>
    </row>
    <row r="17" spans="1:7">
      <c r="A17" s="214">
        <v>6</v>
      </c>
      <c r="B17" s="215" t="s">
        <v>538</v>
      </c>
      <c r="C17" s="215" t="s">
        <v>388</v>
      </c>
      <c r="D17" s="217">
        <f>C82</f>
        <v>148953849710.98267</v>
      </c>
      <c r="E17" s="217">
        <f>C83</f>
        <v>110880</v>
      </c>
      <c r="F17" s="222">
        <f t="shared" ref="F17:F23" si="0">D17*E17/10000000000000</f>
        <v>1651.6002855953759</v>
      </c>
      <c r="G17" s="223">
        <f t="shared" ref="G17:G23" si="1">F17*10000000000000/$E$23</f>
        <v>13935.930512080407</v>
      </c>
    </row>
    <row r="18" spans="1:7">
      <c r="A18" s="214">
        <v>7</v>
      </c>
      <c r="B18" s="215" t="s">
        <v>539</v>
      </c>
      <c r="C18" s="215" t="s">
        <v>388</v>
      </c>
      <c r="D18" s="217">
        <f>C100</f>
        <v>282857142857.14288</v>
      </c>
      <c r="E18" s="217">
        <f>C101</f>
        <v>336000</v>
      </c>
      <c r="F18" s="222">
        <f t="shared" si="0"/>
        <v>9504.0000000000018</v>
      </c>
      <c r="G18" s="223">
        <f t="shared" si="1"/>
        <v>80193.182782762189</v>
      </c>
    </row>
    <row r="19" spans="1:7">
      <c r="A19" s="214">
        <v>9</v>
      </c>
      <c r="B19" s="215" t="s">
        <v>540</v>
      </c>
      <c r="C19" s="215" t="s">
        <v>187</v>
      </c>
      <c r="D19" s="217">
        <f>C105</f>
        <v>0</v>
      </c>
      <c r="E19" s="217">
        <f>C106</f>
        <v>14800000000</v>
      </c>
      <c r="F19" s="222">
        <f t="shared" si="0"/>
        <v>0</v>
      </c>
      <c r="G19" s="223">
        <f t="shared" si="1"/>
        <v>0</v>
      </c>
    </row>
    <row r="20" spans="1:7">
      <c r="A20" s="214">
        <v>10</v>
      </c>
      <c r="B20" s="224" t="s">
        <v>541</v>
      </c>
      <c r="C20" s="215" t="s">
        <v>388</v>
      </c>
      <c r="D20" s="217">
        <f>C114</f>
        <v>7205520000000</v>
      </c>
      <c r="E20" s="217">
        <f>C115</f>
        <v>336000</v>
      </c>
      <c r="F20" s="222">
        <f t="shared" si="0"/>
        <v>242105.47200000001</v>
      </c>
      <c r="G20" s="223">
        <f t="shared" si="1"/>
        <v>2042845.9984009794</v>
      </c>
    </row>
    <row r="21" spans="1:7">
      <c r="A21" s="214">
        <v>11</v>
      </c>
      <c r="B21" s="215" t="s">
        <v>542</v>
      </c>
      <c r="C21" s="215" t="s">
        <v>187</v>
      </c>
      <c r="D21" s="217">
        <f>C121</f>
        <v>949367.08860759495</v>
      </c>
      <c r="E21" s="217">
        <f>C122</f>
        <v>6700000000</v>
      </c>
      <c r="F21" s="222">
        <f t="shared" si="0"/>
        <v>636.07594936708858</v>
      </c>
      <c r="G21" s="223">
        <f t="shared" si="1"/>
        <v>5367.1038374698983</v>
      </c>
    </row>
    <row r="22" spans="1:7">
      <c r="A22" s="214">
        <v>12</v>
      </c>
      <c r="B22" s="215" t="s">
        <v>543</v>
      </c>
      <c r="C22" s="215" t="s">
        <v>388</v>
      </c>
      <c r="D22" s="217">
        <f>C128</f>
        <v>2637180000</v>
      </c>
      <c r="E22" s="217">
        <f>C129</f>
        <v>10955552.130760605</v>
      </c>
      <c r="F22" s="222">
        <f t="shared" si="0"/>
        <v>2889.176296819925</v>
      </c>
      <c r="G22" s="223">
        <f t="shared" si="1"/>
        <v>24378.392557081672</v>
      </c>
    </row>
    <row r="23" spans="1:7">
      <c r="A23" s="214">
        <v>13</v>
      </c>
      <c r="B23" s="215" t="s">
        <v>544</v>
      </c>
      <c r="C23" s="215" t="s">
        <v>545</v>
      </c>
      <c r="D23" s="217">
        <f>C131</f>
        <v>4695914652.1327629</v>
      </c>
      <c r="E23" s="217">
        <f>[2]COUNTRY!O29</f>
        <v>1185138146436.4226</v>
      </c>
      <c r="F23" s="222">
        <f t="shared" si="0"/>
        <v>556530758.6652261</v>
      </c>
      <c r="G23" s="223">
        <f t="shared" si="1"/>
        <v>4695914652.1327629</v>
      </c>
    </row>
    <row r="24" spans="1:7">
      <c r="A24" s="214"/>
      <c r="B24" s="225" t="s">
        <v>546</v>
      </c>
      <c r="C24" s="215"/>
      <c r="D24" s="217"/>
      <c r="E24" s="217"/>
      <c r="F24" s="222">
        <f>SUM(F17:F23)</f>
        <v>556787544.9897579</v>
      </c>
      <c r="G24" s="223">
        <f>F24*10000000000000/$E$23</f>
        <v>4698081372.7408533</v>
      </c>
    </row>
    <row r="25" spans="1:7">
      <c r="A25" s="214"/>
      <c r="B25" s="215"/>
      <c r="C25" s="215"/>
      <c r="D25" s="217"/>
      <c r="E25" s="217"/>
      <c r="F25" s="218"/>
      <c r="G25" s="219"/>
    </row>
    <row r="26" spans="1:7">
      <c r="A26" s="216" t="s">
        <v>547</v>
      </c>
      <c r="B26" s="215"/>
      <c r="C26" s="215"/>
      <c r="D26" s="206"/>
      <c r="E26" s="206"/>
      <c r="F26" s="218"/>
      <c r="G26" s="219"/>
    </row>
    <row r="27" spans="1:7">
      <c r="A27" s="214">
        <v>14</v>
      </c>
      <c r="B27" s="226" t="s">
        <v>548</v>
      </c>
      <c r="C27" s="215" t="s">
        <v>187</v>
      </c>
      <c r="D27" s="217">
        <f>C135</f>
        <v>141641048824.59314</v>
      </c>
      <c r="E27" s="227">
        <f>F27*10000000000000/D27</f>
        <v>39309762118.694305</v>
      </c>
      <c r="F27" s="222">
        <f>F10+F13+F17+F18+F19+F20+F21+F22+F23</f>
        <v>556787593.55371225</v>
      </c>
      <c r="G27" s="223">
        <f>G10+G13+G17+G18+G19+G20+G21+G22+G23</f>
        <v>4698081782.5154819</v>
      </c>
    </row>
    <row r="28" spans="1:7">
      <c r="A28" s="214">
        <v>15</v>
      </c>
      <c r="B28" s="215" t="s">
        <v>548</v>
      </c>
      <c r="C28" s="215" t="s">
        <v>388</v>
      </c>
      <c r="D28" s="217">
        <f>C143</f>
        <v>3682667269439421.5</v>
      </c>
      <c r="E28" s="217">
        <f>F27*10000000000000/D28</f>
        <v>1511913.9276420888</v>
      </c>
      <c r="F28" s="228"/>
      <c r="G28" s="229"/>
    </row>
    <row r="29" spans="1:7">
      <c r="A29" s="209"/>
      <c r="B29" s="230"/>
      <c r="C29" s="230"/>
      <c r="D29" s="230"/>
      <c r="E29" s="230"/>
      <c r="F29" s="230"/>
      <c r="G29" s="231"/>
    </row>
    <row r="30" spans="1:7">
      <c r="A30" s="232"/>
      <c r="B30" s="202"/>
      <c r="C30" s="233" t="s">
        <v>549</v>
      </c>
      <c r="D30" s="202"/>
      <c r="E30" s="198"/>
      <c r="F30" s="202"/>
      <c r="G30" s="234"/>
    </row>
    <row r="31" spans="1:7">
      <c r="A31" s="235"/>
      <c r="B31" s="225" t="s">
        <v>550</v>
      </c>
      <c r="C31" s="221"/>
      <c r="D31" s="221"/>
      <c r="E31" s="236" t="s">
        <v>551</v>
      </c>
      <c r="F31" s="221"/>
      <c r="G31" s="237" t="s">
        <v>552</v>
      </c>
    </row>
    <row r="32" spans="1:7">
      <c r="A32" s="238">
        <v>16</v>
      </c>
      <c r="B32" s="221" t="s">
        <v>553</v>
      </c>
      <c r="C32" s="221"/>
      <c r="D32" s="221"/>
      <c r="E32" s="239" t="s">
        <v>554</v>
      </c>
      <c r="F32" s="221"/>
      <c r="G32" s="240">
        <f>F10/(F10+F13+F17+F18+F19+F19+F20+F21+F22+F23)</f>
        <v>8.7221689136496774E-8</v>
      </c>
    </row>
    <row r="33" spans="1:10">
      <c r="A33" s="238">
        <v>17</v>
      </c>
      <c r="B33" s="221" t="s">
        <v>555</v>
      </c>
      <c r="C33" s="221"/>
      <c r="D33" s="221"/>
      <c r="E33" s="239" t="s">
        <v>556</v>
      </c>
      <c r="F33" s="221"/>
      <c r="G33" s="240">
        <f>(F17+F18+F19+F20+F21+F22+F23+F13)/F10</f>
        <v>11465037.225011434</v>
      </c>
    </row>
    <row r="34" spans="1:10">
      <c r="A34" s="238">
        <v>18</v>
      </c>
      <c r="B34" s="221" t="s">
        <v>557</v>
      </c>
      <c r="C34" s="198"/>
      <c r="D34" s="198"/>
      <c r="E34" s="206" t="s">
        <v>558</v>
      </c>
      <c r="F34" s="198"/>
      <c r="G34" s="241">
        <f>(F17+F18+F19+F20+F21+F22+F23)/(F13+F10)</f>
        <v>11465037.225011434</v>
      </c>
    </row>
    <row r="35" spans="1:10">
      <c r="A35" s="238">
        <v>19</v>
      </c>
      <c r="B35" s="221" t="s">
        <v>559</v>
      </c>
      <c r="C35" s="198"/>
      <c r="D35" s="198"/>
      <c r="E35" s="206" t="s">
        <v>560</v>
      </c>
      <c r="F35" s="198"/>
      <c r="G35" s="241">
        <f>F27/(F17+F18+F19+F20+F21+F22+F23)</f>
        <v>1.0000000872216968</v>
      </c>
    </row>
    <row r="36" spans="1:10">
      <c r="A36" s="238">
        <v>20</v>
      </c>
      <c r="B36" s="221" t="s">
        <v>561</v>
      </c>
      <c r="C36" s="198"/>
      <c r="D36" s="198"/>
      <c r="E36" s="206" t="s">
        <v>562</v>
      </c>
      <c r="F36" s="198"/>
      <c r="G36" s="241">
        <f>(F13+F17+F18+F19+F20+F21+F22)/F10</f>
        <v>5287.5909242634152</v>
      </c>
      <c r="J36" s="242"/>
    </row>
    <row r="37" spans="1:10">
      <c r="A37" s="238">
        <v>21</v>
      </c>
      <c r="B37" s="221" t="s">
        <v>563</v>
      </c>
      <c r="C37" s="198"/>
      <c r="D37" s="198"/>
      <c r="E37" s="206" t="s">
        <v>564</v>
      </c>
      <c r="F37" s="198"/>
      <c r="G37" s="241">
        <f>(F27*10000000000000)</f>
        <v>5.5678759355371225E+21</v>
      </c>
    </row>
    <row r="38" spans="1:10">
      <c r="A38" s="243">
        <v>22</v>
      </c>
      <c r="B38" s="244" t="s">
        <v>565</v>
      </c>
      <c r="C38" s="230"/>
      <c r="D38" s="230"/>
      <c r="E38" s="210" t="s">
        <v>432</v>
      </c>
      <c r="F38" s="230"/>
      <c r="G38" s="245">
        <f>G35/G33</f>
        <v>8.7221704351744867E-8</v>
      </c>
    </row>
    <row r="39" spans="1:10">
      <c r="A39" s="214"/>
      <c r="B39" s="221" t="s">
        <v>566</v>
      </c>
      <c r="C39" s="246">
        <f>C43</f>
        <v>0.316</v>
      </c>
      <c r="D39" s="198" t="s">
        <v>567</v>
      </c>
      <c r="E39" s="206"/>
      <c r="F39" s="198"/>
      <c r="G39" s="241"/>
    </row>
    <row r="40" spans="1:10">
      <c r="A40" s="209"/>
      <c r="B40" s="247" t="s">
        <v>568</v>
      </c>
      <c r="C40" s="230"/>
      <c r="D40" s="230"/>
      <c r="E40" s="230"/>
      <c r="F40" s="230"/>
      <c r="G40" s="231"/>
    </row>
    <row r="41" spans="1:10">
      <c r="A41" s="248" t="s">
        <v>569</v>
      </c>
      <c r="B41" s="249"/>
      <c r="C41" s="250"/>
      <c r="D41" s="250"/>
      <c r="E41" s="250"/>
      <c r="F41" s="250"/>
      <c r="G41" s="251"/>
    </row>
    <row r="42" spans="1:10">
      <c r="A42" s="252">
        <v>1</v>
      </c>
      <c r="B42" s="249" t="s">
        <v>570</v>
      </c>
      <c r="C42" s="250"/>
      <c r="D42" s="250"/>
      <c r="E42" s="250"/>
      <c r="F42" s="250"/>
      <c r="G42" s="253" t="s">
        <v>571</v>
      </c>
    </row>
    <row r="43" spans="1:10">
      <c r="A43" s="252"/>
      <c r="B43" s="249" t="s">
        <v>566</v>
      </c>
      <c r="C43" s="254">
        <f>([2]Interface!G66+[2]Interface!G68)/10000</f>
        <v>0.316</v>
      </c>
      <c r="D43" s="250" t="s">
        <v>567</v>
      </c>
      <c r="E43" s="250"/>
      <c r="F43" s="250"/>
      <c r="G43" s="255"/>
    </row>
    <row r="44" spans="1:10">
      <c r="A44" s="252"/>
      <c r="B44" s="256" t="s">
        <v>572</v>
      </c>
      <c r="C44" s="257">
        <f>C43</f>
        <v>0.316</v>
      </c>
      <c r="D44" s="258" t="s">
        <v>567</v>
      </c>
      <c r="E44" s="258" t="s">
        <v>573</v>
      </c>
      <c r="F44" s="250"/>
      <c r="G44" s="259"/>
    </row>
    <row r="45" spans="1:10">
      <c r="A45" s="252"/>
      <c r="B45" s="256" t="s">
        <v>574</v>
      </c>
      <c r="C45" s="260">
        <v>129</v>
      </c>
      <c r="D45" s="258" t="s">
        <v>575</v>
      </c>
      <c r="E45" s="250"/>
      <c r="F45" s="250"/>
      <c r="G45" s="259"/>
    </row>
    <row r="46" spans="1:10">
      <c r="A46" s="252"/>
      <c r="B46" s="256" t="s">
        <v>576</v>
      </c>
      <c r="C46" s="261">
        <v>0.2</v>
      </c>
      <c r="D46" s="258" t="s">
        <v>577</v>
      </c>
      <c r="E46" s="250"/>
      <c r="F46" s="250"/>
      <c r="G46" s="259"/>
    </row>
    <row r="47" spans="1:10">
      <c r="A47" s="252"/>
      <c r="B47" s="256" t="s">
        <v>578</v>
      </c>
      <c r="C47" s="262" t="s">
        <v>579</v>
      </c>
      <c r="D47" s="250"/>
      <c r="E47" s="250"/>
      <c r="F47" s="250"/>
      <c r="G47" s="259"/>
    </row>
    <row r="48" spans="1:10">
      <c r="A48" s="252"/>
      <c r="B48" s="256" t="s">
        <v>580</v>
      </c>
      <c r="C48" s="262" t="s">
        <v>581</v>
      </c>
      <c r="D48" s="250"/>
      <c r="E48" s="250"/>
      <c r="F48" s="250"/>
      <c r="G48" s="259"/>
    </row>
    <row r="49" spans="1:7">
      <c r="A49" s="252"/>
      <c r="B49" s="256"/>
      <c r="C49" s="262" t="s">
        <v>582</v>
      </c>
      <c r="D49" s="250"/>
      <c r="E49" s="250"/>
      <c r="F49" s="250"/>
      <c r="G49" s="259"/>
    </row>
    <row r="50" spans="1:7">
      <c r="A50" s="252"/>
      <c r="B50" s="256" t="s">
        <v>580</v>
      </c>
      <c r="C50" s="263">
        <f>(C44)*C45*(1-C46)*100000000*4186</f>
        <v>13651048320000.002</v>
      </c>
      <c r="D50" s="250" t="s">
        <v>583</v>
      </c>
      <c r="E50" s="250"/>
      <c r="F50" s="250"/>
      <c r="G50" s="259"/>
    </row>
    <row r="51" spans="1:7">
      <c r="A51" s="252"/>
      <c r="B51" s="256" t="s">
        <v>584</v>
      </c>
      <c r="C51" s="264">
        <v>1</v>
      </c>
      <c r="D51" s="250" t="s">
        <v>585</v>
      </c>
      <c r="E51" s="250"/>
      <c r="F51" s="250"/>
      <c r="G51" s="265" t="s">
        <v>586</v>
      </c>
    </row>
    <row r="52" spans="1:7">
      <c r="A52" s="252">
        <v>2</v>
      </c>
      <c r="B52" s="266" t="s">
        <v>531</v>
      </c>
      <c r="C52" s="250"/>
      <c r="D52" s="250"/>
      <c r="E52" s="250"/>
      <c r="F52" s="250"/>
      <c r="G52" s="255"/>
    </row>
    <row r="53" spans="1:7">
      <c r="A53" s="252"/>
      <c r="B53" s="256" t="s">
        <v>587</v>
      </c>
      <c r="C53" s="267">
        <f>C44</f>
        <v>0.316</v>
      </c>
      <c r="D53" s="258" t="s">
        <v>567</v>
      </c>
      <c r="E53" s="258"/>
      <c r="F53" s="250"/>
      <c r="G53" s="259"/>
    </row>
    <row r="54" spans="1:7">
      <c r="A54" s="252"/>
      <c r="B54" s="256" t="s">
        <v>588</v>
      </c>
      <c r="C54" s="268">
        <v>1.36</v>
      </c>
      <c r="D54" s="258" t="s">
        <v>497</v>
      </c>
      <c r="E54" s="258"/>
      <c r="F54" s="250"/>
      <c r="G54" s="259"/>
    </row>
    <row r="55" spans="1:7">
      <c r="A55" s="252"/>
      <c r="B55" s="256" t="s">
        <v>589</v>
      </c>
      <c r="C55" s="261">
        <v>23</v>
      </c>
      <c r="D55" s="258" t="s">
        <v>497</v>
      </c>
      <c r="E55" s="258"/>
      <c r="F55" s="250"/>
      <c r="G55" s="259"/>
    </row>
    <row r="56" spans="1:7">
      <c r="A56" s="252"/>
      <c r="B56" s="256" t="s">
        <v>590</v>
      </c>
      <c r="C56" s="269">
        <f>(C54-C62)/C54</f>
        <v>0.25000000000000006</v>
      </c>
      <c r="D56" s="250" t="s">
        <v>31</v>
      </c>
      <c r="E56" s="258" t="s">
        <v>591</v>
      </c>
      <c r="F56" s="258"/>
      <c r="G56" s="259"/>
    </row>
    <row r="57" spans="1:7">
      <c r="A57" s="252"/>
      <c r="B57" s="256" t="s">
        <v>578</v>
      </c>
      <c r="C57" s="262" t="s">
        <v>592</v>
      </c>
      <c r="D57" s="250"/>
      <c r="E57" s="250"/>
      <c r="F57" s="250"/>
      <c r="G57" s="259"/>
    </row>
    <row r="58" spans="1:7">
      <c r="A58" s="252"/>
      <c r="B58" s="256" t="s">
        <v>580</v>
      </c>
      <c r="C58" s="262" t="s">
        <v>593</v>
      </c>
      <c r="D58" s="250"/>
      <c r="E58" s="250"/>
      <c r="F58" s="250"/>
      <c r="G58" s="259"/>
    </row>
    <row r="59" spans="1:7">
      <c r="A59" s="252"/>
      <c r="B59" s="256" t="s">
        <v>580</v>
      </c>
      <c r="C59" s="263">
        <f>(C53*10000)*C54*C56*1000*C55*9.8</f>
        <v>242169760.00000006</v>
      </c>
      <c r="D59" s="250" t="s">
        <v>583</v>
      </c>
      <c r="E59" s="250"/>
      <c r="F59" s="250"/>
      <c r="G59" s="259"/>
    </row>
    <row r="60" spans="1:7">
      <c r="A60" s="252"/>
      <c r="B60" s="256" t="s">
        <v>584</v>
      </c>
      <c r="C60" s="270">
        <v>47000</v>
      </c>
      <c r="D60" s="250" t="s">
        <v>585</v>
      </c>
      <c r="E60" s="250"/>
      <c r="F60" s="250"/>
      <c r="G60" s="271" t="s">
        <v>594</v>
      </c>
    </row>
    <row r="61" spans="1:7">
      <c r="A61" s="252">
        <v>3</v>
      </c>
      <c r="B61" s="249" t="s">
        <v>595</v>
      </c>
      <c r="C61" s="250"/>
      <c r="D61" s="250"/>
      <c r="E61" s="250"/>
      <c r="F61" s="250"/>
      <c r="G61" s="255"/>
    </row>
    <row r="62" spans="1:7">
      <c r="A62" s="252"/>
      <c r="B62" s="272" t="s">
        <v>596</v>
      </c>
      <c r="C62" s="267">
        <v>1.02</v>
      </c>
      <c r="D62" s="258" t="s">
        <v>597</v>
      </c>
      <c r="E62" s="250"/>
      <c r="F62" s="250"/>
      <c r="G62" s="255"/>
    </row>
    <row r="63" spans="1:7">
      <c r="A63" s="252"/>
      <c r="B63" s="272" t="s">
        <v>598</v>
      </c>
      <c r="C63" s="250" t="s">
        <v>599</v>
      </c>
      <c r="D63" s="250"/>
      <c r="E63" s="250"/>
      <c r="F63" s="186"/>
      <c r="G63" s="255"/>
    </row>
    <row r="64" spans="1:7">
      <c r="A64" s="252"/>
      <c r="B64" s="256" t="s">
        <v>600</v>
      </c>
      <c r="C64" s="263">
        <f>(C44*10000)*C62*1000*4940</f>
        <v>15922608000.000002</v>
      </c>
      <c r="D64" s="250"/>
      <c r="E64" s="250"/>
      <c r="F64" s="250"/>
      <c r="G64" s="255"/>
    </row>
    <row r="65" spans="1:7">
      <c r="A65" s="252"/>
      <c r="B65" s="256" t="s">
        <v>584</v>
      </c>
      <c r="C65" s="273">
        <v>30500</v>
      </c>
      <c r="D65" s="250" t="s">
        <v>585</v>
      </c>
      <c r="E65" s="250"/>
      <c r="F65" s="250"/>
      <c r="G65" s="274" t="s">
        <v>594</v>
      </c>
    </row>
    <row r="66" spans="1:7">
      <c r="A66" s="252">
        <v>4</v>
      </c>
      <c r="B66" s="249" t="s">
        <v>601</v>
      </c>
      <c r="C66" s="275"/>
      <c r="D66" s="250"/>
      <c r="E66" s="250"/>
      <c r="F66" s="250"/>
      <c r="G66" s="255"/>
    </row>
    <row r="67" spans="1:7" ht="13.5">
      <c r="A67" s="252"/>
      <c r="B67" s="256" t="s">
        <v>602</v>
      </c>
      <c r="C67" s="276">
        <f>[2]COUNTRY!C122</f>
        <v>1450000</v>
      </c>
      <c r="D67" s="258" t="s">
        <v>603</v>
      </c>
      <c r="E67" s="258"/>
      <c r="F67" s="258" t="s">
        <v>573</v>
      </c>
      <c r="G67" s="259"/>
    </row>
    <row r="68" spans="1:7">
      <c r="A68" s="252"/>
      <c r="B68" s="256" t="s">
        <v>604</v>
      </c>
      <c r="C68" s="277" t="s">
        <v>605</v>
      </c>
      <c r="D68" s="258"/>
      <c r="E68" s="258"/>
      <c r="F68" s="258"/>
      <c r="G68" s="259"/>
    </row>
    <row r="69" spans="1:7">
      <c r="A69" s="252"/>
      <c r="B69" s="256" t="s">
        <v>606</v>
      </c>
      <c r="C69" s="262" t="s">
        <v>607</v>
      </c>
      <c r="D69" s="258"/>
      <c r="E69" s="250"/>
      <c r="F69" s="250"/>
      <c r="G69" s="259"/>
    </row>
    <row r="70" spans="1:7">
      <c r="A70" s="252"/>
      <c r="B70" s="256" t="s">
        <v>608</v>
      </c>
      <c r="C70" s="263">
        <f>(C44*10000)*C67</f>
        <v>4582000000</v>
      </c>
      <c r="D70" s="250" t="s">
        <v>583</v>
      </c>
      <c r="E70" s="250"/>
      <c r="F70" s="250"/>
      <c r="G70" s="259"/>
    </row>
    <row r="71" spans="1:7">
      <c r="A71" s="252"/>
      <c r="B71" s="256" t="s">
        <v>584</v>
      </c>
      <c r="C71" s="270">
        <v>58000</v>
      </c>
      <c r="D71" s="250" t="s">
        <v>585</v>
      </c>
      <c r="E71" s="250"/>
      <c r="F71" s="250"/>
      <c r="G71" s="265" t="s">
        <v>609</v>
      </c>
    </row>
    <row r="72" spans="1:7">
      <c r="A72" s="252">
        <v>5</v>
      </c>
      <c r="B72" s="266" t="s">
        <v>535</v>
      </c>
      <c r="C72" s="250"/>
      <c r="D72" s="250"/>
      <c r="E72" s="250"/>
      <c r="F72" s="250"/>
      <c r="G72" s="255"/>
    </row>
    <row r="73" spans="1:7" ht="13.5">
      <c r="A73" s="252"/>
      <c r="B73" s="256" t="s">
        <v>610</v>
      </c>
      <c r="C73" s="254">
        <v>0</v>
      </c>
      <c r="D73" s="258" t="s">
        <v>611</v>
      </c>
      <c r="E73" s="250"/>
      <c r="F73" s="250"/>
      <c r="G73" s="259"/>
    </row>
    <row r="74" spans="1:7">
      <c r="A74" s="252"/>
      <c r="B74" s="256" t="s">
        <v>612</v>
      </c>
      <c r="C74" s="278">
        <v>0</v>
      </c>
      <c r="D74" s="258" t="s">
        <v>31</v>
      </c>
      <c r="E74" s="250"/>
      <c r="F74" s="250"/>
      <c r="G74" s="259"/>
    </row>
    <row r="75" spans="1:7" ht="13.5">
      <c r="A75" s="252"/>
      <c r="B75" s="256" t="s">
        <v>613</v>
      </c>
      <c r="C75" s="262" t="s">
        <v>614</v>
      </c>
      <c r="D75" s="250"/>
      <c r="E75" s="250"/>
      <c r="F75" s="250"/>
      <c r="G75" s="259"/>
    </row>
    <row r="76" spans="1:7">
      <c r="A76" s="252"/>
      <c r="B76" s="256" t="s">
        <v>615</v>
      </c>
      <c r="C76" s="263">
        <f>C73*(C44*10000)*(C74*0.01)*5.4*4186</f>
        <v>0</v>
      </c>
      <c r="D76" s="250" t="s">
        <v>583</v>
      </c>
      <c r="E76" s="250"/>
      <c r="F76" s="250"/>
      <c r="G76" s="259"/>
    </row>
    <row r="77" spans="1:7">
      <c r="A77" s="252"/>
      <c r="B77" s="256" t="s">
        <v>616</v>
      </c>
      <c r="C77" s="279">
        <v>74000</v>
      </c>
      <c r="D77" s="250" t="s">
        <v>585</v>
      </c>
      <c r="E77" s="250"/>
      <c r="F77" s="250"/>
      <c r="G77" s="271" t="s">
        <v>617</v>
      </c>
    </row>
    <row r="78" spans="1:7">
      <c r="A78" s="252">
        <v>6</v>
      </c>
      <c r="B78" s="266" t="s">
        <v>618</v>
      </c>
      <c r="C78" s="250"/>
      <c r="D78" s="250"/>
      <c r="E78" s="250"/>
      <c r="F78" s="250"/>
      <c r="G78" s="255"/>
    </row>
    <row r="79" spans="1:7">
      <c r="A79" s="252"/>
      <c r="B79" s="256" t="s">
        <v>619</v>
      </c>
      <c r="C79" s="254">
        <f>'[2]Energia | Combustivel | Cama'!M7*[2]Interface!E22</f>
        <v>3121.3872832369943</v>
      </c>
      <c r="D79" s="258" t="s">
        <v>620</v>
      </c>
      <c r="E79" s="250"/>
      <c r="F79" s="250"/>
      <c r="G79" s="259"/>
    </row>
    <row r="80" spans="1:7">
      <c r="A80" s="252"/>
      <c r="B80" s="256" t="s">
        <v>604</v>
      </c>
      <c r="C80" s="280" t="s">
        <v>621</v>
      </c>
      <c r="D80" s="258"/>
      <c r="E80" s="250"/>
      <c r="F80" s="250"/>
      <c r="G80" s="259"/>
    </row>
    <row r="81" spans="1:7">
      <c r="A81" s="252"/>
      <c r="B81" s="256" t="s">
        <v>613</v>
      </c>
      <c r="C81" s="262" t="s">
        <v>622</v>
      </c>
      <c r="D81" s="250"/>
      <c r="E81" s="250"/>
      <c r="F81" s="250"/>
      <c r="G81" s="259"/>
    </row>
    <row r="82" spans="1:7">
      <c r="A82" s="252"/>
      <c r="B82" s="256" t="s">
        <v>615</v>
      </c>
      <c r="C82" s="263">
        <f>C79*11400*4186</f>
        <v>148953849710.98267</v>
      </c>
      <c r="D82" s="250" t="s">
        <v>583</v>
      </c>
      <c r="E82" s="250"/>
      <c r="F82" s="250"/>
      <c r="G82" s="259"/>
    </row>
    <row r="83" spans="1:7">
      <c r="A83" s="252"/>
      <c r="B83" s="256" t="s">
        <v>584</v>
      </c>
      <c r="C83" s="281">
        <f>66000*1.68</f>
        <v>110880</v>
      </c>
      <c r="D83" s="250" t="s">
        <v>585</v>
      </c>
      <c r="E83" s="250"/>
      <c r="F83" s="250"/>
      <c r="G83" s="265" t="s">
        <v>623</v>
      </c>
    </row>
    <row r="84" spans="1:7">
      <c r="A84" s="252">
        <v>6.1</v>
      </c>
      <c r="B84" s="266" t="s">
        <v>624</v>
      </c>
      <c r="C84" s="250"/>
      <c r="D84" s="250"/>
      <c r="E84" s="250"/>
      <c r="F84" s="250"/>
      <c r="G84" s="255"/>
    </row>
    <row r="85" spans="1:7">
      <c r="A85" s="252"/>
      <c r="B85" s="256" t="s">
        <v>619</v>
      </c>
      <c r="C85" s="254">
        <f>'[2]Energia | Combustivel | Cama'!M13*[2]Interface!E28</f>
        <v>0</v>
      </c>
      <c r="D85" s="258" t="s">
        <v>625</v>
      </c>
      <c r="E85" s="250"/>
      <c r="F85" s="250"/>
      <c r="G85" s="255"/>
    </row>
    <row r="86" spans="1:7">
      <c r="A86" s="252"/>
      <c r="B86" s="256" t="s">
        <v>604</v>
      </c>
      <c r="C86" s="280" t="s">
        <v>621</v>
      </c>
      <c r="D86" s="258"/>
      <c r="E86" s="250"/>
      <c r="F86" s="250"/>
      <c r="G86" s="255"/>
    </row>
    <row r="87" spans="1:7">
      <c r="A87" s="252"/>
      <c r="B87" s="282" t="s">
        <v>613</v>
      </c>
      <c r="C87" s="283" t="s">
        <v>622</v>
      </c>
      <c r="D87" s="284"/>
      <c r="E87" s="250"/>
      <c r="F87" s="250"/>
      <c r="G87" s="255"/>
    </row>
    <row r="88" spans="1:7">
      <c r="A88" s="252"/>
      <c r="B88" s="256" t="s">
        <v>615</v>
      </c>
      <c r="C88" s="263">
        <f>C85*11400*4186</f>
        <v>0</v>
      </c>
      <c r="D88" s="250" t="s">
        <v>583</v>
      </c>
      <c r="E88" s="250"/>
      <c r="F88" s="250"/>
      <c r="G88" s="255"/>
    </row>
    <row r="89" spans="1:7">
      <c r="A89" s="252"/>
      <c r="B89" s="282" t="s">
        <v>584</v>
      </c>
      <c r="C89" s="285">
        <f>66000*1.68</f>
        <v>110880</v>
      </c>
      <c r="D89" s="250" t="s">
        <v>585</v>
      </c>
      <c r="E89" s="250"/>
      <c r="F89" s="250"/>
      <c r="G89" s="286" t="s">
        <v>626</v>
      </c>
    </row>
    <row r="90" spans="1:7">
      <c r="A90" s="252">
        <v>6.2</v>
      </c>
      <c r="B90" s="266" t="s">
        <v>627</v>
      </c>
      <c r="C90" s="250"/>
      <c r="D90" s="250"/>
      <c r="E90" s="250"/>
      <c r="F90" s="250"/>
      <c r="G90" s="255"/>
    </row>
    <row r="91" spans="1:7">
      <c r="A91" s="252"/>
      <c r="B91" s="256" t="s">
        <v>619</v>
      </c>
      <c r="C91" s="254">
        <f>'[2]Energia | Combustivel | Cama'!M19*[2]Interface!E34</f>
        <v>0</v>
      </c>
      <c r="D91" s="258" t="s">
        <v>620</v>
      </c>
      <c r="E91" s="250"/>
      <c r="F91" s="250"/>
      <c r="G91" s="255"/>
    </row>
    <row r="92" spans="1:7">
      <c r="A92" s="252"/>
      <c r="B92" s="256" t="s">
        <v>604</v>
      </c>
      <c r="C92" s="280" t="s">
        <v>621</v>
      </c>
      <c r="D92" s="258"/>
      <c r="E92" s="250"/>
      <c r="F92" s="250"/>
      <c r="G92" s="255"/>
    </row>
    <row r="93" spans="1:7">
      <c r="A93" s="252"/>
      <c r="B93" s="282" t="s">
        <v>613</v>
      </c>
      <c r="C93" s="283" t="s">
        <v>622</v>
      </c>
      <c r="D93" s="284"/>
      <c r="E93" s="250"/>
      <c r="F93" s="250"/>
      <c r="G93" s="255"/>
    </row>
    <row r="94" spans="1:7">
      <c r="A94" s="252"/>
      <c r="B94" s="256" t="s">
        <v>615</v>
      </c>
      <c r="C94" s="263">
        <f>C91*11400*4186</f>
        <v>0</v>
      </c>
      <c r="D94" s="250" t="s">
        <v>583</v>
      </c>
      <c r="E94" s="250"/>
      <c r="F94" s="250"/>
      <c r="G94" s="255"/>
    </row>
    <row r="95" spans="1:7">
      <c r="A95" s="252"/>
      <c r="B95" s="282" t="s">
        <v>584</v>
      </c>
      <c r="C95" s="285">
        <f>66000*1.68</f>
        <v>110880</v>
      </c>
      <c r="D95" s="250" t="s">
        <v>585</v>
      </c>
      <c r="E95" s="250"/>
      <c r="F95" s="250"/>
      <c r="G95" s="286" t="s">
        <v>626</v>
      </c>
    </row>
    <row r="96" spans="1:7">
      <c r="A96" s="252">
        <v>7</v>
      </c>
      <c r="B96" s="266" t="s">
        <v>628</v>
      </c>
      <c r="C96" s="250"/>
      <c r="D96" s="250"/>
      <c r="E96" s="250"/>
      <c r="F96" s="250"/>
      <c r="G96" s="255"/>
    </row>
    <row r="97" spans="1:12">
      <c r="A97" s="252"/>
      <c r="B97" s="256" t="s">
        <v>629</v>
      </c>
      <c r="C97" s="254">
        <f>'[2]Energia | Combustivel | Cama'!I53*[2]Interface!E22</f>
        <v>78571.42857142858</v>
      </c>
      <c r="D97" s="258" t="s">
        <v>630</v>
      </c>
      <c r="E97" s="258"/>
      <c r="F97" s="258"/>
      <c r="G97" s="259"/>
    </row>
    <row r="98" spans="1:12">
      <c r="A98" s="252"/>
      <c r="B98" s="256" t="s">
        <v>604</v>
      </c>
      <c r="C98" s="275" t="s">
        <v>631</v>
      </c>
      <c r="D98" s="258"/>
      <c r="E98" s="258"/>
      <c r="F98" s="258"/>
      <c r="G98" s="259"/>
    </row>
    <row r="99" spans="1:12">
      <c r="A99" s="252"/>
      <c r="B99" s="256" t="s">
        <v>613</v>
      </c>
      <c r="C99" s="262" t="s">
        <v>632</v>
      </c>
      <c r="D99" s="250"/>
      <c r="E99" s="275"/>
      <c r="F99" s="258"/>
      <c r="G99" s="259"/>
    </row>
    <row r="100" spans="1:12">
      <c r="A100" s="252"/>
      <c r="B100" s="256" t="s">
        <v>615</v>
      </c>
      <c r="C100" s="263">
        <f>C97*3600000</f>
        <v>282857142857.14288</v>
      </c>
      <c r="D100" s="250" t="s">
        <v>583</v>
      </c>
      <c r="E100" s="250"/>
      <c r="F100" s="250"/>
      <c r="G100" s="259"/>
    </row>
    <row r="101" spans="1:12">
      <c r="A101" s="252"/>
      <c r="B101" s="256" t="s">
        <v>584</v>
      </c>
      <c r="C101" s="279">
        <f>200000*1.68</f>
        <v>336000</v>
      </c>
      <c r="D101" s="250" t="s">
        <v>585</v>
      </c>
      <c r="E101" s="250"/>
      <c r="F101" s="250"/>
      <c r="G101" s="265" t="s">
        <v>633</v>
      </c>
    </row>
    <row r="102" spans="1:12">
      <c r="A102" s="252">
        <v>9</v>
      </c>
      <c r="B102" s="249" t="s">
        <v>634</v>
      </c>
      <c r="C102" s="250"/>
      <c r="D102" s="250"/>
      <c r="E102" s="250"/>
      <c r="F102" s="250"/>
      <c r="G102" s="255"/>
    </row>
    <row r="103" spans="1:12">
      <c r="A103" s="252"/>
      <c r="B103" s="256" t="s">
        <v>635</v>
      </c>
      <c r="C103" s="254">
        <v>0</v>
      </c>
      <c r="D103" s="258" t="s">
        <v>636</v>
      </c>
      <c r="E103" s="250"/>
      <c r="F103" s="250"/>
      <c r="G103" s="259"/>
    </row>
    <row r="104" spans="1:12">
      <c r="A104" s="252"/>
      <c r="B104" s="256" t="s">
        <v>637</v>
      </c>
      <c r="C104" s="262" t="s">
        <v>638</v>
      </c>
      <c r="D104" s="250"/>
      <c r="E104" s="250"/>
      <c r="F104" s="250"/>
      <c r="G104" s="259"/>
    </row>
    <row r="105" spans="1:12">
      <c r="A105" s="252"/>
      <c r="B105" s="256" t="s">
        <v>615</v>
      </c>
      <c r="C105" s="263">
        <f>C103*1000</f>
        <v>0</v>
      </c>
      <c r="D105" s="250" t="s">
        <v>639</v>
      </c>
      <c r="E105" s="250"/>
      <c r="F105" s="250"/>
      <c r="G105" s="259"/>
    </row>
    <row r="106" spans="1:12">
      <c r="A106" s="252"/>
      <c r="B106" s="256" t="s">
        <v>584</v>
      </c>
      <c r="C106" s="270">
        <v>14800000000</v>
      </c>
      <c r="D106" s="250" t="s">
        <v>640</v>
      </c>
      <c r="E106" s="250"/>
      <c r="F106" s="250"/>
      <c r="G106" s="271" t="s">
        <v>641</v>
      </c>
      <c r="K106" s="78">
        <v>1</v>
      </c>
      <c r="L106" s="78">
        <v>3000</v>
      </c>
    </row>
    <row r="107" spans="1:12">
      <c r="A107" s="252">
        <v>10</v>
      </c>
      <c r="B107" s="249" t="s">
        <v>541</v>
      </c>
      <c r="C107" s="250"/>
      <c r="D107" s="250"/>
      <c r="E107" s="250"/>
      <c r="F107" s="250"/>
      <c r="G107" s="255"/>
      <c r="K107" s="78">
        <v>100</v>
      </c>
      <c r="L107" s="78">
        <f>L106*K107</f>
        <v>300000</v>
      </c>
    </row>
    <row r="108" spans="1:12">
      <c r="A108" s="252"/>
      <c r="B108" s="287" t="s">
        <v>642</v>
      </c>
      <c r="C108" s="288">
        <f>[2]Nutrição!W146*[2]Interface!E22</f>
        <v>420</v>
      </c>
      <c r="D108" s="186" t="s">
        <v>643</v>
      </c>
      <c r="E108" s="186" t="s">
        <v>644</v>
      </c>
      <c r="F108" s="186"/>
      <c r="G108" s="274" t="s">
        <v>641</v>
      </c>
      <c r="L108" s="78">
        <f>L107*K111</f>
        <v>1255200000</v>
      </c>
    </row>
    <row r="109" spans="1:12">
      <c r="A109" s="252"/>
      <c r="B109" s="289" t="s">
        <v>645</v>
      </c>
      <c r="C109" s="290">
        <v>18</v>
      </c>
      <c r="D109" s="291" t="s">
        <v>31</v>
      </c>
      <c r="E109" s="292">
        <v>24</v>
      </c>
      <c r="F109" s="293" t="s">
        <v>646</v>
      </c>
      <c r="G109" s="255"/>
    </row>
    <row r="110" spans="1:12">
      <c r="A110" s="252"/>
      <c r="B110" s="294" t="s">
        <v>647</v>
      </c>
      <c r="C110" s="295">
        <v>2.4</v>
      </c>
      <c r="D110" s="186" t="s">
        <v>31</v>
      </c>
      <c r="E110" s="296">
        <v>39</v>
      </c>
      <c r="F110" s="297" t="s">
        <v>646</v>
      </c>
      <c r="G110" s="255"/>
      <c r="K110" s="189">
        <v>3000</v>
      </c>
      <c r="L110" s="189" t="s">
        <v>648</v>
      </c>
    </row>
    <row r="111" spans="1:12">
      <c r="A111" s="252"/>
      <c r="B111" s="298" t="s">
        <v>649</v>
      </c>
      <c r="C111" s="299">
        <v>70</v>
      </c>
      <c r="D111" s="300" t="s">
        <v>31</v>
      </c>
      <c r="E111" s="301">
        <v>17</v>
      </c>
      <c r="F111" s="302" t="s">
        <v>646</v>
      </c>
      <c r="G111" s="255"/>
      <c r="K111" s="78">
        <v>4184</v>
      </c>
      <c r="L111" s="189" t="s">
        <v>490</v>
      </c>
    </row>
    <row r="112" spans="1:12">
      <c r="A112" s="252"/>
      <c r="B112" s="303" t="s">
        <v>604</v>
      </c>
      <c r="C112" s="304" t="s">
        <v>650</v>
      </c>
      <c r="D112" s="186"/>
      <c r="E112" s="304"/>
      <c r="F112" s="186"/>
      <c r="G112" s="255"/>
      <c r="K112" s="78">
        <f>K110*K111</f>
        <v>12552000</v>
      </c>
    </row>
    <row r="113" spans="1:13">
      <c r="A113" s="252"/>
      <c r="B113" s="303" t="s">
        <v>604</v>
      </c>
      <c r="C113" s="304" t="s">
        <v>651</v>
      </c>
      <c r="D113" s="186"/>
      <c r="E113" s="304"/>
      <c r="F113" s="186"/>
      <c r="G113" s="255"/>
    </row>
    <row r="114" spans="1:13">
      <c r="A114" s="252"/>
      <c r="B114" s="303" t="s">
        <v>608</v>
      </c>
      <c r="C114" s="305">
        <f>((C108*C109*0.01*E109)+(C108*C110*0.01*E110)+(C108*C111*0.01*E111))*1000*1000000</f>
        <v>7205520000000</v>
      </c>
      <c r="D114" s="186" t="s">
        <v>583</v>
      </c>
      <c r="E114" s="186"/>
      <c r="F114" s="186"/>
      <c r="G114" s="255"/>
    </row>
    <row r="115" spans="1:13">
      <c r="A115" s="252"/>
      <c r="B115" s="303" t="s">
        <v>584</v>
      </c>
      <c r="C115" s="306">
        <f>200000*1.68</f>
        <v>336000</v>
      </c>
      <c r="D115" s="186" t="s">
        <v>585</v>
      </c>
      <c r="E115" s="186"/>
      <c r="F115" s="186"/>
      <c r="G115" s="307" t="s">
        <v>652</v>
      </c>
    </row>
    <row r="116" spans="1:13">
      <c r="A116" s="252">
        <v>11</v>
      </c>
      <c r="B116" s="249" t="s">
        <v>542</v>
      </c>
      <c r="C116" s="250"/>
      <c r="D116" s="250"/>
      <c r="E116" s="250"/>
      <c r="F116" s="250"/>
      <c r="G116" s="255"/>
    </row>
    <row r="117" spans="1:13">
      <c r="A117" s="252"/>
      <c r="B117" s="256" t="s">
        <v>653</v>
      </c>
      <c r="C117" s="254">
        <f>1/C43</f>
        <v>3.1645569620253164</v>
      </c>
      <c r="D117" s="258" t="s">
        <v>654</v>
      </c>
      <c r="E117" s="250"/>
      <c r="F117" s="250"/>
      <c r="G117" s="308"/>
    </row>
    <row r="118" spans="1:13">
      <c r="A118" s="252"/>
      <c r="B118" s="256" t="s">
        <v>655</v>
      </c>
      <c r="C118" s="254">
        <v>3</v>
      </c>
      <c r="D118" s="258" t="s">
        <v>656</v>
      </c>
      <c r="E118" s="250"/>
      <c r="F118" s="250"/>
      <c r="G118" s="308"/>
    </row>
    <row r="119" spans="1:13">
      <c r="A119" s="252"/>
      <c r="B119" s="256" t="s">
        <v>657</v>
      </c>
      <c r="C119" s="262" t="s">
        <v>658</v>
      </c>
      <c r="D119" s="258"/>
      <c r="E119" s="250"/>
      <c r="F119" s="250"/>
      <c r="G119" s="308"/>
    </row>
    <row r="120" spans="1:13">
      <c r="A120" s="252"/>
      <c r="B120" s="256" t="s">
        <v>657</v>
      </c>
      <c r="C120" s="262" t="s">
        <v>659</v>
      </c>
      <c r="D120" s="250"/>
      <c r="E120" s="250"/>
      <c r="F120" s="250"/>
      <c r="G120" s="308"/>
    </row>
    <row r="121" spans="1:13">
      <c r="A121" s="252"/>
      <c r="B121" s="256" t="s">
        <v>615</v>
      </c>
      <c r="C121" s="263">
        <f>C117*C118*1000000/10</f>
        <v>949367.08860759495</v>
      </c>
      <c r="D121" s="250" t="s">
        <v>639</v>
      </c>
      <c r="E121" s="250"/>
      <c r="F121" s="250"/>
      <c r="G121" s="259"/>
    </row>
    <row r="122" spans="1:13">
      <c r="A122" s="252"/>
      <c r="B122" s="256" t="s">
        <v>584</v>
      </c>
      <c r="C122" s="270">
        <v>6700000000</v>
      </c>
      <c r="D122" s="250" t="s">
        <v>640</v>
      </c>
      <c r="E122" s="250"/>
      <c r="F122" s="250"/>
      <c r="G122" s="274" t="s">
        <v>617</v>
      </c>
    </row>
    <row r="123" spans="1:13">
      <c r="A123" s="252">
        <v>12</v>
      </c>
      <c r="B123" s="266" t="s">
        <v>660</v>
      </c>
      <c r="C123" s="250"/>
      <c r="D123" s="250"/>
      <c r="E123" s="250"/>
      <c r="F123" s="250"/>
      <c r="G123" s="255"/>
    </row>
    <row r="124" spans="1:13">
      <c r="A124" s="252"/>
      <c r="B124" s="303" t="s">
        <v>661</v>
      </c>
      <c r="C124" s="309">
        <f>2*(([2]Interface!E22*12*[2]Interface!E26)/24)</f>
        <v>252</v>
      </c>
      <c r="D124" s="186" t="s">
        <v>662</v>
      </c>
      <c r="E124" s="186"/>
      <c r="F124" s="186"/>
      <c r="G124" s="255"/>
    </row>
    <row r="125" spans="1:13">
      <c r="A125" s="252"/>
      <c r="B125" s="310" t="s">
        <v>604</v>
      </c>
      <c r="C125" s="311" t="s">
        <v>663</v>
      </c>
      <c r="D125" s="312"/>
      <c r="E125" s="312"/>
      <c r="F125" s="312"/>
      <c r="G125" s="255"/>
    </row>
    <row r="126" spans="1:13">
      <c r="A126" s="252"/>
      <c r="B126" s="303" t="s">
        <v>604</v>
      </c>
      <c r="C126" s="186" t="s">
        <v>664</v>
      </c>
      <c r="D126" s="186"/>
      <c r="E126" s="186"/>
      <c r="F126" s="186"/>
      <c r="G126" s="255"/>
      <c r="M126" s="189"/>
    </row>
    <row r="127" spans="1:13">
      <c r="A127" s="252"/>
      <c r="B127" s="303" t="s">
        <v>604</v>
      </c>
      <c r="C127" s="186" t="s">
        <v>665</v>
      </c>
      <c r="D127" s="186"/>
      <c r="E127" s="186"/>
      <c r="F127" s="186"/>
      <c r="G127" s="255"/>
      <c r="K127" s="189"/>
      <c r="M127" s="189"/>
    </row>
    <row r="128" spans="1:13">
      <c r="A128" s="252"/>
      <c r="B128" s="303" t="s">
        <v>608</v>
      </c>
      <c r="C128" s="305">
        <f>C124*2500*4186</f>
        <v>2637180000</v>
      </c>
      <c r="D128" s="186" t="s">
        <v>583</v>
      </c>
      <c r="E128" s="186"/>
      <c r="F128" s="186"/>
      <c r="G128" s="255"/>
      <c r="K128" s="189"/>
      <c r="M128" s="189"/>
    </row>
    <row r="129" spans="1:11">
      <c r="A129" s="252"/>
      <c r="B129" s="303" t="s">
        <v>584</v>
      </c>
      <c r="C129" s="313">
        <f>[2]COUNTRY!O23/(2500*365*4186)</f>
        <v>10955552.130760605</v>
      </c>
      <c r="D129" s="186" t="s">
        <v>585</v>
      </c>
      <c r="E129" s="186"/>
      <c r="F129" s="186"/>
      <c r="G129" s="274" t="s">
        <v>623</v>
      </c>
      <c r="K129" s="189"/>
    </row>
    <row r="130" spans="1:11">
      <c r="A130" s="252">
        <v>13</v>
      </c>
      <c r="B130" s="249" t="s">
        <v>666</v>
      </c>
      <c r="C130" s="250"/>
      <c r="D130" s="250"/>
      <c r="E130" s="250"/>
      <c r="F130" s="250"/>
      <c r="G130" s="255"/>
    </row>
    <row r="131" spans="1:11">
      <c r="A131" s="252"/>
      <c r="B131" s="256" t="s">
        <v>667</v>
      </c>
      <c r="C131" s="254">
        <f>SUM([2]CPM_frango!F5,[2]CPM_frango!F7,[2]CPM_frango!F9,[2]CPM_frango!F27,[2]CPM_frango!I25,[2]CPM_frango!F31,[2]CPM_frango!I33,[2]CPM_frango!F43,[2]CPM_frango!F45,[2]CPM_frango!F47,[2]CPM_frango!F49)+([2]Depreciações!D136*[2]Depreciações!P136)*[2]Interface!E22</f>
        <v>4695914652.1327629</v>
      </c>
      <c r="D131" s="250"/>
      <c r="E131" s="250"/>
      <c r="F131" s="250"/>
      <c r="G131" s="255"/>
    </row>
    <row r="132" spans="1:11">
      <c r="A132" s="252"/>
      <c r="B132" s="256" t="s">
        <v>668</v>
      </c>
      <c r="C132" s="250" t="s">
        <v>669</v>
      </c>
      <c r="D132" s="250"/>
      <c r="E132" s="250"/>
      <c r="F132" s="250"/>
      <c r="G132" s="255"/>
    </row>
    <row r="133" spans="1:11">
      <c r="A133" s="252">
        <v>14</v>
      </c>
      <c r="B133" s="249" t="s">
        <v>670</v>
      </c>
      <c r="C133" s="250"/>
      <c r="D133" s="250"/>
      <c r="E133" s="250"/>
      <c r="F133" s="250"/>
      <c r="G133" s="255"/>
    </row>
    <row r="134" spans="1:11">
      <c r="A134" s="252"/>
      <c r="B134" s="256" t="s">
        <v>671</v>
      </c>
      <c r="C134" s="254">
        <f>(([2]Interface!E14*[2]Interface!I28)/0.7)/C43</f>
        <v>141641.04882459313</v>
      </c>
      <c r="D134" s="250" t="s">
        <v>672</v>
      </c>
      <c r="E134" s="250"/>
      <c r="F134" s="250"/>
      <c r="G134" s="255"/>
    </row>
    <row r="135" spans="1:11">
      <c r="A135" s="252"/>
      <c r="B135" s="256"/>
      <c r="C135" s="263">
        <f>C134*1000000</f>
        <v>141641048824.59314</v>
      </c>
      <c r="D135" s="250" t="s">
        <v>673</v>
      </c>
      <c r="E135" s="250"/>
      <c r="F135" s="250"/>
      <c r="G135" s="255"/>
    </row>
    <row r="136" spans="1:11">
      <c r="A136" s="252">
        <v>15</v>
      </c>
      <c r="B136" s="249" t="s">
        <v>674</v>
      </c>
      <c r="C136" s="250"/>
      <c r="D136" s="250"/>
      <c r="E136" s="250"/>
      <c r="F136" s="250"/>
      <c r="G136" s="255"/>
    </row>
    <row r="137" spans="1:11">
      <c r="A137" s="252"/>
      <c r="B137" s="303" t="s">
        <v>675</v>
      </c>
      <c r="C137" s="314">
        <f>C134</f>
        <v>141641.04882459313</v>
      </c>
      <c r="D137" s="186" t="s">
        <v>643</v>
      </c>
      <c r="E137" s="186" t="s">
        <v>644</v>
      </c>
      <c r="F137" s="186"/>
      <c r="G137" s="274" t="s">
        <v>641</v>
      </c>
    </row>
    <row r="138" spans="1:11">
      <c r="A138" s="252"/>
      <c r="B138" s="289" t="s">
        <v>645</v>
      </c>
      <c r="C138" s="290">
        <v>28</v>
      </c>
      <c r="D138" s="291" t="s">
        <v>31</v>
      </c>
      <c r="E138" s="292">
        <v>24</v>
      </c>
      <c r="F138" s="293" t="s">
        <v>646</v>
      </c>
      <c r="G138" s="255"/>
    </row>
    <row r="139" spans="1:11">
      <c r="A139" s="252"/>
      <c r="B139" s="294" t="s">
        <v>647</v>
      </c>
      <c r="C139" s="295">
        <v>32</v>
      </c>
      <c r="D139" s="186" t="s">
        <v>31</v>
      </c>
      <c r="E139" s="296">
        <v>39</v>
      </c>
      <c r="F139" s="297" t="s">
        <v>646</v>
      </c>
      <c r="G139" s="255"/>
    </row>
    <row r="140" spans="1:11">
      <c r="A140" s="252"/>
      <c r="B140" s="298" t="s">
        <v>649</v>
      </c>
      <c r="C140" s="299">
        <v>40</v>
      </c>
      <c r="D140" s="300" t="s">
        <v>31</v>
      </c>
      <c r="E140" s="301">
        <v>17</v>
      </c>
      <c r="F140" s="302" t="s">
        <v>646</v>
      </c>
      <c r="G140" s="255"/>
    </row>
    <row r="141" spans="1:11">
      <c r="A141" s="252"/>
      <c r="B141" s="303" t="s">
        <v>604</v>
      </c>
      <c r="C141" s="304" t="s">
        <v>676</v>
      </c>
      <c r="D141" s="186"/>
      <c r="E141" s="304"/>
      <c r="F141" s="186"/>
      <c r="G141" s="255"/>
    </row>
    <row r="142" spans="1:11">
      <c r="A142" s="252"/>
      <c r="B142" s="303" t="s">
        <v>604</v>
      </c>
      <c r="C142" s="304" t="s">
        <v>651</v>
      </c>
      <c r="D142" s="186"/>
      <c r="E142" s="304"/>
      <c r="F142" s="186"/>
      <c r="G142" s="255"/>
    </row>
    <row r="143" spans="1:11" ht="13.5" thickBot="1">
      <c r="A143" s="315"/>
      <c r="B143" s="316" t="s">
        <v>608</v>
      </c>
      <c r="C143" s="317">
        <f>((C137*C138*0.01*E138)+(C137*C139*0.01*E139)+(C137*C140*0.01*E140))*1000*1000000</f>
        <v>3682667269439421.5</v>
      </c>
      <c r="D143" s="318" t="s">
        <v>583</v>
      </c>
      <c r="E143" s="318"/>
      <c r="F143" s="318"/>
      <c r="G143" s="319"/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</customSheetView>
  </customSheetViews>
  <pageMargins left="0.511811024" right="0.511811024" top="0.78740157499999996" bottom="0.78740157499999996" header="0.31496062000000002" footer="0.31496062000000002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3"/>
  <sheetViews>
    <sheetView workbookViewId="0"/>
  </sheetViews>
  <sheetFormatPr defaultRowHeight="15"/>
  <cols>
    <col min="1" max="16384" width="9.33203125" style="415"/>
  </cols>
  <sheetData>
    <row r="1" spans="1:1">
      <c r="A1" s="415" t="s">
        <v>961</v>
      </c>
    </row>
    <row r="2" spans="1:1">
      <c r="A2" s="415" t="s">
        <v>962</v>
      </c>
    </row>
    <row r="3" spans="1:1">
      <c r="A3" s="415" t="s">
        <v>963</v>
      </c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</customSheetView>
  </customSheetView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/>
  </sheetViews>
  <sheetFormatPr defaultRowHeight="15"/>
  <cols>
    <col min="1" max="1" width="9.33203125" style="342"/>
    <col min="2" max="2" width="41" style="342" bestFit="1" customWidth="1"/>
    <col min="3" max="3" width="9.33203125" style="342" customWidth="1"/>
    <col min="4" max="4" width="46.1640625" style="342" customWidth="1"/>
    <col min="5" max="5" width="9.33203125" style="342"/>
    <col min="6" max="6" width="45.83203125" style="342" customWidth="1"/>
    <col min="7" max="7" width="9.33203125" style="342"/>
    <col min="8" max="8" width="42.33203125" style="342" customWidth="1"/>
    <col min="9" max="9" width="9.33203125" style="342"/>
    <col min="10" max="10" width="39" style="342" customWidth="1"/>
    <col min="11" max="16384" width="9.33203125" style="342"/>
  </cols>
  <sheetData>
    <row r="1" spans="1:10" ht="15" customHeight="1">
      <c r="A1" s="374"/>
      <c r="B1" s="375" t="s">
        <v>891</v>
      </c>
      <c r="C1" s="392"/>
      <c r="D1" s="393" t="s">
        <v>969</v>
      </c>
      <c r="E1" s="392"/>
      <c r="F1" s="393" t="s">
        <v>968</v>
      </c>
      <c r="G1" s="392"/>
      <c r="H1" s="393" t="s">
        <v>939</v>
      </c>
      <c r="I1" s="392"/>
      <c r="J1" s="393" t="s">
        <v>911</v>
      </c>
    </row>
    <row r="2" spans="1:10">
      <c r="A2" s="374"/>
      <c r="B2" s="374"/>
      <c r="C2" s="394"/>
      <c r="D2" s="434" t="s">
        <v>510</v>
      </c>
      <c r="E2" s="392"/>
      <c r="F2" s="393" t="s">
        <v>967</v>
      </c>
      <c r="G2" s="392"/>
      <c r="H2" s="393" t="s">
        <v>940</v>
      </c>
      <c r="I2" s="392"/>
      <c r="J2" s="393"/>
    </row>
    <row r="3" spans="1:10">
      <c r="A3" s="377">
        <v>1</v>
      </c>
      <c r="B3" s="391" t="s">
        <v>1000</v>
      </c>
      <c r="C3" s="342">
        <v>1</v>
      </c>
      <c r="D3" s="379" t="s">
        <v>1000</v>
      </c>
      <c r="E3" s="378">
        <v>1</v>
      </c>
      <c r="F3" s="379" t="s">
        <v>1000</v>
      </c>
      <c r="G3" s="378">
        <v>1</v>
      </c>
      <c r="H3" s="379" t="s">
        <v>1000</v>
      </c>
      <c r="I3" s="378">
        <v>1</v>
      </c>
      <c r="J3" s="379" t="s">
        <v>1000</v>
      </c>
    </row>
    <row r="4" spans="1:10">
      <c r="A4" s="378">
        <v>2</v>
      </c>
      <c r="B4" s="342" t="s">
        <v>57</v>
      </c>
      <c r="C4" s="378">
        <v>2</v>
      </c>
      <c r="D4" s="379" t="s">
        <v>883</v>
      </c>
      <c r="E4" s="378">
        <v>2</v>
      </c>
      <c r="F4" s="379" t="s">
        <v>27</v>
      </c>
      <c r="G4" s="378">
        <v>2</v>
      </c>
      <c r="H4" s="379" t="s">
        <v>899</v>
      </c>
      <c r="I4" s="378">
        <v>2</v>
      </c>
      <c r="J4" s="379" t="s">
        <v>943</v>
      </c>
    </row>
    <row r="5" spans="1:10">
      <c r="A5" s="378">
        <v>3</v>
      </c>
      <c r="B5" s="342" t="s">
        <v>715</v>
      </c>
      <c r="C5" s="378">
        <v>3</v>
      </c>
      <c r="D5" s="379" t="s">
        <v>145</v>
      </c>
      <c r="E5" s="378">
        <v>3</v>
      </c>
      <c r="F5" s="379" t="s">
        <v>28</v>
      </c>
      <c r="G5" s="378">
        <v>3</v>
      </c>
      <c r="H5" s="379" t="s">
        <v>900</v>
      </c>
      <c r="I5" s="378">
        <v>3</v>
      </c>
      <c r="J5" s="379" t="s">
        <v>944</v>
      </c>
    </row>
    <row r="6" spans="1:10">
      <c r="A6" s="378">
        <v>4</v>
      </c>
      <c r="B6" s="342" t="s">
        <v>714</v>
      </c>
      <c r="C6" s="378">
        <v>4</v>
      </c>
      <c r="D6" s="379" t="s">
        <v>884</v>
      </c>
      <c r="E6" s="378">
        <v>4</v>
      </c>
      <c r="F6" s="379" t="s">
        <v>143</v>
      </c>
      <c r="G6" s="378">
        <v>4</v>
      </c>
      <c r="H6" s="379" t="s">
        <v>901</v>
      </c>
      <c r="I6" s="378">
        <v>4</v>
      </c>
      <c r="J6" s="379" t="s">
        <v>945</v>
      </c>
    </row>
    <row r="7" spans="1:10">
      <c r="A7" s="378">
        <v>5</v>
      </c>
      <c r="B7" s="342" t="s">
        <v>716</v>
      </c>
      <c r="C7" s="378">
        <v>5</v>
      </c>
      <c r="D7" s="379" t="s">
        <v>885</v>
      </c>
      <c r="E7" s="378">
        <v>5</v>
      </c>
      <c r="F7" s="379" t="s">
        <v>144</v>
      </c>
      <c r="G7" s="378">
        <v>5</v>
      </c>
      <c r="H7" s="379" t="s">
        <v>903</v>
      </c>
      <c r="I7" s="378">
        <v>5</v>
      </c>
      <c r="J7" s="379" t="s">
        <v>947</v>
      </c>
    </row>
    <row r="8" spans="1:10">
      <c r="A8" s="378">
        <v>6</v>
      </c>
      <c r="B8" s="342" t="s">
        <v>717</v>
      </c>
      <c r="C8" s="378">
        <v>6</v>
      </c>
      <c r="D8" s="379" t="s">
        <v>886</v>
      </c>
      <c r="E8" s="378">
        <v>6</v>
      </c>
      <c r="F8" s="379" t="s">
        <v>147</v>
      </c>
      <c r="G8" s="378">
        <v>6</v>
      </c>
      <c r="H8" s="379" t="s">
        <v>904</v>
      </c>
      <c r="I8" s="378">
        <v>6</v>
      </c>
      <c r="J8" s="379" t="s">
        <v>948</v>
      </c>
    </row>
    <row r="9" spans="1:10">
      <c r="A9" s="378">
        <v>7</v>
      </c>
      <c r="B9" s="342" t="s">
        <v>718</v>
      </c>
      <c r="C9" s="378">
        <v>7</v>
      </c>
      <c r="D9" s="379" t="s">
        <v>888</v>
      </c>
      <c r="E9" s="378">
        <v>7</v>
      </c>
      <c r="F9" s="379" t="s">
        <v>148</v>
      </c>
      <c r="G9" s="378">
        <v>7</v>
      </c>
      <c r="H9" s="379" t="s">
        <v>905</v>
      </c>
      <c r="I9" s="378">
        <v>7</v>
      </c>
      <c r="J9" s="379" t="s">
        <v>949</v>
      </c>
    </row>
    <row r="10" spans="1:10">
      <c r="A10" s="378">
        <v>8</v>
      </c>
      <c r="B10" s="342" t="s">
        <v>721</v>
      </c>
      <c r="C10" s="378">
        <v>8</v>
      </c>
      <c r="D10" s="379" t="s">
        <v>972</v>
      </c>
      <c r="E10" s="378">
        <v>8</v>
      </c>
      <c r="F10" s="379" t="s">
        <v>149</v>
      </c>
      <c r="G10" s="378">
        <v>8</v>
      </c>
      <c r="H10" s="379" t="s">
        <v>941</v>
      </c>
      <c r="I10" s="378">
        <v>8</v>
      </c>
      <c r="J10" s="379" t="s">
        <v>946</v>
      </c>
    </row>
    <row r="11" spans="1:10">
      <c r="A11" s="378">
        <v>9</v>
      </c>
      <c r="B11" s="342" t="s">
        <v>691</v>
      </c>
      <c r="C11" s="378">
        <v>9</v>
      </c>
      <c r="D11" s="379"/>
      <c r="E11" s="378">
        <v>9</v>
      </c>
      <c r="F11" s="379" t="s">
        <v>150</v>
      </c>
      <c r="G11" s="378">
        <v>9</v>
      </c>
      <c r="H11" s="379" t="s">
        <v>942</v>
      </c>
      <c r="I11" s="378">
        <v>9</v>
      </c>
      <c r="J11" s="379"/>
    </row>
    <row r="12" spans="1:10">
      <c r="A12" s="378">
        <v>10</v>
      </c>
      <c r="B12" s="342" t="s">
        <v>719</v>
      </c>
      <c r="C12" s="378">
        <v>10</v>
      </c>
      <c r="D12" s="379"/>
      <c r="E12" s="378">
        <v>10</v>
      </c>
      <c r="F12" s="379" t="s">
        <v>172</v>
      </c>
      <c r="G12" s="378">
        <v>10</v>
      </c>
      <c r="H12" s="379" t="s">
        <v>1075</v>
      </c>
      <c r="I12" s="378">
        <v>10</v>
      </c>
      <c r="J12" s="379"/>
    </row>
    <row r="13" spans="1:10">
      <c r="A13" s="378">
        <v>11</v>
      </c>
      <c r="B13" s="342" t="s">
        <v>720</v>
      </c>
      <c r="C13" s="378">
        <v>11</v>
      </c>
      <c r="D13" s="379"/>
      <c r="E13" s="378">
        <v>11</v>
      </c>
      <c r="F13" s="379" t="s">
        <v>130</v>
      </c>
      <c r="G13" s="378">
        <v>11</v>
      </c>
      <c r="H13" s="379" t="s">
        <v>1076</v>
      </c>
      <c r="I13" s="378">
        <v>11</v>
      </c>
      <c r="J13" s="379"/>
    </row>
    <row r="14" spans="1:10">
      <c r="A14" s="378">
        <v>12</v>
      </c>
      <c r="B14" s="342" t="s">
        <v>931</v>
      </c>
      <c r="C14" s="378">
        <v>12</v>
      </c>
      <c r="D14" s="379"/>
      <c r="E14" s="378">
        <v>12</v>
      </c>
      <c r="F14" s="379" t="s">
        <v>181</v>
      </c>
      <c r="G14" s="378">
        <v>12</v>
      </c>
      <c r="H14" s="379"/>
      <c r="I14" s="378">
        <v>12</v>
      </c>
      <c r="J14" s="379"/>
    </row>
    <row r="15" spans="1:10">
      <c r="A15" s="378">
        <v>13</v>
      </c>
      <c r="B15" s="342" t="s">
        <v>932</v>
      </c>
      <c r="C15" s="378">
        <v>13</v>
      </c>
      <c r="D15" s="379"/>
      <c r="E15" s="378">
        <v>13</v>
      </c>
      <c r="F15" s="379" t="s">
        <v>139</v>
      </c>
      <c r="G15" s="378">
        <v>13</v>
      </c>
      <c r="H15" s="379"/>
      <c r="I15" s="378">
        <v>13</v>
      </c>
      <c r="J15" s="379"/>
    </row>
    <row r="16" spans="1:10">
      <c r="A16" s="378">
        <v>14</v>
      </c>
      <c r="B16" s="342" t="s">
        <v>922</v>
      </c>
      <c r="C16" s="378">
        <v>14</v>
      </c>
      <c r="D16" s="379"/>
      <c r="E16" s="378">
        <v>14</v>
      </c>
      <c r="F16" s="379" t="s">
        <v>887</v>
      </c>
      <c r="G16" s="378">
        <v>14</v>
      </c>
      <c r="H16" s="379"/>
      <c r="I16" s="378">
        <v>14</v>
      </c>
      <c r="J16" s="379"/>
    </row>
    <row r="17" spans="1:10">
      <c r="A17" s="378">
        <v>15</v>
      </c>
      <c r="B17" s="342" t="s">
        <v>69</v>
      </c>
      <c r="C17" s="378">
        <v>15</v>
      </c>
      <c r="D17" s="379"/>
      <c r="E17" s="378">
        <v>15</v>
      </c>
      <c r="F17" s="379" t="s">
        <v>970</v>
      </c>
      <c r="G17" s="378">
        <v>15</v>
      </c>
      <c r="H17" s="379"/>
      <c r="I17" s="378">
        <v>15</v>
      </c>
      <c r="J17" s="379"/>
    </row>
    <row r="18" spans="1:10">
      <c r="A18" s="378">
        <v>16</v>
      </c>
      <c r="B18" s="342" t="s">
        <v>894</v>
      </c>
      <c r="C18" s="378">
        <v>16</v>
      </c>
      <c r="D18" s="379"/>
      <c r="E18" s="378">
        <v>16</v>
      </c>
      <c r="F18" s="379" t="s">
        <v>971</v>
      </c>
      <c r="G18" s="378">
        <v>16</v>
      </c>
      <c r="H18" s="379"/>
      <c r="I18" s="378">
        <v>16</v>
      </c>
      <c r="J18" s="379"/>
    </row>
    <row r="19" spans="1:10">
      <c r="A19" s="378">
        <v>17</v>
      </c>
      <c r="B19" s="342" t="s">
        <v>893</v>
      </c>
      <c r="C19" s="378">
        <v>17</v>
      </c>
      <c r="D19" s="379"/>
      <c r="E19" s="378">
        <v>17</v>
      </c>
      <c r="F19" s="379" t="s">
        <v>1067</v>
      </c>
      <c r="G19" s="378">
        <v>17</v>
      </c>
      <c r="H19" s="379"/>
      <c r="I19" s="378">
        <v>17</v>
      </c>
      <c r="J19" s="379"/>
    </row>
    <row r="20" spans="1:10">
      <c r="A20" s="378">
        <v>18</v>
      </c>
      <c r="B20" s="342" t="s">
        <v>936</v>
      </c>
      <c r="C20" s="378">
        <v>18</v>
      </c>
      <c r="D20" s="379"/>
      <c r="E20" s="378">
        <v>18</v>
      </c>
      <c r="F20" s="379" t="s">
        <v>1198</v>
      </c>
      <c r="G20" s="378">
        <v>18</v>
      </c>
      <c r="H20" s="379"/>
      <c r="I20" s="378">
        <v>18</v>
      </c>
      <c r="J20" s="379"/>
    </row>
    <row r="21" spans="1:10">
      <c r="A21" s="378">
        <v>19</v>
      </c>
      <c r="B21" s="342" t="s">
        <v>1094</v>
      </c>
      <c r="C21" s="378">
        <v>19</v>
      </c>
      <c r="D21" s="379"/>
      <c r="E21" s="378">
        <v>19</v>
      </c>
      <c r="F21" s="379" t="s">
        <v>1199</v>
      </c>
      <c r="G21" s="378">
        <v>19</v>
      </c>
      <c r="H21" s="379"/>
      <c r="I21" s="378">
        <v>19</v>
      </c>
      <c r="J21" s="379"/>
    </row>
    <row r="22" spans="1:10">
      <c r="A22" s="378">
        <v>20</v>
      </c>
      <c r="B22" s="342" t="s">
        <v>1104</v>
      </c>
      <c r="C22" s="378">
        <v>20</v>
      </c>
      <c r="D22" s="379"/>
      <c r="E22" s="378">
        <v>20</v>
      </c>
      <c r="F22" s="379" t="s">
        <v>886</v>
      </c>
      <c r="G22" s="378">
        <v>20</v>
      </c>
      <c r="H22" s="379"/>
      <c r="I22" s="378">
        <v>20</v>
      </c>
      <c r="J22" s="379"/>
    </row>
    <row r="23" spans="1:10">
      <c r="A23" s="378">
        <v>21</v>
      </c>
      <c r="C23" s="378">
        <v>21</v>
      </c>
      <c r="D23" s="379"/>
      <c r="E23" s="378">
        <v>21</v>
      </c>
      <c r="F23" s="379" t="s">
        <v>1200</v>
      </c>
      <c r="G23" s="378">
        <v>21</v>
      </c>
      <c r="H23" s="379"/>
      <c r="I23" s="378">
        <v>21</v>
      </c>
      <c r="J23" s="379"/>
    </row>
    <row r="24" spans="1:10">
      <c r="A24" s="378">
        <v>22</v>
      </c>
      <c r="C24" s="378">
        <v>22</v>
      </c>
      <c r="D24" s="379"/>
      <c r="E24" s="378">
        <v>22</v>
      </c>
      <c r="F24" s="379"/>
      <c r="G24" s="378">
        <v>22</v>
      </c>
      <c r="H24" s="379"/>
      <c r="I24" s="378">
        <v>22</v>
      </c>
      <c r="J24" s="379"/>
    </row>
    <row r="25" spans="1:10">
      <c r="A25" s="378">
        <v>23</v>
      </c>
      <c r="C25" s="378">
        <v>23</v>
      </c>
      <c r="D25" s="379"/>
      <c r="E25" s="378">
        <v>23</v>
      </c>
      <c r="F25" s="379"/>
      <c r="G25" s="378">
        <v>23</v>
      </c>
      <c r="H25" s="379"/>
      <c r="I25" s="378">
        <v>23</v>
      </c>
      <c r="J25" s="379"/>
    </row>
    <row r="26" spans="1:10">
      <c r="A26" s="378">
        <v>24</v>
      </c>
      <c r="C26" s="378">
        <v>24</v>
      </c>
      <c r="D26" s="379"/>
      <c r="E26" s="378">
        <v>24</v>
      </c>
      <c r="F26" s="379"/>
      <c r="G26" s="378">
        <v>24</v>
      </c>
      <c r="H26" s="379"/>
      <c r="I26" s="378">
        <v>24</v>
      </c>
      <c r="J26" s="379"/>
    </row>
    <row r="27" spans="1:10">
      <c r="A27" s="378">
        <v>25</v>
      </c>
      <c r="C27" s="378">
        <v>25</v>
      </c>
      <c r="D27" s="379"/>
      <c r="E27" s="378">
        <v>25</v>
      </c>
      <c r="F27" s="379"/>
      <c r="G27" s="378">
        <v>25</v>
      </c>
      <c r="H27" s="379"/>
      <c r="I27" s="378">
        <v>25</v>
      </c>
      <c r="J27" s="379"/>
    </row>
    <row r="28" spans="1:10">
      <c r="A28" s="378">
        <v>26</v>
      </c>
      <c r="C28" s="378">
        <v>26</v>
      </c>
      <c r="D28" s="379"/>
      <c r="E28" s="378">
        <v>26</v>
      </c>
      <c r="F28" s="379"/>
      <c r="G28" s="378">
        <v>26</v>
      </c>
      <c r="H28" s="379"/>
      <c r="I28" s="378">
        <v>26</v>
      </c>
      <c r="J28" s="379"/>
    </row>
    <row r="29" spans="1:10">
      <c r="A29" s="378">
        <v>27</v>
      </c>
      <c r="C29" s="378">
        <v>27</v>
      </c>
      <c r="D29" s="379"/>
      <c r="E29" s="378">
        <v>27</v>
      </c>
      <c r="F29" s="379"/>
      <c r="G29" s="378">
        <v>27</v>
      </c>
      <c r="H29" s="379"/>
      <c r="I29" s="378">
        <v>27</v>
      </c>
      <c r="J29" s="379"/>
    </row>
    <row r="30" spans="1:10">
      <c r="A30" s="378">
        <v>28</v>
      </c>
      <c r="C30" s="378">
        <v>28</v>
      </c>
      <c r="D30" s="379"/>
      <c r="E30" s="378">
        <v>28</v>
      </c>
      <c r="F30" s="379"/>
      <c r="G30" s="378">
        <v>28</v>
      </c>
      <c r="H30" s="379"/>
      <c r="I30" s="378">
        <v>28</v>
      </c>
      <c r="J30" s="379"/>
    </row>
    <row r="31" spans="1:10">
      <c r="A31" s="378">
        <v>29</v>
      </c>
      <c r="C31" s="378">
        <v>29</v>
      </c>
      <c r="D31" s="379"/>
      <c r="E31" s="378">
        <v>29</v>
      </c>
      <c r="F31" s="379"/>
      <c r="G31" s="378">
        <v>29</v>
      </c>
      <c r="H31" s="379"/>
      <c r="I31" s="378">
        <v>29</v>
      </c>
      <c r="J31" s="379"/>
    </row>
    <row r="32" spans="1:10">
      <c r="A32" s="380">
        <v>30</v>
      </c>
      <c r="B32" s="376"/>
      <c r="C32" s="380">
        <v>30</v>
      </c>
      <c r="D32" s="381"/>
      <c r="E32" s="380">
        <v>30</v>
      </c>
      <c r="F32" s="381"/>
      <c r="G32" s="380">
        <v>30</v>
      </c>
      <c r="H32" s="381"/>
      <c r="I32" s="380">
        <v>30</v>
      </c>
      <c r="J32" s="381"/>
    </row>
    <row r="34" spans="1:4">
      <c r="C34" s="457"/>
      <c r="D34" s="457"/>
    </row>
    <row r="35" spans="1:4">
      <c r="C35" s="457">
        <v>1</v>
      </c>
      <c r="D35" s="457" t="s">
        <v>184</v>
      </c>
    </row>
    <row r="36" spans="1:4">
      <c r="C36" s="457">
        <v>2</v>
      </c>
      <c r="D36" s="457" t="s">
        <v>996</v>
      </c>
    </row>
    <row r="37" spans="1:4">
      <c r="C37" s="457">
        <v>3</v>
      </c>
      <c r="D37" s="457" t="s">
        <v>997</v>
      </c>
    </row>
    <row r="39" spans="1:4">
      <c r="A39" s="457">
        <v>1</v>
      </c>
      <c r="B39" s="457" t="s">
        <v>22</v>
      </c>
    </row>
    <row r="40" spans="1:4">
      <c r="A40" s="457">
        <v>2</v>
      </c>
      <c r="B40" s="457" t="s">
        <v>981</v>
      </c>
    </row>
    <row r="41" spans="1:4">
      <c r="A41" s="457"/>
      <c r="B41" s="457"/>
    </row>
    <row r="42" spans="1:4">
      <c r="A42" s="457"/>
      <c r="B42" s="457"/>
    </row>
    <row r="43" spans="1:4">
      <c r="A43" s="457"/>
      <c r="B43" s="457"/>
    </row>
    <row r="44" spans="1:4">
      <c r="A44" s="457"/>
      <c r="B44" s="457"/>
    </row>
    <row r="45" spans="1:4">
      <c r="A45" s="457"/>
      <c r="B45" s="457"/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</customSheetView>
  </customSheetView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6" tint="0.39997558519241921"/>
  </sheetPr>
  <dimension ref="A1:K39"/>
  <sheetViews>
    <sheetView workbookViewId="0"/>
  </sheetViews>
  <sheetFormatPr defaultRowHeight="15"/>
  <cols>
    <col min="1" max="1" width="3.83203125" style="342" customWidth="1"/>
    <col min="2" max="2" width="37.83203125" style="342" customWidth="1"/>
    <col min="3" max="3" width="24.1640625" style="342" customWidth="1"/>
    <col min="4" max="4" width="23" style="342" customWidth="1"/>
    <col min="5" max="5" width="24.33203125" style="342" customWidth="1"/>
    <col min="6" max="6" width="23.6640625" style="342" customWidth="1"/>
    <col min="7" max="7" width="20.1640625" style="342" customWidth="1"/>
    <col min="8" max="8" width="27.33203125" style="342" customWidth="1"/>
    <col min="9" max="9" width="4.5" style="342" customWidth="1"/>
    <col min="10" max="10" width="3" style="342" customWidth="1"/>
    <col min="11" max="11" width="18.5" style="342" bestFit="1" customWidth="1"/>
    <col min="12" max="16384" width="9.33203125" style="342"/>
  </cols>
  <sheetData>
    <row r="1" spans="1:11">
      <c r="A1" s="349"/>
      <c r="B1" s="1220" t="s">
        <v>511</v>
      </c>
      <c r="C1" s="1220"/>
      <c r="D1" s="1220"/>
      <c r="E1" s="1220"/>
      <c r="F1" s="1220"/>
      <c r="G1" s="1220"/>
      <c r="H1" s="1220"/>
      <c r="I1" s="350"/>
      <c r="J1" s="350"/>
    </row>
    <row r="2" spans="1:11">
      <c r="A2" s="1223"/>
      <c r="B2" s="351"/>
      <c r="C2" s="351"/>
      <c r="D2" s="351"/>
      <c r="E2" s="333"/>
      <c r="F2" s="333"/>
      <c r="G2" s="335"/>
      <c r="H2" s="335"/>
      <c r="I2" s="344"/>
      <c r="J2" s="350"/>
    </row>
    <row r="3" spans="1:11">
      <c r="A3" s="1223"/>
      <c r="B3" s="1221" t="s">
        <v>1165</v>
      </c>
      <c r="C3" s="1221"/>
      <c r="D3" s="1221"/>
      <c r="E3" s="1221"/>
      <c r="F3" s="1221"/>
      <c r="G3" s="1221"/>
      <c r="H3" s="1221"/>
      <c r="I3" s="341"/>
      <c r="J3" s="350"/>
    </row>
    <row r="4" spans="1:11">
      <c r="A4" s="1223"/>
      <c r="B4" s="335"/>
      <c r="C4" s="335"/>
      <c r="D4" s="335"/>
      <c r="E4" s="1225"/>
      <c r="F4" s="1225"/>
      <c r="G4" s="335"/>
      <c r="H4" s="335"/>
      <c r="I4" s="344"/>
      <c r="J4" s="350"/>
    </row>
    <row r="5" spans="1:11" s="359" customFormat="1" ht="30">
      <c r="A5" s="1223"/>
      <c r="B5" s="334"/>
      <c r="C5" s="357" t="s">
        <v>879</v>
      </c>
      <c r="D5" s="357" t="s">
        <v>880</v>
      </c>
      <c r="E5" s="358" t="s">
        <v>188</v>
      </c>
      <c r="F5" s="358" t="s">
        <v>26</v>
      </c>
      <c r="G5" s="358" t="s">
        <v>889</v>
      </c>
      <c r="H5" s="358" t="s">
        <v>881</v>
      </c>
      <c r="I5" s="360"/>
      <c r="J5" s="352"/>
    </row>
    <row r="6" spans="1:11">
      <c r="A6" s="1223"/>
      <c r="B6" s="335" t="str">
        <f>IF('Caract. produção'!B117=1,Itens!F3,IF('Caract. produção'!B117=2,Itens!F4,IF('Caract. produção'!B117=3,Itens!F5,IF('Caract. produção'!B117=4,Itens!F6,IF('Caract. produção'!B117=5,Itens!F7,IF('Caract. produção'!B117=6,Itens!F8,IF('Caract. produção'!B117=7,Itens!F9,IF('Caract. produção'!B117=8,Itens!F10,IF('Caract. produção'!B117=9,Itens!F11,IF('Caract. produção'!B117=10,Itens!F12,IF('Caract. produção'!B117=11,Itens!F13,IF('Caract. produção'!B117=12,Itens!F14,IF('Caract. produção'!B117=13,Itens!F15,IF('Caract. produção'!B117=14,Itens!F16,IF('Caract. produção'!B117=15,Itens!F17,IF('Caract. produção'!B117=16,Itens!F18,IF('Caract. produção'!B117=17,Itens!F19,IF('Caract. produção'!B117=18,Itens!F20,IF('Caract. produção'!B117=19,Itens!F21,IF('Caract. produção'!B117=20,Itens!F22,IF('Caract. produção'!B117=21,Itens!F23,IF('Caract. produção'!B117=22,Itens!F24,IF('Caract. produção'!B117=23,Itens!F25,IF('Caract. produção'!B117=24,Itens!F26,IF('Caract. produção'!B117=25,Itens!F27,IF('Caract. produção'!B117=26,Itens!F28,IF('Caract. produção'!B117=27,Itens!F29,IF('Caract. produção'!B117=28,Itens!F30))))))))))))))))))))))))))))</f>
        <v>(vazio)</v>
      </c>
      <c r="C6" s="519">
        <f>'Caract. produção'!C117</f>
        <v>100</v>
      </c>
      <c r="D6" s="520">
        <f>'Caract. produção'!D117</f>
        <v>0</v>
      </c>
      <c r="E6" s="521">
        <f>'Caract. produção'!E117</f>
        <v>0</v>
      </c>
      <c r="F6" s="437">
        <f>'Caract. produção'!F117</f>
        <v>0</v>
      </c>
      <c r="G6" s="437">
        <f>IFERROR((D6*('Caract. produção'!$G$65/100))/E6,0)</f>
        <v>0</v>
      </c>
      <c r="H6" s="551">
        <f>IFERROR(((D6*C6/100)-(F6*C6/100))/E6,0)</f>
        <v>0</v>
      </c>
      <c r="I6" s="334"/>
      <c r="J6" s="350"/>
    </row>
    <row r="7" spans="1:11" s="529" customFormat="1">
      <c r="A7" s="524"/>
      <c r="B7" s="410" t="str">
        <f>IF('Caract. produção'!B118=1,Itens!F3,IF('Caract. produção'!B118=2,Itens!F4,IF('Caract. produção'!B118=3,Itens!F5,IF('Caract. produção'!B118=4,Itens!F6,IF('Caract. produção'!B118=5,Itens!F7,IF('Caract. produção'!B118=6,Itens!F8,IF('Caract. produção'!B118=7,Itens!F9,IF('Caract. produção'!B118=8,Itens!F10,IF('Caract. produção'!B118=9,Itens!F11,IF('Caract. produção'!B118=10,Itens!F12,IF('Caract. produção'!B118=11,Itens!F13,IF('Caract. produção'!B118=12,Itens!F14,IF('Caract. produção'!B118=13,Itens!F15,IF('Caract. produção'!B118=14,Itens!F16,IF('Caract. produção'!B118=15,Itens!F17,IF('Caract. produção'!B118=16,Itens!F18,IF('Caract. produção'!B118=17,Itens!F19,IF('Caract. produção'!B118=18,Itens!F20,IF('Caract. produção'!B118=19,Itens!F21,IF('Caract. produção'!B118=20,Itens!F22,IF('Caract. produção'!B118=21,Itens!F23,IF('Caract. produção'!B118=22,Itens!F24,IF('Caract. produção'!B118=23,Itens!F25,IF('Caract. produção'!B118=24,Itens!F26,IF('Caract. produção'!B118=25,Itens!F27,IF('Caract. produção'!B118=26,Itens!F28,IF('Caract. produção'!B118=27,Itens!F29,IF('Caract. produção'!B118=28,Itens!F30))))))))))))))))))))))))))))</f>
        <v>(vazio)</v>
      </c>
      <c r="C7" s="525">
        <f>'Caract. produção'!C118</f>
        <v>100</v>
      </c>
      <c r="D7" s="526">
        <f>'Caract. produção'!D118</f>
        <v>0</v>
      </c>
      <c r="E7" s="527">
        <f>'Caract. produção'!E118</f>
        <v>0</v>
      </c>
      <c r="F7" s="528">
        <f>'Caract. produção'!F118</f>
        <v>0</v>
      </c>
      <c r="G7" s="437">
        <f>IFERROR((D7*('Caract. produção'!$G$65/100))/E7,0)</f>
        <v>0</v>
      </c>
      <c r="H7" s="551">
        <f t="shared" ref="H7:H18" si="0">IFERROR(((D7*C7/100)-(F7*C7/100))/E7,0)</f>
        <v>0</v>
      </c>
      <c r="I7" s="439"/>
      <c r="J7" s="524"/>
    </row>
    <row r="8" spans="1:11">
      <c r="A8" s="353"/>
      <c r="B8" s="335" t="str">
        <f>IF('Caract. produção'!B119=1,Itens!F3,IF('Caract. produção'!B119=2,Itens!F4,IF('Caract. produção'!B119=3,Itens!F5,IF('Caract. produção'!B119=4,Itens!F6,IF('Caract. produção'!B119=5,Itens!F7,IF('Caract. produção'!B119=6,Itens!F8,IF('Caract. produção'!B119=7,Itens!F9,IF('Caract. produção'!B119=8,Itens!F10,IF('Caract. produção'!B119=9,Itens!F11,IF('Caract. produção'!B119=10,Itens!F12,IF('Caract. produção'!B119=11,Itens!F13,IF('Caract. produção'!B119=12,Itens!F14,IF('Caract. produção'!B119=13,Itens!F15,IF('Caract. produção'!B119=14,Itens!F16,IF('Caract. produção'!B119=15,Itens!F17,IF('Caract. produção'!B119=16,Itens!F18,IF('Caract. produção'!B119=17,Itens!F19,IF('Caract. produção'!B119=18,Itens!F20,IF('Caract. produção'!B119=19,Itens!F21,IF('Caract. produção'!B119=20,Itens!F22,IF('Caract. produção'!B119=21,Itens!F23,IF('Caract. produção'!B119=22,Itens!F24,IF('Caract. produção'!B119=23,Itens!F25,IF('Caract. produção'!B119=24,Itens!F26,IF('Caract. produção'!B119=25,Itens!F27,IF('Caract. produção'!B119=26,Itens!F28,IF('Caract. produção'!B119=27,Itens!F29,IF('Caract. produção'!B119=28,Itens!F30))))))))))))))))))))))))))))</f>
        <v>Equipamentos em geral</v>
      </c>
      <c r="C8" s="519">
        <f>'Caract. produção'!C119</f>
        <v>100</v>
      </c>
      <c r="D8" s="520">
        <f>'Caract. produção'!D119</f>
        <v>245654.63999999996</v>
      </c>
      <c r="E8" s="521">
        <f>'Caract. produção'!E119</f>
        <v>12</v>
      </c>
      <c r="F8" s="437">
        <f>'Caract. produção'!F119</f>
        <v>13756.659839999997</v>
      </c>
      <c r="G8" s="437">
        <f>IFERROR((D8*('Caract. produção'!$G$65/100))/E8,0)</f>
        <v>204.71219999999997</v>
      </c>
      <c r="H8" s="551">
        <f>IFERROR(((D8*C8/100)-(F8*C8/100))/E8,0)</f>
        <v>19324.831679999996</v>
      </c>
      <c r="I8" s="334"/>
      <c r="J8" s="350"/>
    </row>
    <row r="9" spans="1:11">
      <c r="A9" s="353"/>
      <c r="B9" s="335" t="str">
        <f>IF('Caract. produção'!B120=1,Itens!F3,IF('Caract. produção'!B120=2,Itens!F4,IF('Caract. produção'!B120=3,Itens!F5,IF('Caract. produção'!B120=4,Itens!F6,IF('Caract. produção'!B120=5,Itens!F7,IF('Caract. produção'!B120=6,Itens!F8,IF('Caract. produção'!B120=7,Itens!F9,IF('Caract. produção'!B120=8,Itens!F10,IF('Caract. produção'!B120=9,Itens!F11,IF('Caract. produção'!B120=10,Itens!F12,IF('Caract. produção'!B120=11,Itens!F13,IF('Caract. produção'!B120=12,Itens!F14,IF('Caract. produção'!B120=13,Itens!F15,IF('Caract. produção'!B120=14,Itens!F16,IF('Caract. produção'!B120=15,Itens!F17,IF('Caract. produção'!B120=16,Itens!F18,IF('Caract. produção'!B120=17,Itens!F19,IF('Caract. produção'!B120=18,Itens!F20,IF('Caract. produção'!B120=19,Itens!F21,IF('Caract. produção'!B120=20,Itens!F22,IF('Caract. produção'!B120=21,Itens!F23,IF('Caract. produção'!B120=22,Itens!F24,IF('Caract. produção'!B120=23,Itens!F25,IF('Caract. produção'!B120=24,Itens!F26,IF('Caract. produção'!B120=25,Itens!F27,IF('Caract. produção'!B120=26,Itens!F28,IF('Caract. produção'!B120=27,Itens!F29,IF('Caract. produção'!B120=28,Itens!F30))))))))))))))))))))))))))))</f>
        <v>(vazio)</v>
      </c>
      <c r="C9" s="519">
        <f>'Caract. produção'!C120</f>
        <v>100</v>
      </c>
      <c r="D9" s="520">
        <f>'Caract. produção'!D120</f>
        <v>0</v>
      </c>
      <c r="E9" s="521">
        <f>'Caract. produção'!E120</f>
        <v>0</v>
      </c>
      <c r="F9" s="437">
        <f>'Caract. produção'!F120</f>
        <v>0</v>
      </c>
      <c r="G9" s="437">
        <f>IFERROR((D9*('Caract. produção'!$G$65/100))/E9,0)</f>
        <v>0</v>
      </c>
      <c r="H9" s="551">
        <f t="shared" si="0"/>
        <v>0</v>
      </c>
      <c r="I9" s="334"/>
      <c r="J9" s="350"/>
    </row>
    <row r="10" spans="1:11">
      <c r="A10" s="353"/>
      <c r="B10" s="335" t="str">
        <f>IF('Caract. produção'!B121=1,Itens!F3,IF('Caract. produção'!B121=2,Itens!F4,IF('Caract. produção'!B121=3,Itens!F5,IF('Caract. produção'!B121=4,Itens!F6,IF('Caract. produção'!B121=5,Itens!F7,IF('Caract. produção'!B121=6,Itens!F8,IF('Caract. produção'!B121=7,Itens!F9,IF('Caract. produção'!B121=8,Itens!F10,IF('Caract. produção'!B121=9,Itens!F11,IF('Caract. produção'!B121=10,Itens!F12,IF('Caract. produção'!B121=11,Itens!F13,IF('Caract. produção'!B121=12,Itens!F14,IF('Caract. produção'!B121=13,Itens!F15,IF('Caract. produção'!B121=14,Itens!F16,IF('Caract. produção'!B121=15,Itens!F17,IF('Caract. produção'!B121=16,Itens!F18,IF('Caract. produção'!B121=17,Itens!F19,IF('Caract. produção'!B121=18,Itens!F20,IF('Caract. produção'!B121=19,Itens!F21,IF('Caract. produção'!B121=20,Itens!F22,IF('Caract. produção'!B121=21,Itens!F23,IF('Caract. produção'!B121=22,Itens!F24,IF('Caract. produção'!B121=23,Itens!F25,IF('Caract. produção'!B121=24,Itens!F26,IF('Caract. produção'!B121=25,Itens!F27,IF('Caract. produção'!B121=26,Itens!F28,IF('Caract. produção'!B121=27,Itens!F29,IF('Caract. produção'!B121=28,Itens!F30))))))))))))))))))))))))))))</f>
        <v>Rotativa</v>
      </c>
      <c r="C10" s="519">
        <f>'Caract. produção'!C121</f>
        <v>100</v>
      </c>
      <c r="D10" s="520">
        <f>'Caract. produção'!D121</f>
        <v>0</v>
      </c>
      <c r="E10" s="521">
        <f>'Caract. produção'!E121</f>
        <v>0</v>
      </c>
      <c r="F10" s="437">
        <f>'Caract. produção'!F121</f>
        <v>0</v>
      </c>
      <c r="G10" s="437">
        <f>IFERROR((D10*('Caract. produção'!$G$65/100))/E10,0)</f>
        <v>0</v>
      </c>
      <c r="H10" s="551">
        <f>IFERROR(((D10*C10/100)-(F10*C10/100))/E10,0)</f>
        <v>0</v>
      </c>
      <c r="I10" s="334"/>
      <c r="J10" s="350"/>
      <c r="K10" s="813"/>
    </row>
    <row r="11" spans="1:11">
      <c r="A11" s="353"/>
      <c r="B11" s="335" t="str">
        <f>IF('Caract. produção'!B122=1,Itens!F3,IF('Caract. produção'!B122=2,Itens!F4,IF('Caract. produção'!B122=3,Itens!F5,IF('Caract. produção'!B122=4,Itens!F6,IF('Caract. produção'!B122=5,Itens!F7,IF('Caract. produção'!B122=6,Itens!F8,IF('Caract. produção'!B122=7,Itens!F9,IF('Caract. produção'!B122=8,Itens!F10,IF('Caract. produção'!B122=9,Itens!F11,IF('Caract. produção'!B122=10,Itens!F12,IF('Caract. produção'!B122=11,Itens!F13,IF('Caract. produção'!B122=12,Itens!F14,IF('Caract. produção'!B122=13,Itens!F15,IF('Caract. produção'!B122=14,Itens!F16,IF('Caract. produção'!B122=15,Itens!F17,IF('Caract. produção'!B122=16,Itens!F18,IF('Caract. produção'!B122=17,Itens!F19,IF('Caract. produção'!B122=18,Itens!F20,IF('Caract. produção'!B122=19,Itens!F21,IF('Caract. produção'!B122=20,Itens!F22,IF('Caract. produção'!B122=21,Itens!F23,IF('Caract. produção'!B122=22,Itens!F24,IF('Caract. produção'!B122=23,Itens!F25,IF('Caract. produção'!B122=24,Itens!F26,IF('Caract. produção'!B122=25,Itens!F27,IF('Caract. produção'!B122=26,Itens!F28,IF('Caract. produção'!B122=27,Itens!F29,IF('Caract. produção'!B122=28,Itens!F30))))))))))))))))))))))))))))</f>
        <v>(vazio)</v>
      </c>
      <c r="C11" s="519">
        <f>'Caract. produção'!C122</f>
        <v>100</v>
      </c>
      <c r="D11" s="520">
        <f>'Caract. produção'!D122</f>
        <v>0</v>
      </c>
      <c r="E11" s="521">
        <f>'Caract. produção'!E122</f>
        <v>0</v>
      </c>
      <c r="F11" s="437">
        <f>'Caract. produção'!F122</f>
        <v>0</v>
      </c>
      <c r="G11" s="437">
        <f>IFERROR((D11*('Caract. produção'!$G$65/100))/E11,0)</f>
        <v>0</v>
      </c>
      <c r="H11" s="551">
        <f t="shared" si="0"/>
        <v>0</v>
      </c>
      <c r="I11" s="334"/>
      <c r="J11" s="350"/>
      <c r="K11" s="813"/>
    </row>
    <row r="12" spans="1:11">
      <c r="A12" s="353"/>
      <c r="B12" s="335" t="str">
        <f>IF('Caract. produção'!B123=1,Itens!F3,IF('Caract. produção'!B123=2,Itens!F4,IF('Caract. produção'!B123=3,Itens!F5,IF('Caract. produção'!B123=4,Itens!F6,IF('Caract. produção'!B123=5,Itens!F7,IF('Caract. produção'!B123=6,Itens!F8,IF('Caract. produção'!B123=7,Itens!F9,IF('Caract. produção'!B123=8,Itens!F10,IF('Caract. produção'!B123=9,Itens!F11,IF('Caract. produção'!B123=10,Itens!F12,IF('Caract. produção'!B123=11,Itens!F13,IF('Caract. produção'!B123=12,Itens!F14,IF('Caract. produção'!B123=13,Itens!F15,IF('Caract. produção'!B123=14,Itens!F16,IF('Caract. produção'!B123=15,Itens!F17,IF('Caract. produção'!B123=16,Itens!F18,IF('Caract. produção'!B123=17,Itens!F19,IF('Caract. produção'!B123=18,Itens!F20,IF('Caract. produção'!B123=19,Itens!F21,IF('Caract. produção'!B123=20,Itens!F22,IF('Caract. produção'!B123=21,Itens!F23,IF('Caract. produção'!B123=22,Itens!F24,IF('Caract. produção'!B123=23,Itens!F25,IF('Caract. produção'!B123=24,Itens!F26,IF('Caract. produção'!B123=25,Itens!F27,IF('Caract. produção'!B123=26,Itens!F28,IF('Caract. produção'!B123=27,Itens!F29,IF('Caract. produção'!B123=28,Itens!F30))))))))))))))))))))))))))))</f>
        <v>(vazio)</v>
      </c>
      <c r="C12" s="519">
        <f>'Caract. produção'!C123</f>
        <v>100</v>
      </c>
      <c r="D12" s="520">
        <f>'Caract. produção'!D123</f>
        <v>0</v>
      </c>
      <c r="E12" s="521">
        <f>'Caract. produção'!E123</f>
        <v>0</v>
      </c>
      <c r="F12" s="437">
        <f>'Caract. produção'!F123</f>
        <v>0</v>
      </c>
      <c r="G12" s="437">
        <f>IFERROR((D12*('Caract. produção'!$G$65/100))/E12,0)</f>
        <v>0</v>
      </c>
      <c r="H12" s="551">
        <f t="shared" si="0"/>
        <v>0</v>
      </c>
      <c r="I12" s="334"/>
      <c r="J12" s="350"/>
    </row>
    <row r="13" spans="1:11">
      <c r="A13" s="353"/>
      <c r="B13" s="335" t="str">
        <f>IF('Caract. produção'!B124=1,Itens!F3,IF('Caract. produção'!B124=2,Itens!F4,IF('Caract. produção'!B124=3,Itens!F5,IF('Caract. produção'!B124=4,Itens!F6,IF('Caract. produção'!B124=5,Itens!F7,IF('Caract. produção'!B124=6,Itens!F8,IF('Caract. produção'!B124=7,Itens!F9,IF('Caract. produção'!B124=8,Itens!F10,IF('Caract. produção'!B124=9,Itens!F11,IF('Caract. produção'!B124=10,Itens!F12,IF('Caract. produção'!B124=11,Itens!F13,IF('Caract. produção'!B124=12,Itens!F14,IF('Caract. produção'!B124=13,Itens!F15,IF('Caract. produção'!B124=14,Itens!F16,IF('Caract. produção'!B124=15,Itens!F17,IF('Caract. produção'!B124=16,Itens!F18,IF('Caract. produção'!B124=17,Itens!F19,IF('Caract. produção'!B124=18,Itens!F20,IF('Caract. produção'!B124=19,Itens!F21,IF('Caract. produção'!B124=20,Itens!F22,IF('Caract. produção'!B124=21,Itens!F23,IF('Caract. produção'!B124=22,Itens!F24,IF('Caract. produção'!B124=23,Itens!F25,IF('Caract. produção'!B124=24,Itens!F26,IF('Caract. produção'!B124=25,Itens!F27,IF('Caract. produção'!B124=26,Itens!F28,IF('Caract. produção'!B124=27,Itens!F29,IF('Caract. produção'!B124=28,Itens!F30))))))))))))))))))))))))))))</f>
        <v>(vazio)</v>
      </c>
      <c r="C13" s="519">
        <f>'Caract. produção'!C124</f>
        <v>100</v>
      </c>
      <c r="D13" s="520">
        <f>'Caract. produção'!D124</f>
        <v>0</v>
      </c>
      <c r="E13" s="521">
        <f>'Caract. produção'!E124</f>
        <v>0</v>
      </c>
      <c r="F13" s="437">
        <f>'Caract. produção'!F124</f>
        <v>0</v>
      </c>
      <c r="G13" s="437">
        <f>IFERROR((D13*('Caract. produção'!$G$65/100))/E13,0)</f>
        <v>0</v>
      </c>
      <c r="H13" s="551">
        <f t="shared" si="0"/>
        <v>0</v>
      </c>
      <c r="I13" s="334"/>
      <c r="J13" s="350"/>
    </row>
    <row r="14" spans="1:11">
      <c r="A14" s="353"/>
      <c r="B14" s="335" t="str">
        <f>IF('Caract. produção'!B125=1,Itens!F3,IF('Caract. produção'!B125=2,Itens!F4,IF('Caract. produção'!B125=3,Itens!F5,IF('Caract. produção'!B125=4,Itens!F6,IF('Caract. produção'!B125=5,Itens!F7,IF('Caract. produção'!B125=6,Itens!F8,IF('Caract. produção'!B125=7,Itens!F9,IF('Caract. produção'!B125=8,Itens!F10,IF('Caract. produção'!B125=9,Itens!F11,IF('Caract. produção'!B125=10,Itens!F12,IF('Caract. produção'!B125=11,Itens!F13,IF('Caract. produção'!B125=12,Itens!F14,IF('Caract. produção'!B125=13,Itens!F15,IF('Caract. produção'!B125=14,Itens!F16,IF('Caract. produção'!B125=15,Itens!F17,IF('Caract. produção'!B125=16,Itens!F18,IF('Caract. produção'!B125=17,Itens!F19,IF('Caract. produção'!B125=18,Itens!F20,IF('Caract. produção'!B125=19,Itens!F21,IF('Caract. produção'!B125=20,Itens!F22,IF('Caract. produção'!B125=21,Itens!F23,IF('Caract. produção'!B125=22,Itens!F24,IF('Caract. produção'!B125=23,Itens!F25,IF('Caract. produção'!B125=24,Itens!F26,IF('Caract. produção'!B125=25,Itens!F27,IF('Caract. produção'!B125=26,Itens!F28,IF('Caract. produção'!B125=27,Itens!F29,IF('Caract. produção'!B125=28,Itens!F30))))))))))))))))))))))))))))</f>
        <v>(vazio)</v>
      </c>
      <c r="C14" s="519">
        <f>'Caract. produção'!C125</f>
        <v>100</v>
      </c>
      <c r="D14" s="520">
        <f>'Caract. produção'!D125</f>
        <v>0</v>
      </c>
      <c r="E14" s="521">
        <f>'Caract. produção'!E125</f>
        <v>0</v>
      </c>
      <c r="F14" s="437">
        <f>'Caract. produção'!F125</f>
        <v>0</v>
      </c>
      <c r="G14" s="437">
        <f>IFERROR((D14*('Caract. produção'!$G$65/100))/E14,0)</f>
        <v>0</v>
      </c>
      <c r="H14" s="551">
        <f t="shared" si="0"/>
        <v>0</v>
      </c>
      <c r="I14" s="334"/>
      <c r="J14" s="350"/>
    </row>
    <row r="15" spans="1:11">
      <c r="A15" s="353"/>
      <c r="B15" s="335" t="str">
        <f>IF('Caract. produção'!B126=1,Itens!F3,IF('Caract. produção'!B126=2,Itens!F4,IF('Caract. produção'!B126=3,Itens!F5,IF('Caract. produção'!B126=4,Itens!F6,IF('Caract. produção'!B126=5,Itens!F7,IF('Caract. produção'!B126=6,Itens!F8,IF('Caract. produção'!B126=7,Itens!F9,IF('Caract. produção'!B126=8,Itens!F10,IF('Caract. produção'!B126=9,Itens!F11,IF('Caract. produção'!B126=10,Itens!F12,IF('Caract. produção'!B126=11,Itens!F13,IF('Caract. produção'!B126=12,Itens!F14,IF('Caract. produção'!B126=13,Itens!F15,IF('Caract. produção'!B126=14,Itens!F16,IF('Caract. produção'!B126=15,Itens!F17,IF('Caract. produção'!B126=16,Itens!F18,IF('Caract. produção'!B126=17,Itens!F19,IF('Caract. produção'!B126=18,Itens!F20,IF('Caract. produção'!B126=19,Itens!F21,IF('Caract. produção'!B126=20,Itens!F22,IF('Caract. produção'!B126=21,Itens!F23,IF('Caract. produção'!B126=22,Itens!F24,IF('Caract. produção'!B126=23,Itens!F25,IF('Caract. produção'!B126=24,Itens!F26,IF('Caract. produção'!B126=25,Itens!F27,IF('Caract. produção'!B126=26,Itens!F28,IF('Caract. produção'!B126=27,Itens!F29,IF('Caract. produção'!B126=28,Itens!F30))))))))))))))))))))))))))))</f>
        <v>(vazio)</v>
      </c>
      <c r="C15" s="519">
        <f>'Caract. produção'!C126</f>
        <v>100</v>
      </c>
      <c r="D15" s="520">
        <f>'Caract. produção'!D126</f>
        <v>0</v>
      </c>
      <c r="E15" s="521">
        <f>'Caract. produção'!E126</f>
        <v>0</v>
      </c>
      <c r="F15" s="437">
        <f>'Caract. produção'!F126</f>
        <v>0</v>
      </c>
      <c r="G15" s="437">
        <f>IFERROR((D15*('Caract. produção'!$G$65/100))/E15,0)</f>
        <v>0</v>
      </c>
      <c r="H15" s="551">
        <f t="shared" si="0"/>
        <v>0</v>
      </c>
      <c r="I15" s="334"/>
      <c r="J15" s="350"/>
    </row>
    <row r="16" spans="1:11">
      <c r="A16" s="353"/>
      <c r="B16" s="335" t="str">
        <f>IF('Caract. produção'!B127=1,Itens!F3,IF('Caract. produção'!B127=2,Itens!F4,IF('Caract. produção'!B127=3,Itens!F5,IF('Caract. produção'!B127=4,Itens!F6,IF('Caract. produção'!B127=5,Itens!F7,IF('Caract. produção'!B127=6,Itens!F8,IF('Caract. produção'!B127=7,Itens!F9,IF('Caract. produção'!B127=8,Itens!F10,IF('Caract. produção'!B127=9,Itens!F11,IF('Caract. produção'!B127=10,Itens!F12,IF('Caract. produção'!B127=11,Itens!F13,IF('Caract. produção'!B127=12,Itens!F14,IF('Caract. produção'!B127=13,Itens!F15,IF('Caract. produção'!B127=14,Itens!F16,IF('Caract. produção'!B127=15,Itens!F17,IF('Caract. produção'!B127=16,Itens!F18,IF('Caract. produção'!B127=17,Itens!F19,IF('Caract. produção'!B127=18,Itens!F20,IF('Caract. produção'!B127=19,Itens!F21,IF('Caract. produção'!B127=20,Itens!F22,IF('Caract. produção'!B127=21,Itens!F23,IF('Caract. produção'!B127=22,Itens!F24,IF('Caract. produção'!B127=23,Itens!F25,IF('Caract. produção'!B127=24,Itens!F26,IF('Caract. produção'!B127=25,Itens!F27,IF('Caract. produção'!B127=26,Itens!F28,IF('Caract. produção'!B127=27,Itens!F29,IF('Caract. produção'!B127=28,Itens!F30))))))))))))))))))))))))))))</f>
        <v>(vazio)</v>
      </c>
      <c r="C16" s="519">
        <f>'Caract. produção'!C127</f>
        <v>100</v>
      </c>
      <c r="D16" s="520">
        <f>'Caract. produção'!D127</f>
        <v>0</v>
      </c>
      <c r="E16" s="521">
        <f>'Caract. produção'!E127</f>
        <v>0</v>
      </c>
      <c r="F16" s="437">
        <f>'Caract. produção'!F127</f>
        <v>0</v>
      </c>
      <c r="G16" s="437">
        <f>IFERROR((D16*('Caract. produção'!$G$65/100))/E16,0)</f>
        <v>0</v>
      </c>
      <c r="H16" s="551">
        <f t="shared" si="0"/>
        <v>0</v>
      </c>
      <c r="I16" s="334"/>
      <c r="J16" s="350"/>
    </row>
    <row r="17" spans="1:11">
      <c r="A17" s="353"/>
      <c r="B17" s="335" t="str">
        <f>IF('Caract. produção'!B128=1,Itens!F3,IF('Caract. produção'!B128=2,Itens!F4,IF('Caract. produção'!B128=3,Itens!F5,IF('Caract. produção'!B128=4,Itens!F6,IF('Caract. produção'!B128=5,Itens!F7,IF('Caract. produção'!B128=6,Itens!F8,IF('Caract. produção'!B128=7,Itens!F9,IF('Caract. produção'!B128=8,Itens!F10,IF('Caract. produção'!B128=9,Itens!F11,IF('Caract. produção'!B128=10,Itens!F12,IF('Caract. produção'!B128=11,Itens!F13,IF('Caract. produção'!B128=12,Itens!F14,IF('Caract. produção'!B128=13,Itens!F15,IF('Caract. produção'!B128=14,Itens!F16,IF('Caract. produção'!B128=15,Itens!F17,IF('Caract. produção'!B128=16,Itens!F18,IF('Caract. produção'!B128=17,Itens!F19,IF('Caract. produção'!B128=18,Itens!F20,IF('Caract. produção'!B128=19,Itens!F21,IF('Caract. produção'!B128=20,Itens!F22,IF('Caract. produção'!B128=21,Itens!F23,IF('Caract. produção'!B128=22,Itens!F24,IF('Caract. produção'!B128=23,Itens!F25,IF('Caract. produção'!B128=24,Itens!F26,IF('Caract. produção'!B128=25,Itens!F27,IF('Caract. produção'!B128=26,Itens!F28,IF('Caract. produção'!B128=27,Itens!F29,IF('Caract. produção'!B128=28,Itens!F30))))))))))))))))))))))))))))</f>
        <v>(vazio)</v>
      </c>
      <c r="C17" s="519">
        <f>'Caract. produção'!C128</f>
        <v>100</v>
      </c>
      <c r="D17" s="520">
        <f>'Caract. produção'!D128</f>
        <v>0</v>
      </c>
      <c r="E17" s="521">
        <f>'Caract. produção'!E128</f>
        <v>0</v>
      </c>
      <c r="F17" s="437">
        <f>'Caract. produção'!F128</f>
        <v>0</v>
      </c>
      <c r="G17" s="437">
        <f>IFERROR((D17*('Caract. produção'!$G$65/100))/E17,0)</f>
        <v>0</v>
      </c>
      <c r="H17" s="551">
        <f t="shared" si="0"/>
        <v>0</v>
      </c>
      <c r="I17" s="334"/>
      <c r="J17" s="350"/>
    </row>
    <row r="18" spans="1:11">
      <c r="A18" s="353"/>
      <c r="B18" s="335" t="str">
        <f>IF('Caract. produção'!B129=1,Itens!F3,IF('Caract. produção'!B129=2,Itens!F4,IF('Caract. produção'!B129=3,Itens!F5,IF('Caract. produção'!B129=4,Itens!F6,IF('Caract. produção'!B129=5,Itens!F7,IF('Caract. produção'!B129=6,Itens!F8,IF('Caract. produção'!B129=7,Itens!F9,IF('Caract. produção'!B129=8,Itens!F10,IF('Caract. produção'!B129=9,Itens!F11,IF('Caract. produção'!B129=10,Itens!F12,IF('Caract. produção'!B129=11,Itens!F13,IF('Caract. produção'!B129=12,Itens!F14,IF('Caract. produção'!B129=13,Itens!F15,IF('Caract. produção'!B129=14,Itens!F16,IF('Caract. produção'!B129=15,Itens!F17,IF('Caract. produção'!B129=16,Itens!F18,IF('Caract. produção'!B129=17,Itens!F19,IF('Caract. produção'!B129=18,Itens!F20,IF('Caract. produção'!B129=19,Itens!F21,IF('Caract. produção'!B129=20,Itens!F22,IF('Caract. produção'!B129=21,Itens!F23,IF('Caract. produção'!B129=22,Itens!F24,IF('Caract. produção'!B129=23,Itens!F25,IF('Caract. produção'!B129=24,Itens!F26,IF('Caract. produção'!B129=25,Itens!F27,IF('Caract. produção'!B129=26,Itens!F28,IF('Caract. produção'!B129=27,Itens!F29,IF('Caract. produção'!B129=28,Itens!F30))))))))))))))))))))))))))))</f>
        <v>(vazio)</v>
      </c>
      <c r="C18" s="519">
        <f>'Caract. produção'!C129</f>
        <v>100</v>
      </c>
      <c r="D18" s="520">
        <f>'Caract. produção'!D129</f>
        <v>0</v>
      </c>
      <c r="E18" s="521">
        <f>'Caract. produção'!E129</f>
        <v>0</v>
      </c>
      <c r="F18" s="437">
        <f>'Caract. produção'!F129</f>
        <v>0</v>
      </c>
      <c r="G18" s="437">
        <f>IFERROR((D18*('Caract. produção'!$G$65/100))/E18,0)</f>
        <v>0</v>
      </c>
      <c r="H18" s="551">
        <f t="shared" si="0"/>
        <v>0</v>
      </c>
      <c r="I18" s="334"/>
      <c r="J18" s="350"/>
    </row>
    <row r="19" spans="1:11">
      <c r="A19" s="353"/>
      <c r="B19" s="335"/>
      <c r="C19" s="335"/>
      <c r="D19" s="335"/>
      <c r="E19" s="335"/>
      <c r="F19" s="335"/>
      <c r="G19" s="335"/>
      <c r="H19" s="335"/>
      <c r="I19" s="334"/>
      <c r="J19" s="350"/>
    </row>
    <row r="20" spans="1:11">
      <c r="A20" s="353"/>
      <c r="B20" s="1222" t="s">
        <v>1166</v>
      </c>
      <c r="C20" s="1222"/>
      <c r="D20" s="1222"/>
      <c r="E20" s="1222"/>
      <c r="F20" s="1222"/>
      <c r="G20" s="1222"/>
      <c r="H20" s="1222"/>
      <c r="I20" s="1222"/>
      <c r="J20" s="350"/>
    </row>
    <row r="21" spans="1:11">
      <c r="A21" s="353"/>
      <c r="B21" s="334"/>
      <c r="C21" s="334"/>
      <c r="D21" s="334"/>
      <c r="E21" s="334"/>
      <c r="F21" s="334"/>
      <c r="G21" s="334"/>
      <c r="H21" s="334"/>
      <c r="I21" s="334"/>
      <c r="J21" s="350"/>
    </row>
    <row r="22" spans="1:11" s="672" customFormat="1" ht="41.25" customHeight="1">
      <c r="A22" s="706"/>
      <c r="B22" s="707"/>
      <c r="C22" s="707"/>
      <c r="D22" s="671" t="s">
        <v>880</v>
      </c>
      <c r="E22" s="708" t="s">
        <v>188</v>
      </c>
      <c r="F22" s="708" t="s">
        <v>26</v>
      </c>
      <c r="G22" s="708" t="s">
        <v>889</v>
      </c>
      <c r="H22" s="709" t="s">
        <v>881</v>
      </c>
      <c r="I22" s="707"/>
      <c r="J22" s="706"/>
    </row>
    <row r="23" spans="1:11">
      <c r="A23" s="353"/>
      <c r="B23" s="704" t="str">
        <f>'Caract. produção'!B108</f>
        <v>Galpão</v>
      </c>
      <c r="C23" s="334"/>
      <c r="D23" s="552">
        <f>'Caract. produção'!D108</f>
        <v>501335.99999999994</v>
      </c>
      <c r="E23" s="553">
        <f>'Caract. produção'!E108</f>
        <v>40</v>
      </c>
      <c r="F23" s="554">
        <f>'Caract. produção'!F108</f>
        <v>38101.535999999993</v>
      </c>
      <c r="G23" s="437">
        <f>(D23*('Caract. produção'!$G$65/100))/E23</f>
        <v>125.33399999999999</v>
      </c>
      <c r="H23" s="437">
        <f>IFERROR((D23-F23)/E23,0)</f>
        <v>11580.861599999998</v>
      </c>
      <c r="I23" s="334"/>
      <c r="J23" s="350"/>
      <c r="K23" s="813"/>
    </row>
    <row r="24" spans="1:11">
      <c r="A24" s="353"/>
      <c r="B24" s="704" t="str">
        <f>'Caract. produção'!B109</f>
        <v>Piquete</v>
      </c>
      <c r="C24" s="334"/>
      <c r="D24" s="552">
        <f>'Caract. produção'!D109</f>
        <v>0</v>
      </c>
      <c r="E24" s="553">
        <f>'Caract. produção'!E109</f>
        <v>0</v>
      </c>
      <c r="F24" s="554">
        <f>'Caract. produção'!F109</f>
        <v>0</v>
      </c>
      <c r="G24" s="437">
        <f>D24*('Caract. produção'!$G$65/100)</f>
        <v>0</v>
      </c>
      <c r="H24" s="437">
        <f t="shared" ref="H24:H28" si="1">IFERROR((D24-F24)/E24,0)</f>
        <v>0</v>
      </c>
      <c r="I24" s="334"/>
      <c r="J24" s="350"/>
      <c r="K24" s="813"/>
    </row>
    <row r="25" spans="1:11">
      <c r="A25" s="353"/>
      <c r="B25" s="705" t="str">
        <f>IF('Caract. produção'!B110=1,Itens!D3,IF('Caract. produção'!B110=2,Itens!D4,IF('Caract. produção'!B110=3,Itens!D5,IF('Caract. produção'!B110=4,Itens!D6,IF('Caract. produção'!B110=5,Itens!D7,IF('Caract. produção'!B110=6,Itens!D8,IF('Caract. produção'!B110=7,Itens!D9,IF('Caract. produção'!B110=8,Itens!D10,IF('Caract. produção'!B110=9,Itens!D11,IF('Caract. produção'!B110=10,Itens!D12,IF('Caract. produção'!B110=11,Itens!D13,IF('Caract. produção'!B110=12,Itens!D14,IF('Caract. produção'!B110=13,Itens!D15,IF('Caract. produção'!B110=14,Itens!D16,IF('Caract. produção'!B110=15,Itens!D17,IF('Caract. produção'!B110=16,Itens!D18,IF('Caract. produção'!B110=17,Itens!D19,IF('Caract. produção'!B110=18,Itens!D20,IF('Caract. produção'!B110=19,Itens!D21,IF('Caract. produção'!B110=20,Itens!D22,IF('Caract. produção'!B110=21,Itens!D23,IF('Caract. produção'!B110=22,Itens!D24,IF('Caract. produção'!B110=23,Itens!D25,IF('Caract. produção'!B110=24,Itens!D26,IF('Caract. produção'!B110=25,Itens!D27,IF('Caract. produção'!B110=26,Itens!D28,IF('Caract. produção'!B110=27,Itens!D29,IF('Caract. produção'!B110=28,Itens!D30))))))))))))))))))))))))))))</f>
        <v>(vazio)</v>
      </c>
      <c r="C25" s="334"/>
      <c r="D25" s="552">
        <f>'Caract. produção'!D110</f>
        <v>0</v>
      </c>
      <c r="E25" s="553">
        <f>'Caract. produção'!E110</f>
        <v>0</v>
      </c>
      <c r="F25" s="554">
        <f>'Caract. produção'!F110</f>
        <v>0</v>
      </c>
      <c r="G25" s="437">
        <f>D25*('Caract. produção'!$G$65/100)</f>
        <v>0</v>
      </c>
      <c r="H25" s="437">
        <f t="shared" si="1"/>
        <v>0</v>
      </c>
      <c r="I25" s="334"/>
      <c r="J25" s="350"/>
      <c r="K25" s="813"/>
    </row>
    <row r="26" spans="1:11">
      <c r="A26" s="353"/>
      <c r="B26" s="705" t="str">
        <f>IF('Caract. produção'!B111=1,Itens!D3,IF('Caract. produção'!B111=2,Itens!D4,IF('Caract. produção'!B111=3,Itens!D5,IF('Caract. produção'!B111=4,Itens!D6,IF('Caract. produção'!B111=5,Itens!D7,IF('Caract. produção'!B111=6,Itens!D8,IF('Caract. produção'!B111=7,Itens!D9,IF('Caract. produção'!B111=8,Itens!D10,IF('Caract. produção'!B111=9,Itens!D11,IF('Caract. produção'!B111=10,Itens!D12,IF('Caract. produção'!B111=11,Itens!D13,IF('Caract. produção'!B111=12,Itens!D14,IF('Caract. produção'!B111=13,Itens!D15,IF('Caract. produção'!B111=14,Itens!D16,IF('Caract. produção'!B111=15,Itens!D17,IF('Caract. produção'!B111=16,Itens!D18,IF('Caract. produção'!B111=17,Itens!D19,IF('Caract. produção'!B111=18,Itens!D20,IF('Caract. produção'!B111=19,Itens!D21,IF('Caract. produção'!B111=20,Itens!D22,IF('Caract. produção'!B111=21,Itens!D23,IF('Caract. produção'!B111=22,Itens!D24,IF('Caract. produção'!B111=23,Itens!D25,IF('Caract. produção'!B111=24,Itens!D26,IF('Caract. produção'!B111=25,Itens!D27,IF('Caract. produção'!B111=26,Itens!D28,IF('Caract. produção'!B111=27,Itens!D29,IF('Caract. produção'!B111=28,Itens!D30))))))))))))))))))))))))))))</f>
        <v>(vazio)</v>
      </c>
      <c r="C26" s="334"/>
      <c r="D26" s="552">
        <f>'Caract. produção'!D111</f>
        <v>0</v>
      </c>
      <c r="E26" s="553">
        <f>'Caract. produção'!E111</f>
        <v>0</v>
      </c>
      <c r="F26" s="554">
        <f>'Caract. produção'!F111</f>
        <v>0</v>
      </c>
      <c r="G26" s="437">
        <f>D26*('Caract. produção'!$G$65/100)</f>
        <v>0</v>
      </c>
      <c r="H26" s="437">
        <f t="shared" si="1"/>
        <v>0</v>
      </c>
      <c r="I26" s="334"/>
      <c r="J26" s="350"/>
    </row>
    <row r="27" spans="1:11">
      <c r="A27" s="353"/>
      <c r="B27" s="705" t="str">
        <f>IF('Caract. produção'!B112=1,Itens!D3,IF('Caract. produção'!B112=2,Itens!D4,IF('Caract. produção'!B112=3,Itens!D5,IF('Caract. produção'!B112=4,Itens!D6,IF('Caract. produção'!B112=5,Itens!D7,IF('Caract. produção'!B112=6,Itens!D8,IF('Caract. produção'!B112=7,Itens!D9,IF('Caract. produção'!B112=8,Itens!D10,IF('Caract. produção'!B112=9,Itens!D11,IF('Caract. produção'!B112=10,Itens!D12,IF('Caract. produção'!B112=11,Itens!D13,IF('Caract. produção'!B112=12,Itens!D14,IF('Caract. produção'!B112=13,Itens!D15,IF('Caract. produção'!B112=14,Itens!D16,IF('Caract. produção'!B112=15,Itens!D17,IF('Caract. produção'!B112=16,Itens!D18,IF('Caract. produção'!B112=17,Itens!D19,IF('Caract. produção'!B112=18,Itens!D20,IF('Caract. produção'!B112=19,Itens!D21,IF('Caract. produção'!B112=20,Itens!D22,IF('Caract. produção'!B112=21,Itens!D23,IF('Caract. produção'!B112=22,Itens!D24,IF('Caract. produção'!B112=23,Itens!D25,IF('Caract. produção'!B112=24,Itens!D26,IF('Caract. produção'!B112=25,Itens!D27,IF('Caract. produção'!B112=26,Itens!D28,IF('Caract. produção'!B112=27,Itens!D29,IF('Caract. produção'!B112=28,Itens!D30))))))))))))))))))))))))))))</f>
        <v>(vazio)</v>
      </c>
      <c r="C27" s="334"/>
      <c r="D27" s="552">
        <f>'Caract. produção'!D112</f>
        <v>0</v>
      </c>
      <c r="E27" s="553">
        <f>'Caract. produção'!E112</f>
        <v>0</v>
      </c>
      <c r="F27" s="554">
        <f>'Caract. produção'!F112</f>
        <v>0</v>
      </c>
      <c r="G27" s="437">
        <f>D27*('Caract. produção'!$G$65/100)</f>
        <v>0</v>
      </c>
      <c r="H27" s="437">
        <f t="shared" si="1"/>
        <v>0</v>
      </c>
      <c r="I27" s="334"/>
      <c r="J27" s="350"/>
    </row>
    <row r="28" spans="1:11">
      <c r="A28" s="353"/>
      <c r="B28" s="705" t="str">
        <f>IF('Caract. produção'!B113=1,Itens!D3,IF('Caract. produção'!B113=2,Itens!D4,IF('Caract. produção'!B113=3,Itens!D5,IF('Caract. produção'!B113=4,Itens!D6,IF('Caract. produção'!B113=5,Itens!D7,IF('Caract. produção'!B113=6,Itens!D8,IF('Caract. produção'!B113=7,Itens!D9,IF('Caract. produção'!B113=8,Itens!D10,IF('Caract. produção'!B113=9,Itens!D11,IF('Caract. produção'!B113=10,Itens!D12,IF('Caract. produção'!B113=11,Itens!D13,IF('Caract. produção'!B113=12,Itens!D14,IF('Caract. produção'!B113=13,Itens!D15,IF('Caract. produção'!B113=14,Itens!D16,IF('Caract. produção'!B113=15,Itens!D17,IF('Caract. produção'!B113=16,Itens!D18,IF('Caract. produção'!B113=17,Itens!D19,IF('Caract. produção'!B113=18,Itens!D20,IF('Caract. produção'!B113=19,Itens!D21,IF('Caract. produção'!B113=20,Itens!D22,IF('Caract. produção'!B113=21,Itens!D23,IF('Caract. produção'!B113=22,Itens!D24,IF('Caract. produção'!B113=23,Itens!D25,IF('Caract. produção'!B113=24,Itens!D26,IF('Caract. produção'!B113=25,Itens!D27,IF('Caract. produção'!B113=26,Itens!D28,IF('Caract. produção'!B113=27,Itens!D29,IF('Caract. produção'!B113=28,Itens!D30))))))))))))))))))))))))))))</f>
        <v>(vazio)</v>
      </c>
      <c r="C28" s="334"/>
      <c r="D28" s="552">
        <f>'Caract. produção'!D113</f>
        <v>0</v>
      </c>
      <c r="E28" s="553">
        <f>'Caract. produção'!E113</f>
        <v>0</v>
      </c>
      <c r="F28" s="554">
        <f>'Caract. produção'!F113</f>
        <v>0</v>
      </c>
      <c r="G28" s="437">
        <f>D28*('Caract. produção'!$G$65/100)</f>
        <v>0</v>
      </c>
      <c r="H28" s="437">
        <f t="shared" si="1"/>
        <v>0</v>
      </c>
      <c r="I28" s="334"/>
      <c r="J28" s="350"/>
      <c r="K28" s="813"/>
    </row>
    <row r="29" spans="1:11">
      <c r="A29" s="353"/>
      <c r="B29" s="335"/>
      <c r="C29" s="335"/>
      <c r="D29" s="335"/>
      <c r="E29" s="335"/>
      <c r="F29" s="335"/>
      <c r="G29" s="344"/>
      <c r="H29" s="335"/>
      <c r="I29" s="335"/>
      <c r="J29" s="350"/>
    </row>
    <row r="30" spans="1:11" ht="15" customHeight="1">
      <c r="A30" s="353"/>
      <c r="B30" s="335"/>
      <c r="C30" s="335"/>
      <c r="D30" s="335"/>
      <c r="E30" s="335"/>
      <c r="F30" s="347" t="s">
        <v>35</v>
      </c>
      <c r="G30" s="347"/>
      <c r="H30" s="338">
        <f>SUM(H23:H28,H6:H18)</f>
        <v>30905.693279999992</v>
      </c>
      <c r="I30" s="339"/>
      <c r="J30" s="350"/>
    </row>
    <row r="31" spans="1:11" ht="15" customHeight="1">
      <c r="A31" s="754"/>
      <c r="B31" s="756"/>
      <c r="C31" s="756"/>
      <c r="D31" s="756"/>
      <c r="E31" s="756"/>
      <c r="F31" s="756"/>
      <c r="G31" s="756"/>
      <c r="H31" s="756"/>
      <c r="I31" s="756"/>
      <c r="J31" s="755"/>
    </row>
    <row r="32" spans="1:11" ht="15" customHeight="1">
      <c r="A32" s="754"/>
      <c r="B32" s="756"/>
      <c r="C32" s="756"/>
      <c r="D32" s="756"/>
      <c r="E32" s="756"/>
      <c r="F32" s="347" t="s">
        <v>35</v>
      </c>
      <c r="G32" s="757">
        <f>SUM(G23:G28,G8:G18)</f>
        <v>330.04619999999994</v>
      </c>
      <c r="H32" s="338"/>
      <c r="I32" s="339"/>
      <c r="J32" s="755"/>
    </row>
    <row r="33" spans="1:10">
      <c r="A33" s="353"/>
      <c r="B33" s="335"/>
      <c r="C33" s="335"/>
      <c r="D33" s="335"/>
      <c r="E33" s="335"/>
      <c r="F33" s="335"/>
      <c r="G33" s="344"/>
      <c r="H33" s="335"/>
      <c r="I33" s="335"/>
      <c r="J33" s="350"/>
    </row>
    <row r="34" spans="1:10">
      <c r="A34" s="353"/>
      <c r="B34" s="353"/>
      <c r="C34" s="353"/>
      <c r="D34" s="353"/>
      <c r="E34" s="353"/>
      <c r="F34" s="353"/>
      <c r="G34" s="353"/>
      <c r="H34" s="353"/>
      <c r="I34" s="335"/>
      <c r="J34" s="350"/>
    </row>
    <row r="35" spans="1:10">
      <c r="A35" s="353"/>
      <c r="B35" s="696"/>
      <c r="C35" s="335"/>
      <c r="D35" s="335"/>
      <c r="E35" s="335"/>
      <c r="F35" s="335"/>
      <c r="G35" s="344"/>
      <c r="H35" s="335"/>
      <c r="I35" s="335"/>
      <c r="J35" s="350"/>
    </row>
    <row r="36" spans="1:10" ht="15" customHeight="1">
      <c r="A36" s="353"/>
      <c r="B36" s="696"/>
      <c r="C36" s="696"/>
      <c r="D36" s="696"/>
      <c r="E36" s="1226" t="s">
        <v>182</v>
      </c>
      <c r="F36" s="1226"/>
      <c r="G36" s="1226"/>
      <c r="H36" s="338">
        <f>SUM(D6:D18,D23:D28)</f>
        <v>746990.6399999999</v>
      </c>
      <c r="I36" s="339"/>
      <c r="J36" s="350"/>
    </row>
    <row r="37" spans="1:10" ht="15" customHeight="1">
      <c r="A37" s="353"/>
      <c r="B37" s="696"/>
      <c r="C37" s="696"/>
      <c r="D37" s="696"/>
      <c r="E37" s="1226" t="s">
        <v>890</v>
      </c>
      <c r="F37" s="1226"/>
      <c r="G37" s="1226"/>
      <c r="H37" s="338">
        <f>(H36*('Caract. produção'!E243/100))/('Caract. produção'!D74)</f>
        <v>7148.2357894736833</v>
      </c>
      <c r="I37" s="339"/>
      <c r="J37" s="350"/>
    </row>
    <row r="38" spans="1:10">
      <c r="A38" s="350"/>
      <c r="B38" s="344"/>
      <c r="C38" s="344"/>
      <c r="D38" s="344"/>
      <c r="E38" s="344"/>
      <c r="F38" s="344"/>
      <c r="G38" s="335"/>
      <c r="H38" s="335"/>
      <c r="I38" s="356"/>
      <c r="J38" s="350"/>
    </row>
    <row r="39" spans="1:10">
      <c r="A39" s="350"/>
      <c r="B39" s="1224"/>
      <c r="C39" s="1224"/>
      <c r="D39" s="1224"/>
      <c r="E39" s="1224"/>
      <c r="F39" s="350"/>
      <c r="G39" s="350"/>
      <c r="H39" s="350"/>
      <c r="I39" s="350"/>
      <c r="J39" s="350"/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8">
    <mergeCell ref="B1:H1"/>
    <mergeCell ref="B3:H3"/>
    <mergeCell ref="B20:I20"/>
    <mergeCell ref="A2:A6"/>
    <mergeCell ref="B39:E39"/>
    <mergeCell ref="E4:F4"/>
    <mergeCell ref="E36:G36"/>
    <mergeCell ref="E37:G37"/>
  </mergeCell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tabColor theme="6" tint="0.39997558519241921"/>
  </sheetPr>
  <dimension ref="A1:K31"/>
  <sheetViews>
    <sheetView workbookViewId="0"/>
  </sheetViews>
  <sheetFormatPr defaultRowHeight="14.25"/>
  <cols>
    <col min="1" max="1" width="2" style="346" customWidth="1"/>
    <col min="2" max="2" width="36.6640625" style="346" customWidth="1"/>
    <col min="3" max="3" width="18.5" style="346" customWidth="1"/>
    <col min="4" max="4" width="25.5" style="346" customWidth="1"/>
    <col min="5" max="5" width="21.6640625" style="346" customWidth="1"/>
    <col min="6" max="6" width="21" style="346" customWidth="1"/>
    <col min="7" max="7" width="26.1640625" style="346" customWidth="1"/>
    <col min="8" max="8" width="3" style="346" customWidth="1"/>
    <col min="9" max="9" width="3.33203125" style="346" customWidth="1"/>
    <col min="10" max="10" width="9.33203125" style="346"/>
    <col min="11" max="11" width="13.6640625" style="346" bestFit="1" customWidth="1"/>
    <col min="12" max="16384" width="9.33203125" style="346"/>
  </cols>
  <sheetData>
    <row r="1" spans="1:11" ht="15" customHeight="1">
      <c r="A1" s="579"/>
      <c r="B1" s="1222" t="s">
        <v>1160</v>
      </c>
      <c r="C1" s="1222"/>
      <c r="D1" s="1222"/>
      <c r="E1" s="1222"/>
      <c r="F1" s="580"/>
      <c r="G1" s="581"/>
      <c r="H1" s="582"/>
      <c r="I1" s="579"/>
    </row>
    <row r="2" spans="1:11" ht="15" customHeight="1">
      <c r="A2" s="579"/>
      <c r="B2" s="751"/>
      <c r="C2" s="751"/>
      <c r="D2" s="751"/>
      <c r="E2" s="751"/>
      <c r="F2" s="751"/>
      <c r="G2" s="751"/>
      <c r="H2" s="751"/>
      <c r="I2" s="579"/>
    </row>
    <row r="3" spans="1:11" ht="15" customHeight="1">
      <c r="A3" s="579"/>
      <c r="B3" s="1222" t="s">
        <v>1201</v>
      </c>
      <c r="C3" s="1222"/>
      <c r="D3" s="1222"/>
      <c r="E3" s="1222"/>
      <c r="F3" s="1222"/>
      <c r="G3" s="1222"/>
      <c r="H3" s="751"/>
      <c r="I3" s="579"/>
    </row>
    <row r="4" spans="1:11" ht="15" customHeight="1">
      <c r="A4" s="579"/>
      <c r="B4" s="801" t="s">
        <v>1489</v>
      </c>
      <c r="C4" s="751"/>
      <c r="D4" s="751"/>
      <c r="E4" s="751"/>
      <c r="F4" s="751"/>
      <c r="G4" s="751"/>
      <c r="H4" s="751"/>
      <c r="I4" s="579"/>
    </row>
    <row r="5" spans="1:11" ht="15" customHeight="1">
      <c r="A5" s="579"/>
      <c r="B5" s="751"/>
      <c r="C5" s="751"/>
      <c r="D5" s="751"/>
      <c r="E5" s="751"/>
      <c r="F5" s="751"/>
      <c r="G5" s="722">
        <f>'Caract. produção'!D71*'Caract. produção'!G71</f>
        <v>13516.8</v>
      </c>
      <c r="H5" s="751"/>
      <c r="I5" s="579"/>
    </row>
    <row r="6" spans="1:11">
      <c r="A6" s="579"/>
      <c r="B6" s="547"/>
      <c r="C6" s="1227"/>
      <c r="D6" s="1227"/>
      <c r="E6" s="1227"/>
      <c r="F6" s="1227"/>
      <c r="G6" s="547"/>
      <c r="H6" s="547"/>
      <c r="I6" s="579"/>
    </row>
    <row r="7" spans="1:11" ht="15" customHeight="1">
      <c r="A7" s="579"/>
      <c r="B7" s="1222" t="s">
        <v>1161</v>
      </c>
      <c r="C7" s="1222"/>
      <c r="D7" s="1222"/>
      <c r="E7" s="1222"/>
      <c r="F7" s="1222"/>
      <c r="G7" s="1222"/>
      <c r="H7" s="547"/>
      <c r="I7" s="579"/>
    </row>
    <row r="8" spans="1:11" s="468" customFormat="1" ht="28.5">
      <c r="A8" s="459"/>
      <c r="B8" s="420"/>
      <c r="C8" s="420"/>
      <c r="D8" s="420"/>
      <c r="E8" s="548" t="s">
        <v>866</v>
      </c>
      <c r="F8" s="549" t="s">
        <v>867</v>
      </c>
      <c r="G8" s="548" t="s">
        <v>868</v>
      </c>
      <c r="H8" s="486"/>
      <c r="I8" s="459"/>
    </row>
    <row r="9" spans="1:11">
      <c r="A9" s="579"/>
      <c r="B9" s="583"/>
      <c r="C9" s="583"/>
      <c r="D9" s="584" t="s">
        <v>1202</v>
      </c>
      <c r="E9" s="585">
        <f>'Caract. produção'!C133</f>
        <v>1500</v>
      </c>
      <c r="F9" s="586"/>
      <c r="G9" s="831">
        <f>E9+(E9*(F9/100))</f>
        <v>1500</v>
      </c>
      <c r="H9" s="588"/>
      <c r="I9" s="579"/>
      <c r="K9" s="468"/>
    </row>
    <row r="10" spans="1:11" ht="15" customHeight="1">
      <c r="A10" s="579"/>
      <c r="B10" s="583"/>
      <c r="C10" s="583"/>
      <c r="D10" s="584" t="s">
        <v>869</v>
      </c>
      <c r="E10" s="585">
        <f>'Caract. produção'!C134</f>
        <v>0</v>
      </c>
      <c r="F10" s="586">
        <f>'Caract. produção'!D134</f>
        <v>0</v>
      </c>
      <c r="G10" s="587">
        <f>E10+(E10*(F10/100))</f>
        <v>0</v>
      </c>
      <c r="H10" s="588"/>
      <c r="I10" s="579"/>
      <c r="K10" s="468"/>
    </row>
    <row r="11" spans="1:11" ht="15" customHeight="1">
      <c r="A11" s="579"/>
      <c r="B11" s="583"/>
      <c r="C11" s="583"/>
      <c r="D11" s="584" t="s">
        <v>870</v>
      </c>
      <c r="E11" s="585">
        <f>'Caract. produção'!C135</f>
        <v>0</v>
      </c>
      <c r="F11" s="586">
        <f>'Caract. produção'!D135</f>
        <v>0</v>
      </c>
      <c r="G11" s="587">
        <f>E11+(E11*(F11/100))</f>
        <v>0</v>
      </c>
      <c r="H11" s="588"/>
      <c r="I11" s="579"/>
      <c r="K11" s="468"/>
    </row>
    <row r="12" spans="1:11" ht="15" customHeight="1">
      <c r="A12" s="579"/>
      <c r="B12" s="589"/>
      <c r="C12" s="583"/>
      <c r="D12" s="584" t="s">
        <v>871</v>
      </c>
      <c r="E12" s="585">
        <f>'Caract. produção'!C136</f>
        <v>0</v>
      </c>
      <c r="F12" s="586">
        <f>'Caract. produção'!D136</f>
        <v>0</v>
      </c>
      <c r="G12" s="587">
        <f>E12+(E12*(F12/100))</f>
        <v>0</v>
      </c>
      <c r="H12" s="588"/>
      <c r="I12" s="579"/>
      <c r="K12" s="468"/>
    </row>
    <row r="13" spans="1:11" ht="15" customHeight="1">
      <c r="A13" s="579"/>
      <c r="B13" s="589"/>
      <c r="C13" s="583"/>
      <c r="D13" s="584" t="s">
        <v>872</v>
      </c>
      <c r="E13" s="585">
        <f>'Caract. produção'!C137</f>
        <v>0</v>
      </c>
      <c r="F13" s="586">
        <f>'Caract. produção'!D137</f>
        <v>0</v>
      </c>
      <c r="G13" s="587">
        <f>E13+(E13*(F13/100))</f>
        <v>0</v>
      </c>
      <c r="H13" s="588"/>
      <c r="I13" s="579"/>
      <c r="K13" s="468"/>
    </row>
    <row r="14" spans="1:11" ht="15" customHeight="1">
      <c r="A14" s="579"/>
      <c r="B14" s="590"/>
      <c r="C14" s="591"/>
      <c r="D14" s="721" t="s">
        <v>22</v>
      </c>
      <c r="E14" s="591"/>
      <c r="F14" s="591"/>
      <c r="G14" s="722">
        <f>SUM(G9:G13)</f>
        <v>1500</v>
      </c>
      <c r="H14" s="592"/>
      <c r="I14" s="579"/>
      <c r="K14" s="468"/>
    </row>
    <row r="15" spans="1:11" ht="15" customHeight="1">
      <c r="A15" s="579"/>
      <c r="B15" s="590"/>
      <c r="C15" s="591"/>
      <c r="D15" s="591"/>
      <c r="E15" s="591"/>
      <c r="F15" s="591"/>
      <c r="G15" s="720"/>
      <c r="H15" s="592"/>
      <c r="I15" s="579"/>
      <c r="K15" s="468"/>
    </row>
    <row r="16" spans="1:11" ht="15" customHeight="1">
      <c r="A16" s="579"/>
      <c r="B16" s="1196" t="s">
        <v>1162</v>
      </c>
      <c r="C16" s="1196"/>
      <c r="D16" s="1196"/>
      <c r="E16" s="1196"/>
      <c r="F16" s="1196"/>
      <c r="G16" s="1196"/>
      <c r="H16" s="592"/>
      <c r="I16" s="579"/>
      <c r="K16" s="468"/>
    </row>
    <row r="17" spans="1:11" ht="48.75" customHeight="1">
      <c r="A17" s="579"/>
      <c r="B17" s="589"/>
      <c r="C17" s="593"/>
      <c r="D17" s="423" t="s">
        <v>875</v>
      </c>
      <c r="E17" s="423" t="s">
        <v>874</v>
      </c>
      <c r="F17" s="423" t="s">
        <v>876</v>
      </c>
      <c r="G17" s="589"/>
      <c r="H17" s="588"/>
      <c r="I17" s="579"/>
      <c r="K17" s="468"/>
    </row>
    <row r="18" spans="1:11" ht="15" customHeight="1">
      <c r="A18" s="579"/>
      <c r="B18" s="589"/>
      <c r="C18" s="424" t="s">
        <v>873</v>
      </c>
      <c r="D18" s="594">
        <f>'Caract. produção'!F133</f>
        <v>0</v>
      </c>
      <c r="E18" s="595">
        <f>'Caract. produção'!G133</f>
        <v>0</v>
      </c>
      <c r="F18" s="596">
        <f>'Caract. produção'!H133</f>
        <v>0</v>
      </c>
      <c r="G18" s="597">
        <f>((E18*D18)*F18)</f>
        <v>0</v>
      </c>
      <c r="H18" s="588"/>
      <c r="I18" s="579"/>
      <c r="K18" s="468"/>
    </row>
    <row r="19" spans="1:11" ht="15" customHeight="1">
      <c r="A19" s="579"/>
      <c r="B19" s="590"/>
      <c r="C19" s="591"/>
      <c r="D19" s="591"/>
      <c r="E19" s="591"/>
      <c r="F19" s="591"/>
      <c r="G19" s="591"/>
      <c r="H19" s="592"/>
      <c r="I19" s="579"/>
      <c r="K19" s="468"/>
    </row>
    <row r="20" spans="1:11" ht="15" customHeight="1">
      <c r="A20" s="579"/>
      <c r="B20" s="1222" t="s">
        <v>1163</v>
      </c>
      <c r="C20" s="1222"/>
      <c r="D20" s="1222"/>
      <c r="E20" s="1222"/>
      <c r="F20" s="1222"/>
      <c r="G20" s="1222"/>
      <c r="H20" s="592"/>
      <c r="I20" s="579"/>
      <c r="K20" s="468"/>
    </row>
    <row r="21" spans="1:11" ht="31.5" customHeight="1">
      <c r="A21" s="579"/>
      <c r="B21" s="589"/>
      <c r="C21" s="598"/>
      <c r="D21" s="598"/>
      <c r="E21" s="600" t="s">
        <v>1608</v>
      </c>
      <c r="F21" s="598" t="s">
        <v>1488</v>
      </c>
      <c r="G21" s="593"/>
      <c r="H21" s="588"/>
      <c r="I21" s="579"/>
      <c r="K21" s="468"/>
    </row>
    <row r="22" spans="1:11" ht="15" customHeight="1">
      <c r="A22" s="579"/>
      <c r="B22" s="768"/>
      <c r="C22" s="800" t="s">
        <v>877</v>
      </c>
      <c r="D22" s="799"/>
      <c r="E22" s="599">
        <f>'Caract. produção'!D71</f>
        <v>15360</v>
      </c>
      <c r="F22" s="858">
        <v>0.08</v>
      </c>
      <c r="G22" s="597">
        <f>IF('Caract. produção'!G60=1,'Caract. produção'!G61,IF('Caract. produção'!G60=2,F22*E22))</f>
        <v>1228.8</v>
      </c>
      <c r="H22" s="588"/>
      <c r="I22" s="579"/>
    </row>
    <row r="23" spans="1:11" ht="15" customHeight="1">
      <c r="A23" s="579"/>
      <c r="B23" s="590"/>
      <c r="C23" s="591"/>
      <c r="D23" s="591"/>
      <c r="E23" s="591"/>
      <c r="F23" s="591"/>
      <c r="G23" s="591"/>
      <c r="H23" s="592"/>
      <c r="I23" s="579"/>
    </row>
    <row r="24" spans="1:11" ht="15" customHeight="1">
      <c r="A24" s="579"/>
      <c r="B24" s="1222" t="s">
        <v>1164</v>
      </c>
      <c r="C24" s="1222"/>
      <c r="D24" s="1222"/>
      <c r="E24" s="1222"/>
      <c r="F24" s="1222"/>
      <c r="G24" s="1222"/>
      <c r="H24" s="592"/>
      <c r="I24" s="579"/>
    </row>
    <row r="25" spans="1:11" ht="15" customHeight="1">
      <c r="A25" s="579"/>
      <c r="B25" s="590"/>
      <c r="C25" s="591"/>
      <c r="D25" s="591"/>
      <c r="E25" s="591"/>
      <c r="F25" s="591"/>
      <c r="G25" s="591"/>
      <c r="H25" s="592"/>
      <c r="I25" s="579"/>
    </row>
    <row r="26" spans="1:11" ht="42.75" customHeight="1">
      <c r="A26" s="579"/>
      <c r="B26" s="589"/>
      <c r="C26" s="591"/>
      <c r="D26" s="405" t="s">
        <v>1504</v>
      </c>
      <c r="E26" s="683" t="s">
        <v>1503</v>
      </c>
      <c r="F26" s="600" t="s">
        <v>1085</v>
      </c>
      <c r="G26" s="600"/>
      <c r="H26" s="600"/>
      <c r="I26" s="579"/>
    </row>
    <row r="27" spans="1:11" ht="15" customHeight="1">
      <c r="A27" s="579"/>
      <c r="B27" s="589"/>
      <c r="C27" s="802" t="s">
        <v>194</v>
      </c>
      <c r="D27" s="593">
        <v>2</v>
      </c>
      <c r="E27" s="687">
        <v>3</v>
      </c>
      <c r="F27" s="842">
        <v>3577.5</v>
      </c>
      <c r="G27" s="601">
        <f>IF('Caract. produção'!G47=2,((E27*D27)*F27/160)*12/'Caract. produção'!D74,IF('Caract. produção'!G47=3,SUM('Caract. produção'!D141:D147),IF('Caract. produção'!G47=1,0)))</f>
        <v>256.75837320574163</v>
      </c>
      <c r="H27" s="588"/>
      <c r="I27" s="579"/>
    </row>
    <row r="28" spans="1:11" ht="15" customHeight="1">
      <c r="A28" s="579"/>
      <c r="B28" s="590"/>
      <c r="C28" s="591"/>
      <c r="D28" s="591"/>
      <c r="E28" s="591"/>
      <c r="F28" s="591"/>
      <c r="G28" s="591"/>
      <c r="H28" s="592"/>
      <c r="I28" s="579"/>
    </row>
    <row r="29" spans="1:11">
      <c r="A29" s="579"/>
      <c r="B29" s="583"/>
      <c r="C29" s="583"/>
      <c r="D29" s="1228" t="s">
        <v>927</v>
      </c>
      <c r="E29" s="1228"/>
      <c r="F29" s="602"/>
      <c r="G29" s="603">
        <f>SUM(G27,G22,G18,G14,G5)</f>
        <v>16502.358373205741</v>
      </c>
      <c r="H29" s="602"/>
      <c r="I29" s="579"/>
    </row>
    <row r="30" spans="1:11">
      <c r="A30" s="579"/>
      <c r="B30" s="583"/>
      <c r="C30" s="583"/>
      <c r="D30" s="583"/>
      <c r="E30" s="583"/>
      <c r="F30" s="583"/>
      <c r="G30" s="583"/>
      <c r="H30" s="583"/>
      <c r="I30" s="579"/>
    </row>
    <row r="31" spans="1:11">
      <c r="A31" s="579"/>
      <c r="B31" s="579"/>
      <c r="C31" s="579"/>
      <c r="D31" s="579"/>
      <c r="E31" s="579"/>
      <c r="F31" s="579"/>
      <c r="G31" s="579"/>
      <c r="H31" s="579"/>
      <c r="I31" s="579"/>
    </row>
  </sheetData>
  <customSheetViews>
    <customSheetView guid="{B21478FB-9ACB-45B8-8FD5-2F18F035D5FD}" state="hidden">
      <pageMargins left="0.7" right="0.7" top="0.75" bottom="0.75" header="0.3" footer="0.3"/>
      <pageSetup paperSize="9" orientation="portrait" r:id="rId1"/>
    </customSheetView>
  </customSheetViews>
  <mergeCells count="9">
    <mergeCell ref="B1:E1"/>
    <mergeCell ref="C6:D6"/>
    <mergeCell ref="E6:F6"/>
    <mergeCell ref="D29:E29"/>
    <mergeCell ref="B24:G24"/>
    <mergeCell ref="B20:G20"/>
    <mergeCell ref="B16:G16"/>
    <mergeCell ref="B7:G7"/>
    <mergeCell ref="B3:G3"/>
  </mergeCell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5">
    <tabColor theme="6" tint="0.39997558519241921"/>
  </sheetPr>
  <dimension ref="A1:K132"/>
  <sheetViews>
    <sheetView workbookViewId="0"/>
  </sheetViews>
  <sheetFormatPr defaultRowHeight="15"/>
  <cols>
    <col min="1" max="1" width="1.6640625" style="616" customWidth="1"/>
    <col min="2" max="2" width="2.83203125" style="616" customWidth="1"/>
    <col min="3" max="3" width="40.1640625" style="616" customWidth="1"/>
    <col min="4" max="4" width="29.6640625" style="616" customWidth="1"/>
    <col min="5" max="5" width="25.33203125" style="616" customWidth="1"/>
    <col min="6" max="6" width="26.5" style="616" customWidth="1"/>
    <col min="7" max="7" width="24" style="616" customWidth="1"/>
    <col min="8" max="8" width="24.5" style="616" customWidth="1"/>
    <col min="9" max="9" width="1" style="616" customWidth="1"/>
    <col min="10" max="10" width="2" style="616" customWidth="1"/>
    <col min="11" max="11" width="12" style="762" bestFit="1" customWidth="1"/>
    <col min="12" max="16384" width="9.33203125" style="616"/>
  </cols>
  <sheetData>
    <row r="1" spans="1:11" s="346" customFormat="1" ht="14.25" customHeight="1">
      <c r="A1" s="345"/>
      <c r="B1" s="1230" t="s">
        <v>1147</v>
      </c>
      <c r="C1" s="1230"/>
      <c r="D1" s="345"/>
      <c r="E1" s="345"/>
      <c r="F1" s="345"/>
      <c r="G1" s="345"/>
      <c r="H1" s="345"/>
      <c r="I1" s="345"/>
      <c r="J1" s="345"/>
      <c r="K1" s="761"/>
    </row>
    <row r="2" spans="1:11" s="346" customFormat="1" ht="14.25" customHeight="1">
      <c r="A2" s="345"/>
      <c r="B2" s="547"/>
      <c r="C2" s="547"/>
      <c r="D2" s="547"/>
      <c r="E2" s="547"/>
      <c r="F2" s="547"/>
      <c r="G2" s="547"/>
      <c r="H2" s="547"/>
      <c r="I2" s="547"/>
      <c r="J2" s="345"/>
      <c r="K2" s="761"/>
    </row>
    <row r="3" spans="1:11" s="346" customFormat="1" ht="14.25" customHeight="1">
      <c r="A3" s="345"/>
      <c r="B3" s="1196" t="s">
        <v>950</v>
      </c>
      <c r="C3" s="1196"/>
      <c r="D3" s="580"/>
      <c r="E3" s="580"/>
      <c r="F3" s="580"/>
      <c r="G3" s="580"/>
      <c r="H3" s="580"/>
      <c r="I3" s="580"/>
      <c r="J3" s="345"/>
      <c r="K3" s="761"/>
    </row>
    <row r="4" spans="1:11" s="346" customFormat="1" ht="28.5">
      <c r="A4" s="345"/>
      <c r="B4" s="547"/>
      <c r="C4" s="547"/>
      <c r="D4" s="547"/>
      <c r="E4" s="547"/>
      <c r="F4" s="547"/>
      <c r="G4" s="454" t="s">
        <v>980</v>
      </c>
      <c r="H4" s="454" t="s">
        <v>952</v>
      </c>
      <c r="I4" s="547"/>
      <c r="J4" s="345"/>
      <c r="K4" s="761"/>
    </row>
    <row r="5" spans="1:11" s="346" customFormat="1" ht="14.25" customHeight="1">
      <c r="A5" s="345"/>
      <c r="B5" s="547"/>
      <c r="C5" s="547"/>
      <c r="D5" s="547"/>
      <c r="E5" s="547"/>
      <c r="F5" s="539" t="s">
        <v>950</v>
      </c>
      <c r="G5" s="690">
        <f>'Caract. produção'!D70</f>
        <v>16000</v>
      </c>
      <c r="H5" s="613">
        <f>IF('Caract. produção'!C154=2,G5*'Caract. produção'!D154,IF('Caract. produção'!C154=1,'Caract. produção'!F154))</f>
        <v>12800</v>
      </c>
      <c r="I5" s="547"/>
      <c r="J5" s="345"/>
      <c r="K5" s="761"/>
    </row>
    <row r="6" spans="1:11" s="346" customFormat="1" ht="14.25" customHeight="1">
      <c r="A6" s="345"/>
      <c r="B6" s="547"/>
      <c r="C6" s="547"/>
      <c r="D6" s="547"/>
      <c r="E6" s="547"/>
      <c r="F6" s="547"/>
      <c r="G6" s="547"/>
      <c r="H6" s="547"/>
      <c r="I6" s="547"/>
      <c r="J6" s="345"/>
      <c r="K6" s="761"/>
    </row>
    <row r="7" spans="1:11" s="346" customFormat="1" ht="14.25">
      <c r="A7" s="345"/>
      <c r="B7" s="547"/>
      <c r="C7" s="547"/>
      <c r="D7" s="547"/>
      <c r="E7" s="547"/>
      <c r="F7" s="581" t="s">
        <v>910</v>
      </c>
      <c r="G7" s="581"/>
      <c r="H7" s="689">
        <f>IF('Caract. produção'!C154=2,Insumos!G5*'Caract. produção'!D154,IF('Caract. produção'!C154=1,'Caract. produção'!D154))</f>
        <v>12800</v>
      </c>
      <c r="I7" s="340"/>
      <c r="J7" s="345"/>
      <c r="K7" s="761"/>
    </row>
    <row r="8" spans="1:11" s="346" customFormat="1" ht="14.25">
      <c r="A8" s="345"/>
      <c r="B8" s="547"/>
      <c r="C8" s="547"/>
      <c r="D8" s="547"/>
      <c r="E8" s="547"/>
      <c r="F8" s="547"/>
      <c r="G8" s="547"/>
      <c r="H8" s="547"/>
      <c r="I8" s="340"/>
      <c r="J8" s="345"/>
      <c r="K8" s="761"/>
    </row>
    <row r="9" spans="1:11" s="346" customFormat="1" ht="15" customHeight="1">
      <c r="A9" s="345"/>
      <c r="B9" s="1221" t="s">
        <v>30</v>
      </c>
      <c r="C9" s="1221"/>
      <c r="D9" s="1221"/>
      <c r="E9" s="1221"/>
      <c r="F9" s="1221"/>
      <c r="G9" s="1221"/>
      <c r="H9" s="1221"/>
      <c r="I9" s="546"/>
      <c r="J9" s="345"/>
      <c r="K9" s="761"/>
    </row>
    <row r="10" spans="1:11" s="346" customFormat="1" ht="15" customHeight="1">
      <c r="A10" s="345"/>
      <c r="B10" s="733"/>
      <c r="C10" s="733"/>
      <c r="D10" s="733"/>
      <c r="E10" s="733"/>
      <c r="F10" s="733"/>
      <c r="G10" s="733"/>
      <c r="H10" s="733"/>
      <c r="I10" s="733"/>
      <c r="J10" s="345"/>
      <c r="K10" s="761"/>
    </row>
    <row r="11" spans="1:11">
      <c r="A11" s="614"/>
      <c r="B11" s="547"/>
      <c r="C11" s="615" t="s">
        <v>174</v>
      </c>
      <c r="D11" s="547"/>
      <c r="E11" s="547"/>
      <c r="F11" s="547"/>
      <c r="G11" s="547"/>
      <c r="H11" s="547"/>
      <c r="I11" s="340"/>
      <c r="J11" s="614"/>
    </row>
    <row r="12" spans="1:11" s="618" customFormat="1" ht="28.5">
      <c r="A12" s="545"/>
      <c r="B12" s="617"/>
      <c r="C12" s="617"/>
      <c r="D12" s="617" t="s">
        <v>924</v>
      </c>
      <c r="E12" s="617" t="s">
        <v>1181</v>
      </c>
      <c r="F12" s="617" t="s">
        <v>998</v>
      </c>
      <c r="G12" s="594" t="s">
        <v>923</v>
      </c>
      <c r="H12" s="749"/>
      <c r="I12" s="592"/>
      <c r="J12" s="545"/>
      <c r="K12" s="763"/>
    </row>
    <row r="13" spans="1:11">
      <c r="A13" s="614"/>
      <c r="B13" s="547"/>
      <c r="C13" s="547" t="s">
        <v>57</v>
      </c>
      <c r="D13" s="752">
        <v>55.64</v>
      </c>
      <c r="E13" s="835">
        <v>0.57750000000000001</v>
      </c>
      <c r="F13" s="444">
        <f>('Caract. produção'!$E$97*(D13/100))*(('Caract. produção'!$D$70)-(('Caract. produção'!$D$70)*('Caract. produção'!$E$87/100)))</f>
        <v>10228.857599999999</v>
      </c>
      <c r="G13" s="513">
        <f>F13*E13</f>
        <v>5907.1652640000002</v>
      </c>
      <c r="H13" s="749"/>
      <c r="I13" s="340"/>
      <c r="J13" s="614"/>
      <c r="K13" s="764"/>
    </row>
    <row r="14" spans="1:11">
      <c r="A14" s="614"/>
      <c r="B14" s="547"/>
      <c r="C14" s="547" t="s">
        <v>715</v>
      </c>
      <c r="D14" s="752">
        <v>36</v>
      </c>
      <c r="E14" s="835">
        <v>1.2521666666666667</v>
      </c>
      <c r="F14" s="444">
        <f>('Caract. produção'!$E$97*(D14/100))*(('Caract. produção'!$D$70)-(('Caract. produção'!$D$70)*('Caract. produção'!$E$87/100)))</f>
        <v>6618.24</v>
      </c>
      <c r="G14" s="513">
        <f t="shared" ref="G14:G23" si="0">F14*E14</f>
        <v>8287.1395199999988</v>
      </c>
      <c r="H14" s="749"/>
      <c r="I14" s="340"/>
      <c r="J14" s="614"/>
      <c r="K14" s="764">
        <f t="shared" ref="K14:K23" si="1">G14*100/$H$24</f>
        <v>58.383553447023118</v>
      </c>
    </row>
    <row r="15" spans="1:11" ht="15" customHeight="1">
      <c r="A15" s="614"/>
      <c r="B15" s="547"/>
      <c r="C15" s="547" t="s">
        <v>714</v>
      </c>
      <c r="D15" s="752"/>
      <c r="E15" s="448"/>
      <c r="F15" s="444">
        <f>('Caract. produção'!$E$97*(D15/100))*(('Caract. produção'!$D$70)-(('Caract. produção'!$D$70)*('Caract. produção'!$E$87/100)))</f>
        <v>0</v>
      </c>
      <c r="G15" s="513">
        <f t="shared" si="0"/>
        <v>0</v>
      </c>
      <c r="H15" s="749"/>
      <c r="I15" s="340"/>
      <c r="J15" s="614"/>
      <c r="K15" s="764">
        <f t="shared" si="1"/>
        <v>0</v>
      </c>
    </row>
    <row r="16" spans="1:11">
      <c r="A16" s="614"/>
      <c r="B16" s="547"/>
      <c r="C16" s="547" t="s">
        <v>716</v>
      </c>
      <c r="D16" s="752"/>
      <c r="E16" s="448"/>
      <c r="F16" s="444">
        <f>('Caract. produção'!$E$97*(D16/100))*(('Caract. produção'!$D$70)-(('Caract. produção'!$D$70)*('Caract. produção'!$E$87/100)))</f>
        <v>0</v>
      </c>
      <c r="G16" s="513">
        <f t="shared" si="0"/>
        <v>0</v>
      </c>
      <c r="H16" s="749"/>
      <c r="I16" s="340"/>
      <c r="J16" s="614"/>
      <c r="K16" s="764">
        <f t="shared" si="1"/>
        <v>0</v>
      </c>
    </row>
    <row r="17" spans="1:11" ht="15" customHeight="1">
      <c r="A17" s="614"/>
      <c r="B17" s="547"/>
      <c r="C17" s="547" t="s">
        <v>717</v>
      </c>
      <c r="D17" s="752"/>
      <c r="E17" s="448"/>
      <c r="F17" s="444">
        <f>('Caract. produção'!$E$97*(D17/100))*(('Caract. produção'!$D$70)-(('Caract. produção'!$D$70)*('Caract. produção'!$E$87/100)))</f>
        <v>0</v>
      </c>
      <c r="G17" s="513">
        <f t="shared" si="0"/>
        <v>0</v>
      </c>
      <c r="H17" s="749"/>
      <c r="I17" s="340"/>
      <c r="J17" s="614"/>
      <c r="K17" s="764">
        <f t="shared" si="1"/>
        <v>0</v>
      </c>
    </row>
    <row r="18" spans="1:11" ht="15" customHeight="1">
      <c r="A18" s="614"/>
      <c r="B18" s="547"/>
      <c r="C18" s="547" t="s">
        <v>718</v>
      </c>
      <c r="D18" s="752"/>
      <c r="E18" s="448"/>
      <c r="F18" s="444">
        <f>('Caract. produção'!$E$97*(D18/100))*(('Caract. produção'!$D$70)-(('Caract. produção'!$D$70)*('Caract. produção'!$E$87/100)))</f>
        <v>0</v>
      </c>
      <c r="G18" s="513">
        <f t="shared" si="0"/>
        <v>0</v>
      </c>
      <c r="H18" s="749"/>
      <c r="I18" s="340"/>
      <c r="J18" s="614"/>
      <c r="K18" s="764">
        <f t="shared" si="1"/>
        <v>0</v>
      </c>
    </row>
    <row r="19" spans="1:11" ht="15" customHeight="1">
      <c r="A19" s="614"/>
      <c r="B19" s="547"/>
      <c r="C19" s="547" t="s">
        <v>721</v>
      </c>
      <c r="D19" s="752"/>
      <c r="E19" s="448"/>
      <c r="F19" s="444">
        <f>('Caract. produção'!$E$97*(D19/100))*(('Caract. produção'!$D$70)-(('Caract. produção'!$D$70)*('Caract. produção'!$E$87/100)))</f>
        <v>0</v>
      </c>
      <c r="G19" s="513">
        <f t="shared" si="0"/>
        <v>0</v>
      </c>
      <c r="H19" s="749"/>
      <c r="I19" s="340"/>
      <c r="J19" s="614"/>
      <c r="K19" s="764">
        <f t="shared" si="1"/>
        <v>0</v>
      </c>
    </row>
    <row r="20" spans="1:11" ht="15" customHeight="1">
      <c r="A20" s="614"/>
      <c r="B20" s="547"/>
      <c r="C20" s="547" t="s">
        <v>691</v>
      </c>
      <c r="D20" s="752"/>
      <c r="E20" s="448"/>
      <c r="F20" s="444">
        <f>('Caract. produção'!$E$97*(D20/100))*(('Caract. produção'!$D$70)-(('Caract. produção'!$D$70)*('Caract. produção'!$E$87/100)))</f>
        <v>0</v>
      </c>
      <c r="G20" s="513">
        <f t="shared" si="0"/>
        <v>0</v>
      </c>
      <c r="H20" s="749"/>
      <c r="I20" s="340"/>
      <c r="J20" s="614"/>
      <c r="K20" s="764">
        <f t="shared" si="1"/>
        <v>0</v>
      </c>
    </row>
    <row r="21" spans="1:11" ht="15" customHeight="1">
      <c r="A21" s="614"/>
      <c r="B21" s="547"/>
      <c r="C21" s="547" t="s">
        <v>719</v>
      </c>
      <c r="D21" s="752"/>
      <c r="E21" s="448"/>
      <c r="F21" s="444">
        <f>('Caract. produção'!$E$97*(D21/100))*(('Caract. produção'!$D$70)-(('Caract. produção'!$D$70)*('Caract. produção'!$E$87/100)))</f>
        <v>0</v>
      </c>
      <c r="G21" s="513">
        <f t="shared" si="0"/>
        <v>0</v>
      </c>
      <c r="H21" s="749"/>
      <c r="I21" s="340"/>
      <c r="J21" s="614"/>
      <c r="K21" s="764"/>
    </row>
    <row r="22" spans="1:11" ht="15" customHeight="1">
      <c r="A22" s="614"/>
      <c r="B22" s="547"/>
      <c r="C22" s="547" t="s">
        <v>720</v>
      </c>
      <c r="D22" s="752"/>
      <c r="E22" s="448"/>
      <c r="F22" s="444">
        <f>('Caract. produção'!$E$97*(D22/100))*(('Caract. produção'!$D$70)-(('Caract. produção'!$D$70)*('Caract. produção'!$E$87/100)))</f>
        <v>0</v>
      </c>
      <c r="G22" s="513">
        <f t="shared" si="0"/>
        <v>0</v>
      </c>
      <c r="H22" s="749"/>
      <c r="I22" s="340"/>
      <c r="J22" s="614"/>
      <c r="K22" s="764">
        <f>(G22*100/$H$24)+(G21*100/$H$24)</f>
        <v>0</v>
      </c>
    </row>
    <row r="23" spans="1:11" ht="15" customHeight="1">
      <c r="A23" s="614"/>
      <c r="B23" s="547"/>
      <c r="C23" s="547" t="s">
        <v>730</v>
      </c>
      <c r="D23" s="752"/>
      <c r="E23" s="448"/>
      <c r="F23" s="444">
        <f>('Caract. produção'!$E$97*(D23/100))*(('Caract. produção'!$D$70)-(('Caract. produção'!$D$70)*('Caract. produção'!$E$87/100)))</f>
        <v>0</v>
      </c>
      <c r="G23" s="513">
        <f t="shared" si="0"/>
        <v>0</v>
      </c>
      <c r="H23" s="749"/>
      <c r="I23" s="340"/>
      <c r="J23" s="614"/>
      <c r="K23" s="764">
        <f t="shared" si="1"/>
        <v>0</v>
      </c>
    </row>
    <row r="24" spans="1:11" s="346" customFormat="1" ht="15" customHeight="1">
      <c r="A24" s="345"/>
      <c r="B24" s="547"/>
      <c r="C24" s="547" t="s">
        <v>24</v>
      </c>
      <c r="D24" s="547"/>
      <c r="E24" s="461"/>
      <c r="F24" s="461">
        <f>IF('Caract. produção'!G49=1,SUM('Caract. produção'!F174:F183),IF('Caract. produção'!G49=2,SUM(F13:F23),IF('Caract. produção'!G49=3,SUM(F13:F23))))</f>
        <v>16847.097600000001</v>
      </c>
      <c r="G24" s="461"/>
      <c r="H24" s="612">
        <f>IF('Caract. produção'!$G$49=1,SUM('Caract. produção'!G174:G183),IF('Caract. produção'!$G$49=2,SUM('Caract. produção'!G174:G183)*F24,IF('Caract. produção'!$G$49=3,SUM(G13:G23))))</f>
        <v>14194.304784</v>
      </c>
      <c r="I24" s="340"/>
      <c r="J24" s="345"/>
      <c r="K24" s="765"/>
    </row>
    <row r="25" spans="1:11" ht="15" customHeight="1">
      <c r="A25" s="614"/>
      <c r="B25" s="547"/>
      <c r="C25" s="547"/>
      <c r="D25" s="547"/>
      <c r="E25" s="547"/>
      <c r="F25" s="547"/>
      <c r="G25" s="547"/>
      <c r="H25" s="547"/>
      <c r="I25" s="340"/>
      <c r="J25" s="614"/>
    </row>
    <row r="26" spans="1:11" ht="9" customHeight="1">
      <c r="A26" s="614"/>
      <c r="B26" s="1231"/>
      <c r="C26" s="1231"/>
      <c r="D26" s="1231"/>
      <c r="E26" s="1231"/>
      <c r="F26" s="1231"/>
      <c r="G26" s="1231"/>
      <c r="H26" s="547"/>
      <c r="I26" s="340"/>
      <c r="J26" s="614"/>
    </row>
    <row r="27" spans="1:11" ht="15" customHeight="1">
      <c r="A27" s="614"/>
      <c r="B27" s="547"/>
      <c r="C27" s="615" t="s">
        <v>175</v>
      </c>
      <c r="D27" s="547"/>
      <c r="E27" s="547"/>
      <c r="F27" s="547"/>
      <c r="G27" s="547"/>
      <c r="H27" s="547"/>
      <c r="I27" s="340"/>
      <c r="J27" s="614"/>
    </row>
    <row r="28" spans="1:11" ht="41.25" customHeight="1">
      <c r="A28" s="620"/>
      <c r="B28" s="621"/>
      <c r="C28" s="617"/>
      <c r="D28" s="617" t="s">
        <v>925</v>
      </c>
      <c r="E28" s="617" t="s">
        <v>1181</v>
      </c>
      <c r="F28" s="617" t="s">
        <v>998</v>
      </c>
      <c r="G28" s="594" t="s">
        <v>923</v>
      </c>
      <c r="H28" s="749"/>
      <c r="I28" s="340"/>
      <c r="J28" s="620"/>
    </row>
    <row r="29" spans="1:11">
      <c r="A29" s="614"/>
      <c r="B29" s="547"/>
      <c r="C29" s="547" t="s">
        <v>57</v>
      </c>
      <c r="D29" s="752">
        <v>58.19</v>
      </c>
      <c r="E29" s="448">
        <f>E13</f>
        <v>0.57750000000000001</v>
      </c>
      <c r="F29" s="622">
        <f>('Caract. produção'!$E$98*(D29/100))*((('Caract. produção'!$D$70)-(('Caract. produção'!$D$70)*('Caract. produção'!$E$87/100)))-(('Caract. produção'!$D$70)*('Caract. produção'!$E$88/100)))</f>
        <v>18481.144</v>
      </c>
      <c r="G29" s="513">
        <f t="shared" ref="G29:G39" si="2">F29*E29</f>
        <v>10672.86066</v>
      </c>
      <c r="H29" s="749"/>
      <c r="I29" s="340"/>
      <c r="J29" s="614"/>
      <c r="K29" s="764">
        <f>G29*100/$H$40</f>
        <v>44.701009256086699</v>
      </c>
    </row>
    <row r="30" spans="1:11">
      <c r="A30" s="614"/>
      <c r="B30" s="547"/>
      <c r="C30" s="547" t="s">
        <v>715</v>
      </c>
      <c r="D30" s="752">
        <v>33.200000000000003</v>
      </c>
      <c r="E30" s="448">
        <f>E14</f>
        <v>1.2521666666666667</v>
      </c>
      <c r="F30" s="622">
        <f>('Caract. produção'!$E$98*(D30/100))*((('Caract. produção'!$D$70)-(('Caract. produção'!$D$70)*('Caract. produção'!$E$87/100)))-(('Caract. produção'!$D$70)*('Caract. produção'!$E$88/100)))</f>
        <v>10544.320000000002</v>
      </c>
      <c r="G30" s="513">
        <f t="shared" si="2"/>
        <v>13203.246026666668</v>
      </c>
      <c r="H30" s="749"/>
      <c r="I30" s="340"/>
      <c r="J30" s="614"/>
      <c r="K30" s="764">
        <f t="shared" ref="K30:K39" si="3">G30*100/$H$40</f>
        <v>55.298990743913315</v>
      </c>
    </row>
    <row r="31" spans="1:11" ht="15" customHeight="1">
      <c r="A31" s="614"/>
      <c r="B31" s="547"/>
      <c r="C31" s="547" t="s">
        <v>714</v>
      </c>
      <c r="D31" s="619"/>
      <c r="E31" s="448"/>
      <c r="F31" s="622">
        <f>('Caract. produção'!$E$98*(D31/100))*((('Caract. produção'!$D$70)-(('Caract. produção'!$D$70)*('Caract. produção'!$E$87/100)))-(('Caract. produção'!$D$70)*('Caract. produção'!$E$88/100)))</f>
        <v>0</v>
      </c>
      <c r="G31" s="513">
        <f t="shared" si="2"/>
        <v>0</v>
      </c>
      <c r="H31" s="749"/>
      <c r="I31" s="340"/>
      <c r="J31" s="614"/>
      <c r="K31" s="764">
        <f t="shared" si="3"/>
        <v>0</v>
      </c>
    </row>
    <row r="32" spans="1:11">
      <c r="A32" s="614"/>
      <c r="B32" s="547"/>
      <c r="C32" s="547" t="s">
        <v>716</v>
      </c>
      <c r="D32" s="619"/>
      <c r="E32" s="448"/>
      <c r="F32" s="622">
        <f>('Caract. produção'!$E$98*(D32/100))*((('Caract. produção'!$D$70)-(('Caract. produção'!$D$70)*('Caract. produção'!$E$87/100)))-(('Caract. produção'!$D$70)*('Caract. produção'!$E$88/100)))</f>
        <v>0</v>
      </c>
      <c r="G32" s="513">
        <f t="shared" si="2"/>
        <v>0</v>
      </c>
      <c r="H32" s="749"/>
      <c r="I32" s="340"/>
      <c r="J32" s="614"/>
      <c r="K32" s="764">
        <f t="shared" si="3"/>
        <v>0</v>
      </c>
    </row>
    <row r="33" spans="1:11" ht="15" customHeight="1">
      <c r="A33" s="614"/>
      <c r="B33" s="547"/>
      <c r="C33" s="547" t="s">
        <v>717</v>
      </c>
      <c r="D33" s="619"/>
      <c r="E33" s="448"/>
      <c r="F33" s="622">
        <f>('Caract. produção'!$E$98*(D33/100))*((('Caract. produção'!$D$70)-(('Caract. produção'!$D$70)*('Caract. produção'!$E$87/100)))-(('Caract. produção'!$D$70)*('Caract. produção'!$E$88/100)))</f>
        <v>0</v>
      </c>
      <c r="G33" s="513">
        <f t="shared" si="2"/>
        <v>0</v>
      </c>
      <c r="H33" s="749"/>
      <c r="I33" s="340"/>
      <c r="J33" s="614"/>
      <c r="K33" s="764">
        <f t="shared" si="3"/>
        <v>0</v>
      </c>
    </row>
    <row r="34" spans="1:11" ht="15" customHeight="1">
      <c r="A34" s="614"/>
      <c r="B34" s="547"/>
      <c r="C34" s="547" t="s">
        <v>718</v>
      </c>
      <c r="D34" s="619"/>
      <c r="E34" s="448"/>
      <c r="F34" s="622">
        <f>('Caract. produção'!$E$98*(D34/100))*((('Caract. produção'!$D$70)-(('Caract. produção'!$D$70)*('Caract. produção'!$E$87/100)))-(('Caract. produção'!$D$70)*('Caract. produção'!$E$88/100)))</f>
        <v>0</v>
      </c>
      <c r="G34" s="513">
        <f t="shared" si="2"/>
        <v>0</v>
      </c>
      <c r="H34" s="749"/>
      <c r="I34" s="340"/>
      <c r="J34" s="614"/>
      <c r="K34" s="764">
        <f t="shared" si="3"/>
        <v>0</v>
      </c>
    </row>
    <row r="35" spans="1:11" ht="15" customHeight="1">
      <c r="A35" s="614"/>
      <c r="B35" s="547"/>
      <c r="C35" s="547" t="s">
        <v>721</v>
      </c>
      <c r="D35" s="619"/>
      <c r="E35" s="448"/>
      <c r="F35" s="622">
        <f>('Caract. produção'!$E$98*(D35/100))*((('Caract. produção'!$D$70)-(('Caract. produção'!$D$70)*('Caract. produção'!$E$87/100)))-(('Caract. produção'!$D$70)*('Caract. produção'!$E$88/100)))</f>
        <v>0</v>
      </c>
      <c r="G35" s="513">
        <f t="shared" si="2"/>
        <v>0</v>
      </c>
      <c r="H35" s="749"/>
      <c r="I35" s="340"/>
      <c r="J35" s="614"/>
      <c r="K35" s="764">
        <f t="shared" si="3"/>
        <v>0</v>
      </c>
    </row>
    <row r="36" spans="1:11" ht="15" customHeight="1">
      <c r="A36" s="614"/>
      <c r="B36" s="547"/>
      <c r="C36" s="547" t="s">
        <v>691</v>
      </c>
      <c r="D36" s="619"/>
      <c r="E36" s="448"/>
      <c r="F36" s="622">
        <f>('Caract. produção'!$E$98*(D36/100))*((('Caract. produção'!$D$70)-(('Caract. produção'!$D$70)*('Caract. produção'!$E$87/100)))-(('Caract. produção'!$D$70)*('Caract. produção'!$E$88/100)))</f>
        <v>0</v>
      </c>
      <c r="G36" s="513">
        <f t="shared" si="2"/>
        <v>0</v>
      </c>
      <c r="H36" s="749"/>
      <c r="I36" s="340"/>
      <c r="J36" s="614"/>
      <c r="K36" s="764">
        <f t="shared" si="3"/>
        <v>0</v>
      </c>
    </row>
    <row r="37" spans="1:11" ht="15" customHeight="1">
      <c r="A37" s="614"/>
      <c r="B37" s="547"/>
      <c r="C37" s="547" t="s">
        <v>719</v>
      </c>
      <c r="D37" s="619"/>
      <c r="E37" s="448"/>
      <c r="F37" s="622">
        <f>('Caract. produção'!$E$98*(D37/100))*((('Caract. produção'!$D$70)-(('Caract. produção'!$D$70)*('Caract. produção'!$E$87/100)))-(('Caract. produção'!$D$70)*('Caract. produção'!$E$88/100)))</f>
        <v>0</v>
      </c>
      <c r="G37" s="513">
        <f t="shared" si="2"/>
        <v>0</v>
      </c>
      <c r="H37" s="749"/>
      <c r="I37" s="340"/>
      <c r="J37" s="614"/>
      <c r="K37" s="764"/>
    </row>
    <row r="38" spans="1:11" ht="15" customHeight="1">
      <c r="A38" s="614"/>
      <c r="B38" s="547"/>
      <c r="C38" s="547" t="s">
        <v>720</v>
      </c>
      <c r="D38" s="619"/>
      <c r="E38" s="448"/>
      <c r="F38" s="622">
        <f>('Caract. produção'!$E$98*(D38/100))*((('Caract. produção'!$D$70)-(('Caract. produção'!$D$70)*('Caract. produção'!$E$87/100)))-(('Caract. produção'!$D$70)*('Caract. produção'!$E$88/100)))</f>
        <v>0</v>
      </c>
      <c r="G38" s="513">
        <f t="shared" si="2"/>
        <v>0</v>
      </c>
      <c r="H38" s="749"/>
      <c r="I38" s="340"/>
      <c r="J38" s="614"/>
      <c r="K38" s="764">
        <f>(G38*100/$H$40)+(G37*100/$H$40)</f>
        <v>0</v>
      </c>
    </row>
    <row r="39" spans="1:11" ht="15" customHeight="1">
      <c r="A39" s="614"/>
      <c r="B39" s="547"/>
      <c r="C39" s="547" t="s">
        <v>730</v>
      </c>
      <c r="D39" s="619"/>
      <c r="E39" s="448"/>
      <c r="F39" s="622">
        <f>('Caract. produção'!$E$98*(D39/100))*((('Caract. produção'!$D$70)-(('Caract. produção'!$D$70)*('Caract. produção'!$E$87/100)))-(('Caract. produção'!$D$70)*('Caract. produção'!$E$88/100)))</f>
        <v>0</v>
      </c>
      <c r="G39" s="513">
        <f t="shared" si="2"/>
        <v>0</v>
      </c>
      <c r="H39" s="749"/>
      <c r="I39" s="340"/>
      <c r="J39" s="614"/>
      <c r="K39" s="764">
        <f t="shared" si="3"/>
        <v>0</v>
      </c>
    </row>
    <row r="40" spans="1:11" ht="15" customHeight="1">
      <c r="A40" s="614"/>
      <c r="B40" s="547"/>
      <c r="C40" s="547"/>
      <c r="D40" s="547"/>
      <c r="E40" s="547"/>
      <c r="F40" s="623">
        <f>IF('Caract. produção'!G49=1,SUM('Caract. produção'!F186:F195),IF('Caract. produção'!G49=2,SUM(F29:F39),IF('Caract. produção'!G49=3,SUM(F29:F39))))</f>
        <v>29025.464</v>
      </c>
      <c r="G40" s="547"/>
      <c r="H40" s="612">
        <f>IF('Caract. produção'!$G$49=1,SUM('Caract. produção'!G186:G195),IF('Caract. produção'!$G$49=2,SUM('Caract. produção'!G186:G195)*F40,IF('Caract. produção'!$G$49=3,SUM(G29:G39))))</f>
        <v>23876.106686666666</v>
      </c>
      <c r="I40" s="340"/>
      <c r="J40" s="614"/>
    </row>
    <row r="41" spans="1:11" ht="15" customHeight="1">
      <c r="A41" s="614"/>
      <c r="B41" s="547"/>
      <c r="C41" s="547"/>
      <c r="D41" s="547"/>
      <c r="E41" s="547"/>
      <c r="F41" s="624"/>
      <c r="G41" s="624"/>
      <c r="H41" s="461"/>
      <c r="I41" s="340"/>
      <c r="J41" s="614"/>
    </row>
    <row r="42" spans="1:11" ht="9" customHeight="1">
      <c r="A42" s="614"/>
      <c r="B42" s="1231"/>
      <c r="C42" s="1231"/>
      <c r="D42" s="1231"/>
      <c r="E42" s="1231"/>
      <c r="F42" s="1231"/>
      <c r="G42" s="1231"/>
      <c r="H42" s="547"/>
      <c r="I42" s="340"/>
      <c r="J42" s="614"/>
    </row>
    <row r="43" spans="1:11" ht="15" customHeight="1">
      <c r="A43" s="614"/>
      <c r="B43" s="547"/>
      <c r="C43" s="615" t="s">
        <v>892</v>
      </c>
      <c r="D43" s="547"/>
      <c r="E43" s="547"/>
      <c r="F43" s="547"/>
      <c r="G43" s="547"/>
      <c r="H43" s="547"/>
      <c r="I43" s="340"/>
      <c r="J43" s="614"/>
    </row>
    <row r="44" spans="1:11" ht="40.5" customHeight="1">
      <c r="A44" s="620"/>
      <c r="B44" s="621"/>
      <c r="C44" s="617"/>
      <c r="D44" s="617" t="s">
        <v>926</v>
      </c>
      <c r="E44" s="617" t="s">
        <v>1181</v>
      </c>
      <c r="F44" s="617" t="s">
        <v>998</v>
      </c>
      <c r="G44" s="594" t="s">
        <v>923</v>
      </c>
      <c r="H44" s="749"/>
      <c r="I44" s="340"/>
      <c r="J44" s="620"/>
    </row>
    <row r="45" spans="1:11">
      <c r="A45" s="614"/>
      <c r="B45" s="547"/>
      <c r="C45" s="547" t="s">
        <v>57</v>
      </c>
      <c r="D45" s="752">
        <v>62.43</v>
      </c>
      <c r="E45" s="448">
        <f>E29</f>
        <v>0.57750000000000001</v>
      </c>
      <c r="F45" s="622">
        <f>('Caract. produção'!$E$99*(D45/100))*((('Caract. produção'!$D$70)-(('Caract. produção'!$D$70)*('Caract. produção'!$E$87/100)))-(('Caract. produção'!$D$70)*('Caract. produção'!$E$88/100))-('Caract. produção'!$D$70)*('Caract. produção'!$E$89/100))</f>
        <v>15083.088</v>
      </c>
      <c r="G45" s="513">
        <f>F45*E45</f>
        <v>8710.4833199999994</v>
      </c>
      <c r="H45" s="749"/>
      <c r="I45" s="340"/>
      <c r="J45" s="614"/>
      <c r="K45" s="764">
        <f>G45*100/$H$56</f>
        <v>50.176666814654467</v>
      </c>
    </row>
    <row r="46" spans="1:11">
      <c r="A46" s="614"/>
      <c r="B46" s="547"/>
      <c r="C46" s="547" t="s">
        <v>715</v>
      </c>
      <c r="D46" s="752">
        <v>28.59</v>
      </c>
      <c r="E46" s="448">
        <f>E30</f>
        <v>1.2521666666666667</v>
      </c>
      <c r="F46" s="622">
        <f>('Caract. produção'!$E$99*(D46/100))*((('Caract. produção'!$D$70)-(('Caract. produção'!$D$70)*('Caract. produção'!$E$87/100)))-(('Caract. produção'!$D$70)*('Caract. produção'!$E$88/100))-('Caract. produção'!$D$70)*('Caract. produção'!$E$89/100))</f>
        <v>6907.3440000000001</v>
      </c>
      <c r="G46" s="513">
        <f t="shared" ref="G46:G55" si="4">F46*E46</f>
        <v>8649.145912</v>
      </c>
      <c r="H46" s="749"/>
      <c r="I46" s="340"/>
      <c r="J46" s="614"/>
      <c r="K46" s="764">
        <f t="shared" ref="K46:K55" si="5">G46*100/$H$56</f>
        <v>49.82333318534554</v>
      </c>
    </row>
    <row r="47" spans="1:11" ht="15" customHeight="1">
      <c r="A47" s="614"/>
      <c r="B47" s="547"/>
      <c r="C47" s="547" t="s">
        <v>714</v>
      </c>
      <c r="D47" s="619"/>
      <c r="E47" s="448"/>
      <c r="F47" s="622">
        <f>('Caract. produção'!$E$99*(D47/100))*((('Caract. produção'!$D$70)-(('Caract. produção'!$D$70)*('Caract. produção'!$E$87/100)))-(('Caract. produção'!$D$70)*('Caract. produção'!$E$88/100))-('Caract. produção'!$D$70)*('Caract. produção'!$E$89/100))</f>
        <v>0</v>
      </c>
      <c r="G47" s="513">
        <f t="shared" si="4"/>
        <v>0</v>
      </c>
      <c r="H47" s="749"/>
      <c r="I47" s="340"/>
      <c r="J47" s="614"/>
      <c r="K47" s="764">
        <f t="shared" si="5"/>
        <v>0</v>
      </c>
    </row>
    <row r="48" spans="1:11">
      <c r="A48" s="614"/>
      <c r="B48" s="547"/>
      <c r="C48" s="547" t="s">
        <v>716</v>
      </c>
      <c r="D48" s="619"/>
      <c r="E48" s="448"/>
      <c r="F48" s="622">
        <f>('Caract. produção'!$E$99*(D48/100))*((('Caract. produção'!$D$70)-(('Caract. produção'!$D$70)*('Caract. produção'!$E$87/100)))-(('Caract. produção'!$D$70)*('Caract. produção'!$E$88/100))-('Caract. produção'!$D$70)*('Caract. produção'!$E$89/100))</f>
        <v>0</v>
      </c>
      <c r="G48" s="513">
        <f t="shared" si="4"/>
        <v>0</v>
      </c>
      <c r="H48" s="749"/>
      <c r="I48" s="340"/>
      <c r="J48" s="614"/>
      <c r="K48" s="764">
        <f t="shared" si="5"/>
        <v>0</v>
      </c>
    </row>
    <row r="49" spans="1:11" ht="15" customHeight="1">
      <c r="A49" s="614"/>
      <c r="B49" s="547"/>
      <c r="C49" s="547" t="s">
        <v>717</v>
      </c>
      <c r="D49" s="619"/>
      <c r="E49" s="448"/>
      <c r="F49" s="622">
        <f>('Caract. produção'!$E$99*(D49/100))*((('Caract. produção'!$D$70)-(('Caract. produção'!$D$70)*('Caract. produção'!$E$87/100)))-(('Caract. produção'!$D$70)*('Caract. produção'!$E$88/100))-('Caract. produção'!$D$70)*('Caract. produção'!$E$89/100))</f>
        <v>0</v>
      </c>
      <c r="G49" s="513">
        <f t="shared" si="4"/>
        <v>0</v>
      </c>
      <c r="H49" s="749"/>
      <c r="I49" s="340"/>
      <c r="J49" s="614"/>
      <c r="K49" s="764">
        <f t="shared" si="5"/>
        <v>0</v>
      </c>
    </row>
    <row r="50" spans="1:11" ht="15" customHeight="1">
      <c r="A50" s="614"/>
      <c r="B50" s="547"/>
      <c r="C50" s="547" t="s">
        <v>718</v>
      </c>
      <c r="D50" s="619"/>
      <c r="E50" s="448"/>
      <c r="F50" s="622">
        <f>('Caract. produção'!$E$99*(D50/100))*((('Caract. produção'!$D$70)-(('Caract. produção'!$D$70)*('Caract. produção'!$E$87/100)))-(('Caract. produção'!$D$70)*('Caract. produção'!$E$88/100))-('Caract. produção'!$D$70)*('Caract. produção'!$E$89/100))</f>
        <v>0</v>
      </c>
      <c r="G50" s="513">
        <f t="shared" si="4"/>
        <v>0</v>
      </c>
      <c r="H50" s="749"/>
      <c r="I50" s="340"/>
      <c r="J50" s="614"/>
      <c r="K50" s="764">
        <f t="shared" si="5"/>
        <v>0</v>
      </c>
    </row>
    <row r="51" spans="1:11" ht="15" customHeight="1">
      <c r="A51" s="614"/>
      <c r="B51" s="547"/>
      <c r="C51" s="547" t="s">
        <v>721</v>
      </c>
      <c r="D51" s="619"/>
      <c r="E51" s="448"/>
      <c r="F51" s="622">
        <f>('Caract. produção'!$E$99*(D51/100))*((('Caract. produção'!$D$70)-(('Caract. produção'!$D$70)*('Caract. produção'!$E$87/100)))-(('Caract. produção'!$D$70)*('Caract. produção'!$E$88/100))-('Caract. produção'!$D$70)*('Caract. produção'!$E$89/100))</f>
        <v>0</v>
      </c>
      <c r="G51" s="513">
        <f t="shared" si="4"/>
        <v>0</v>
      </c>
      <c r="H51" s="749"/>
      <c r="I51" s="340"/>
      <c r="J51" s="614"/>
      <c r="K51" s="764">
        <f t="shared" si="5"/>
        <v>0</v>
      </c>
    </row>
    <row r="52" spans="1:11" ht="15" customHeight="1">
      <c r="A52" s="614"/>
      <c r="B52" s="547"/>
      <c r="C52" s="547" t="s">
        <v>691</v>
      </c>
      <c r="D52" s="619"/>
      <c r="E52" s="448"/>
      <c r="F52" s="622">
        <f>('Caract. produção'!$E$99*(D52/100))*((('Caract. produção'!$D$70)-(('Caract. produção'!$D$70)*('Caract. produção'!$E$87/100)))-(('Caract. produção'!$D$70)*('Caract. produção'!$E$88/100))-('Caract. produção'!$D$70)*('Caract. produção'!$E$89/100))</f>
        <v>0</v>
      </c>
      <c r="G52" s="513">
        <f t="shared" si="4"/>
        <v>0</v>
      </c>
      <c r="H52" s="749"/>
      <c r="I52" s="340"/>
      <c r="J52" s="614"/>
      <c r="K52" s="764">
        <f t="shared" si="5"/>
        <v>0</v>
      </c>
    </row>
    <row r="53" spans="1:11" ht="15" customHeight="1">
      <c r="A53" s="614"/>
      <c r="B53" s="547"/>
      <c r="C53" s="547" t="s">
        <v>719</v>
      </c>
      <c r="D53" s="619"/>
      <c r="E53" s="448"/>
      <c r="F53" s="622">
        <f>('Caract. produção'!$E$99*(D53/100))*((('Caract. produção'!$D$70)-(('Caract. produção'!$D$70)*('Caract. produção'!$E$87/100)))-(('Caract. produção'!$D$70)*('Caract. produção'!$E$88/100))-('Caract. produção'!$D$70)*('Caract. produção'!$E$89/100))</f>
        <v>0</v>
      </c>
      <c r="G53" s="513">
        <f t="shared" si="4"/>
        <v>0</v>
      </c>
      <c r="H53" s="749"/>
      <c r="I53" s="340"/>
      <c r="J53" s="614"/>
      <c r="K53" s="764"/>
    </row>
    <row r="54" spans="1:11" ht="15" customHeight="1">
      <c r="A54" s="614"/>
      <c r="B54" s="547"/>
      <c r="C54" s="547" t="s">
        <v>720</v>
      </c>
      <c r="D54" s="619"/>
      <c r="E54" s="448"/>
      <c r="F54" s="622">
        <f>('Caract. produção'!$E$99*(D54/100))*((('Caract. produção'!$D$70)-(('Caract. produção'!$D$70)*('Caract. produção'!$E$87/100)))-(('Caract. produção'!$D$70)*('Caract. produção'!$E$88/100))-('Caract. produção'!$D$70)*('Caract. produção'!$E$89/100))</f>
        <v>0</v>
      </c>
      <c r="G54" s="513">
        <f t="shared" si="4"/>
        <v>0</v>
      </c>
      <c r="H54" s="749"/>
      <c r="I54" s="340"/>
      <c r="J54" s="614"/>
      <c r="K54" s="764">
        <f>(G54*100/$H$56)+(G53*100/$H$56)</f>
        <v>0</v>
      </c>
    </row>
    <row r="55" spans="1:11" ht="15" customHeight="1">
      <c r="A55" s="614"/>
      <c r="B55" s="547"/>
      <c r="C55" s="547" t="s">
        <v>730</v>
      </c>
      <c r="D55" s="619"/>
      <c r="E55" s="448"/>
      <c r="F55" s="622">
        <f>('Caract. produção'!$E$99*(D55/100))*((('Caract. produção'!$D$70)-(('Caract. produção'!$D$70)*('Caract. produção'!$E$87/100)))-(('Caract. produção'!$D$70)*('Caract. produção'!$E$88/100))-('Caract. produção'!$D$70)*('Caract. produção'!$E$89/100))</f>
        <v>0</v>
      </c>
      <c r="G55" s="513">
        <f t="shared" si="4"/>
        <v>0</v>
      </c>
      <c r="H55" s="749"/>
      <c r="I55" s="340"/>
      <c r="J55" s="614"/>
      <c r="K55" s="764">
        <f t="shared" si="5"/>
        <v>0</v>
      </c>
    </row>
    <row r="56" spans="1:11" ht="15" customHeight="1">
      <c r="A56" s="614"/>
      <c r="B56" s="547"/>
      <c r="C56" s="547"/>
      <c r="D56" s="547"/>
      <c r="E56" s="547"/>
      <c r="F56" s="623">
        <f>IF('Caract. produção'!G49=1,SUM('Caract. produção'!F198:F207),IF('Caract. produção'!G49=2,SUM(F45:F55),IF('Caract. produção'!G49=3,SUM(F45:F55))))</f>
        <v>21990.432000000001</v>
      </c>
      <c r="G56" s="547"/>
      <c r="H56" s="612">
        <f>IF('Caract. produção'!$G$49=1,SUM('Caract. produção'!G198:G207),IF('Caract. produção'!$G$49=2,F56*SUM('Caract. produção'!G198:G207),IF('Caract. produção'!$G$49=3,SUM(G45:G55))))</f>
        <v>17359.629231999999</v>
      </c>
      <c r="I56" s="340"/>
      <c r="J56" s="614"/>
      <c r="K56" s="766"/>
    </row>
    <row r="57" spans="1:11" ht="15" customHeight="1">
      <c r="A57" s="614"/>
      <c r="B57" s="547"/>
      <c r="C57" s="547"/>
      <c r="D57" s="547"/>
      <c r="E57" s="547"/>
      <c r="F57" s="547"/>
      <c r="G57" s="547"/>
      <c r="H57" s="547"/>
      <c r="I57" s="340"/>
      <c r="J57" s="614"/>
    </row>
    <row r="58" spans="1:11" s="346" customFormat="1" ht="15" customHeight="1">
      <c r="A58" s="345"/>
      <c r="B58" s="547"/>
      <c r="C58" s="547"/>
      <c r="D58" s="547"/>
      <c r="E58" s="547"/>
      <c r="F58" s="581" t="s">
        <v>910</v>
      </c>
      <c r="G58" s="581"/>
      <c r="H58" s="603">
        <f>SUM(H56,H40,H24)+(SUM(H56,H40,H24)*0.1)</f>
        <v>60973.044772933332</v>
      </c>
      <c r="I58" s="340"/>
      <c r="J58" s="345"/>
      <c r="K58" s="761"/>
    </row>
    <row r="59" spans="1:11" ht="15" customHeight="1">
      <c r="A59" s="614"/>
      <c r="B59" s="547"/>
      <c r="C59" s="547"/>
      <c r="D59" s="547"/>
      <c r="E59" s="547"/>
      <c r="F59" s="547"/>
      <c r="G59" s="547"/>
      <c r="H59" s="547"/>
      <c r="I59" s="340"/>
      <c r="J59" s="614"/>
    </row>
    <row r="60" spans="1:11" s="346" customFormat="1" ht="15" customHeight="1">
      <c r="A60" s="345"/>
      <c r="B60" s="1196" t="s">
        <v>1228</v>
      </c>
      <c r="C60" s="1196"/>
      <c r="D60" s="1196"/>
      <c r="E60" s="1196"/>
      <c r="F60" s="1196"/>
      <c r="G60" s="1196"/>
      <c r="H60" s="345"/>
      <c r="I60" s="345"/>
      <c r="J60" s="345"/>
      <c r="K60" s="761"/>
    </row>
    <row r="61" spans="1:11" ht="15" customHeight="1">
      <c r="A61" s="614"/>
      <c r="B61" s="547"/>
      <c r="C61" s="625" t="s">
        <v>907</v>
      </c>
      <c r="D61" s="547"/>
      <c r="E61" s="547"/>
      <c r="F61" s="547"/>
      <c r="G61" s="547"/>
      <c r="H61" s="547"/>
      <c r="I61" s="340"/>
      <c r="J61" s="614"/>
    </row>
    <row r="62" spans="1:11" ht="9" customHeight="1">
      <c r="A62" s="614"/>
      <c r="B62" s="1231"/>
      <c r="C62" s="1231"/>
      <c r="D62" s="1231"/>
      <c r="E62" s="1231"/>
      <c r="F62" s="1231"/>
      <c r="G62" s="1231"/>
      <c r="H62" s="547"/>
      <c r="I62" s="340"/>
      <c r="J62" s="614"/>
    </row>
    <row r="63" spans="1:11" s="618" customFormat="1" ht="40.5" customHeight="1">
      <c r="A63" s="545"/>
      <c r="B63" s="617"/>
      <c r="C63" s="617"/>
      <c r="D63" s="617" t="str">
        <f>'Caract. produção'!C210</f>
        <v>Quantidade comprada (kg ou L/lote)</v>
      </c>
      <c r="E63" s="617" t="str">
        <f>'Caract. produção'!D210</f>
        <v>Quantidade usada (L ou kg/frasco)</v>
      </c>
      <c r="F63" s="617" t="str">
        <f>'Caract. produção'!E210</f>
        <v>Preço (R$/frasco ou sachê)</v>
      </c>
      <c r="G63" s="617" t="str">
        <f>'Caract. produção'!F210</f>
        <v>Valor Total (R$/lote)</v>
      </c>
      <c r="H63" s="617"/>
      <c r="I63" s="592"/>
      <c r="J63" s="545"/>
      <c r="K63" s="763"/>
    </row>
    <row r="64" spans="1:11" ht="15" customHeight="1">
      <c r="A64" s="614"/>
      <c r="B64" s="547"/>
      <c r="C64" s="626" t="s">
        <v>896</v>
      </c>
      <c r="D64" s="627">
        <f>'Caract. produção'!C211</f>
        <v>2.4359999999999995</v>
      </c>
      <c r="E64" s="627">
        <f>'Caract. produção'!D211</f>
        <v>2.4359999999999995</v>
      </c>
      <c r="F64" s="449">
        <f>'Caract. produção'!E211</f>
        <v>27</v>
      </c>
      <c r="G64" s="444">
        <f>IFERROR(F64*E64/D64,0)</f>
        <v>27.000000000000004</v>
      </c>
      <c r="H64" s="547"/>
      <c r="I64" s="340"/>
      <c r="J64" s="614"/>
    </row>
    <row r="65" spans="1:11" ht="15" customHeight="1">
      <c r="A65" s="614"/>
      <c r="B65" s="547"/>
      <c r="C65" s="626" t="s">
        <v>196</v>
      </c>
      <c r="D65" s="627">
        <f>'Caract. produção'!C212</f>
        <v>1.56</v>
      </c>
      <c r="E65" s="627">
        <f>'Caract. produção'!D212</f>
        <v>1.56</v>
      </c>
      <c r="F65" s="449">
        <f>'Caract. produção'!E212</f>
        <v>27</v>
      </c>
      <c r="G65" s="444">
        <f>IFERROR(F65*E65/D65,0)</f>
        <v>27.000000000000004</v>
      </c>
      <c r="H65" s="547"/>
      <c r="I65" s="340"/>
      <c r="J65" s="614"/>
    </row>
    <row r="66" spans="1:11" ht="15" customHeight="1">
      <c r="A66" s="614"/>
      <c r="B66" s="547"/>
      <c r="C66" s="626" t="s">
        <v>722</v>
      </c>
      <c r="D66" s="627">
        <f>'Caract. produção'!C213</f>
        <v>0</v>
      </c>
      <c r="E66" s="627">
        <f>'Caract. produção'!D213</f>
        <v>0</v>
      </c>
      <c r="F66" s="449">
        <f>'Caract. produção'!E213</f>
        <v>0</v>
      </c>
      <c r="G66" s="444">
        <f>IFERROR(F66*E66/D66,0)</f>
        <v>0</v>
      </c>
      <c r="H66" s="547"/>
      <c r="I66" s="340"/>
      <c r="J66" s="614"/>
    </row>
    <row r="67" spans="1:11" ht="15" customHeight="1">
      <c r="A67" s="614"/>
      <c r="B67" s="547"/>
      <c r="C67" s="626" t="s">
        <v>723</v>
      </c>
      <c r="D67" s="627">
        <f>'Caract. produção'!C214</f>
        <v>0</v>
      </c>
      <c r="E67" s="627">
        <f>'Caract. produção'!D214</f>
        <v>0</v>
      </c>
      <c r="F67" s="449">
        <f>'Caract. produção'!E214</f>
        <v>0</v>
      </c>
      <c r="G67" s="444">
        <f>IFERROR(F67*E67/D67,0)</f>
        <v>0</v>
      </c>
      <c r="H67" s="547"/>
      <c r="I67" s="340"/>
      <c r="J67" s="614"/>
    </row>
    <row r="68" spans="1:11" ht="15" customHeight="1">
      <c r="A68" s="614"/>
      <c r="B68" s="547"/>
      <c r="C68" s="547"/>
      <c r="D68" s="547"/>
      <c r="E68" s="547"/>
      <c r="F68" s="547"/>
      <c r="G68" s="547"/>
      <c r="H68" s="547"/>
      <c r="I68" s="340"/>
      <c r="J68" s="614"/>
    </row>
    <row r="69" spans="1:11" s="346" customFormat="1" ht="15" customHeight="1">
      <c r="A69" s="345"/>
      <c r="B69" s="547"/>
      <c r="C69" s="547"/>
      <c r="D69" s="547"/>
      <c r="E69" s="547"/>
      <c r="F69" s="581" t="s">
        <v>919</v>
      </c>
      <c r="G69" s="581"/>
      <c r="H69" s="603">
        <f>IF('Caract. produção'!G50=1,SUM(G64:G67),IF('Caract. produção'!G50=2,'Caract. produção'!G52))</f>
        <v>54.000000000000007</v>
      </c>
      <c r="I69" s="340"/>
      <c r="J69" s="345"/>
      <c r="K69" s="761"/>
    </row>
    <row r="70" spans="1:11" ht="15" customHeight="1">
      <c r="A70" s="614"/>
      <c r="B70" s="547"/>
      <c r="C70" s="547"/>
      <c r="D70" s="547"/>
      <c r="E70" s="547"/>
      <c r="F70" s="547"/>
      <c r="G70" s="547"/>
      <c r="H70" s="547"/>
      <c r="I70" s="340"/>
      <c r="J70" s="614"/>
    </row>
    <row r="71" spans="1:11" ht="9" customHeight="1">
      <c r="A71" s="614"/>
      <c r="B71" s="1231"/>
      <c r="C71" s="1231"/>
      <c r="D71" s="1231"/>
      <c r="E71" s="1231"/>
      <c r="F71" s="1231"/>
      <c r="G71" s="1231"/>
      <c r="H71" s="547"/>
      <c r="I71" s="340"/>
      <c r="J71" s="614"/>
    </row>
    <row r="72" spans="1:11" ht="15" customHeight="1">
      <c r="A72" s="614"/>
      <c r="B72" s="547"/>
      <c r="C72" s="625" t="s">
        <v>1229</v>
      </c>
      <c r="D72" s="628"/>
      <c r="E72" s="547"/>
      <c r="F72" s="547"/>
      <c r="G72" s="547"/>
      <c r="H72" s="547"/>
      <c r="I72" s="340"/>
      <c r="J72" s="614"/>
    </row>
    <row r="73" spans="1:11" ht="9" customHeight="1">
      <c r="A73" s="614"/>
      <c r="B73" s="1231"/>
      <c r="C73" s="1231"/>
      <c r="D73" s="1231"/>
      <c r="E73" s="1231"/>
      <c r="F73" s="1231"/>
      <c r="G73" s="1231"/>
      <c r="H73" s="547"/>
      <c r="I73" s="340"/>
      <c r="J73" s="614"/>
    </row>
    <row r="74" spans="1:11" ht="51.75" customHeight="1">
      <c r="A74" s="620"/>
      <c r="B74" s="621"/>
      <c r="C74" s="621"/>
      <c r="D74" s="617" t="str">
        <f>'Caract. produção'!C221</f>
        <v>Quantidade comprada        (L ou kg/lote)</v>
      </c>
      <c r="E74" s="617" t="str">
        <f>'Caract. produção'!E221</f>
        <v>Preço         (R$/L ou kg)</v>
      </c>
      <c r="F74" s="617" t="str">
        <f>'Caract. produção'!G221</f>
        <v>Valor    (R$/lote)</v>
      </c>
      <c r="G74" s="617" t="str">
        <f>'Caract. produção'!F221</f>
        <v>Total          (R$/lote)</v>
      </c>
      <c r="H74" s="629" t="s">
        <v>895</v>
      </c>
      <c r="I74" s="340"/>
      <c r="J74" s="620"/>
    </row>
    <row r="75" spans="1:11" ht="15" customHeight="1">
      <c r="A75" s="614"/>
      <c r="B75" s="547"/>
      <c r="C75" s="626" t="str">
        <f>IF('Caract. produção'!B222=1,Itens!H3,IF('Caract. produção'!B222=2,Itens!H4,IF('Caract. produção'!B222=3,Itens!H5,IF('Caract. produção'!B222=4,Itens!H6,IF('Caract. produção'!B222=5,Itens!H7,IF('Caract. produção'!B222=6,Itens!H8,IF('Caract. produção'!B222=7,Itens!H9,IF('Caract. produção'!B222=8,Itens!H10,IF('Caract. produção'!B222=9,Itens!H11,IF('Caract. produção'!B222=10,Itens!H12,IF('Caract. produção'!B222=11,Itens!H13,IF('Caract. produção'!B222=12,Itens!H14,IF('Caract. produção'!B222=13,Itens!H15,IF('Caract. produção'!B222=14,Itens!H16,IF('Caract. produção'!B222=15,Itens!H17,IF('Caract. produção'!B222=16,Itens!H18,IF('Caract. produção'!B222=17,Itens!H19,IF('Caract. produção'!B222=18,Itens!H20,IF('Caract. produção'!B222=19,Itens!H21,IF('Caract. produção'!B222=20,Itens!H22,IF('Caract. produção'!B222=21,Itens!H23,IF('Caract. produção'!B222=22,Itens!H24,IF('Caract. produção'!B222=23,Itens!H25,IF('Caract. produção'!B222=24,Itens!H26,IF('Caract. produção'!B222=25,Itens!H27,IF('Caract. produção'!B222=26,Itens!H28,IF('Caract. produção'!B222=27,Itens!H29,IF('Caract. produção'!B222=28,Itens!H30))))))))))))))))))))))))))))</f>
        <v>(vazio)</v>
      </c>
      <c r="D75" s="630">
        <f>'Caract. produção'!C222</f>
        <v>0</v>
      </c>
      <c r="E75" s="449">
        <f>'Caract. produção'!E222</f>
        <v>0</v>
      </c>
      <c r="F75" s="449">
        <f>'Caract. produção'!G222</f>
        <v>0</v>
      </c>
      <c r="G75" s="449">
        <f>'Caract. produção'!F222</f>
        <v>0</v>
      </c>
      <c r="H75" s="444">
        <f>IF(E75,D75*E75,IF(D75&gt;=0,G75))</f>
        <v>0</v>
      </c>
      <c r="I75" s="340"/>
      <c r="J75" s="614"/>
      <c r="K75" s="631">
        <f>F75*G75</f>
        <v>0</v>
      </c>
    </row>
    <row r="76" spans="1:11" ht="15" customHeight="1">
      <c r="A76" s="614"/>
      <c r="B76" s="547"/>
      <c r="C76" s="626" t="str">
        <f>IF('Caract. produção'!B223=1,Itens!H3,IF('Caract. produção'!B223=2,Itens!H4,IF('Caract. produção'!B223=3,Itens!H5,IF('Caract. produção'!B223=4,Itens!H6,IF('Caract. produção'!B223=5,Itens!H7,IF('Caract. produção'!B223=6,Itens!H8,IF('Caract. produção'!B223=7,Itens!H9,IF('Caract. produção'!B223=8,Itens!H10,IF('Caract. produção'!B223=9,Itens!H11,IF('Caract. produção'!B223=10,Itens!H12,IF('Caract. produção'!B223=11,Itens!H13,IF('Caract. produção'!B223=12,Itens!H14,IF('Caract. produção'!B223=13,Itens!H15,IF('Caract. produção'!B223=14,Itens!H16,IF('Caract. produção'!B223=15,Itens!H17,IF('Caract. produção'!B223=16,Itens!H18,IF('Caract. produção'!B223=17,Itens!H19,IF('Caract. produção'!B223=18,Itens!H20,IF('Caract. produção'!B223=19,Itens!H21,IF('Caract. produção'!B223=20,Itens!H22,IF('Caract. produção'!B223=21,Itens!H23,IF('Caract. produção'!B223=22,Itens!H24,IF('Caract. produção'!B223=23,Itens!H25,IF('Caract. produção'!B223=24,Itens!H26,IF('Caract. produção'!B223=25,Itens!H27,IF('Caract. produção'!B223=26,Itens!H28,IF('Caract. produção'!B223=27,Itens!H29,IF('Caract. produção'!B223=28,Itens!H30))))))))))))))))))))))))))))</f>
        <v>(vazio)</v>
      </c>
      <c r="D76" s="630">
        <f>'Caract. produção'!C223</f>
        <v>0</v>
      </c>
      <c r="E76" s="449">
        <f>'Caract. produção'!E223</f>
        <v>0</v>
      </c>
      <c r="F76" s="449">
        <f>'Caract. produção'!G223</f>
        <v>0</v>
      </c>
      <c r="G76" s="449">
        <f>'Caract. produção'!F223</f>
        <v>0</v>
      </c>
      <c r="H76" s="444">
        <f>IF(E76,D76*E76,IF(D76&gt;=0,G76))</f>
        <v>0</v>
      </c>
      <c r="I76" s="340"/>
      <c r="J76" s="614"/>
      <c r="K76" s="631">
        <f t="shared" ref="K76:K84" si="6">F76*G76</f>
        <v>0</v>
      </c>
    </row>
    <row r="77" spans="1:11" ht="15" customHeight="1">
      <c r="A77" s="614"/>
      <c r="B77" s="547"/>
      <c r="C77" s="626" t="str">
        <f>IF('Caract. produção'!B224=1,Itens!H3,IF('Caract. produção'!B224=2,Itens!H4,IF('Caract. produção'!B224=3,Itens!H5,IF('Caract. produção'!B224=4,Itens!H6,IF('Caract. produção'!B224=5,Itens!H7,IF('Caract. produção'!B224=6,Itens!H8,IF('Caract. produção'!B224=7,Itens!H9,IF('Caract. produção'!B224=8,Itens!H10,IF('Caract. produção'!B224=9,Itens!H11,IF('Caract. produção'!B224=10,Itens!H12,IF('Caract. produção'!B224=11,Itens!H13,IF('Caract. produção'!B224=12,Itens!H14,IF('Caract. produção'!B224=13,Itens!H15,IF('Caract. produção'!B224=14,Itens!H16,IF('Caract. produção'!B224=15,Itens!H17,IF('Caract. produção'!B224=16,Itens!H18,IF('Caract. produção'!B224=17,Itens!H19,IF('Caract. produção'!B224=18,Itens!H20,IF('Caract. produção'!B224=19,Itens!H21,IF('Caract. produção'!B224=20,Itens!H22,IF('Caract. produção'!B224=21,Itens!H23,IF('Caract. produção'!B224=22,Itens!H24,IF('Caract. produção'!B224=23,Itens!H25,IF('Caract. produção'!B224=24,Itens!H26,IF('Caract. produção'!B224=25,Itens!H27,IF('Caract. produção'!B224=26,Itens!H28,IF('Caract. produção'!B224=27,Itens!H29,IF('Caract. produção'!B224=28,Itens!H30))))))))))))))))))))))))))))</f>
        <v>(vazio)</v>
      </c>
      <c r="D77" s="630">
        <f>'Caract. produção'!C224</f>
        <v>0</v>
      </c>
      <c r="E77" s="449">
        <f>'Caract. produção'!E224</f>
        <v>0</v>
      </c>
      <c r="F77" s="449">
        <f>'Caract. produção'!G224</f>
        <v>0</v>
      </c>
      <c r="G77" s="449">
        <f>'Caract. produção'!F224</f>
        <v>0</v>
      </c>
      <c r="H77" s="444">
        <f t="shared" ref="H77:H84" si="7">IF(E77,D77*E77,IF(D77&gt;=0,G77))</f>
        <v>0</v>
      </c>
      <c r="I77" s="340"/>
      <c r="J77" s="614"/>
      <c r="K77" s="631">
        <f t="shared" si="6"/>
        <v>0</v>
      </c>
    </row>
    <row r="78" spans="1:11" ht="15" customHeight="1">
      <c r="A78" s="614"/>
      <c r="B78" s="547"/>
      <c r="C78" s="626" t="str">
        <f>IF('Caract. produção'!B225=1,Itens!H3,IF('Caract. produção'!B225=2,Itens!H4,IF('Caract. produção'!B225=3,Itens!H5,IF('Caract. produção'!B225=4,Itens!H6,IF('Caract. produção'!B225=5,Itens!H7,IF('Caract. produção'!B225=6,Itens!H8,IF('Caract. produção'!B225=7,Itens!H9,IF('Caract. produção'!B225=8,Itens!H10,IF('Caract. produção'!B225=9,Itens!H11,IF('Caract. produção'!B225=10,Itens!H12,IF('Caract. produção'!B225=11,Itens!H13,IF('Caract. produção'!B225=12,Itens!H14,IF('Caract. produção'!B225=13,Itens!H15,IF('Caract. produção'!B225=14,Itens!H16,IF('Caract. produção'!B225=15,Itens!H17,IF('Caract. produção'!B225=16,Itens!H18,IF('Caract. produção'!B225=17,Itens!H19,IF('Caract. produção'!B225=18,Itens!H20,IF('Caract. produção'!B225=19,Itens!H21,IF('Caract. produção'!B225=20,Itens!H22,IF('Caract. produção'!B225=21,Itens!H23,IF('Caract. produção'!B225=22,Itens!H24,IF('Caract. produção'!B225=23,Itens!H25,IF('Caract. produção'!B225=24,Itens!H26,IF('Caract. produção'!B225=25,Itens!H27,IF('Caract. produção'!B225=26,Itens!H28,IF('Caract. produção'!B225=27,Itens!H29,IF('Caract. produção'!B225=28,Itens!H30))))))))))))))))))))))))))))</f>
        <v>(vazio)</v>
      </c>
      <c r="D78" s="630">
        <f>'Caract. produção'!C225</f>
        <v>0</v>
      </c>
      <c r="E78" s="449">
        <f>'Caract. produção'!E225</f>
        <v>0</v>
      </c>
      <c r="F78" s="449">
        <f>'Caract. produção'!G225</f>
        <v>0</v>
      </c>
      <c r="G78" s="449">
        <f>'Caract. produção'!F225</f>
        <v>0</v>
      </c>
      <c r="H78" s="444">
        <f t="shared" si="7"/>
        <v>0</v>
      </c>
      <c r="I78" s="340"/>
      <c r="J78" s="614"/>
      <c r="K78" s="631">
        <f t="shared" si="6"/>
        <v>0</v>
      </c>
    </row>
    <row r="79" spans="1:11" ht="15" customHeight="1">
      <c r="A79" s="614"/>
      <c r="B79" s="547"/>
      <c r="C79" s="626" t="str">
        <f>IF('Caract. produção'!B226=1,Itens!H3,IF('Caract. produção'!B226=2,Itens!H4,IF('Caract. produção'!B226=3,Itens!H5,IF('Caract. produção'!B226=4,Itens!H6,IF('Caract. produção'!B226=5,Itens!H7,IF('Caract. produção'!B226=6,Itens!H8,IF('Caract. produção'!B226=7,Itens!H9,IF('Caract. produção'!B226=8,Itens!H10,IF('Caract. produção'!B226=9,Itens!H11,IF('Caract. produção'!B226=10,Itens!H12,IF('Caract. produção'!B226=11,Itens!H13,IF('Caract. produção'!B226=12,Itens!H14,IF('Caract. produção'!B226=13,Itens!H15,IF('Caract. produção'!B226=14,Itens!H16,IF('Caract. produção'!B226=15,Itens!H17,IF('Caract. produção'!B226=16,Itens!H18,IF('Caract. produção'!B226=17,Itens!H19,IF('Caract. produção'!B226=18,Itens!H20,IF('Caract. produção'!B226=19,Itens!H21,IF('Caract. produção'!B226=20,Itens!H22,IF('Caract. produção'!B226=21,Itens!H23,IF('Caract. produção'!B226=22,Itens!H24,IF('Caract. produção'!B226=23,Itens!H25,IF('Caract. produção'!B226=24,Itens!H26,IF('Caract. produção'!B226=25,Itens!H27,IF('Caract. produção'!B226=26,Itens!H28,IF('Caract. produção'!B226=27,Itens!H29,IF('Caract. produção'!B226=28,Itens!H30))))))))))))))))))))))))))))</f>
        <v>(vazio)</v>
      </c>
      <c r="D79" s="630">
        <f>'Caract. produção'!C226</f>
        <v>0</v>
      </c>
      <c r="E79" s="449">
        <f>'Caract. produção'!E226</f>
        <v>0</v>
      </c>
      <c r="F79" s="449">
        <f>'Caract. produção'!G226</f>
        <v>0</v>
      </c>
      <c r="G79" s="449">
        <f>'Caract. produção'!F226</f>
        <v>0</v>
      </c>
      <c r="H79" s="444">
        <f t="shared" si="7"/>
        <v>0</v>
      </c>
      <c r="I79" s="340"/>
      <c r="J79" s="614"/>
      <c r="K79" s="631">
        <f t="shared" si="6"/>
        <v>0</v>
      </c>
    </row>
    <row r="80" spans="1:11" ht="15" customHeight="1">
      <c r="A80" s="614"/>
      <c r="B80" s="547"/>
      <c r="C80" s="626" t="str">
        <f>IF('Caract. produção'!B227=1,Itens!H3,IF('Caract. produção'!B227=2,Itens!H4,IF('Caract. produção'!B227=3,Itens!H5,IF('Caract. produção'!B227=4,Itens!H6,IF('Caract. produção'!B227=5,Itens!H7,IF('Caract. produção'!B227=6,Itens!H8,IF('Caract. produção'!B227=7,Itens!H9,IF('Caract. produção'!B227=8,Itens!H10,IF('Caract. produção'!B227=9,Itens!H11,IF('Caract. produção'!B227=10,Itens!H12,IF('Caract. produção'!B227=11,Itens!H13,IF('Caract. produção'!B227=12,Itens!H14,IF('Caract. produção'!B227=13,Itens!H15,IF('Caract. produção'!B227=14,Itens!H16,IF('Caract. produção'!B227=15,Itens!H17,IF('Caract. produção'!B227=16,Itens!H18,IF('Caract. produção'!B227=17,Itens!H19,IF('Caract. produção'!B227=18,Itens!H20,IF('Caract. produção'!B227=19,Itens!H21,IF('Caract. produção'!B227=20,Itens!H22,IF('Caract. produção'!B227=21,Itens!H23,IF('Caract. produção'!B227=22,Itens!H24,IF('Caract. produção'!B227=23,Itens!H25,IF('Caract. produção'!B227=24,Itens!H26,IF('Caract. produção'!B227=25,Itens!H27,IF('Caract. produção'!B227=26,Itens!H28,IF('Caract. produção'!B227=27,Itens!H29,IF('Caract. produção'!B227=28,Itens!H30))))))))))))))))))))))))))))</f>
        <v>(vazio)</v>
      </c>
      <c r="D80" s="630">
        <f>'Caract. produção'!C227</f>
        <v>0</v>
      </c>
      <c r="E80" s="449">
        <f>'Caract. produção'!E227</f>
        <v>0</v>
      </c>
      <c r="F80" s="449">
        <f>'Caract. produção'!G227</f>
        <v>0</v>
      </c>
      <c r="G80" s="449">
        <f>'Caract. produção'!F227</f>
        <v>0</v>
      </c>
      <c r="H80" s="444">
        <f t="shared" si="7"/>
        <v>0</v>
      </c>
      <c r="I80" s="340"/>
      <c r="J80" s="614"/>
      <c r="K80" s="631">
        <f t="shared" si="6"/>
        <v>0</v>
      </c>
    </row>
    <row r="81" spans="1:11" ht="15" customHeight="1">
      <c r="A81" s="614"/>
      <c r="B81" s="547"/>
      <c r="C81" s="626" t="str">
        <f>IF('Caract. produção'!B228=1,Itens!H3,IF('Caract. produção'!B228=2,Itens!H4,IF('Caract. produção'!B228=3,Itens!H5,IF('Caract. produção'!B228=4,Itens!H6,IF('Caract. produção'!B228=5,Itens!H7,IF('Caract. produção'!B228=6,Itens!H8,IF('Caract. produção'!B228=7,Itens!H9,IF('Caract. produção'!B228=8,Itens!H10,IF('Caract. produção'!B228=9,Itens!H11,IF('Caract. produção'!B228=10,Itens!H12,IF('Caract. produção'!B228=11,Itens!H13,IF('Caract. produção'!B228=12,Itens!H14,IF('Caract. produção'!B228=13,Itens!H15,IF('Caract. produção'!B228=14,Itens!H16,IF('Caract. produção'!B228=15,Itens!H17,IF('Caract. produção'!B228=16,Itens!H18,IF('Caract. produção'!B228=17,Itens!H19,IF('Caract. produção'!B228=18,Itens!H20,IF('Caract. produção'!B228=19,Itens!H21,IF('Caract. produção'!B228=20,Itens!H22,IF('Caract. produção'!B228=21,Itens!H23,IF('Caract. produção'!B228=22,Itens!H24,IF('Caract. produção'!B228=23,Itens!H25,IF('Caract. produção'!B228=24,Itens!H26,IF('Caract. produção'!B228=25,Itens!H27,IF('Caract. produção'!B228=26,Itens!H28,IF('Caract. produção'!B228=27,Itens!H29,IF('Caract. produção'!B228=28,Itens!H30))))))))))))))))))))))))))))</f>
        <v>(vazio)</v>
      </c>
      <c r="D81" s="630">
        <f>'Caract. produção'!C228</f>
        <v>0</v>
      </c>
      <c r="E81" s="449">
        <f>'Caract. produção'!E228</f>
        <v>0</v>
      </c>
      <c r="F81" s="449">
        <f>'Caract. produção'!G228</f>
        <v>0</v>
      </c>
      <c r="G81" s="449">
        <f>'Caract. produção'!F228</f>
        <v>0</v>
      </c>
      <c r="H81" s="444">
        <f t="shared" si="7"/>
        <v>0</v>
      </c>
      <c r="I81" s="340"/>
      <c r="J81" s="614"/>
      <c r="K81" s="631">
        <f t="shared" si="6"/>
        <v>0</v>
      </c>
    </row>
    <row r="82" spans="1:11" ht="15" customHeight="1">
      <c r="A82" s="614"/>
      <c r="B82" s="547"/>
      <c r="C82" s="626" t="str">
        <f>IF('Caract. produção'!B229=1,Itens!H3,IF('Caract. produção'!B229=2,Itens!H4,IF('Caract. produção'!B229=3,Itens!H5,IF('Caract. produção'!B229=4,Itens!H6,IF('Caract. produção'!B229=5,Itens!H7,IF('Caract. produção'!B229=6,Itens!H8,IF('Caract. produção'!B229=7,Itens!H9,IF('Caract. produção'!B229=8,Itens!H10,IF('Caract. produção'!B229=9,Itens!H11,IF('Caract. produção'!B229=10,Itens!H12,IF('Caract. produção'!B229=11,Itens!H13,IF('Caract. produção'!B229=12,Itens!H14,IF('Caract. produção'!B229=13,Itens!H15,IF('Caract. produção'!B229=14,Itens!H16,IF('Caract. produção'!B229=15,Itens!H17,IF('Caract. produção'!B229=16,Itens!H18,IF('Caract. produção'!B229=17,Itens!H19,IF('Caract. produção'!B229=18,Itens!H20,IF('Caract. produção'!B229=19,Itens!H21,IF('Caract. produção'!B229=20,Itens!H22,IF('Caract. produção'!B229=21,Itens!H23,IF('Caract. produção'!B229=22,Itens!H24,IF('Caract. produção'!B229=23,Itens!H25,IF('Caract. produção'!B229=24,Itens!H26,IF('Caract. produção'!B229=25,Itens!H27,IF('Caract. produção'!B229=26,Itens!H28,IF('Caract. produção'!B229=27,Itens!H29,IF('Caract. produção'!B229=28,Itens!H30))))))))))))))))))))))))))))</f>
        <v>(vazio)</v>
      </c>
      <c r="D82" s="630">
        <f>'Caract. produção'!C229</f>
        <v>0</v>
      </c>
      <c r="E82" s="449">
        <f>'Caract. produção'!E229</f>
        <v>0</v>
      </c>
      <c r="F82" s="449">
        <f>'Caract. produção'!G229</f>
        <v>0</v>
      </c>
      <c r="G82" s="449">
        <f>'Caract. produção'!F229</f>
        <v>0</v>
      </c>
      <c r="H82" s="444">
        <f t="shared" si="7"/>
        <v>0</v>
      </c>
      <c r="I82" s="340"/>
      <c r="J82" s="614"/>
      <c r="K82" s="631">
        <f t="shared" si="6"/>
        <v>0</v>
      </c>
    </row>
    <row r="83" spans="1:11" ht="15" customHeight="1">
      <c r="A83" s="614"/>
      <c r="B83" s="547"/>
      <c r="C83" s="626" t="str">
        <f>IF('Caract. produção'!B230=1,Itens!H3,IF('Caract. produção'!B230=2,Itens!H4,IF('Caract. produção'!B230=3,Itens!H5,IF('Caract. produção'!B230=4,Itens!H6,IF('Caract. produção'!B230=5,Itens!H7,IF('Caract. produção'!B230=6,Itens!H8,IF('Caract. produção'!B230=7,Itens!H9,IF('Caract. produção'!B230=8,Itens!H10,IF('Caract. produção'!B230=9,Itens!H11,IF('Caract. produção'!B230=10,Itens!H12,IF('Caract. produção'!B230=11,Itens!H13,IF('Caract. produção'!B230=12,Itens!H14,IF('Caract. produção'!B230=13,Itens!H15,IF('Caract. produção'!B230=14,Itens!H16,IF('Caract. produção'!B230=15,Itens!H17,IF('Caract. produção'!B230=16,Itens!H18,IF('Caract. produção'!B230=17,Itens!H19,IF('Caract. produção'!B230=18,Itens!H20,IF('Caract. produção'!B230=19,Itens!H21,IF('Caract. produção'!B230=20,Itens!H22,IF('Caract. produção'!B230=21,Itens!H23,IF('Caract. produção'!B230=22,Itens!H24,IF('Caract. produção'!B230=23,Itens!H25,IF('Caract. produção'!B230=24,Itens!H26,IF('Caract. produção'!B230=25,Itens!H27,IF('Caract. produção'!B230=26,Itens!H28,IF('Caract. produção'!B230=27,Itens!H29,IF('Caract. produção'!B230=28,Itens!H30))))))))))))))))))))))))))))</f>
        <v>(vazio)</v>
      </c>
      <c r="D83" s="630">
        <f>'Caract. produção'!C230</f>
        <v>0</v>
      </c>
      <c r="E83" s="449">
        <f>'Caract. produção'!E230</f>
        <v>0</v>
      </c>
      <c r="F83" s="449">
        <f>'Caract. produção'!G230</f>
        <v>0</v>
      </c>
      <c r="G83" s="449">
        <f>'Caract. produção'!F230</f>
        <v>0</v>
      </c>
      <c r="H83" s="444">
        <f t="shared" si="7"/>
        <v>0</v>
      </c>
      <c r="I83" s="340"/>
      <c r="J83" s="614"/>
      <c r="K83" s="631">
        <f t="shared" si="6"/>
        <v>0</v>
      </c>
    </row>
    <row r="84" spans="1:11" ht="15" customHeight="1">
      <c r="A84" s="614"/>
      <c r="B84" s="547"/>
      <c r="C84" s="626" t="str">
        <f>IF('Caract. produção'!B231=1,Itens!H3,IF('Caract. produção'!B231=2,Itens!H4,IF('Caract. produção'!B231=3,Itens!H5,IF('Caract. produção'!B231=4,Itens!H6,IF('Caract. produção'!B231=5,Itens!H7,IF('Caract. produção'!B231=6,Itens!H8,IF('Caract. produção'!B231=7,Itens!H9,IF('Caract. produção'!B231=8,Itens!H10,IF('Caract. produção'!B231=9,Itens!H11,IF('Caract. produção'!B231=10,Itens!H12,IF('Caract. produção'!B231=11,Itens!H13,IF('Caract. produção'!B231=12,Itens!H14,IF('Caract. produção'!B231=13,Itens!H15,IF('Caract. produção'!B231=14,Itens!H16,IF('Caract. produção'!B231=15,Itens!H17,IF('Caract. produção'!B231=16,Itens!H18,IF('Caract. produção'!B231=17,Itens!H19,IF('Caract. produção'!B231=18,Itens!H20,IF('Caract. produção'!B231=19,Itens!H21,IF('Caract. produção'!B231=20,Itens!H22,IF('Caract. produção'!B231=21,Itens!H23,IF('Caract. produção'!B231=22,Itens!H24,IF('Caract. produção'!B231=23,Itens!H25,IF('Caract. produção'!B231=24,Itens!H26,IF('Caract. produção'!B231=25,Itens!H27,IF('Caract. produção'!B231=26,Itens!H28,IF('Caract. produção'!B231=27,Itens!H29,IF('Caract. produção'!B231=28,Itens!H30))))))))))))))))))))))))))))</f>
        <v>(vazio)</v>
      </c>
      <c r="D84" s="630">
        <f>'Caract. produção'!C231</f>
        <v>0</v>
      </c>
      <c r="E84" s="449">
        <f>'Caract. produção'!E231</f>
        <v>0</v>
      </c>
      <c r="F84" s="449">
        <f>'Caract. produção'!G231</f>
        <v>0</v>
      </c>
      <c r="G84" s="449">
        <f>'Caract. produção'!F231</f>
        <v>0</v>
      </c>
      <c r="H84" s="444">
        <f t="shared" si="7"/>
        <v>0</v>
      </c>
      <c r="I84" s="340"/>
      <c r="J84" s="614"/>
      <c r="K84" s="631">
        <f t="shared" si="6"/>
        <v>0</v>
      </c>
    </row>
    <row r="85" spans="1:11" ht="15" customHeight="1">
      <c r="A85" s="614"/>
      <c r="B85" s="547"/>
      <c r="C85" s="547"/>
      <c r="D85" s="547"/>
      <c r="E85" s="547"/>
      <c r="F85" s="547"/>
      <c r="G85" s="547"/>
      <c r="H85" s="547"/>
      <c r="I85" s="340"/>
      <c r="J85" s="614"/>
    </row>
    <row r="86" spans="1:11" s="346" customFormat="1" ht="15" customHeight="1">
      <c r="A86" s="345"/>
      <c r="B86" s="547"/>
      <c r="C86" s="547"/>
      <c r="D86" s="547"/>
      <c r="E86" s="547"/>
      <c r="F86" s="581" t="s">
        <v>920</v>
      </c>
      <c r="G86" s="581"/>
      <c r="H86" s="603">
        <f>SUM(H75:H84)</f>
        <v>0</v>
      </c>
      <c r="I86" s="340"/>
      <c r="J86" s="345"/>
      <c r="K86" s="761"/>
    </row>
    <row r="87" spans="1:11" ht="15" customHeight="1">
      <c r="A87" s="614"/>
      <c r="B87" s="547"/>
      <c r="C87" s="547"/>
      <c r="D87" s="547"/>
      <c r="E87" s="547"/>
      <c r="F87" s="547"/>
      <c r="G87" s="547"/>
      <c r="H87" s="547"/>
      <c r="I87" s="340"/>
      <c r="J87" s="614"/>
    </row>
    <row r="88" spans="1:11" ht="9" customHeight="1">
      <c r="A88" s="614"/>
      <c r="B88" s="1231"/>
      <c r="C88" s="1231"/>
      <c r="D88" s="1231"/>
      <c r="E88" s="1231"/>
      <c r="F88" s="1231"/>
      <c r="G88" s="1231"/>
      <c r="H88" s="547"/>
      <c r="I88" s="340"/>
      <c r="J88" s="614"/>
    </row>
    <row r="89" spans="1:11" s="618" customFormat="1" ht="29.25">
      <c r="A89" s="632"/>
      <c r="B89" s="550"/>
      <c r="C89" s="550"/>
      <c r="D89" s="550" t="s">
        <v>908</v>
      </c>
      <c r="E89" s="550" t="s">
        <v>909</v>
      </c>
      <c r="F89" s="550"/>
      <c r="G89" s="550"/>
      <c r="H89" s="550"/>
      <c r="I89" s="592"/>
      <c r="J89" s="632"/>
      <c r="K89" s="763"/>
    </row>
    <row r="90" spans="1:11" ht="15" customHeight="1">
      <c r="A90" s="614"/>
      <c r="B90" s="547"/>
      <c r="C90" s="547" t="s">
        <v>897</v>
      </c>
      <c r="D90" s="809">
        <f>'Caract. produção'!G57</f>
        <v>0</v>
      </c>
      <c r="E90" s="809">
        <f>'Caract. produção'!G57/'Caract. produção'!$D$74</f>
        <v>0</v>
      </c>
      <c r="F90" s="550"/>
      <c r="G90" s="550"/>
      <c r="H90" s="547"/>
      <c r="I90" s="340"/>
      <c r="J90" s="614"/>
    </row>
    <row r="91" spans="1:11" ht="15" customHeight="1">
      <c r="A91" s="614"/>
      <c r="B91" s="547"/>
      <c r="C91" s="547" t="s">
        <v>898</v>
      </c>
      <c r="D91" s="809">
        <f>'Caract. produção'!G59</f>
        <v>0</v>
      </c>
      <c r="E91" s="809">
        <f>'Caract. produção'!G59/'Caract. produção'!$D$74</f>
        <v>0</v>
      </c>
      <c r="F91" s="550"/>
      <c r="G91" s="550"/>
      <c r="H91" s="547"/>
      <c r="I91" s="340"/>
      <c r="J91" s="614"/>
    </row>
    <row r="92" spans="1:11" ht="15" customHeight="1">
      <c r="A92" s="614"/>
      <c r="B92" s="547"/>
      <c r="C92" s="547" t="s">
        <v>1505</v>
      </c>
      <c r="D92" s="809">
        <f>'Caract. produção'!E218</f>
        <v>0</v>
      </c>
      <c r="E92" s="809">
        <f>'Caract. produção'!F218</f>
        <v>0</v>
      </c>
      <c r="F92" s="550"/>
      <c r="G92" s="550"/>
      <c r="H92" s="547"/>
      <c r="I92" s="340"/>
      <c r="J92" s="614"/>
    </row>
    <row r="93" spans="1:11" ht="15" customHeight="1">
      <c r="A93" s="614"/>
      <c r="B93" s="815"/>
      <c r="C93" s="815"/>
      <c r="D93" s="626"/>
      <c r="E93" s="626"/>
      <c r="F93" s="816"/>
      <c r="G93" s="816"/>
      <c r="H93" s="815"/>
      <c r="I93" s="340"/>
      <c r="J93" s="614"/>
    </row>
    <row r="94" spans="1:11" s="346" customFormat="1" ht="15" customHeight="1">
      <c r="A94" s="345"/>
      <c r="B94" s="547"/>
      <c r="C94" s="547"/>
      <c r="D94" s="547"/>
      <c r="E94" s="547"/>
      <c r="F94" s="581" t="s">
        <v>921</v>
      </c>
      <c r="G94" s="581"/>
      <c r="H94" s="603">
        <f>(IF('Caract. produção'!G56=1,'Caract. produção'!G57/'Caract. produção'!$D$74,IF('Caract. produção'!G56=2,0,IF('Caract. produção'!G56=3,'Caract. produção'!G57/'Caract. produção'!$D$74))))+(IF('Caract. produção'!G58=1,'Caract. produção'!G59/'Caract. produção'!$D$74,IF('Caract. produção'!G58=2,0,IF('Caract. produção'!G58=3,'Caract. produção'!G59/'Caract. produção'!$D$74))))</f>
        <v>0</v>
      </c>
      <c r="I94" s="340"/>
      <c r="J94" s="345"/>
      <c r="K94" s="761"/>
    </row>
    <row r="95" spans="1:11" ht="15" customHeight="1">
      <c r="A95" s="614"/>
      <c r="B95" s="547"/>
      <c r="C95" s="547"/>
      <c r="D95" s="547"/>
      <c r="E95" s="547"/>
      <c r="F95" s="624"/>
      <c r="G95" s="624"/>
      <c r="H95" s="547"/>
      <c r="I95" s="340"/>
      <c r="J95" s="614"/>
    </row>
    <row r="96" spans="1:11" s="346" customFormat="1" ht="13.5" customHeight="1">
      <c r="A96" s="345"/>
      <c r="B96" s="345"/>
      <c r="C96" s="734" t="s">
        <v>1167</v>
      </c>
      <c r="D96" s="633"/>
      <c r="E96" s="633"/>
      <c r="F96" s="633"/>
      <c r="G96" s="633"/>
      <c r="H96" s="633"/>
      <c r="I96" s="633"/>
      <c r="J96" s="345"/>
      <c r="K96" s="761"/>
    </row>
    <row r="97" spans="1:11" s="346" customFormat="1" ht="13.5" customHeight="1">
      <c r="A97" s="345"/>
      <c r="B97" s="547"/>
      <c r="C97" s="547"/>
      <c r="D97" s="547"/>
      <c r="E97" s="547"/>
      <c r="F97" s="547"/>
      <c r="G97" s="547"/>
      <c r="H97" s="547"/>
      <c r="I97" s="547"/>
      <c r="J97" s="345"/>
      <c r="K97" s="761"/>
    </row>
    <row r="98" spans="1:11" s="635" customFormat="1" ht="39" customHeight="1">
      <c r="A98" s="582"/>
      <c r="B98" s="617"/>
      <c r="C98" s="617"/>
      <c r="D98" s="617" t="s">
        <v>917</v>
      </c>
      <c r="E98" s="617" t="s">
        <v>912</v>
      </c>
      <c r="F98" s="617" t="s">
        <v>918</v>
      </c>
      <c r="G98" s="634"/>
      <c r="H98" s="617"/>
      <c r="I98" s="592"/>
      <c r="J98" s="582"/>
      <c r="K98" s="767"/>
    </row>
    <row r="99" spans="1:11" s="346" customFormat="1" ht="15" customHeight="1">
      <c r="A99" s="345"/>
      <c r="B99" s="547"/>
      <c r="C99" s="636" t="str">
        <f>'Caract. produção'!C162</f>
        <v>Álcool(L)</v>
      </c>
      <c r="D99" s="453">
        <f>'Caract. produção'!E162</f>
        <v>0</v>
      </c>
      <c r="E99" s="637">
        <f>'Caract. produção'!D162</f>
        <v>0</v>
      </c>
      <c r="F99" s="453">
        <f>IF('Caract. produção'!G162&gt;0,'Caract. produção'!G162,IF('Caract. produção'!G162=0,D99*E99))</f>
        <v>0</v>
      </c>
      <c r="G99" s="547"/>
      <c r="H99" s="340"/>
      <c r="I99" s="590"/>
      <c r="J99" s="345"/>
      <c r="K99" s="761"/>
    </row>
    <row r="100" spans="1:11" s="346" customFormat="1" ht="15" customHeight="1">
      <c r="A100" s="345"/>
      <c r="B100" s="547"/>
      <c r="C100" s="636" t="str">
        <f>'Caract. produção'!C163</f>
        <v>Diesel(L)</v>
      </c>
      <c r="D100" s="811">
        <f>'Caract. produção'!E163</f>
        <v>0</v>
      </c>
      <c r="E100" s="812">
        <f>'Caract. produção'!D163</f>
        <v>0</v>
      </c>
      <c r="F100" s="453">
        <f>IF('Caract. produção'!G163&gt;0,'Caract. produção'!G163,IF('Caract. produção'!G163=0,D100*E100))</f>
        <v>0</v>
      </c>
      <c r="G100" s="547"/>
      <c r="H100" s="340"/>
      <c r="I100" s="590"/>
      <c r="J100" s="345"/>
      <c r="K100" s="761"/>
    </row>
    <row r="101" spans="1:11" s="346" customFormat="1" ht="15" customHeight="1">
      <c r="A101" s="345"/>
      <c r="B101" s="547"/>
      <c r="C101" s="636" t="str">
        <f>'Caract. produção'!C164</f>
        <v>Gasolina(L)</v>
      </c>
      <c r="D101" s="811">
        <f>'Caract. produção'!E164</f>
        <v>0</v>
      </c>
      <c r="E101" s="812">
        <f>'Caract. produção'!D164</f>
        <v>0</v>
      </c>
      <c r="F101" s="453">
        <f>IF('Caract. produção'!G164&gt;0,'Caract. produção'!G164,IF('Caract. produção'!G164=0,D101*E101))</f>
        <v>0</v>
      </c>
      <c r="G101" s="547"/>
      <c r="H101" s="340"/>
      <c r="I101" s="590"/>
      <c r="J101" s="345"/>
      <c r="K101" s="761"/>
    </row>
    <row r="102" spans="1:11" s="346" customFormat="1" ht="14.25">
      <c r="A102" s="345"/>
      <c r="B102" s="547"/>
      <c r="C102" s="636" t="str">
        <f>'Caract. produção'!C165</f>
        <v>Gás(botj.13kg)</v>
      </c>
      <c r="D102" s="453">
        <f>'Caract. produção'!E165</f>
        <v>90</v>
      </c>
      <c r="E102" s="637">
        <f>'Caract. produção'!D165</f>
        <v>13</v>
      </c>
      <c r="F102" s="453">
        <f>IF('Caract. produção'!G165&gt;0,'Caract. produção'!G165,IF('Caract. produção'!G165=0,D102*E102))</f>
        <v>1170</v>
      </c>
      <c r="G102" s="547"/>
      <c r="H102" s="340"/>
      <c r="I102" s="340"/>
      <c r="J102" s="345"/>
      <c r="K102" s="761"/>
    </row>
    <row r="103" spans="1:11" s="346" customFormat="1" ht="14.25">
      <c r="A103" s="345"/>
      <c r="B103" s="547"/>
      <c r="C103" s="636" t="str">
        <f>'Caract. produção'!C166</f>
        <v>Lenha (m³)</v>
      </c>
      <c r="D103" s="453">
        <f>'Caract. produção'!E166</f>
        <v>52</v>
      </c>
      <c r="E103" s="812">
        <f>'Caract. produção'!D166</f>
        <v>12</v>
      </c>
      <c r="F103" s="453">
        <f>IF('Caract. produção'!G166&gt;0,'Caract. produção'!G166,IF('Caract. produção'!G166=0,D103*E103))</f>
        <v>624</v>
      </c>
      <c r="G103" s="547"/>
      <c r="H103" s="638"/>
      <c r="I103" s="340"/>
      <c r="J103" s="345"/>
      <c r="K103" s="761"/>
    </row>
    <row r="104" spans="1:11" s="346" customFormat="1" ht="14.25">
      <c r="A104" s="345"/>
      <c r="B104" s="547"/>
      <c r="C104" s="636" t="str">
        <f>'Caract. produção'!C167</f>
        <v>Energia(kwh)</v>
      </c>
      <c r="D104" s="453">
        <f>'Caract. produção'!E167</f>
        <v>0.4</v>
      </c>
      <c r="E104" s="637">
        <f>'Caract. produção'!D167</f>
        <v>1770</v>
      </c>
      <c r="F104" s="453">
        <f>IF('Caract. produção'!G167&gt;0,'Caract. produção'!G167,IF('Caract. produção'!G167=0,D104*E104))</f>
        <v>708</v>
      </c>
      <c r="G104" s="547"/>
      <c r="H104" s="638"/>
      <c r="I104" s="340"/>
      <c r="J104" s="345"/>
      <c r="K104" s="761"/>
    </row>
    <row r="105" spans="1:11" s="346" customFormat="1" ht="14.25">
      <c r="A105" s="345"/>
      <c r="B105" s="547"/>
      <c r="C105" s="636" t="str">
        <f>'Caract. produção'!C168</f>
        <v>Carvão (un)</v>
      </c>
      <c r="D105" s="453">
        <f>'Caract. produção'!E168</f>
        <v>0</v>
      </c>
      <c r="E105" s="637">
        <f>'Caract. produção'!D168</f>
        <v>0</v>
      </c>
      <c r="F105" s="453">
        <f>IF('Caract. produção'!G168&gt;0,'Caract. produção'!G168,IF('Caract. produção'!G168=0,D105*E105))</f>
        <v>0</v>
      </c>
      <c r="G105" s="547"/>
      <c r="H105" s="547"/>
      <c r="I105" s="547"/>
      <c r="J105" s="345"/>
      <c r="K105" s="761"/>
    </row>
    <row r="106" spans="1:11" s="346" customFormat="1" ht="14.25">
      <c r="A106" s="345"/>
      <c r="B106" s="547"/>
      <c r="C106" s="636" t="str">
        <f>'Caract. produção'!C169</f>
        <v>Biomassa(un)</v>
      </c>
      <c r="D106" s="453">
        <f>'Caract. produção'!E169</f>
        <v>0</v>
      </c>
      <c r="E106" s="637">
        <f>'Caract. produção'!D169</f>
        <v>0</v>
      </c>
      <c r="F106" s="453">
        <f>IF('Caract. produção'!G169&gt;0,'Caract. produção'!G169,IF('Caract. produção'!G169=0,D106*E106))</f>
        <v>0</v>
      </c>
      <c r="G106" s="547"/>
      <c r="H106" s="547"/>
      <c r="I106" s="547"/>
      <c r="J106" s="345"/>
      <c r="K106" s="761"/>
    </row>
    <row r="107" spans="1:11" s="346" customFormat="1" ht="14.25">
      <c r="A107" s="345"/>
      <c r="B107" s="547"/>
      <c r="C107" s="530"/>
      <c r="D107" s="530"/>
      <c r="E107" s="530"/>
      <c r="F107" s="581" t="s">
        <v>928</v>
      </c>
      <c r="G107" s="581"/>
      <c r="H107" s="603">
        <f>SUM(F99:F105)</f>
        <v>2502</v>
      </c>
      <c r="I107" s="547"/>
      <c r="J107" s="345"/>
      <c r="K107" s="761"/>
    </row>
    <row r="108" spans="1:11" s="346" customFormat="1" ht="14.25">
      <c r="A108" s="345"/>
      <c r="B108" s="547"/>
      <c r="C108" s="530"/>
      <c r="D108" s="547"/>
      <c r="E108" s="547"/>
      <c r="F108" s="547"/>
      <c r="G108" s="547"/>
      <c r="H108" s="547"/>
      <c r="I108" s="547"/>
      <c r="J108" s="345"/>
      <c r="K108" s="761"/>
    </row>
    <row r="109" spans="1:11" s="346" customFormat="1">
      <c r="A109" s="345"/>
      <c r="B109" s="345"/>
      <c r="C109" s="734" t="s">
        <v>914</v>
      </c>
      <c r="D109" s="633"/>
      <c r="E109" s="633"/>
      <c r="F109" s="633"/>
      <c r="G109" s="633"/>
      <c r="H109" s="633"/>
      <c r="I109" s="633"/>
      <c r="J109" s="345"/>
      <c r="K109" s="761"/>
    </row>
    <row r="110" spans="1:11" s="346" customFormat="1" ht="14.25">
      <c r="A110" s="345"/>
      <c r="B110" s="547"/>
      <c r="C110" s="639"/>
      <c r="D110" s="547"/>
      <c r="E110" s="547"/>
      <c r="F110" s="547"/>
      <c r="G110" s="547"/>
      <c r="H110" s="547"/>
      <c r="I110" s="547"/>
      <c r="J110" s="345"/>
      <c r="K110" s="761"/>
    </row>
    <row r="111" spans="1:11" s="635" customFormat="1" ht="38.25" customHeight="1">
      <c r="A111" s="582"/>
      <c r="B111" s="617"/>
      <c r="C111" s="640"/>
      <c r="D111" s="617" t="s">
        <v>915</v>
      </c>
      <c r="E111" s="617" t="s">
        <v>916</v>
      </c>
      <c r="F111" s="617" t="s">
        <v>913</v>
      </c>
      <c r="G111" s="617" t="s">
        <v>918</v>
      </c>
      <c r="H111" s="617"/>
      <c r="I111" s="617"/>
      <c r="J111" s="582"/>
      <c r="K111" s="767"/>
    </row>
    <row r="112" spans="1:11" s="346" customFormat="1" ht="14.25">
      <c r="A112" s="345"/>
      <c r="B112" s="547"/>
      <c r="C112" s="530" t="s">
        <v>914</v>
      </c>
      <c r="D112" s="453">
        <f>'Caract. produção'!C158</f>
        <v>10</v>
      </c>
      <c r="E112" s="637">
        <f>'Caract. produção'!D158</f>
        <v>20</v>
      </c>
      <c r="F112" s="637">
        <f>'Caract. produção'!E158</f>
        <v>6</v>
      </c>
      <c r="G112" s="453">
        <f>((D112*E112)*'Caract. produção'!D74/F112)/'Caract. produção'!D74</f>
        <v>33.333333333333336</v>
      </c>
      <c r="H112" s="638"/>
      <c r="I112" s="340"/>
      <c r="J112" s="345"/>
      <c r="K112" s="761"/>
    </row>
    <row r="113" spans="1:11" s="346" customFormat="1" ht="14.25">
      <c r="A113" s="345"/>
      <c r="B113" s="547"/>
      <c r="C113" s="547"/>
      <c r="D113" s="547"/>
      <c r="E113" s="547"/>
      <c r="F113" s="1227"/>
      <c r="G113" s="1227"/>
      <c r="H113" s="547"/>
      <c r="I113" s="547"/>
      <c r="J113" s="345"/>
      <c r="K113" s="761"/>
    </row>
    <row r="114" spans="1:11" s="346" customFormat="1" ht="14.25">
      <c r="A114" s="345"/>
      <c r="B114" s="547"/>
      <c r="C114" s="547"/>
      <c r="D114" s="547"/>
      <c r="E114" s="547"/>
      <c r="F114" s="581" t="s">
        <v>929</v>
      </c>
      <c r="G114" s="581"/>
      <c r="H114" s="603">
        <f>G112</f>
        <v>33.333333333333336</v>
      </c>
      <c r="I114" s="547"/>
      <c r="J114" s="345"/>
      <c r="K114" s="761"/>
    </row>
    <row r="115" spans="1:11" s="346" customFormat="1" ht="14.25">
      <c r="A115" s="345"/>
      <c r="B115" s="547"/>
      <c r="C115" s="639"/>
      <c r="D115" s="639"/>
      <c r="E115" s="639"/>
      <c r="F115" s="639"/>
      <c r="G115" s="639"/>
      <c r="H115" s="639"/>
      <c r="I115" s="340"/>
      <c r="J115" s="345"/>
      <c r="K115" s="761"/>
    </row>
    <row r="116" spans="1:11" s="346" customFormat="1">
      <c r="A116" s="345"/>
      <c r="B116" s="345"/>
      <c r="C116" s="734" t="s">
        <v>1168</v>
      </c>
      <c r="D116" s="633"/>
      <c r="E116" s="633"/>
      <c r="F116" s="633"/>
      <c r="G116" s="633"/>
      <c r="H116" s="633"/>
      <c r="I116" s="633"/>
      <c r="J116" s="345"/>
      <c r="K116" s="761"/>
    </row>
    <row r="117" spans="1:11" s="346" customFormat="1" ht="14.25">
      <c r="A117" s="345"/>
      <c r="B117" s="686"/>
      <c r="C117" s="639"/>
      <c r="D117" s="686"/>
      <c r="E117" s="686"/>
      <c r="F117" s="686"/>
      <c r="G117" s="686"/>
      <c r="H117" s="686"/>
      <c r="I117" s="686"/>
      <c r="J117" s="345"/>
      <c r="K117" s="761"/>
    </row>
    <row r="118" spans="1:11" s="346" customFormat="1" ht="28.5">
      <c r="A118" s="345"/>
      <c r="B118" s="686"/>
      <c r="C118" s="639"/>
      <c r="D118" s="693" t="s">
        <v>1118</v>
      </c>
      <c r="E118" s="686"/>
      <c r="F118" s="686"/>
      <c r="G118" s="686"/>
      <c r="H118" s="686"/>
      <c r="I118" s="686"/>
      <c r="J118" s="345"/>
      <c r="K118" s="761"/>
    </row>
    <row r="119" spans="1:11" s="346" customFormat="1" ht="14.25">
      <c r="A119" s="345"/>
      <c r="B119" s="686"/>
      <c r="C119" s="530" t="s">
        <v>1115</v>
      </c>
      <c r="D119" s="453">
        <f>'Caract. produção'!G63</f>
        <v>0</v>
      </c>
      <c r="E119" s="637"/>
      <c r="F119" s="637"/>
      <c r="G119" s="453"/>
      <c r="H119" s="638"/>
      <c r="I119" s="340"/>
      <c r="J119" s="345"/>
      <c r="K119" s="761"/>
    </row>
    <row r="120" spans="1:11" s="346" customFormat="1" ht="14.25">
      <c r="A120" s="345"/>
      <c r="B120" s="686"/>
      <c r="C120" s="530" t="s">
        <v>1116</v>
      </c>
      <c r="D120" s="453">
        <f>'Caract. produção'!F237+'Caract. produção'!F239</f>
        <v>1804.8095999999998</v>
      </c>
      <c r="E120" s="637"/>
      <c r="F120" s="637"/>
      <c r="G120" s="453"/>
      <c r="H120" s="638"/>
      <c r="I120" s="340"/>
      <c r="J120" s="345"/>
      <c r="K120" s="761"/>
    </row>
    <row r="121" spans="1:11" s="346" customFormat="1" ht="14.25">
      <c r="A121" s="345"/>
      <c r="B121" s="686"/>
      <c r="C121" s="530" t="s">
        <v>1117</v>
      </c>
      <c r="D121" s="453">
        <f>'Caract. produção'!F238</f>
        <v>0</v>
      </c>
      <c r="E121" s="637"/>
      <c r="F121" s="637"/>
      <c r="G121" s="453"/>
      <c r="H121" s="638"/>
      <c r="I121" s="340"/>
      <c r="J121" s="345"/>
      <c r="K121" s="761"/>
    </row>
    <row r="122" spans="1:11" s="346" customFormat="1" ht="14.25">
      <c r="A122" s="345"/>
      <c r="B122" s="686"/>
      <c r="C122" s="686"/>
      <c r="D122" s="686"/>
      <c r="E122" s="686"/>
      <c r="F122" s="1227"/>
      <c r="G122" s="1227"/>
      <c r="H122" s="686"/>
      <c r="I122" s="686"/>
      <c r="J122" s="345"/>
      <c r="K122" s="761"/>
    </row>
    <row r="123" spans="1:11" s="346" customFormat="1" ht="14.25">
      <c r="A123" s="345"/>
      <c r="B123" s="686"/>
      <c r="C123" s="686"/>
      <c r="D123" s="686"/>
      <c r="E123" s="686"/>
      <c r="F123" s="581" t="s">
        <v>929</v>
      </c>
      <c r="G123" s="581"/>
      <c r="H123" s="603">
        <f>SUM(D119:D121)</f>
        <v>1804.8095999999998</v>
      </c>
      <c r="I123" s="686"/>
      <c r="J123" s="345"/>
      <c r="K123" s="761"/>
    </row>
    <row r="124" spans="1:11" s="346" customFormat="1" ht="14.25">
      <c r="A124" s="345"/>
      <c r="B124" s="686"/>
      <c r="C124" s="639"/>
      <c r="D124" s="639"/>
      <c r="E124" s="639"/>
      <c r="F124" s="639"/>
      <c r="G124" s="639"/>
      <c r="H124" s="639"/>
      <c r="I124" s="340"/>
      <c r="J124" s="345"/>
      <c r="K124" s="761"/>
    </row>
    <row r="125" spans="1:11" s="346" customFormat="1">
      <c r="A125" s="345"/>
      <c r="B125" s="345"/>
      <c r="C125" s="734" t="s">
        <v>728</v>
      </c>
      <c r="D125" s="633"/>
      <c r="E125" s="633"/>
      <c r="F125" s="633"/>
      <c r="G125" s="633"/>
      <c r="H125" s="633"/>
      <c r="I125" s="633"/>
      <c r="J125" s="345"/>
      <c r="K125" s="761"/>
    </row>
    <row r="126" spans="1:11" s="346" customFormat="1" ht="14.25">
      <c r="A126" s="345"/>
      <c r="B126" s="547"/>
      <c r="C126" s="639"/>
      <c r="D126" s="639"/>
      <c r="E126" s="639"/>
      <c r="F126" s="639"/>
      <c r="G126" s="639"/>
      <c r="H126" s="639"/>
      <c r="I126" s="639"/>
      <c r="J126" s="345"/>
      <c r="K126" s="555">
        <f>IF('Caract. produção'!G12=1,SUM(K112,K105,K67,Trabalho!J16)*(3/100),IF('Caract. produção'!G12=2,SUM(K92,K84,K56,K5,Trabalho!J25,K67,K121,Trabalho!J16,K105))*(3/100))</f>
        <v>0</v>
      </c>
    </row>
    <row r="127" spans="1:11" s="346" customFormat="1" ht="14.25">
      <c r="A127" s="345"/>
      <c r="B127" s="547"/>
      <c r="C127" s="639"/>
      <c r="D127" s="639"/>
      <c r="E127" s="639"/>
      <c r="F127" s="1229" t="s">
        <v>986</v>
      </c>
      <c r="G127" s="1229"/>
      <c r="H127" s="555">
        <f>IF('Caract. produção'!D14=1,SUM(E91,H86,H58,H7,Transporte!G13,Trabalho!G27)*(3/100),IF('Caract. produção'!D14=2,0))</f>
        <v>2404.3772815841717</v>
      </c>
      <c r="I127" s="639"/>
      <c r="J127" s="345"/>
      <c r="K127" s="761"/>
    </row>
    <row r="128" spans="1:11" s="346" customFormat="1" ht="14.25">
      <c r="A128" s="345"/>
      <c r="B128" s="547"/>
      <c r="C128" s="639"/>
      <c r="D128" s="639"/>
      <c r="E128" s="639"/>
      <c r="F128" s="1229" t="s">
        <v>985</v>
      </c>
      <c r="G128" s="1229"/>
      <c r="H128" s="555">
        <f>IF('Caract. produção'!D14=1,SUM(H114,H107,H69,Trabalho!G18)*(3/100),IF('Caract. produção'!D14=2,SUM(H94,H86,H58,H7,Trabalho!G27,H69,H123,Trabalho!G18,H107))*(3/100))</f>
        <v>77.680000000000007</v>
      </c>
      <c r="I128" s="639"/>
      <c r="J128" s="345"/>
      <c r="K128" s="761"/>
    </row>
    <row r="129" spans="1:11" s="346" customFormat="1" ht="14.25">
      <c r="A129" s="345"/>
      <c r="B129" s="547"/>
      <c r="C129" s="639"/>
      <c r="D129" s="639"/>
      <c r="E129" s="639"/>
      <c r="F129" s="639"/>
      <c r="G129" s="639"/>
      <c r="H129" s="639"/>
      <c r="I129" s="340"/>
      <c r="J129" s="345"/>
      <c r="K129" s="761"/>
    </row>
    <row r="130" spans="1:11" s="346" customFormat="1" ht="14.25">
      <c r="A130" s="345"/>
      <c r="B130" s="547"/>
      <c r="C130" s="639"/>
      <c r="D130" s="639"/>
      <c r="E130" s="639"/>
      <c r="F130" s="509" t="s">
        <v>927</v>
      </c>
      <c r="G130" s="602"/>
      <c r="H130" s="603">
        <f>SUM(H114,H107,H94,H86,H69,H58,H7,H127,H128,H123)</f>
        <v>80649.24498785082</v>
      </c>
      <c r="I130" s="340"/>
      <c r="J130" s="345"/>
      <c r="K130" s="761"/>
    </row>
    <row r="131" spans="1:11" s="346" customFormat="1" ht="14.25">
      <c r="A131" s="345"/>
      <c r="B131" s="547"/>
      <c r="C131" s="639"/>
      <c r="D131" s="639"/>
      <c r="E131" s="639"/>
      <c r="F131" s="639"/>
      <c r="G131" s="639"/>
      <c r="H131" s="639"/>
      <c r="I131" s="340"/>
      <c r="J131" s="345"/>
      <c r="K131" s="761"/>
    </row>
    <row r="132" spans="1:11" s="346" customFormat="1" ht="14.25">
      <c r="A132" s="345"/>
      <c r="B132" s="345"/>
      <c r="C132" s="345"/>
      <c r="D132" s="345"/>
      <c r="E132" s="345"/>
      <c r="F132" s="345"/>
      <c r="G132" s="345"/>
      <c r="H132" s="345"/>
      <c r="I132" s="345"/>
      <c r="J132" s="345"/>
      <c r="K132" s="761"/>
    </row>
  </sheetData>
  <customSheetViews>
    <customSheetView guid="{B21478FB-9ACB-45B8-8FD5-2F18F035D5FD}" state="hidden">
      <pageMargins left="0.7" right="0.7" top="0.75" bottom="0.75" header="0.3" footer="0.3"/>
      <pageSetup paperSize="9" orientation="portrait" r:id="rId1"/>
    </customSheetView>
  </customSheetViews>
  <mergeCells count="14">
    <mergeCell ref="F122:G122"/>
    <mergeCell ref="F127:G127"/>
    <mergeCell ref="F128:G128"/>
    <mergeCell ref="B3:C3"/>
    <mergeCell ref="B1:C1"/>
    <mergeCell ref="B42:G42"/>
    <mergeCell ref="B26:G26"/>
    <mergeCell ref="F113:G113"/>
    <mergeCell ref="B62:G62"/>
    <mergeCell ref="B71:G71"/>
    <mergeCell ref="B73:G73"/>
    <mergeCell ref="B88:G88"/>
    <mergeCell ref="B60:G60"/>
    <mergeCell ref="B9:H9"/>
  </mergeCells>
  <pageMargins left="0.7" right="0.7" top="0.75" bottom="0.75" header="0.3" footer="0.3"/>
  <pageSetup paperSize="9" orientation="portrait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15"/>
  <sheetViews>
    <sheetView workbookViewId="0"/>
  </sheetViews>
  <sheetFormatPr defaultRowHeight="15"/>
  <cols>
    <col min="1" max="1" width="4.5" style="342" customWidth="1"/>
    <col min="2" max="2" width="18.33203125" style="342" customWidth="1"/>
    <col min="3" max="3" width="26.83203125" style="342" customWidth="1"/>
    <col min="4" max="4" width="27.1640625" style="342" customWidth="1"/>
    <col min="5" max="5" width="19.33203125" style="342" customWidth="1"/>
    <col min="6" max="6" width="20.6640625" style="342" customWidth="1"/>
    <col min="7" max="7" width="20.33203125" style="342" customWidth="1"/>
    <col min="8" max="8" width="12.5" style="342" bestFit="1" customWidth="1"/>
    <col min="9" max="9" width="4" style="342" customWidth="1"/>
    <col min="10" max="16384" width="9.33203125" style="342"/>
  </cols>
  <sheetData>
    <row r="1" spans="1:9" ht="15" customHeight="1">
      <c r="A1" s="353"/>
      <c r="B1" s="1196" t="s">
        <v>1482</v>
      </c>
      <c r="C1" s="1196"/>
      <c r="D1" s="1196"/>
      <c r="E1" s="363"/>
      <c r="F1" s="363"/>
      <c r="G1" s="363"/>
      <c r="H1" s="364"/>
      <c r="I1" s="337"/>
    </row>
    <row r="2" spans="1:9">
      <c r="A2" s="353"/>
      <c r="B2" s="365"/>
      <c r="C2" s="365"/>
      <c r="D2" s="365"/>
      <c r="E2" s="365"/>
      <c r="F2" s="365"/>
      <c r="G2" s="365"/>
      <c r="H2" s="365"/>
      <c r="I2" s="353"/>
    </row>
    <row r="3" spans="1:9" s="355" customFormat="1" ht="30">
      <c r="A3" s="354"/>
      <c r="B3" s="361"/>
      <c r="C3" s="600" t="s">
        <v>1484</v>
      </c>
      <c r="D3" s="600" t="s">
        <v>1485</v>
      </c>
      <c r="E3" s="361"/>
      <c r="F3" s="361"/>
      <c r="G3" s="361" t="s">
        <v>878</v>
      </c>
      <c r="H3" s="361"/>
      <c r="I3" s="354"/>
    </row>
    <row r="4" spans="1:9" ht="15" customHeight="1">
      <c r="A4" s="353"/>
      <c r="B4" s="688"/>
      <c r="C4" s="859">
        <v>3.5999999999999997E-2</v>
      </c>
      <c r="D4" s="649">
        <f>SUM('Caract. produção'!E97:E99)*'Caract. produção'!D71</f>
        <v>71331.839999999997</v>
      </c>
      <c r="E4" s="650"/>
      <c r="F4" s="651"/>
      <c r="G4" s="362">
        <f>D4*C4</f>
        <v>2567.9462399999998</v>
      </c>
      <c r="H4" s="361"/>
      <c r="I4" s="353"/>
    </row>
    <row r="5" spans="1:9">
      <c r="A5" s="353"/>
      <c r="B5" s="368"/>
      <c r="C5" s="368"/>
      <c r="D5" s="368"/>
      <c r="E5" s="368"/>
      <c r="F5" s="369"/>
      <c r="G5" s="370"/>
      <c r="H5" s="370"/>
      <c r="I5" s="353"/>
    </row>
    <row r="6" spans="1:9">
      <c r="A6" s="353"/>
      <c r="B6" s="1196" t="s">
        <v>1483</v>
      </c>
      <c r="C6" s="1196"/>
      <c r="D6" s="1196"/>
      <c r="E6" s="353"/>
      <c r="F6" s="353"/>
      <c r="G6" s="353"/>
      <c r="H6" s="353"/>
      <c r="I6" s="353"/>
    </row>
    <row r="7" spans="1:9">
      <c r="A7" s="797"/>
      <c r="B7" s="798"/>
      <c r="C7" s="798"/>
      <c r="D7" s="798"/>
      <c r="E7" s="798"/>
      <c r="F7" s="798"/>
      <c r="G7" s="798"/>
      <c r="H7" s="798"/>
      <c r="I7" s="797"/>
    </row>
    <row r="8" spans="1:9" ht="30">
      <c r="A8" s="796"/>
      <c r="B8" s="361"/>
      <c r="C8" s="600" t="s">
        <v>1486</v>
      </c>
      <c r="D8" s="600" t="s">
        <v>1487</v>
      </c>
      <c r="E8" s="361"/>
      <c r="F8" s="361"/>
      <c r="G8" s="361" t="s">
        <v>878</v>
      </c>
      <c r="H8" s="361"/>
      <c r="I8" s="796"/>
    </row>
    <row r="9" spans="1:9">
      <c r="A9" s="797"/>
      <c r="B9" s="688"/>
      <c r="C9" s="859">
        <v>0.23100000000000001</v>
      </c>
      <c r="D9" s="649">
        <f>'Caract. produção'!D71</f>
        <v>15360</v>
      </c>
      <c r="E9" s="650"/>
      <c r="F9" s="651"/>
      <c r="G9" s="362">
        <f>C9*D9</f>
        <v>3548.1600000000003</v>
      </c>
      <c r="H9" s="361"/>
      <c r="I9" s="797"/>
    </row>
    <row r="10" spans="1:9">
      <c r="A10" s="797"/>
      <c r="B10" s="366"/>
      <c r="C10" s="366"/>
      <c r="D10" s="366"/>
      <c r="E10" s="366"/>
      <c r="F10" s="367"/>
      <c r="G10" s="798"/>
      <c r="H10" s="798"/>
      <c r="I10" s="797"/>
    </row>
    <row r="11" spans="1:9">
      <c r="A11" s="797"/>
      <c r="B11" s="797"/>
      <c r="C11" s="797"/>
      <c r="D11" s="797"/>
      <c r="E11" s="797"/>
      <c r="F11" s="797"/>
      <c r="G11" s="797"/>
      <c r="H11" s="797"/>
      <c r="I11" s="797"/>
    </row>
    <row r="12" spans="1:9">
      <c r="A12" s="797"/>
      <c r="B12" s="368"/>
      <c r="C12" s="368"/>
      <c r="D12" s="368"/>
      <c r="E12" s="368"/>
      <c r="F12" s="369"/>
      <c r="G12" s="370"/>
      <c r="H12" s="370"/>
      <c r="I12" s="797"/>
    </row>
    <row r="13" spans="1:9">
      <c r="A13" s="797"/>
      <c r="B13" s="366"/>
      <c r="C13" s="366"/>
      <c r="D13" s="366"/>
      <c r="E13" s="1232" t="s">
        <v>1124</v>
      </c>
      <c r="F13" s="1232"/>
      <c r="G13" s="338">
        <f>SUM(G4,G9)</f>
        <v>6116.1062400000001</v>
      </c>
      <c r="H13" s="371"/>
      <c r="I13" s="797"/>
    </row>
    <row r="14" spans="1:9">
      <c r="A14" s="797"/>
      <c r="B14" s="366"/>
      <c r="C14" s="366"/>
      <c r="D14" s="366"/>
      <c r="E14" s="366"/>
      <c r="F14" s="367"/>
      <c r="G14" s="798"/>
      <c r="H14" s="798"/>
      <c r="I14" s="797"/>
    </row>
    <row r="15" spans="1:9">
      <c r="A15" s="797"/>
      <c r="B15" s="797"/>
      <c r="C15" s="797"/>
      <c r="D15" s="797"/>
      <c r="E15" s="797"/>
      <c r="F15" s="797"/>
      <c r="G15" s="797"/>
      <c r="H15" s="797"/>
      <c r="I15" s="797"/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</customSheetView>
  </customSheetViews>
  <mergeCells count="3">
    <mergeCell ref="E13:F13"/>
    <mergeCell ref="B1:D1"/>
    <mergeCell ref="B6:D6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7">
    <tabColor theme="6" tint="-0.499984740745262"/>
  </sheetPr>
  <dimension ref="A1:I45"/>
  <sheetViews>
    <sheetView workbookViewId="0"/>
  </sheetViews>
  <sheetFormatPr defaultRowHeight="12.75"/>
  <cols>
    <col min="1" max="1" width="29.5" style="78" customWidth="1"/>
    <col min="2" max="2" width="9.33203125" style="78"/>
    <col min="3" max="3" width="100.6640625" style="78" customWidth="1"/>
    <col min="4" max="5" width="9.33203125" style="78"/>
    <col min="6" max="6" width="14" style="78" bestFit="1" customWidth="1"/>
    <col min="7" max="7" width="12.1640625" style="78" customWidth="1"/>
    <col min="8" max="16384" width="9.33203125" style="78"/>
  </cols>
  <sheetData>
    <row r="1" spans="1:9" s="79" customFormat="1" ht="25.5">
      <c r="A1" s="79" t="s">
        <v>459</v>
      </c>
      <c r="B1" s="102">
        <v>1.2E+25</v>
      </c>
      <c r="C1" s="181" t="s">
        <v>460</v>
      </c>
      <c r="D1" s="102"/>
    </row>
    <row r="2" spans="1:9" s="657" customFormat="1" ht="25.5">
      <c r="A2" s="657" t="s">
        <v>461</v>
      </c>
      <c r="B2" s="657" t="s">
        <v>462</v>
      </c>
      <c r="C2" s="658" t="s">
        <v>463</v>
      </c>
      <c r="D2" s="657" t="s">
        <v>464</v>
      </c>
      <c r="E2" s="657" t="s">
        <v>380</v>
      </c>
      <c r="F2" s="657" t="s">
        <v>465</v>
      </c>
      <c r="G2" s="657" t="s">
        <v>214</v>
      </c>
      <c r="H2" s="657" t="s">
        <v>462</v>
      </c>
    </row>
    <row r="3" spans="1:9" s="186" customFormat="1">
      <c r="A3" s="78" t="s">
        <v>207</v>
      </c>
      <c r="B3" s="78" t="s">
        <v>466</v>
      </c>
      <c r="C3" s="182" t="s">
        <v>467</v>
      </c>
      <c r="D3" s="78" t="s">
        <v>468</v>
      </c>
      <c r="E3" s="78"/>
      <c r="F3" s="183"/>
      <c r="G3" s="184">
        <v>1</v>
      </c>
      <c r="H3" s="185"/>
      <c r="I3" s="184"/>
    </row>
    <row r="4" spans="1:9" ht="51">
      <c r="A4" s="78" t="s">
        <v>215</v>
      </c>
      <c r="B4" s="78" t="s">
        <v>469</v>
      </c>
      <c r="C4" s="95" t="s">
        <v>470</v>
      </c>
      <c r="D4" s="187">
        <v>1.5829999999999999E+25</v>
      </c>
      <c r="E4" s="187">
        <v>2447.3684210526317</v>
      </c>
      <c r="F4" s="187">
        <f>E4*0.76</f>
        <v>1860</v>
      </c>
      <c r="G4" s="182">
        <v>1</v>
      </c>
    </row>
    <row r="5" spans="1:9" ht="51">
      <c r="A5" s="78" t="s">
        <v>224</v>
      </c>
      <c r="B5" s="78" t="s">
        <v>469</v>
      </c>
      <c r="C5" s="95" t="s">
        <v>470</v>
      </c>
      <c r="D5" s="187">
        <v>1.5829999999999999E+25</v>
      </c>
      <c r="E5" s="187">
        <v>31000</v>
      </c>
      <c r="F5" s="187">
        <f>E5*0.76</f>
        <v>23560</v>
      </c>
      <c r="G5" s="182">
        <v>1</v>
      </c>
    </row>
    <row r="6" spans="1:9">
      <c r="A6" s="78" t="s">
        <v>232</v>
      </c>
      <c r="B6" s="78" t="s">
        <v>466</v>
      </c>
      <c r="C6" s="182" t="s">
        <v>467</v>
      </c>
      <c r="D6" s="188">
        <v>9.4399999999999998E+24</v>
      </c>
      <c r="E6" s="189">
        <v>48459</v>
      </c>
      <c r="F6" s="190">
        <f>E6*1.27</f>
        <v>61542.93</v>
      </c>
      <c r="G6" s="182">
        <v>1</v>
      </c>
    </row>
    <row r="7" spans="1:9">
      <c r="A7" s="78" t="s">
        <v>241</v>
      </c>
      <c r="B7" s="78" t="s">
        <v>471</v>
      </c>
      <c r="C7" s="78" t="s">
        <v>472</v>
      </c>
      <c r="D7" s="188">
        <v>9.4399999999999998E+24</v>
      </c>
      <c r="E7" s="188">
        <v>191000</v>
      </c>
      <c r="F7" s="86">
        <f>E7*1.27</f>
        <v>242570</v>
      </c>
      <c r="G7" s="182">
        <v>0</v>
      </c>
    </row>
    <row r="8" spans="1:9">
      <c r="A8" s="78" t="s">
        <v>249</v>
      </c>
      <c r="B8" s="78" t="s">
        <v>473</v>
      </c>
      <c r="C8" s="182" t="s">
        <v>474</v>
      </c>
      <c r="D8" s="188">
        <v>9.4399999999999998E+24</v>
      </c>
      <c r="E8" s="191">
        <v>15000</v>
      </c>
      <c r="F8" s="86">
        <f>E8*1.27</f>
        <v>19050</v>
      </c>
      <c r="G8" s="182">
        <v>0.7</v>
      </c>
    </row>
    <row r="9" spans="1:9">
      <c r="A9" s="78" t="s">
        <v>475</v>
      </c>
      <c r="B9" s="78" t="s">
        <v>476</v>
      </c>
      <c r="C9" s="182" t="s">
        <v>477</v>
      </c>
      <c r="D9" s="187">
        <v>1.5829999999999999E+25</v>
      </c>
      <c r="E9" s="86">
        <v>113000000000</v>
      </c>
      <c r="F9" s="86">
        <v>85880000000</v>
      </c>
      <c r="G9" s="182">
        <v>0.19</v>
      </c>
    </row>
    <row r="10" spans="1:9">
      <c r="A10" s="78" t="s">
        <v>269</v>
      </c>
      <c r="B10" s="78" t="s">
        <v>478</v>
      </c>
      <c r="C10" s="182" t="s">
        <v>479</v>
      </c>
      <c r="D10" s="187">
        <v>1.5829999999999999E+25</v>
      </c>
      <c r="E10" s="191">
        <v>9510000000</v>
      </c>
      <c r="F10" s="86">
        <f>E10*0.76</f>
        <v>7227600000</v>
      </c>
      <c r="G10" s="182">
        <v>0.01</v>
      </c>
    </row>
    <row r="11" spans="1:9">
      <c r="A11" s="78" t="s">
        <v>272</v>
      </c>
      <c r="B11" s="78" t="s">
        <v>466</v>
      </c>
      <c r="C11" s="182" t="s">
        <v>467</v>
      </c>
      <c r="D11" s="188">
        <v>9.4399999999999998E+24</v>
      </c>
      <c r="E11" s="191">
        <v>1570000</v>
      </c>
      <c r="F11" s="86">
        <f>E11*1.27</f>
        <v>1993900</v>
      </c>
      <c r="G11" s="182">
        <v>0.5</v>
      </c>
    </row>
    <row r="12" spans="1:9">
      <c r="A12" s="78" t="s">
        <v>480</v>
      </c>
      <c r="B12" s="78" t="s">
        <v>187</v>
      </c>
      <c r="C12" s="182" t="s">
        <v>481</v>
      </c>
      <c r="D12" s="187">
        <v>1.5829999999999999E+25</v>
      </c>
      <c r="E12" s="191">
        <v>2000000000000</v>
      </c>
      <c r="F12" s="86">
        <f>E12*0.76</f>
        <v>1520000000000</v>
      </c>
      <c r="G12" s="182">
        <v>0.47</v>
      </c>
    </row>
    <row r="13" spans="1:9">
      <c r="A13" s="78" t="s">
        <v>482</v>
      </c>
      <c r="B13" s="78" t="s">
        <v>483</v>
      </c>
      <c r="C13" s="192" t="s">
        <v>484</v>
      </c>
      <c r="D13" s="187">
        <v>1.5829999999999999E+25</v>
      </c>
      <c r="E13" s="86">
        <v>1287000000</v>
      </c>
      <c r="F13" s="86">
        <f>E13*0.76</f>
        <v>978120000</v>
      </c>
      <c r="G13" s="182">
        <v>0.17</v>
      </c>
    </row>
    <row r="14" spans="1:9">
      <c r="A14" s="78" t="s">
        <v>485</v>
      </c>
      <c r="B14" s="78" t="s">
        <v>483</v>
      </c>
      <c r="C14" s="192" t="s">
        <v>484</v>
      </c>
      <c r="D14" s="187">
        <v>1.5829999999999999E+25</v>
      </c>
      <c r="E14" s="86">
        <v>2740000000</v>
      </c>
      <c r="F14" s="86">
        <f>E14*0.76</f>
        <v>2082400000</v>
      </c>
      <c r="G14" s="182">
        <v>0.17</v>
      </c>
    </row>
    <row r="15" spans="1:9">
      <c r="A15" s="78" t="s">
        <v>486</v>
      </c>
      <c r="B15" s="78" t="s">
        <v>487</v>
      </c>
      <c r="C15" s="99" t="s">
        <v>488</v>
      </c>
      <c r="D15" s="188">
        <v>9.2599999999999999E+24</v>
      </c>
      <c r="E15" s="187">
        <v>2750000000</v>
      </c>
      <c r="F15" s="86">
        <v>3575000000</v>
      </c>
      <c r="G15" s="182">
        <v>0.01</v>
      </c>
    </row>
    <row r="16" spans="1:9">
      <c r="A16" s="78" t="s">
        <v>489</v>
      </c>
      <c r="B16" s="78" t="s">
        <v>490</v>
      </c>
      <c r="C16" s="99" t="s">
        <v>491</v>
      </c>
      <c r="D16" s="188">
        <v>9.2599999999999999E+24</v>
      </c>
      <c r="E16" s="187">
        <v>7760000000000</v>
      </c>
      <c r="F16" s="187">
        <v>10100000000000</v>
      </c>
      <c r="G16" s="182">
        <v>0.01</v>
      </c>
    </row>
    <row r="17" spans="1:7">
      <c r="A17" s="78" t="s">
        <v>320</v>
      </c>
      <c r="B17" s="78" t="s">
        <v>492</v>
      </c>
      <c r="C17" s="128" t="s">
        <v>493</v>
      </c>
      <c r="D17" s="188">
        <v>9.2599999999999999E+24</v>
      </c>
      <c r="E17" s="189">
        <v>65826</v>
      </c>
      <c r="F17" s="86">
        <v>85573.8</v>
      </c>
      <c r="G17" s="182">
        <v>0.01</v>
      </c>
    </row>
    <row r="18" spans="1:7">
      <c r="A18" s="78" t="s">
        <v>325</v>
      </c>
      <c r="B18" s="78" t="s">
        <v>494</v>
      </c>
      <c r="C18" s="99" t="s">
        <v>495</v>
      </c>
      <c r="D18" s="188">
        <v>1.5829999999999999E+25</v>
      </c>
      <c r="E18" s="78">
        <v>252000</v>
      </c>
      <c r="F18" s="86">
        <v>191520</v>
      </c>
      <c r="G18" s="182">
        <v>0.35</v>
      </c>
    </row>
    <row r="19" spans="1:7" ht="15.75">
      <c r="A19" s="78" t="s">
        <v>496</v>
      </c>
      <c r="B19" s="78" t="s">
        <v>497</v>
      </c>
      <c r="C19" s="104" t="s">
        <v>498</v>
      </c>
      <c r="D19" s="188">
        <v>1.5829999999999999E+25</v>
      </c>
      <c r="E19" s="86">
        <v>4140000000000</v>
      </c>
      <c r="F19" s="86">
        <f>E19*0.76</f>
        <v>3146400000000</v>
      </c>
      <c r="G19" s="182">
        <v>0.01</v>
      </c>
    </row>
    <row r="20" spans="1:7">
      <c r="A20" s="78" t="s">
        <v>349</v>
      </c>
      <c r="B20" s="78" t="s">
        <v>499</v>
      </c>
      <c r="C20" s="189" t="s">
        <v>500</v>
      </c>
      <c r="D20" s="188">
        <v>1.5829999999999999E+25</v>
      </c>
      <c r="E20" s="191">
        <v>2800000</v>
      </c>
      <c r="F20" s="86">
        <v>2128000</v>
      </c>
      <c r="G20" s="182">
        <v>0.7</v>
      </c>
    </row>
    <row r="21" spans="1:7">
      <c r="A21" s="78" t="s">
        <v>354</v>
      </c>
      <c r="B21" s="78" t="s">
        <v>499</v>
      </c>
      <c r="C21" s="78" t="s">
        <v>500</v>
      </c>
      <c r="D21" s="188">
        <v>1.5829999999999999E+25</v>
      </c>
      <c r="E21" s="191">
        <v>7560000</v>
      </c>
      <c r="F21" s="86">
        <v>5745600</v>
      </c>
      <c r="G21" s="182">
        <v>0.7</v>
      </c>
    </row>
    <row r="22" spans="1:7">
      <c r="A22" s="78" t="s">
        <v>501</v>
      </c>
      <c r="B22" s="78" t="s">
        <v>499</v>
      </c>
      <c r="C22" s="78" t="s">
        <v>500</v>
      </c>
      <c r="D22" s="188">
        <v>1.5829999999999999E+25</v>
      </c>
      <c r="E22" s="191">
        <v>9300000</v>
      </c>
      <c r="F22" s="86">
        <v>7068000</v>
      </c>
      <c r="G22" s="182">
        <v>0.7</v>
      </c>
    </row>
    <row r="23" spans="1:7">
      <c r="C23" s="189" t="s">
        <v>1082</v>
      </c>
      <c r="E23" s="188">
        <v>210000000000</v>
      </c>
      <c r="F23" s="86"/>
      <c r="G23" s="182"/>
    </row>
    <row r="24" spans="1:7">
      <c r="C24" s="189"/>
      <c r="E24" s="188"/>
      <c r="F24" s="86"/>
      <c r="G24" s="182"/>
    </row>
    <row r="25" spans="1:7">
      <c r="C25" s="189"/>
      <c r="E25" s="188"/>
      <c r="F25" s="86"/>
      <c r="G25" s="182"/>
    </row>
    <row r="26" spans="1:7">
      <c r="C26" s="189"/>
      <c r="E26" s="188"/>
      <c r="F26" s="86"/>
      <c r="G26" s="182"/>
    </row>
    <row r="27" spans="1:7">
      <c r="C27" s="189"/>
      <c r="E27" s="188"/>
      <c r="F27" s="86"/>
      <c r="G27" s="182"/>
    </row>
    <row r="28" spans="1:7">
      <c r="C28" s="189"/>
      <c r="E28" s="188"/>
      <c r="F28" s="86"/>
      <c r="G28" s="182"/>
    </row>
    <row r="29" spans="1:7">
      <c r="C29" s="189"/>
      <c r="E29" s="188"/>
      <c r="F29" s="86"/>
      <c r="G29" s="182"/>
    </row>
    <row r="30" spans="1:7">
      <c r="C30" s="189"/>
      <c r="E30" s="188"/>
      <c r="F30" s="86"/>
      <c r="G30" s="182"/>
    </row>
    <row r="31" spans="1:7">
      <c r="C31" s="189"/>
      <c r="E31" s="188"/>
      <c r="F31" s="86"/>
      <c r="G31" s="182"/>
    </row>
    <row r="32" spans="1:7">
      <c r="D32" s="188"/>
      <c r="E32" s="191"/>
      <c r="F32" s="86"/>
      <c r="G32" s="182"/>
    </row>
    <row r="33" spans="1:7">
      <c r="D33" s="188"/>
      <c r="E33" s="191"/>
      <c r="F33" s="86"/>
      <c r="G33" s="182"/>
    </row>
    <row r="34" spans="1:7" ht="15.75">
      <c r="A34" s="331" t="s">
        <v>706</v>
      </c>
    </row>
    <row r="35" spans="1:7" ht="15.75">
      <c r="A35" s="331"/>
      <c r="E35" s="86"/>
    </row>
    <row r="36" spans="1:7" ht="15.75">
      <c r="A36" s="331" t="s">
        <v>707</v>
      </c>
      <c r="E36" s="86"/>
    </row>
    <row r="37" spans="1:7" ht="15.75">
      <c r="A37" s="331"/>
    </row>
    <row r="38" spans="1:7" ht="15">
      <c r="A38" s="332" t="s">
        <v>708</v>
      </c>
    </row>
    <row r="39" spans="1:7" ht="15.75">
      <c r="A39" s="331"/>
    </row>
    <row r="40" spans="1:7" ht="15.75">
      <c r="A40" s="331" t="s">
        <v>709</v>
      </c>
    </row>
    <row r="41" spans="1:7" ht="15.75">
      <c r="A41" s="331"/>
    </row>
    <row r="42" spans="1:7" ht="15.75">
      <c r="A42" s="331" t="s">
        <v>710</v>
      </c>
    </row>
    <row r="43" spans="1:7" ht="15.75">
      <c r="A43" s="331"/>
    </row>
    <row r="44" spans="1:7" ht="15">
      <c r="A44" s="332" t="s">
        <v>711</v>
      </c>
    </row>
    <row r="45" spans="1:7" ht="15.75">
      <c r="A45" s="331" t="s">
        <v>712</v>
      </c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</customSheetView>
  </customSheetViews>
  <hyperlinks>
    <hyperlink ref="C1" r:id="rId1" display="http://dx.doi.org/10.1016/j.ecolmodel.2016.03.018"/>
    <hyperlink ref="A38" r:id="rId2" display="http://www.unicamp.br/fea/ortega/extensao/Tese-OtavioCavalett.pdf"/>
    <hyperlink ref="A44" r:id="rId3" display="http://www.unicamp.br/fea/ortega/extensao/dissertacao_MarianaBarrosTeixeira.pdf"/>
  </hyperlinks>
  <pageMargins left="0.511811024" right="0.511811024" top="0.78740157499999996" bottom="0.78740157499999996" header="0.31496062000000002" footer="0.31496062000000002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8">
    <tabColor theme="6" tint="0.39997558519241921"/>
  </sheetPr>
  <dimension ref="A1:E16"/>
  <sheetViews>
    <sheetView workbookViewId="0">
      <selection sqref="A1:A3"/>
    </sheetView>
  </sheetViews>
  <sheetFormatPr defaultRowHeight="12.75"/>
  <cols>
    <col min="1" max="5" width="28.1640625" customWidth="1"/>
    <col min="7" max="7" width="10" bestFit="1" customWidth="1"/>
  </cols>
  <sheetData>
    <row r="1" spans="1:5" ht="25.5">
      <c r="A1" s="1233" t="s">
        <v>160</v>
      </c>
      <c r="B1" s="70" t="s">
        <v>152</v>
      </c>
      <c r="C1" s="70" t="s">
        <v>154</v>
      </c>
      <c r="D1" s="70" t="s">
        <v>156</v>
      </c>
      <c r="E1" s="70" t="s">
        <v>157</v>
      </c>
    </row>
    <row r="2" spans="1:5">
      <c r="A2" s="1234"/>
      <c r="B2" s="71" t="s">
        <v>153</v>
      </c>
      <c r="C2" s="71" t="s">
        <v>155</v>
      </c>
      <c r="D2" s="71" t="s">
        <v>153</v>
      </c>
      <c r="E2" s="71" t="s">
        <v>158</v>
      </c>
    </row>
    <row r="3" spans="1:5">
      <c r="A3" s="1235"/>
      <c r="B3" s="72"/>
      <c r="C3" s="72"/>
      <c r="D3" s="72"/>
      <c r="E3" s="73" t="s">
        <v>159</v>
      </c>
    </row>
    <row r="4" spans="1:5">
      <c r="A4" s="74">
        <v>43647</v>
      </c>
      <c r="B4" s="77">
        <v>-0.01</v>
      </c>
      <c r="C4" s="76">
        <v>43831</v>
      </c>
      <c r="D4" s="76">
        <v>55524</v>
      </c>
      <c r="E4" s="75">
        <v>19233254</v>
      </c>
    </row>
    <row r="5" spans="1:5">
      <c r="A5" s="74">
        <v>43617</v>
      </c>
      <c r="B5" s="77">
        <v>0.63</v>
      </c>
      <c r="C5" s="76">
        <v>43935</v>
      </c>
      <c r="D5" s="76">
        <v>60274</v>
      </c>
      <c r="E5" s="75">
        <v>19235178</v>
      </c>
    </row>
    <row r="6" spans="1:5">
      <c r="A6" s="74">
        <v>43586</v>
      </c>
      <c r="B6" s="77">
        <v>0.4</v>
      </c>
      <c r="C6" s="76">
        <v>37400</v>
      </c>
      <c r="D6" s="76">
        <v>69230</v>
      </c>
      <c r="E6" s="75" t="s">
        <v>161</v>
      </c>
    </row>
    <row r="7" spans="1:5">
      <c r="A7" s="74">
        <v>43556</v>
      </c>
      <c r="B7" s="77">
        <v>0.9</v>
      </c>
      <c r="C7" s="76">
        <v>33267</v>
      </c>
      <c r="D7" s="76">
        <v>82436</v>
      </c>
      <c r="E7" s="75" t="s">
        <v>162</v>
      </c>
    </row>
    <row r="8" spans="1:5">
      <c r="A8" s="74">
        <v>43525</v>
      </c>
      <c r="B8" s="77">
        <v>1.07</v>
      </c>
      <c r="C8" s="76">
        <v>24050</v>
      </c>
      <c r="D8" s="76">
        <v>82757</v>
      </c>
      <c r="E8" s="75" t="s">
        <v>163</v>
      </c>
    </row>
    <row r="9" spans="1:5">
      <c r="A9" s="74">
        <v>43497</v>
      </c>
      <c r="B9" s="77">
        <v>1.25</v>
      </c>
      <c r="C9" s="76">
        <v>13209</v>
      </c>
      <c r="D9" s="76">
        <v>77294</v>
      </c>
      <c r="E9" s="75" t="s">
        <v>164</v>
      </c>
    </row>
    <row r="10" spans="1:5">
      <c r="A10" s="74">
        <v>43466</v>
      </c>
      <c r="B10" s="77">
        <v>7.0000000000000007E-2</v>
      </c>
      <c r="C10" s="75" t="s">
        <v>165</v>
      </c>
      <c r="D10" s="76">
        <v>65590</v>
      </c>
      <c r="E10" s="75" t="s">
        <v>166</v>
      </c>
    </row>
    <row r="13" spans="1:5">
      <c r="A13" t="s">
        <v>167</v>
      </c>
    </row>
    <row r="14" spans="1:5">
      <c r="A14" t="s">
        <v>168</v>
      </c>
    </row>
    <row r="16" spans="1:5">
      <c r="A16" t="s">
        <v>169</v>
      </c>
    </row>
  </sheetData>
  <customSheetViews>
    <customSheetView guid="{B21478FB-9ACB-45B8-8FD5-2F18F035D5FD}" state="hidden">
      <selection sqref="A1:A3"/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1">
    <mergeCell ref="A1:A3"/>
  </mergeCell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A1:AE45"/>
  <sheetViews>
    <sheetView workbookViewId="0"/>
  </sheetViews>
  <sheetFormatPr defaultRowHeight="12.75"/>
  <cols>
    <col min="1" max="1" width="48.6640625" style="43" customWidth="1"/>
    <col min="2" max="2" width="3.5" style="43" customWidth="1"/>
    <col min="3" max="3" width="5" style="43" customWidth="1"/>
    <col min="4" max="4" width="14" style="43" customWidth="1"/>
    <col min="5" max="6" width="4" style="43" customWidth="1"/>
    <col min="7" max="7" width="19.6640625" style="43" customWidth="1"/>
    <col min="8" max="8" width="4" style="43" customWidth="1"/>
    <col min="9" max="9" width="5.6640625" style="43" customWidth="1"/>
    <col min="10" max="10" width="17" style="43" bestFit="1" customWidth="1"/>
    <col min="11" max="11" width="6.33203125" style="43" customWidth="1"/>
    <col min="12" max="12" width="5.5" style="43" customWidth="1"/>
    <col min="13" max="13" width="3.6640625" style="43" customWidth="1"/>
    <col min="14" max="14" width="4.5" style="43" customWidth="1"/>
    <col min="15" max="15" width="17.83203125" style="43" customWidth="1"/>
    <col min="16" max="16" width="3.5" style="43" customWidth="1"/>
    <col min="17" max="17" width="9.5" style="43" customWidth="1"/>
    <col min="18" max="18" width="4.6640625" style="43" customWidth="1"/>
    <col min="19" max="19" width="17.1640625" style="43" customWidth="1"/>
    <col min="20" max="20" width="3.33203125" style="43" customWidth="1"/>
    <col min="21" max="21" width="3.83203125" style="43" customWidth="1"/>
    <col min="22" max="22" width="14" style="43" customWidth="1"/>
    <col min="23" max="24" width="3.1640625" style="43" customWidth="1"/>
    <col min="25" max="25" width="13.83203125" style="43" customWidth="1"/>
    <col min="26" max="27" width="3.1640625" style="43" customWidth="1"/>
    <col min="28" max="28" width="15" style="43" customWidth="1"/>
    <col min="29" max="29" width="2.83203125" style="43" customWidth="1"/>
    <col min="30" max="30" width="4.6640625" style="43" customWidth="1"/>
    <col min="31" max="31" width="9.5" style="43" bestFit="1" customWidth="1"/>
    <col min="32" max="16384" width="9.33203125" style="43"/>
  </cols>
  <sheetData>
    <row r="1" spans="1:31" ht="12.75" customHeight="1">
      <c r="A1" s="8"/>
      <c r="B1" s="8"/>
      <c r="C1" s="1239" t="s">
        <v>131</v>
      </c>
      <c r="D1" s="1239"/>
      <c r="E1" s="1239"/>
      <c r="F1" s="1239"/>
      <c r="G1" s="1239"/>
      <c r="H1" s="1239"/>
      <c r="I1" s="1239"/>
      <c r="J1" s="1239"/>
      <c r="K1" s="1239"/>
      <c r="L1" s="1239"/>
      <c r="M1" s="1239"/>
      <c r="N1" s="1239"/>
      <c r="O1" s="1239"/>
      <c r="P1" s="1239"/>
      <c r="Q1" s="1239"/>
      <c r="R1" s="1239"/>
      <c r="S1" s="1239"/>
      <c r="T1" s="1239"/>
      <c r="U1" s="1239"/>
      <c r="V1" s="1239"/>
      <c r="W1" s="47"/>
      <c r="X1" s="47"/>
      <c r="Y1" s="47"/>
      <c r="Z1" s="47"/>
      <c r="AA1" s="47"/>
      <c r="AB1" s="47"/>
      <c r="AC1" s="47"/>
      <c r="AD1" s="47"/>
      <c r="AE1" s="47"/>
    </row>
    <row r="2" spans="1:31" ht="26.25" customHeight="1">
      <c r="A2" s="23" t="s">
        <v>29</v>
      </c>
      <c r="B2" s="46"/>
      <c r="C2" s="46"/>
      <c r="D2" s="49" t="s">
        <v>0</v>
      </c>
      <c r="E2" s="49"/>
      <c r="F2" s="1240" t="s">
        <v>52</v>
      </c>
      <c r="G2" s="1240"/>
      <c r="H2" s="49"/>
      <c r="I2" s="46"/>
      <c r="J2" s="49" t="s">
        <v>1</v>
      </c>
      <c r="K2" s="49"/>
      <c r="L2" s="46"/>
      <c r="M2" s="1"/>
      <c r="N2" s="1"/>
      <c r="O2" s="1241" t="s">
        <v>36</v>
      </c>
      <c r="P2" s="1242"/>
      <c r="Q2" s="1242"/>
      <c r="R2" s="1242"/>
      <c r="S2" s="1242"/>
      <c r="T2" s="48"/>
      <c r="U2" s="46"/>
      <c r="V2" s="2" t="s">
        <v>2</v>
      </c>
      <c r="W2" s="46"/>
      <c r="X2" s="46"/>
      <c r="Y2" s="39" t="s">
        <v>55</v>
      </c>
      <c r="Z2" s="46"/>
      <c r="AA2" s="46"/>
      <c r="AB2" s="1" t="s">
        <v>4</v>
      </c>
      <c r="AC2" s="46"/>
      <c r="AD2" s="49" t="s">
        <v>31</v>
      </c>
      <c r="AE2" s="7"/>
    </row>
    <row r="3" spans="1:31" ht="4.5" customHeight="1">
      <c r="A3" s="8"/>
      <c r="B3" s="8"/>
      <c r="C3" s="1239"/>
      <c r="D3" s="1239"/>
      <c r="E3" s="1239"/>
      <c r="F3" s="1239"/>
      <c r="G3" s="1239"/>
      <c r="H3" s="1239"/>
      <c r="I3" s="1239"/>
      <c r="J3" s="1239"/>
      <c r="K3" s="1239"/>
      <c r="L3" s="1239"/>
      <c r="M3" s="1239"/>
      <c r="N3" s="1239"/>
      <c r="O3" s="1239"/>
      <c r="P3" s="1239"/>
      <c r="Q3" s="1239"/>
      <c r="R3" s="1239"/>
      <c r="S3" s="1239"/>
      <c r="T3" s="1239"/>
      <c r="U3" s="1239"/>
      <c r="V3" s="1239"/>
      <c r="W3" s="47"/>
      <c r="X3" s="47"/>
      <c r="Y3" s="47"/>
      <c r="Z3" s="47"/>
      <c r="AA3" s="47"/>
      <c r="AB3" s="47"/>
      <c r="AC3" s="47"/>
      <c r="AD3" s="47"/>
      <c r="AE3" s="47"/>
    </row>
    <row r="4" spans="1:31" ht="21.75" customHeight="1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3" t="s">
        <v>5</v>
      </c>
      <c r="P4" s="46"/>
      <c r="Q4" s="4" t="s">
        <v>6</v>
      </c>
      <c r="R4" s="46"/>
      <c r="S4" s="60" t="s">
        <v>7</v>
      </c>
      <c r="T4" s="45"/>
      <c r="U4" s="46"/>
      <c r="V4" s="46"/>
      <c r="W4" s="46"/>
      <c r="X4" s="46"/>
      <c r="Y4" s="46"/>
      <c r="Z4" s="46"/>
      <c r="AA4" s="35"/>
      <c r="AB4" s="35"/>
      <c r="AC4" s="35"/>
      <c r="AD4" s="35"/>
      <c r="AE4" s="35"/>
    </row>
    <row r="5" spans="1:31" ht="12" customHeight="1">
      <c r="A5" s="5" t="s">
        <v>8</v>
      </c>
      <c r="B5" s="5"/>
      <c r="C5" s="45"/>
      <c r="D5" s="45"/>
      <c r="E5" s="45"/>
      <c r="F5" s="45"/>
      <c r="G5" s="45"/>
      <c r="H5" s="45"/>
      <c r="I5" s="10" t="s">
        <v>21</v>
      </c>
      <c r="J5" s="16" t="e">
        <f>Trabalho!#REF!</f>
        <v>#REF!</v>
      </c>
      <c r="K5" s="46"/>
      <c r="L5" s="45"/>
      <c r="M5" s="45"/>
      <c r="N5" s="10" t="s">
        <v>21</v>
      </c>
      <c r="O5" s="24" t="e">
        <f>SUM(G5,D5,J5)</f>
        <v>#REF!</v>
      </c>
      <c r="P5" s="45"/>
      <c r="Q5" s="6" t="e">
        <f>'Caract. produção'!#REF!</f>
        <v>#REF!</v>
      </c>
      <c r="R5" s="10" t="s">
        <v>21</v>
      </c>
      <c r="S5" s="42"/>
      <c r="T5" s="45"/>
      <c r="U5" s="10" t="s">
        <v>21</v>
      </c>
      <c r="V5" s="16" t="e">
        <f>S5+O5</f>
        <v>#REF!</v>
      </c>
      <c r="W5" s="45"/>
      <c r="X5" s="10" t="s">
        <v>21</v>
      </c>
      <c r="Y5" s="16" t="e">
        <f>V5/$D$31</f>
        <v>#REF!</v>
      </c>
      <c r="Z5" s="45"/>
      <c r="AA5" s="12" t="s">
        <v>21</v>
      </c>
      <c r="AB5" s="16" t="e">
        <f>V5/($D$31*360)</f>
        <v>#REF!</v>
      </c>
      <c r="AC5" s="13"/>
      <c r="AD5" s="49" t="s">
        <v>31</v>
      </c>
      <c r="AE5" s="36" t="e">
        <f>AB5*100/$AB$27</f>
        <v>#REF!</v>
      </c>
    </row>
    <row r="6" spans="1:31" ht="11.45" customHeight="1">
      <c r="A6" s="45"/>
      <c r="B6" s="45"/>
      <c r="C6" s="45"/>
      <c r="D6" s="45"/>
      <c r="E6" s="45"/>
      <c r="F6" s="45"/>
      <c r="G6" s="45"/>
      <c r="H6" s="45"/>
      <c r="I6" s="45"/>
      <c r="J6" s="13"/>
      <c r="K6" s="46"/>
      <c r="L6" s="45"/>
      <c r="M6" s="45"/>
      <c r="N6" s="45"/>
      <c r="O6" s="45"/>
      <c r="P6" s="45"/>
      <c r="Q6" s="45"/>
      <c r="R6" s="45"/>
      <c r="S6" s="44"/>
      <c r="T6" s="45"/>
      <c r="U6" s="45"/>
      <c r="V6" s="13"/>
      <c r="W6" s="45"/>
      <c r="X6" s="45"/>
      <c r="Y6" s="13"/>
      <c r="Z6" s="45"/>
      <c r="AA6" s="13"/>
      <c r="AB6" s="13"/>
      <c r="AC6" s="13"/>
      <c r="AD6" s="13"/>
      <c r="AE6" s="37"/>
    </row>
    <row r="7" spans="1:31" ht="12" customHeight="1">
      <c r="A7" s="17" t="s">
        <v>51</v>
      </c>
      <c r="B7" s="5"/>
      <c r="C7" s="10" t="s">
        <v>21</v>
      </c>
      <c r="D7" s="21" t="e">
        <f>Insumos!#REF!+Insumos!#REF!*Insumos!#REF!+Insumos!#REF!*Insumos!#REF!</f>
        <v>#REF!</v>
      </c>
      <c r="E7" s="45"/>
      <c r="F7" s="10" t="s">
        <v>21</v>
      </c>
      <c r="G7" s="18" t="e">
        <f>Insumos!#REF!</f>
        <v>#REF!</v>
      </c>
      <c r="H7" s="45"/>
      <c r="I7" s="10" t="s">
        <v>21</v>
      </c>
      <c r="J7" s="18" t="e">
        <f>Insumos!#REF!</f>
        <v>#REF!</v>
      </c>
      <c r="K7" s="46"/>
      <c r="L7" s="45"/>
      <c r="M7" s="45"/>
      <c r="N7" s="10" t="s">
        <v>21</v>
      </c>
      <c r="O7" s="24" t="e">
        <f>SUM(G7,D7,J7)</f>
        <v>#REF!</v>
      </c>
      <c r="P7" s="45"/>
      <c r="Q7" s="6" t="e">
        <f>'Caract. produção'!#REF!</f>
        <v>#REF!</v>
      </c>
      <c r="R7" s="10" t="s">
        <v>21</v>
      </c>
      <c r="S7" s="42"/>
      <c r="T7" s="45"/>
      <c r="U7" s="10" t="s">
        <v>21</v>
      </c>
      <c r="V7" s="16" t="e">
        <f>S7+O7</f>
        <v>#REF!</v>
      </c>
      <c r="W7" s="45"/>
      <c r="X7" s="10" t="s">
        <v>21</v>
      </c>
      <c r="Y7" s="16" t="e">
        <f>V7/$D$31</f>
        <v>#REF!</v>
      </c>
      <c r="Z7" s="45"/>
      <c r="AA7" s="12" t="s">
        <v>21</v>
      </c>
      <c r="AB7" s="16" t="e">
        <f>V7/($D$31*360)</f>
        <v>#REF!</v>
      </c>
      <c r="AC7" s="13"/>
      <c r="AD7" s="49" t="s">
        <v>31</v>
      </c>
      <c r="AE7" s="36" t="e">
        <f>AB7*100/$AB$27</f>
        <v>#REF!</v>
      </c>
    </row>
    <row r="8" spans="1:31" ht="11.45" customHeight="1">
      <c r="A8" s="45"/>
      <c r="B8" s="45"/>
      <c r="C8" s="45"/>
      <c r="D8" s="45"/>
      <c r="E8" s="45"/>
      <c r="F8" s="45"/>
      <c r="G8" s="45"/>
      <c r="H8" s="45"/>
      <c r="I8" s="45"/>
      <c r="J8" s="13"/>
      <c r="K8" s="46"/>
      <c r="L8" s="45"/>
      <c r="M8" s="45"/>
      <c r="N8" s="45"/>
      <c r="O8" s="13"/>
      <c r="P8" s="45"/>
      <c r="Q8" s="45"/>
      <c r="R8" s="45"/>
      <c r="S8" s="44"/>
      <c r="T8" s="45"/>
      <c r="U8" s="45"/>
      <c r="V8" s="13"/>
      <c r="W8" s="45"/>
      <c r="X8" s="45"/>
      <c r="Y8" s="13"/>
      <c r="Z8" s="45"/>
      <c r="AA8" s="13"/>
      <c r="AB8" s="13"/>
      <c r="AC8" s="13"/>
      <c r="AD8" s="13"/>
      <c r="AE8" s="37"/>
    </row>
    <row r="9" spans="1:31" ht="11.45" customHeight="1">
      <c r="A9" s="17" t="s">
        <v>30</v>
      </c>
      <c r="B9" s="45"/>
      <c r="C9" s="10" t="s">
        <v>21</v>
      </c>
      <c r="D9" s="18">
        <v>0</v>
      </c>
      <c r="E9" s="45"/>
      <c r="F9" s="45"/>
      <c r="G9" s="45"/>
      <c r="H9" s="45"/>
      <c r="I9" s="45"/>
      <c r="J9" s="13"/>
      <c r="K9" s="46"/>
      <c r="L9" s="45"/>
      <c r="M9" s="45"/>
      <c r="N9" s="10" t="s">
        <v>21</v>
      </c>
      <c r="O9" s="24">
        <f>SUM(G9,D9,J9)</f>
        <v>0</v>
      </c>
      <c r="P9" s="45"/>
      <c r="Q9" s="6" t="e">
        <f>'Caract. produção'!#REF!</f>
        <v>#REF!</v>
      </c>
      <c r="R9" s="10" t="s">
        <v>21</v>
      </c>
      <c r="S9" s="42"/>
      <c r="T9" s="45"/>
      <c r="U9" s="10" t="s">
        <v>21</v>
      </c>
      <c r="V9" s="16">
        <f>S9+O9</f>
        <v>0</v>
      </c>
      <c r="W9" s="45"/>
      <c r="X9" s="10" t="s">
        <v>21</v>
      </c>
      <c r="Y9" s="16" t="e">
        <f>V9/$D$31</f>
        <v>#REF!</v>
      </c>
      <c r="Z9" s="45"/>
      <c r="AA9" s="12" t="s">
        <v>21</v>
      </c>
      <c r="AB9" s="16" t="e">
        <f>V9/($D$31*360)</f>
        <v>#REF!</v>
      </c>
      <c r="AC9" s="13"/>
      <c r="AD9" s="49" t="s">
        <v>31</v>
      </c>
      <c r="AE9" s="36" t="e">
        <f>AB9*100/$AB$27</f>
        <v>#REF!</v>
      </c>
    </row>
    <row r="10" spans="1:31" ht="11.45" customHeight="1">
      <c r="A10" s="17"/>
      <c r="B10" s="45"/>
      <c r="C10" s="45"/>
      <c r="D10" s="45"/>
      <c r="E10" s="45"/>
      <c r="F10" s="45"/>
      <c r="G10" s="45"/>
      <c r="H10" s="45"/>
      <c r="I10" s="45"/>
      <c r="J10" s="13"/>
      <c r="K10" s="46"/>
      <c r="L10" s="45"/>
      <c r="M10" s="45"/>
      <c r="N10" s="45"/>
      <c r="O10" s="13"/>
      <c r="P10" s="13"/>
      <c r="Q10" s="13"/>
      <c r="R10" s="13"/>
      <c r="S10" s="44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38"/>
    </row>
    <row r="11" spans="1:31" ht="11.45" customHeight="1">
      <c r="A11" s="17" t="s">
        <v>50</v>
      </c>
      <c r="B11" s="45"/>
      <c r="C11" s="10" t="s">
        <v>21</v>
      </c>
      <c r="D11" s="18">
        <v>0</v>
      </c>
      <c r="E11" s="45"/>
      <c r="F11" s="45"/>
      <c r="G11" s="45"/>
      <c r="H11" s="45"/>
      <c r="I11" s="45"/>
      <c r="J11" s="13"/>
      <c r="K11" s="46"/>
      <c r="L11" s="10" t="s">
        <v>21</v>
      </c>
      <c r="M11" s="45"/>
      <c r="N11" s="10" t="s">
        <v>21</v>
      </c>
      <c r="O11" s="24">
        <f>SUM(G11,D11,J11)</f>
        <v>0</v>
      </c>
      <c r="P11" s="45"/>
      <c r="Q11" s="6" t="e">
        <f>'Caract. produção'!#REF!</f>
        <v>#REF!</v>
      </c>
      <c r="R11" s="10" t="s">
        <v>21</v>
      </c>
      <c r="S11" s="42"/>
      <c r="T11" s="45"/>
      <c r="U11" s="10" t="s">
        <v>21</v>
      </c>
      <c r="V11" s="16">
        <f>S11+O11</f>
        <v>0</v>
      </c>
      <c r="W11" s="45"/>
      <c r="X11" s="10" t="s">
        <v>21</v>
      </c>
      <c r="Y11" s="16" t="e">
        <f>V11/$D$31</f>
        <v>#REF!</v>
      </c>
      <c r="Z11" s="45"/>
      <c r="AA11" s="12"/>
      <c r="AB11" s="16" t="e">
        <f>V11/($D$31*360)</f>
        <v>#REF!</v>
      </c>
      <c r="AC11" s="13"/>
      <c r="AD11" s="49" t="s">
        <v>31</v>
      </c>
      <c r="AE11" s="36" t="e">
        <f>AB11*100/$AB$27</f>
        <v>#REF!</v>
      </c>
    </row>
    <row r="12" spans="1:31" ht="11.45" customHeight="1">
      <c r="A12" s="45"/>
      <c r="B12" s="45"/>
      <c r="C12" s="45"/>
      <c r="D12" s="45"/>
      <c r="E12" s="45"/>
      <c r="F12" s="45"/>
      <c r="G12" s="45"/>
      <c r="H12" s="45"/>
      <c r="I12" s="45"/>
      <c r="J12" s="13"/>
      <c r="K12" s="46"/>
      <c r="L12" s="45"/>
      <c r="M12" s="45"/>
      <c r="N12" s="45"/>
      <c r="O12" s="13"/>
      <c r="P12" s="45"/>
      <c r="Q12" s="45"/>
      <c r="R12" s="45"/>
      <c r="S12" s="44"/>
      <c r="T12" s="45"/>
      <c r="U12" s="45"/>
      <c r="V12" s="13"/>
      <c r="W12" s="45"/>
      <c r="X12" s="45"/>
      <c r="Y12" s="13"/>
      <c r="Z12" s="45"/>
      <c r="AA12" s="13"/>
      <c r="AB12" s="13"/>
      <c r="AC12" s="13"/>
      <c r="AD12" s="13"/>
      <c r="AE12" s="37"/>
    </row>
    <row r="13" spans="1:31" ht="12" customHeight="1">
      <c r="A13" s="17" t="s">
        <v>109</v>
      </c>
      <c r="B13" s="5"/>
      <c r="C13" s="10" t="s">
        <v>21</v>
      </c>
      <c r="D13" s="16">
        <v>0</v>
      </c>
      <c r="E13" s="45"/>
      <c r="F13" s="45"/>
      <c r="G13" s="45"/>
      <c r="H13" s="45"/>
      <c r="I13" s="10" t="s">
        <v>21</v>
      </c>
      <c r="J13" s="24">
        <v>0</v>
      </c>
      <c r="K13" s="46"/>
      <c r="L13" s="10" t="s">
        <v>21</v>
      </c>
      <c r="M13" s="45"/>
      <c r="N13" s="10" t="s">
        <v>21</v>
      </c>
      <c r="O13" s="25">
        <f>SUM(J13+D13)</f>
        <v>0</v>
      </c>
      <c r="P13" s="45"/>
      <c r="Q13" s="6" t="e">
        <f>'Caract. produção'!#REF!</f>
        <v>#REF!</v>
      </c>
      <c r="R13" s="10" t="s">
        <v>21</v>
      </c>
      <c r="S13" s="42"/>
      <c r="T13" s="45"/>
      <c r="U13" s="10" t="s">
        <v>21</v>
      </c>
      <c r="V13" s="16">
        <f>S13+O13</f>
        <v>0</v>
      </c>
      <c r="W13" s="45"/>
      <c r="X13" s="10" t="s">
        <v>21</v>
      </c>
      <c r="Y13" s="16" t="e">
        <f>V13/$D$31</f>
        <v>#REF!</v>
      </c>
      <c r="Z13" s="45"/>
      <c r="AA13" s="12" t="s">
        <v>21</v>
      </c>
      <c r="AB13" s="16" t="e">
        <f>V13/($D$31*360)</f>
        <v>#REF!</v>
      </c>
      <c r="AC13" s="13"/>
      <c r="AD13" s="49" t="s">
        <v>31</v>
      </c>
      <c r="AE13" s="36" t="e">
        <f>AB13*100/$AB$27</f>
        <v>#REF!</v>
      </c>
    </row>
    <row r="14" spans="1:31" ht="11.45" customHeight="1">
      <c r="A14" s="45"/>
      <c r="B14" s="45"/>
      <c r="C14" s="45"/>
      <c r="D14" s="45"/>
      <c r="E14" s="45"/>
      <c r="F14" s="45"/>
      <c r="G14" s="45"/>
      <c r="H14" s="45"/>
      <c r="I14" s="45"/>
      <c r="J14" s="13"/>
      <c r="K14" s="46"/>
      <c r="L14" s="45"/>
      <c r="M14" s="45"/>
      <c r="N14" s="45"/>
      <c r="O14" s="13"/>
      <c r="P14" s="45"/>
      <c r="Q14" s="45"/>
      <c r="R14" s="45"/>
      <c r="S14" s="44"/>
      <c r="T14" s="45"/>
      <c r="U14" s="45"/>
      <c r="V14" s="13"/>
      <c r="W14" s="45"/>
      <c r="X14" s="45"/>
      <c r="Y14" s="13"/>
      <c r="Z14" s="45"/>
      <c r="AA14" s="13"/>
      <c r="AB14" s="13"/>
      <c r="AC14" s="13"/>
      <c r="AD14" s="13"/>
      <c r="AE14" s="37"/>
    </row>
    <row r="15" spans="1:31" ht="11.45" customHeight="1">
      <c r="A15" s="17" t="s">
        <v>33</v>
      </c>
      <c r="B15" s="45"/>
      <c r="C15" s="45"/>
      <c r="D15" s="45"/>
      <c r="E15" s="45"/>
      <c r="F15" s="45"/>
      <c r="G15" s="45"/>
      <c r="H15" s="45"/>
      <c r="I15" s="10" t="s">
        <v>21</v>
      </c>
      <c r="J15" s="16" t="e">
        <f>Trabalho!#REF!</f>
        <v>#REF!</v>
      </c>
      <c r="K15" s="46"/>
      <c r="L15" s="10" t="s">
        <v>21</v>
      </c>
      <c r="M15" s="45"/>
      <c r="N15" s="10" t="s">
        <v>21</v>
      </c>
      <c r="O15" s="24" t="e">
        <f>J15</f>
        <v>#REF!</v>
      </c>
      <c r="P15" s="45"/>
      <c r="Q15" s="6" t="e">
        <f>'Caract. produção'!#REF!</f>
        <v>#REF!</v>
      </c>
      <c r="R15" s="10" t="s">
        <v>21</v>
      </c>
      <c r="S15" s="42"/>
      <c r="T15" s="45"/>
      <c r="U15" s="10" t="s">
        <v>21</v>
      </c>
      <c r="V15" s="16" t="e">
        <f>S15+O15</f>
        <v>#REF!</v>
      </c>
      <c r="W15" s="45"/>
      <c r="X15" s="10" t="s">
        <v>21</v>
      </c>
      <c r="Y15" s="16" t="e">
        <f>V15/$D$31</f>
        <v>#REF!</v>
      </c>
      <c r="Z15" s="45"/>
      <c r="AA15" s="12" t="s">
        <v>21</v>
      </c>
      <c r="AB15" s="16" t="e">
        <f>V15/($D$31*360)</f>
        <v>#REF!</v>
      </c>
      <c r="AC15" s="13"/>
      <c r="AD15" s="49" t="s">
        <v>31</v>
      </c>
      <c r="AE15" s="36" t="e">
        <f>AB15*100/$AB$27</f>
        <v>#REF!</v>
      </c>
    </row>
    <row r="16" spans="1:31" ht="11.45" customHeight="1">
      <c r="A16" s="45"/>
      <c r="B16" s="45"/>
      <c r="C16" s="45"/>
      <c r="D16" s="45"/>
      <c r="E16" s="45"/>
      <c r="F16" s="45"/>
      <c r="G16" s="45"/>
      <c r="H16" s="45"/>
      <c r="I16" s="45"/>
      <c r="J16" s="13"/>
      <c r="K16" s="46"/>
      <c r="L16" s="45"/>
      <c r="M16" s="45"/>
      <c r="N16" s="45"/>
      <c r="O16" s="13"/>
      <c r="P16" s="45"/>
      <c r="Q16" s="45"/>
      <c r="R16" s="45"/>
      <c r="S16" s="44"/>
      <c r="T16" s="45"/>
      <c r="U16" s="45"/>
      <c r="V16" s="13"/>
      <c r="W16" s="45"/>
      <c r="X16" s="45"/>
      <c r="Y16" s="13"/>
      <c r="Z16" s="45"/>
      <c r="AA16" s="13"/>
      <c r="AB16" s="13"/>
      <c r="AC16" s="13"/>
      <c r="AD16" s="13"/>
      <c r="AE16" s="37"/>
    </row>
    <row r="17" spans="1:31" ht="12" customHeight="1">
      <c r="A17" s="17" t="s">
        <v>37</v>
      </c>
      <c r="B17" s="5"/>
      <c r="C17" s="10" t="s">
        <v>21</v>
      </c>
      <c r="D17" s="16" t="e">
        <f>'Caract. produção'!#REF!</f>
        <v>#REF!</v>
      </c>
      <c r="E17" s="45"/>
      <c r="F17" s="45"/>
      <c r="G17" s="45"/>
      <c r="H17" s="45"/>
      <c r="I17" s="45"/>
      <c r="J17" s="13"/>
      <c r="K17" s="46"/>
      <c r="L17" s="45"/>
      <c r="M17" s="45"/>
      <c r="N17" s="10" t="s">
        <v>21</v>
      </c>
      <c r="O17" s="40" t="e">
        <f>D17</f>
        <v>#REF!</v>
      </c>
      <c r="P17" s="45"/>
      <c r="Q17" s="6" t="e">
        <f>'Caract. produção'!#REF!</f>
        <v>#REF!</v>
      </c>
      <c r="R17" s="10" t="s">
        <v>21</v>
      </c>
      <c r="S17" s="42"/>
      <c r="T17" s="45"/>
      <c r="U17" s="10" t="s">
        <v>21</v>
      </c>
      <c r="V17" s="16" t="e">
        <f>S17+O17</f>
        <v>#REF!</v>
      </c>
      <c r="W17" s="45"/>
      <c r="X17" s="10" t="s">
        <v>21</v>
      </c>
      <c r="Y17" s="16" t="e">
        <f>V17/$D$31</f>
        <v>#REF!</v>
      </c>
      <c r="Z17" s="45"/>
      <c r="AA17" s="12" t="s">
        <v>21</v>
      </c>
      <c r="AB17" s="16" t="e">
        <f>V17/($D$31*360)</f>
        <v>#REF!</v>
      </c>
      <c r="AC17" s="13"/>
      <c r="AD17" s="49" t="s">
        <v>31</v>
      </c>
      <c r="AE17" s="36" t="e">
        <f>AB17*100/$AB$27</f>
        <v>#REF!</v>
      </c>
    </row>
    <row r="18" spans="1:31" ht="11.45" customHeight="1">
      <c r="A18" s="45"/>
      <c r="B18" s="5"/>
      <c r="C18" s="45"/>
      <c r="D18" s="45"/>
      <c r="E18" s="45"/>
      <c r="F18" s="45"/>
      <c r="G18" s="45"/>
      <c r="H18" s="45"/>
      <c r="I18" s="45"/>
      <c r="J18" s="13"/>
      <c r="K18" s="46"/>
      <c r="L18" s="45"/>
      <c r="M18" s="45"/>
      <c r="N18" s="45"/>
      <c r="O18" s="13"/>
      <c r="P18" s="45"/>
      <c r="Q18" s="45"/>
      <c r="R18" s="45"/>
      <c r="S18" s="44"/>
      <c r="T18" s="45"/>
      <c r="U18" s="45"/>
      <c r="V18" s="13"/>
      <c r="W18" s="45"/>
      <c r="X18" s="45"/>
      <c r="Y18" s="13"/>
      <c r="Z18" s="45"/>
      <c r="AA18" s="13"/>
      <c r="AB18" s="13"/>
      <c r="AC18" s="13"/>
      <c r="AD18" s="13"/>
      <c r="AE18" s="37"/>
    </row>
    <row r="19" spans="1:31" ht="12" customHeight="1">
      <c r="A19" s="17" t="s">
        <v>38</v>
      </c>
      <c r="B19" s="45"/>
      <c r="C19" s="45"/>
      <c r="D19" s="45"/>
      <c r="E19" s="45"/>
      <c r="F19" s="45"/>
      <c r="G19" s="45"/>
      <c r="H19" s="45"/>
      <c r="I19" s="10" t="s">
        <v>21</v>
      </c>
      <c r="J19" s="15" t="e">
        <f>'Caract. produção'!#REF!</f>
        <v>#REF!</v>
      </c>
      <c r="K19" s="46"/>
      <c r="L19" s="45"/>
      <c r="M19" s="45"/>
      <c r="N19" s="10" t="s">
        <v>21</v>
      </c>
      <c r="O19" s="41" t="e">
        <f>J19</f>
        <v>#REF!</v>
      </c>
      <c r="P19" s="45"/>
      <c r="Q19" s="6" t="e">
        <f>'Caract. produção'!#REF!</f>
        <v>#REF!</v>
      </c>
      <c r="R19" s="10" t="s">
        <v>21</v>
      </c>
      <c r="S19" s="42"/>
      <c r="T19" s="45"/>
      <c r="U19" s="10" t="s">
        <v>21</v>
      </c>
      <c r="V19" s="16" t="e">
        <f>S19+O19</f>
        <v>#REF!</v>
      </c>
      <c r="W19" s="45"/>
      <c r="X19" s="10" t="s">
        <v>21</v>
      </c>
      <c r="Y19" s="16" t="e">
        <f>V19/$D$31</f>
        <v>#REF!</v>
      </c>
      <c r="Z19" s="45"/>
      <c r="AA19" s="12" t="s">
        <v>21</v>
      </c>
      <c r="AB19" s="16" t="e">
        <f>V19/($D$31*360)</f>
        <v>#REF!</v>
      </c>
      <c r="AC19" s="13"/>
      <c r="AD19" s="49" t="s">
        <v>31</v>
      </c>
      <c r="AE19" s="36" t="e">
        <f>AB19*100/$AB$27</f>
        <v>#REF!</v>
      </c>
    </row>
    <row r="20" spans="1:31" ht="11.45" customHeight="1">
      <c r="A20" s="45"/>
      <c r="B20" s="5"/>
      <c r="C20" s="45"/>
      <c r="D20" s="45"/>
      <c r="E20" s="45"/>
      <c r="F20" s="45"/>
      <c r="G20" s="45"/>
      <c r="H20" s="45"/>
      <c r="I20" s="45"/>
      <c r="J20" s="13"/>
      <c r="K20" s="46"/>
      <c r="L20" s="45"/>
      <c r="M20" s="45"/>
      <c r="N20" s="45"/>
      <c r="O20" s="13"/>
      <c r="P20" s="45"/>
      <c r="Q20" s="45"/>
      <c r="R20" s="45"/>
      <c r="S20" s="44"/>
      <c r="T20" s="45"/>
      <c r="U20" s="45"/>
      <c r="V20" s="13"/>
      <c r="W20" s="45"/>
      <c r="X20" s="45"/>
      <c r="Y20" s="13"/>
      <c r="Z20" s="45"/>
      <c r="AA20" s="13"/>
      <c r="AB20" s="13"/>
      <c r="AC20" s="13"/>
      <c r="AD20" s="13"/>
      <c r="AE20" s="37"/>
    </row>
    <row r="21" spans="1:31" ht="12" customHeight="1">
      <c r="A21" s="17" t="s">
        <v>32</v>
      </c>
      <c r="B21" s="5"/>
      <c r="C21" s="45"/>
      <c r="D21" s="45"/>
      <c r="E21" s="45"/>
      <c r="F21" s="45"/>
      <c r="G21" s="45"/>
      <c r="H21" s="45"/>
      <c r="I21" s="10" t="s">
        <v>21</v>
      </c>
      <c r="J21" s="27" t="e">
        <f>Inventário!#REF!</f>
        <v>#REF!</v>
      </c>
      <c r="K21" s="46"/>
      <c r="L21" s="45"/>
      <c r="M21" s="45"/>
      <c r="N21" s="10" t="s">
        <v>21</v>
      </c>
      <c r="O21" s="26" t="e">
        <f>J21</f>
        <v>#REF!</v>
      </c>
      <c r="P21" s="45"/>
      <c r="Q21" s="6" t="e">
        <f>'Caract. produção'!#REF!</f>
        <v>#REF!</v>
      </c>
      <c r="R21" s="10" t="s">
        <v>21</v>
      </c>
      <c r="S21" s="42"/>
      <c r="T21" s="45"/>
      <c r="U21" s="10" t="s">
        <v>21</v>
      </c>
      <c r="V21" s="16" t="e">
        <f>S21+O21</f>
        <v>#REF!</v>
      </c>
      <c r="W21" s="45"/>
      <c r="X21" s="10" t="s">
        <v>21</v>
      </c>
      <c r="Y21" s="16" t="e">
        <f>V21/$D$31</f>
        <v>#REF!</v>
      </c>
      <c r="Z21" s="45"/>
      <c r="AA21" s="12" t="s">
        <v>21</v>
      </c>
      <c r="AB21" s="16" t="e">
        <f>V21/($D$31*360)</f>
        <v>#REF!</v>
      </c>
      <c r="AC21" s="13"/>
      <c r="AD21" s="49" t="s">
        <v>31</v>
      </c>
      <c r="AE21" s="36" t="e">
        <f>AB21*100/$AB$27</f>
        <v>#REF!</v>
      </c>
    </row>
    <row r="22" spans="1:31" ht="11.45" customHeight="1">
      <c r="A22" s="45"/>
      <c r="B22" s="5"/>
      <c r="C22" s="45"/>
      <c r="D22" s="45"/>
      <c r="E22" s="45"/>
      <c r="F22" s="45"/>
      <c r="G22" s="45"/>
      <c r="H22" s="45"/>
      <c r="I22" s="45"/>
      <c r="J22" s="13"/>
      <c r="K22" s="46"/>
      <c r="L22" s="45"/>
      <c r="M22" s="45"/>
      <c r="N22" s="45"/>
      <c r="O22" s="13"/>
      <c r="P22" s="45"/>
      <c r="Q22" s="45"/>
      <c r="R22" s="45"/>
      <c r="S22" s="44"/>
      <c r="T22" s="45"/>
      <c r="U22" s="45"/>
      <c r="V22" s="13"/>
      <c r="W22" s="45"/>
      <c r="X22" s="45"/>
      <c r="Y22" s="13"/>
      <c r="Z22" s="45"/>
      <c r="AA22" s="13"/>
      <c r="AB22" s="13"/>
      <c r="AC22" s="13"/>
      <c r="AD22" s="13"/>
      <c r="AE22" s="37"/>
    </row>
    <row r="23" spans="1:31" ht="12" customHeight="1">
      <c r="A23" s="17" t="s">
        <v>53</v>
      </c>
      <c r="B23" s="5"/>
      <c r="C23" s="45"/>
      <c r="D23" s="45"/>
      <c r="E23" s="45"/>
      <c r="F23" s="10" t="s">
        <v>21</v>
      </c>
      <c r="G23" s="24" t="e">
        <f>SUM('Caract. produção'!#REF!*'Caract. produção'!#REF!,('Caract. produção'!#REF!+(0.2*'Caract. produção'!#REF!))*'Caract. produção'!#REF!)</f>
        <v>#REF!</v>
      </c>
      <c r="H23" s="45"/>
      <c r="I23" s="45"/>
      <c r="J23" s="13"/>
      <c r="K23" s="46"/>
      <c r="L23" s="45"/>
      <c r="M23" s="45"/>
      <c r="N23" s="10" t="s">
        <v>21</v>
      </c>
      <c r="O23" s="25" t="e">
        <f>G23</f>
        <v>#REF!</v>
      </c>
      <c r="P23" s="45"/>
      <c r="Q23" s="6" t="e">
        <f>'Caract. produção'!#REF!</f>
        <v>#REF!</v>
      </c>
      <c r="R23" s="12" t="s">
        <v>21</v>
      </c>
      <c r="S23" s="42"/>
      <c r="T23" s="45"/>
      <c r="U23" s="12" t="s">
        <v>21</v>
      </c>
      <c r="V23" s="16" t="e">
        <f>S23+O23</f>
        <v>#REF!</v>
      </c>
      <c r="W23" s="45"/>
      <c r="X23" s="12" t="s">
        <v>21</v>
      </c>
      <c r="Y23" s="16" t="e">
        <f>V23/$D$31</f>
        <v>#REF!</v>
      </c>
      <c r="Z23" s="45"/>
      <c r="AA23" s="12" t="s">
        <v>21</v>
      </c>
      <c r="AB23" s="16" t="e">
        <f>V23/($D$31*360)</f>
        <v>#REF!</v>
      </c>
      <c r="AC23" s="13"/>
      <c r="AD23" s="49" t="s">
        <v>31</v>
      </c>
      <c r="AE23" s="36" t="e">
        <f>AB23*100/$AB$27</f>
        <v>#REF!</v>
      </c>
    </row>
    <row r="24" spans="1:31" ht="11.45" customHeight="1">
      <c r="A24" s="45"/>
      <c r="B24" s="5"/>
      <c r="C24" s="45"/>
      <c r="D24" s="45"/>
      <c r="E24" s="45"/>
      <c r="F24" s="45"/>
      <c r="G24" s="45"/>
      <c r="H24" s="45"/>
      <c r="I24" s="45"/>
      <c r="J24" s="13"/>
      <c r="K24" s="46"/>
      <c r="L24" s="45"/>
      <c r="M24" s="45"/>
      <c r="N24" s="45"/>
      <c r="O24" s="13"/>
      <c r="P24" s="45"/>
      <c r="Q24" s="45"/>
      <c r="R24" s="45"/>
      <c r="S24" s="44"/>
      <c r="T24" s="45"/>
      <c r="U24" s="45"/>
      <c r="V24" s="13"/>
      <c r="W24" s="45"/>
      <c r="X24" s="45"/>
      <c r="Y24" s="13"/>
      <c r="Z24" s="45"/>
      <c r="AA24" s="13"/>
      <c r="AB24" s="13"/>
      <c r="AC24" s="13"/>
      <c r="AD24" s="13"/>
      <c r="AE24" s="37"/>
    </row>
    <row r="25" spans="1:31" ht="12" customHeight="1">
      <c r="A25" s="61" t="s">
        <v>130</v>
      </c>
      <c r="B25" s="5"/>
      <c r="C25" s="10" t="s">
        <v>21</v>
      </c>
      <c r="D25" s="24">
        <v>0</v>
      </c>
      <c r="E25" s="45"/>
      <c r="F25" s="45"/>
      <c r="G25" s="45"/>
      <c r="H25" s="45"/>
      <c r="I25" s="45"/>
      <c r="J25" s="13"/>
      <c r="K25" s="46"/>
      <c r="L25" s="45"/>
      <c r="M25" s="45"/>
      <c r="N25" s="10" t="s">
        <v>21</v>
      </c>
      <c r="O25" s="25">
        <f>D25</f>
        <v>0</v>
      </c>
      <c r="P25" s="45"/>
      <c r="Q25" s="6" t="e">
        <f>'Caract. produção'!#REF!</f>
        <v>#REF!</v>
      </c>
      <c r="R25" s="12" t="s">
        <v>21</v>
      </c>
      <c r="S25" s="42"/>
      <c r="T25" s="45"/>
      <c r="U25" s="12" t="s">
        <v>21</v>
      </c>
      <c r="V25" s="16">
        <f>S25+O25</f>
        <v>0</v>
      </c>
      <c r="W25" s="45"/>
      <c r="X25" s="12" t="s">
        <v>21</v>
      </c>
      <c r="Y25" s="16" t="e">
        <f>V25/$D$31</f>
        <v>#REF!</v>
      </c>
      <c r="Z25" s="45"/>
      <c r="AA25" s="12" t="s">
        <v>21</v>
      </c>
      <c r="AB25" s="16" t="e">
        <f>V25/($D$31*360)</f>
        <v>#REF!</v>
      </c>
      <c r="AC25" s="13"/>
      <c r="AD25" s="49"/>
      <c r="AE25" s="36" t="e">
        <f>AB25*100/$AB$27</f>
        <v>#REF!</v>
      </c>
    </row>
    <row r="26" spans="1:31" ht="11.45" customHeight="1">
      <c r="A26" s="45"/>
      <c r="B26" s="5"/>
      <c r="C26" s="45"/>
      <c r="D26" s="45"/>
      <c r="E26" s="45"/>
      <c r="F26" s="45"/>
      <c r="G26" s="45"/>
      <c r="H26" s="45"/>
      <c r="I26" s="45"/>
      <c r="J26" s="13"/>
      <c r="K26" s="46"/>
      <c r="L26" s="45"/>
      <c r="M26" s="45"/>
      <c r="N26" s="45"/>
      <c r="O26" s="13"/>
      <c r="P26" s="45"/>
      <c r="Q26" s="45"/>
      <c r="R26" s="45"/>
      <c r="S26" s="44"/>
      <c r="T26" s="45"/>
      <c r="U26" s="45"/>
      <c r="V26" s="13"/>
      <c r="W26" s="45"/>
      <c r="X26" s="45"/>
      <c r="Y26" s="13"/>
      <c r="Z26" s="45"/>
      <c r="AA26" s="13"/>
      <c r="AB26" s="13"/>
      <c r="AC26" s="13"/>
      <c r="AD26" s="13"/>
      <c r="AE26" s="37"/>
    </row>
    <row r="27" spans="1:31" ht="12" customHeight="1">
      <c r="A27" s="50" t="s">
        <v>9</v>
      </c>
      <c r="B27" s="5"/>
      <c r="C27" s="11" t="s">
        <v>21</v>
      </c>
      <c r="D27" s="51" t="e">
        <f>SUM(D7:D25)</f>
        <v>#REF!</v>
      </c>
      <c r="E27" s="45"/>
      <c r="F27" s="10" t="s">
        <v>21</v>
      </c>
      <c r="G27" s="51" t="e">
        <f>SUM(G7:G25)</f>
        <v>#REF!</v>
      </c>
      <c r="H27" s="45"/>
      <c r="I27" s="11" t="s">
        <v>21</v>
      </c>
      <c r="J27" s="51" t="e">
        <f>SUM(J7:J25)</f>
        <v>#REF!</v>
      </c>
      <c r="K27" s="46"/>
      <c r="L27" s="11" t="s">
        <v>21</v>
      </c>
      <c r="M27" s="45"/>
      <c r="N27" s="11" t="s">
        <v>21</v>
      </c>
      <c r="O27" s="29" t="e">
        <f>SUM(O5:O25)</f>
        <v>#REF!</v>
      </c>
      <c r="P27" s="45"/>
      <c r="Q27" s="6" t="e">
        <f>'Caract. produção'!#REF!</f>
        <v>#REF!</v>
      </c>
      <c r="R27" s="11" t="s">
        <v>21</v>
      </c>
      <c r="S27" s="30"/>
      <c r="T27" s="45"/>
      <c r="U27" s="11" t="s">
        <v>21</v>
      </c>
      <c r="V27" s="16" t="e">
        <f>S27+O27</f>
        <v>#REF!</v>
      </c>
      <c r="W27" s="45"/>
      <c r="X27" s="11" t="s">
        <v>21</v>
      </c>
      <c r="Y27" s="16" t="e">
        <f>V27/$D$31</f>
        <v>#REF!</v>
      </c>
      <c r="Z27" s="45"/>
      <c r="AA27" s="14" t="s">
        <v>21</v>
      </c>
      <c r="AB27" s="31" t="e">
        <f>SUM(AB5:AB26)</f>
        <v>#REF!</v>
      </c>
      <c r="AC27" s="13"/>
      <c r="AD27" s="49" t="s">
        <v>31</v>
      </c>
      <c r="AE27" s="36" t="e">
        <f>SUM(AE5:AE25)</f>
        <v>#REF!</v>
      </c>
    </row>
    <row r="28" spans="1:31" ht="11.25" customHeight="1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7"/>
    </row>
    <row r="29" spans="1:31" ht="12" customHeight="1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1243"/>
      <c r="N29" s="1243"/>
      <c r="O29" s="1243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</row>
    <row r="30" spans="1:31" ht="33.75" customHeight="1">
      <c r="A30" s="46"/>
      <c r="B30" s="46"/>
      <c r="C30" s="1236" t="s">
        <v>25</v>
      </c>
      <c r="D30" s="1236"/>
      <c r="E30" s="46"/>
      <c r="F30" s="1237" t="s">
        <v>54</v>
      </c>
      <c r="G30" s="1237"/>
      <c r="H30" s="46"/>
      <c r="I30" s="46"/>
      <c r="J30" s="46"/>
      <c r="K30" s="46"/>
      <c r="L30" s="46"/>
      <c r="M30" s="1"/>
      <c r="N30" s="1"/>
      <c r="O30" s="46"/>
      <c r="P30" s="46"/>
      <c r="Q30" s="46"/>
      <c r="R30" s="46"/>
      <c r="S30" s="2" t="s">
        <v>10</v>
      </c>
      <c r="T30" s="2"/>
      <c r="U30" s="46"/>
      <c r="V30" s="49" t="s">
        <v>3</v>
      </c>
      <c r="W30" s="46"/>
      <c r="X30" s="46"/>
      <c r="Y30" s="46"/>
      <c r="Z30" s="46"/>
      <c r="AA30" s="46"/>
      <c r="AB30" s="46"/>
      <c r="AC30" s="46"/>
      <c r="AD30" s="46"/>
      <c r="AE30" s="7"/>
    </row>
    <row r="31" spans="1:31" ht="12" customHeight="1">
      <c r="A31" s="5" t="s">
        <v>11</v>
      </c>
      <c r="B31" s="5"/>
      <c r="C31" s="10" t="s">
        <v>20</v>
      </c>
      <c r="D31" s="27" t="e">
        <f>'Caract. produção'!#REF!</f>
        <v>#REF!</v>
      </c>
      <c r="E31" s="46"/>
      <c r="F31" s="10" t="s">
        <v>21</v>
      </c>
      <c r="G31" s="21" t="e">
        <f>D31*0.08*360</f>
        <v>#REF!</v>
      </c>
      <c r="H31" s="1244"/>
      <c r="I31" s="1244"/>
      <c r="J31" s="1244"/>
      <c r="K31" s="1245" t="s">
        <v>132</v>
      </c>
      <c r="L31" s="1245"/>
      <c r="M31" s="1245"/>
      <c r="N31" s="1245"/>
      <c r="O31" s="46"/>
      <c r="P31" s="45"/>
      <c r="Q31" s="45"/>
      <c r="R31" s="11" t="s">
        <v>21</v>
      </c>
      <c r="S31" s="30" t="e">
        <f>G31</f>
        <v>#REF!</v>
      </c>
      <c r="T31" s="2"/>
      <c r="U31" s="45"/>
      <c r="V31" s="32" t="e">
        <f>S31*100/S37</f>
        <v>#REF!</v>
      </c>
      <c r="W31" s="45"/>
      <c r="X31" s="45"/>
      <c r="Y31" s="45"/>
      <c r="Z31" s="45"/>
      <c r="AA31" s="45"/>
      <c r="AB31" s="45"/>
      <c r="AC31" s="45"/>
      <c r="AD31" s="45"/>
      <c r="AE31" s="7"/>
    </row>
    <row r="32" spans="1:31" ht="11.25" customHeight="1">
      <c r="A32" s="45"/>
      <c r="B32" s="45"/>
      <c r="C32" s="45"/>
      <c r="D32" s="45"/>
      <c r="E32" s="46"/>
      <c r="F32" s="45"/>
      <c r="G32" s="9"/>
      <c r="H32" s="1"/>
      <c r="I32" s="45"/>
      <c r="J32" s="45"/>
      <c r="K32" s="46"/>
      <c r="L32" s="46"/>
      <c r="M32" s="46"/>
      <c r="N32" s="46"/>
      <c r="O32" s="46"/>
      <c r="P32" s="45"/>
      <c r="Q32" s="45"/>
      <c r="R32" s="45"/>
      <c r="S32" s="45"/>
      <c r="T32" s="2"/>
      <c r="U32" s="45"/>
      <c r="V32" s="28"/>
      <c r="W32" s="45"/>
      <c r="X32" s="45"/>
      <c r="Y32" s="45"/>
      <c r="Z32" s="45"/>
      <c r="AA32" s="45"/>
      <c r="AB32" s="45"/>
      <c r="AC32" s="45"/>
      <c r="AD32" s="45"/>
      <c r="AE32" s="7"/>
    </row>
    <row r="33" spans="1:31" ht="12" customHeight="1">
      <c r="A33" s="5" t="s">
        <v>12</v>
      </c>
      <c r="B33" s="5"/>
      <c r="C33" s="45"/>
      <c r="D33" s="45"/>
      <c r="E33" s="19"/>
      <c r="F33" s="10" t="s">
        <v>21</v>
      </c>
      <c r="G33" s="21">
        <v>0</v>
      </c>
      <c r="H33" s="1244" t="s">
        <v>13</v>
      </c>
      <c r="I33" s="1244"/>
      <c r="J33" s="1244"/>
      <c r="K33" s="1245" t="s">
        <v>134</v>
      </c>
      <c r="L33" s="1245"/>
      <c r="M33" s="1245"/>
      <c r="N33" s="46"/>
      <c r="O33" s="46"/>
      <c r="P33" s="45"/>
      <c r="Q33" s="45"/>
      <c r="R33" s="11" t="s">
        <v>21</v>
      </c>
      <c r="S33" s="20">
        <f>G33</f>
        <v>0</v>
      </c>
      <c r="T33" s="2"/>
      <c r="U33" s="45"/>
      <c r="V33" s="32" t="e">
        <f>S33*100/S37</f>
        <v>#REF!</v>
      </c>
      <c r="W33" s="45"/>
      <c r="X33" s="45"/>
      <c r="Y33" s="45"/>
      <c r="Z33" s="45"/>
      <c r="AA33" s="45"/>
      <c r="AB33" s="45"/>
      <c r="AC33" s="45"/>
      <c r="AD33" s="45"/>
      <c r="AE33" s="7"/>
    </row>
    <row r="34" spans="1:31" ht="11.25" customHeight="1">
      <c r="A34" s="45"/>
      <c r="B34" s="45"/>
      <c r="C34" s="45"/>
      <c r="D34" s="45"/>
      <c r="E34" s="46"/>
      <c r="F34" s="45"/>
      <c r="G34" s="45"/>
      <c r="H34" s="1"/>
      <c r="I34" s="45"/>
      <c r="J34" s="45"/>
      <c r="K34" s="46"/>
      <c r="L34" s="46"/>
      <c r="M34" s="46"/>
      <c r="N34" s="46"/>
      <c r="O34" s="46"/>
      <c r="P34" s="45"/>
      <c r="Q34" s="45"/>
      <c r="R34" s="45"/>
      <c r="S34" s="45"/>
      <c r="T34" s="2"/>
      <c r="U34" s="45"/>
      <c r="V34" s="28"/>
      <c r="W34" s="45"/>
      <c r="X34" s="45"/>
      <c r="Y34" s="45"/>
      <c r="Z34" s="45"/>
      <c r="AA34" s="45"/>
      <c r="AB34" s="45"/>
      <c r="AC34" s="45"/>
      <c r="AD34" s="45"/>
      <c r="AE34" s="7"/>
    </row>
    <row r="35" spans="1:31" ht="12" customHeight="1">
      <c r="A35" s="5" t="s">
        <v>14</v>
      </c>
      <c r="B35" s="5"/>
      <c r="C35" s="10" t="s">
        <v>34</v>
      </c>
      <c r="D35" s="22" t="e">
        <f>'Caract. produção'!#REF!</f>
        <v>#REF!</v>
      </c>
      <c r="E35" s="19"/>
      <c r="F35" s="10" t="s">
        <v>21</v>
      </c>
      <c r="G35" s="62" t="e">
        <f>'Caract. produção'!#REF!</f>
        <v>#REF!</v>
      </c>
      <c r="H35" s="1244" t="s">
        <v>15</v>
      </c>
      <c r="I35" s="1244"/>
      <c r="J35" s="1244"/>
      <c r="K35" s="1246"/>
      <c r="L35" s="1246"/>
      <c r="M35" s="1246"/>
      <c r="N35" s="46"/>
      <c r="O35" s="46"/>
      <c r="P35" s="1238" t="s">
        <v>134</v>
      </c>
      <c r="Q35" s="1238"/>
      <c r="R35" s="11" t="s">
        <v>21</v>
      </c>
      <c r="S35" s="20" t="e">
        <f>G35*D35/22.5</f>
        <v>#REF!</v>
      </c>
      <c r="T35" s="2"/>
      <c r="U35" s="45"/>
      <c r="V35" s="32" t="e">
        <f>S35*100/S37</f>
        <v>#REF!</v>
      </c>
      <c r="W35" s="45"/>
      <c r="X35" s="45"/>
      <c r="Y35" s="45"/>
      <c r="Z35" s="45"/>
      <c r="AA35" s="45"/>
      <c r="AB35" s="45"/>
      <c r="AC35" s="45"/>
      <c r="AD35" s="45"/>
      <c r="AE35" s="7"/>
    </row>
    <row r="36" spans="1:31" ht="11.25" customHeight="1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5"/>
      <c r="M36" s="1"/>
      <c r="N36" s="45"/>
      <c r="O36" s="45"/>
      <c r="P36" s="45"/>
      <c r="Q36" s="45"/>
      <c r="R36" s="45"/>
      <c r="S36" s="45"/>
      <c r="T36" s="2"/>
      <c r="U36" s="45"/>
      <c r="V36" s="28"/>
      <c r="W36" s="45"/>
      <c r="X36" s="45"/>
      <c r="Y36" s="45"/>
      <c r="Z36" s="45"/>
      <c r="AA36" s="45"/>
      <c r="AB36" s="45"/>
      <c r="AC36" s="45"/>
      <c r="AD36" s="45"/>
      <c r="AE36" s="7"/>
    </row>
    <row r="37" spans="1:31" ht="12" customHeight="1">
      <c r="A37" s="50" t="s">
        <v>16</v>
      </c>
      <c r="B37" s="50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1247"/>
      <c r="N37" s="1247"/>
      <c r="O37" s="1247"/>
      <c r="P37" s="45"/>
      <c r="Q37" s="45"/>
      <c r="R37" s="11" t="s">
        <v>21</v>
      </c>
      <c r="S37" s="31" t="e">
        <f>SUM(S31:S36)</f>
        <v>#REF!</v>
      </c>
      <c r="T37" s="2"/>
      <c r="U37" s="45"/>
      <c r="V37" s="33" t="e">
        <f>SUM(V35,V33,V31,)</f>
        <v>#REF!</v>
      </c>
      <c r="W37" s="45"/>
      <c r="X37" s="45"/>
      <c r="Y37" s="45"/>
      <c r="Z37" s="45"/>
      <c r="AA37" s="45"/>
      <c r="AB37" s="45"/>
      <c r="AC37" s="45"/>
      <c r="AD37" s="45"/>
      <c r="AE37" s="7"/>
    </row>
    <row r="38" spans="1:31" ht="11.25" customHeight="1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1247"/>
      <c r="N38" s="1247"/>
      <c r="O38" s="1247"/>
      <c r="P38" s="1247"/>
      <c r="Q38" s="1247"/>
      <c r="R38" s="1247"/>
      <c r="S38" s="1247"/>
      <c r="T38" s="2"/>
      <c r="U38" s="1247"/>
      <c r="V38" s="1247"/>
      <c r="W38" s="1247"/>
      <c r="X38" s="1247"/>
      <c r="Y38" s="1247"/>
      <c r="Z38" s="1247"/>
      <c r="AA38" s="45"/>
      <c r="AB38" s="45"/>
      <c r="AC38" s="45"/>
      <c r="AD38" s="45"/>
      <c r="AE38" s="7"/>
    </row>
    <row r="39" spans="1:31" ht="12" customHeight="1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1248"/>
      <c r="N39" s="1248"/>
      <c r="O39" s="1248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</row>
    <row r="40" spans="1:31" ht="33.6" customHeight="1">
      <c r="A40" s="46"/>
      <c r="B40" s="46"/>
      <c r="C40" s="46"/>
      <c r="D40" s="46"/>
      <c r="E40" s="46"/>
      <c r="F40" s="46"/>
      <c r="G40" s="46"/>
      <c r="H40" s="46"/>
      <c r="I40" s="46"/>
      <c r="J40" s="2" t="s">
        <v>17</v>
      </c>
      <c r="K40" s="2"/>
      <c r="L40" s="46"/>
      <c r="M40" s="1249"/>
      <c r="N40" s="1249"/>
      <c r="O40" s="1249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</row>
    <row r="41" spans="1:31" ht="12" customHeight="1">
      <c r="A41" s="5" t="s">
        <v>18</v>
      </c>
      <c r="B41" s="5"/>
      <c r="C41" s="45"/>
      <c r="D41" s="45"/>
      <c r="E41" s="45"/>
      <c r="F41" s="45"/>
      <c r="G41" s="45"/>
      <c r="H41" s="45"/>
      <c r="I41" s="10" t="s">
        <v>21</v>
      </c>
      <c r="J41" s="34" t="e">
        <f>O27</f>
        <v>#REF!</v>
      </c>
      <c r="K41" s="2"/>
      <c r="L41" s="45"/>
      <c r="M41" s="1247"/>
      <c r="N41" s="1247"/>
      <c r="O41" s="1247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6"/>
      <c r="AE41" s="46"/>
    </row>
    <row r="42" spans="1:31" ht="11.25" customHeight="1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2"/>
      <c r="L42" s="45"/>
      <c r="M42" s="1247"/>
      <c r="N42" s="1247"/>
      <c r="O42" s="1247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6"/>
      <c r="AE42" s="46"/>
    </row>
    <row r="43" spans="1:31" ht="12" customHeight="1">
      <c r="A43" s="5" t="s">
        <v>19</v>
      </c>
      <c r="B43" s="5"/>
      <c r="C43" s="45"/>
      <c r="D43" s="45"/>
      <c r="E43" s="45"/>
      <c r="F43" s="45"/>
      <c r="G43" s="45"/>
      <c r="H43" s="45"/>
      <c r="I43" s="10" t="s">
        <v>21</v>
      </c>
      <c r="J43" s="21" t="e">
        <f>S37</f>
        <v>#REF!</v>
      </c>
      <c r="K43" s="2"/>
      <c r="L43" s="45"/>
      <c r="M43" s="1247"/>
      <c r="N43" s="1247"/>
      <c r="O43" s="1247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6"/>
      <c r="AE43" s="46"/>
    </row>
    <row r="44" spans="1:31" ht="11.25" customHeight="1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1247"/>
      <c r="N44" s="1247"/>
      <c r="O44" s="1247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6"/>
      <c r="AE44" s="46"/>
    </row>
    <row r="45" spans="1:31" ht="12.75" customHeight="1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1248"/>
      <c r="N45" s="1248"/>
      <c r="O45" s="1248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</customSheetView>
  </customSheetViews>
  <mergeCells count="27">
    <mergeCell ref="M44:O44"/>
    <mergeCell ref="M45:O45"/>
    <mergeCell ref="W38:Z38"/>
    <mergeCell ref="M39:O39"/>
    <mergeCell ref="M40:O40"/>
    <mergeCell ref="M41:O41"/>
    <mergeCell ref="M42:O42"/>
    <mergeCell ref="M43:O43"/>
    <mergeCell ref="M37:O37"/>
    <mergeCell ref="M38:O38"/>
    <mergeCell ref="P38:Q38"/>
    <mergeCell ref="R38:S38"/>
    <mergeCell ref="U38:V38"/>
    <mergeCell ref="C30:D30"/>
    <mergeCell ref="F30:G30"/>
    <mergeCell ref="P35:Q35"/>
    <mergeCell ref="C1:V1"/>
    <mergeCell ref="F2:G2"/>
    <mergeCell ref="O2:S2"/>
    <mergeCell ref="C3:V3"/>
    <mergeCell ref="M29:O29"/>
    <mergeCell ref="H31:J31"/>
    <mergeCell ref="K31:N31"/>
    <mergeCell ref="H33:J33"/>
    <mergeCell ref="K33:M33"/>
    <mergeCell ref="H35:J35"/>
    <mergeCell ref="K35:M35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1"/>
  <dimension ref="A1:AE52"/>
  <sheetViews>
    <sheetView workbookViewId="0"/>
  </sheetViews>
  <sheetFormatPr defaultRowHeight="12.75"/>
  <cols>
    <col min="4" max="4" width="11.1640625" bestFit="1" customWidth="1"/>
    <col min="7" max="7" width="11.1640625" bestFit="1" customWidth="1"/>
    <col min="10" max="10" width="11.1640625" bestFit="1" customWidth="1"/>
    <col min="15" max="15" width="13.33203125" bestFit="1" customWidth="1"/>
    <col min="19" max="19" width="11.1640625" bestFit="1" customWidth="1"/>
    <col min="22" max="22" width="11.1640625" bestFit="1" customWidth="1"/>
    <col min="28" max="28" width="9.1640625" bestFit="1" customWidth="1"/>
  </cols>
  <sheetData>
    <row r="1" spans="1:31">
      <c r="A1" s="8"/>
      <c r="B1" s="8"/>
      <c r="C1" s="1239" t="s">
        <v>131</v>
      </c>
      <c r="D1" s="1239"/>
      <c r="E1" s="1239"/>
      <c r="F1" s="1239"/>
      <c r="G1" s="1239"/>
      <c r="H1" s="1239"/>
      <c r="I1" s="1239"/>
      <c r="J1" s="1239"/>
      <c r="K1" s="1239"/>
      <c r="L1" s="1239"/>
      <c r="M1" s="1239"/>
      <c r="N1" s="1239"/>
      <c r="O1" s="1239"/>
      <c r="P1" s="1239"/>
      <c r="Q1" s="1239"/>
      <c r="R1" s="1239"/>
      <c r="S1" s="1239"/>
      <c r="T1" s="1239"/>
      <c r="U1" s="1239"/>
      <c r="V1" s="1239"/>
      <c r="W1" s="56"/>
      <c r="X1" s="56"/>
      <c r="Y1" s="56"/>
      <c r="Z1" s="56"/>
      <c r="AA1" s="56"/>
      <c r="AB1" s="56"/>
      <c r="AC1" s="56"/>
      <c r="AD1" s="56"/>
      <c r="AE1" s="56"/>
    </row>
    <row r="2" spans="1:31" ht="22.5" customHeight="1">
      <c r="A2" s="1254" t="s">
        <v>29</v>
      </c>
      <c r="B2" s="1254"/>
      <c r="C2" s="1240" t="s">
        <v>0</v>
      </c>
      <c r="D2" s="1240"/>
      <c r="E2" s="58"/>
      <c r="F2" s="1240" t="s">
        <v>52</v>
      </c>
      <c r="G2" s="1240"/>
      <c r="H2" s="58"/>
      <c r="I2" s="1240" t="s">
        <v>1</v>
      </c>
      <c r="J2" s="1240"/>
      <c r="K2" s="58"/>
      <c r="L2" s="55"/>
      <c r="M2" s="1"/>
      <c r="N2" s="1"/>
      <c r="O2" s="1241" t="s">
        <v>36</v>
      </c>
      <c r="P2" s="1242"/>
      <c r="Q2" s="1242"/>
      <c r="R2" s="1242"/>
      <c r="S2" s="1242"/>
      <c r="T2" s="57"/>
      <c r="U2" s="1240" t="s">
        <v>2</v>
      </c>
      <c r="V2" s="1240"/>
      <c r="W2" s="55"/>
      <c r="X2" s="1255" t="s">
        <v>55</v>
      </c>
      <c r="Y2" s="1255"/>
      <c r="Z2" s="55"/>
      <c r="AA2" s="1240" t="s">
        <v>4</v>
      </c>
      <c r="AB2" s="1240"/>
      <c r="AC2" s="55"/>
      <c r="AD2" s="58" t="s">
        <v>31</v>
      </c>
      <c r="AE2" s="7"/>
    </row>
    <row r="3" spans="1:31">
      <c r="A3" s="8"/>
      <c r="B3" s="8"/>
      <c r="C3" s="1239"/>
      <c r="D3" s="1239"/>
      <c r="E3" s="1239"/>
      <c r="F3" s="1239"/>
      <c r="G3" s="1239"/>
      <c r="H3" s="1239"/>
      <c r="I3" s="1239"/>
      <c r="J3" s="1239"/>
      <c r="K3" s="1239"/>
      <c r="L3" s="1239"/>
      <c r="M3" s="1239"/>
      <c r="N3" s="1239"/>
      <c r="O3" s="1239"/>
      <c r="P3" s="1239"/>
      <c r="Q3" s="1239"/>
      <c r="R3" s="1239"/>
      <c r="S3" s="1239"/>
      <c r="T3" s="1239"/>
      <c r="U3" s="1239"/>
      <c r="V3" s="1239"/>
      <c r="W3" s="56"/>
      <c r="X3" s="56"/>
      <c r="Y3" s="56"/>
      <c r="Z3" s="56"/>
      <c r="AA3" s="56"/>
      <c r="AB3" s="56"/>
      <c r="AC3" s="56"/>
      <c r="AD3" s="56"/>
      <c r="AE3" s="56"/>
    </row>
    <row r="4" spans="1:31" ht="22.5">
      <c r="A4" s="55"/>
      <c r="B4" s="55"/>
      <c r="C4" s="64"/>
      <c r="D4" s="64"/>
      <c r="E4" s="55"/>
      <c r="F4" s="55"/>
      <c r="G4" s="55"/>
      <c r="H4" s="55"/>
      <c r="I4" s="55"/>
      <c r="J4" s="55"/>
      <c r="K4" s="55"/>
      <c r="L4" s="55"/>
      <c r="M4" s="55"/>
      <c r="N4" s="1250" t="s">
        <v>5</v>
      </c>
      <c r="O4" s="1250"/>
      <c r="P4" s="55"/>
      <c r="Q4" s="4" t="s">
        <v>6</v>
      </c>
      <c r="R4" s="1256" t="s">
        <v>7</v>
      </c>
      <c r="S4" s="1256"/>
      <c r="T4" s="54"/>
      <c r="U4" s="55"/>
      <c r="V4" s="55"/>
      <c r="W4" s="55"/>
      <c r="X4" s="55"/>
      <c r="Y4" s="55"/>
      <c r="Z4" s="55"/>
      <c r="AA4" s="35"/>
      <c r="AB4" s="35"/>
      <c r="AC4" s="35"/>
      <c r="AD4" s="35"/>
      <c r="AE4" s="35"/>
    </row>
    <row r="5" spans="1:31" ht="22.5" customHeight="1">
      <c r="A5" s="1250" t="s">
        <v>8</v>
      </c>
      <c r="B5" s="1250"/>
      <c r="C5" s="63" t="s">
        <v>21</v>
      </c>
      <c r="D5" s="63" t="e">
        <f>0.08*360*'Caract. produção'!#REF!</f>
        <v>#REF!</v>
      </c>
      <c r="E5" s="54"/>
      <c r="F5" s="54"/>
      <c r="G5" s="54"/>
      <c r="H5" s="54"/>
      <c r="I5" s="10" t="s">
        <v>21</v>
      </c>
      <c r="J5" s="16">
        <v>0</v>
      </c>
      <c r="K5" s="55"/>
      <c r="L5" s="54"/>
      <c r="M5" s="54"/>
      <c r="N5" s="10" t="s">
        <v>21</v>
      </c>
      <c r="O5" s="24" t="e">
        <f>SUM(G5,D5,J5)</f>
        <v>#REF!</v>
      </c>
      <c r="P5" s="54"/>
      <c r="Q5" s="6" t="e">
        <f>'Caract. produção'!#REF!</f>
        <v>#REF!</v>
      </c>
      <c r="R5" s="10" t="s">
        <v>21</v>
      </c>
      <c r="S5" s="42"/>
      <c r="T5" s="54"/>
      <c r="U5" s="10" t="s">
        <v>21</v>
      </c>
      <c r="V5" s="16" t="e">
        <f>S5+O5</f>
        <v>#REF!</v>
      </c>
      <c r="W5" s="54"/>
      <c r="X5" s="10" t="s">
        <v>21</v>
      </c>
      <c r="Y5" s="16" t="e">
        <f>V5/$D$31</f>
        <v>#REF!</v>
      </c>
      <c r="Z5" s="54"/>
      <c r="AA5" s="12" t="s">
        <v>21</v>
      </c>
      <c r="AB5" s="16" t="e">
        <f>V5/($D$31*360)</f>
        <v>#REF!</v>
      </c>
      <c r="AC5" s="13"/>
      <c r="AD5" s="58" t="s">
        <v>31</v>
      </c>
      <c r="AE5" s="36" t="e">
        <f>AB5*100/$AB$27</f>
        <v>#REF!</v>
      </c>
    </row>
    <row r="6" spans="1:31">
      <c r="A6" s="54"/>
      <c r="B6" s="54"/>
      <c r="C6" s="54"/>
      <c r="D6" s="54"/>
      <c r="E6" s="54"/>
      <c r="F6" s="54"/>
      <c r="G6" s="54"/>
      <c r="H6" s="54"/>
      <c r="I6" s="54"/>
      <c r="J6" s="13"/>
      <c r="K6" s="55"/>
      <c r="L6" s="54"/>
      <c r="M6" s="54"/>
      <c r="N6" s="54"/>
      <c r="O6" s="54"/>
      <c r="P6" s="54"/>
      <c r="Q6" s="54"/>
      <c r="R6" s="54"/>
      <c r="S6" s="44"/>
      <c r="T6" s="54"/>
      <c r="U6" s="54"/>
      <c r="V6" s="13"/>
      <c r="W6" s="54"/>
      <c r="X6" s="54"/>
      <c r="Y6" s="13"/>
      <c r="Z6" s="54"/>
      <c r="AA6" s="13"/>
      <c r="AB6" s="13"/>
      <c r="AC6" s="13"/>
      <c r="AD6" s="13"/>
      <c r="AE6" s="37"/>
    </row>
    <row r="7" spans="1:31">
      <c r="A7" s="1251" t="s">
        <v>51</v>
      </c>
      <c r="B7" s="1251"/>
      <c r="C7" s="10" t="s">
        <v>21</v>
      </c>
      <c r="D7" s="21">
        <v>0</v>
      </c>
      <c r="E7" s="54"/>
      <c r="F7" s="10" t="s">
        <v>21</v>
      </c>
      <c r="G7" s="18">
        <v>0</v>
      </c>
      <c r="H7" s="54"/>
      <c r="I7" s="10" t="s">
        <v>21</v>
      </c>
      <c r="J7" s="18" t="e">
        <f>Insumos!#REF!</f>
        <v>#REF!</v>
      </c>
      <c r="K7" s="55"/>
      <c r="L7" s="54"/>
      <c r="M7" s="54"/>
      <c r="N7" s="10" t="s">
        <v>21</v>
      </c>
      <c r="O7" s="24" t="e">
        <f>SUM(G7,D7,J7)</f>
        <v>#REF!</v>
      </c>
      <c r="P7" s="54"/>
      <c r="Q7" s="6" t="e">
        <f>'Caract. produção'!#REF!</f>
        <v>#REF!</v>
      </c>
      <c r="R7" s="10" t="s">
        <v>21</v>
      </c>
      <c r="S7" s="42"/>
      <c r="T7" s="54"/>
      <c r="U7" s="10" t="s">
        <v>21</v>
      </c>
      <c r="V7" s="16" t="e">
        <f>S7+O7</f>
        <v>#REF!</v>
      </c>
      <c r="W7" s="54"/>
      <c r="X7" s="10" t="s">
        <v>21</v>
      </c>
      <c r="Y7" s="16" t="e">
        <f>V7/$D$31</f>
        <v>#REF!</v>
      </c>
      <c r="Z7" s="54"/>
      <c r="AA7" s="12" t="s">
        <v>21</v>
      </c>
      <c r="AB7" s="16" t="e">
        <f>V7/($D$31*360)</f>
        <v>#REF!</v>
      </c>
      <c r="AC7" s="13"/>
      <c r="AD7" s="58" t="s">
        <v>31</v>
      </c>
      <c r="AE7" s="36" t="e">
        <f>AB7*100/$AB$27</f>
        <v>#REF!</v>
      </c>
    </row>
    <row r="8" spans="1:31">
      <c r="A8" s="54"/>
      <c r="B8" s="54"/>
      <c r="C8" s="54"/>
      <c r="D8" s="54"/>
      <c r="E8" s="54"/>
      <c r="F8" s="54"/>
      <c r="G8" s="54"/>
      <c r="H8" s="54"/>
      <c r="I8" s="54"/>
      <c r="J8" s="13"/>
      <c r="K8" s="55"/>
      <c r="L8" s="54"/>
      <c r="M8" s="54"/>
      <c r="N8" s="54"/>
      <c r="O8" s="13"/>
      <c r="P8" s="54"/>
      <c r="Q8" s="54"/>
      <c r="R8" s="54"/>
      <c r="S8" s="44"/>
      <c r="T8" s="54"/>
      <c r="U8" s="54"/>
      <c r="V8" s="13"/>
      <c r="W8" s="54"/>
      <c r="X8" s="54"/>
      <c r="Y8" s="13"/>
      <c r="Z8" s="54"/>
      <c r="AA8" s="13"/>
      <c r="AB8" s="13"/>
      <c r="AC8" s="13"/>
      <c r="AD8" s="13"/>
      <c r="AE8" s="37"/>
    </row>
    <row r="9" spans="1:31">
      <c r="A9" s="1251" t="s">
        <v>30</v>
      </c>
      <c r="B9" s="1251"/>
      <c r="C9" s="10" t="s">
        <v>21</v>
      </c>
      <c r="D9" s="18" t="e">
        <f>#REF!</f>
        <v>#REF!</v>
      </c>
      <c r="E9" s="54"/>
      <c r="F9" s="54"/>
      <c r="G9" s="54"/>
      <c r="H9" s="54"/>
      <c r="I9" s="54"/>
      <c r="J9" s="13"/>
      <c r="K9" s="55"/>
      <c r="L9" s="54"/>
      <c r="M9" s="54"/>
      <c r="N9" s="10" t="s">
        <v>21</v>
      </c>
      <c r="O9" s="24" t="e">
        <f>SUM(G9,D9,J9)</f>
        <v>#REF!</v>
      </c>
      <c r="P9" s="54"/>
      <c r="Q9" s="6" t="e">
        <f>'Caract. produção'!#REF!</f>
        <v>#REF!</v>
      </c>
      <c r="R9" s="10" t="s">
        <v>21</v>
      </c>
      <c r="S9" s="42"/>
      <c r="T9" s="54"/>
      <c r="U9" s="10" t="s">
        <v>21</v>
      </c>
      <c r="V9" s="16" t="e">
        <f>S9+O9</f>
        <v>#REF!</v>
      </c>
      <c r="W9" s="54"/>
      <c r="X9" s="10" t="s">
        <v>21</v>
      </c>
      <c r="Y9" s="16" t="e">
        <f>V9/$D$31</f>
        <v>#REF!</v>
      </c>
      <c r="Z9" s="54"/>
      <c r="AA9" s="12" t="s">
        <v>21</v>
      </c>
      <c r="AB9" s="16" t="e">
        <f>V9/($D$31*360)</f>
        <v>#REF!</v>
      </c>
      <c r="AC9" s="13"/>
      <c r="AD9" s="58" t="s">
        <v>31</v>
      </c>
      <c r="AE9" s="36" t="e">
        <f>AB9*100/$AB$27</f>
        <v>#REF!</v>
      </c>
    </row>
    <row r="10" spans="1:31">
      <c r="A10" s="17"/>
      <c r="B10" s="54"/>
      <c r="C10" s="54"/>
      <c r="D10" s="54"/>
      <c r="E10" s="54"/>
      <c r="F10" s="54"/>
      <c r="G10" s="54"/>
      <c r="H10" s="54"/>
      <c r="I10" s="54"/>
      <c r="J10" s="13"/>
      <c r="K10" s="55"/>
      <c r="L10" s="54"/>
      <c r="M10" s="54"/>
      <c r="N10" s="54"/>
      <c r="O10" s="13"/>
      <c r="P10" s="13"/>
      <c r="Q10" s="13"/>
      <c r="R10" s="13"/>
      <c r="S10" s="44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38"/>
    </row>
    <row r="11" spans="1:31" ht="22.5" customHeight="1">
      <c r="A11" s="1252" t="s">
        <v>50</v>
      </c>
      <c r="B11" s="1252"/>
      <c r="C11" s="65" t="s">
        <v>21</v>
      </c>
      <c r="D11" s="66" t="e">
        <f>Inventário!#REF!</f>
        <v>#REF!</v>
      </c>
      <c r="E11" s="54"/>
      <c r="F11" s="54"/>
      <c r="G11" s="54"/>
      <c r="H11" s="54"/>
      <c r="I11" s="54"/>
      <c r="J11" s="13"/>
      <c r="K11" s="55"/>
      <c r="L11" s="10" t="s">
        <v>21</v>
      </c>
      <c r="M11" s="54"/>
      <c r="N11" s="10" t="s">
        <v>21</v>
      </c>
      <c r="O11" s="24" t="e">
        <f>SUM(G11,D11,J11)</f>
        <v>#REF!</v>
      </c>
      <c r="P11" s="54"/>
      <c r="Q11" s="6" t="e">
        <f>'Caract. produção'!#REF!</f>
        <v>#REF!</v>
      </c>
      <c r="R11" s="10" t="s">
        <v>21</v>
      </c>
      <c r="S11" s="42"/>
      <c r="T11" s="54"/>
      <c r="U11" s="10" t="s">
        <v>21</v>
      </c>
      <c r="V11" s="16" t="e">
        <f>S11+O11</f>
        <v>#REF!</v>
      </c>
      <c r="W11" s="54"/>
      <c r="X11" s="10" t="s">
        <v>21</v>
      </c>
      <c r="Y11" s="16" t="e">
        <f>V11/$D$31</f>
        <v>#REF!</v>
      </c>
      <c r="Z11" s="54"/>
      <c r="AA11" s="12"/>
      <c r="AB11" s="16" t="e">
        <f>V11/($D$31*360)</f>
        <v>#REF!</v>
      </c>
      <c r="AC11" s="13"/>
      <c r="AD11" s="58" t="s">
        <v>31</v>
      </c>
      <c r="AE11" s="36" t="e">
        <f>AB11*100/$AB$27</f>
        <v>#REF!</v>
      </c>
    </row>
    <row r="12" spans="1:31">
      <c r="A12" s="54"/>
      <c r="B12" s="54"/>
      <c r="C12" s="54"/>
      <c r="D12" s="54"/>
      <c r="E12" s="54"/>
      <c r="F12" s="54"/>
      <c r="G12" s="54"/>
      <c r="H12" s="54"/>
      <c r="I12" s="54"/>
      <c r="J12" s="13"/>
      <c r="K12" s="55"/>
      <c r="L12" s="54"/>
      <c r="M12" s="54"/>
      <c r="N12" s="54"/>
      <c r="O12" s="13"/>
      <c r="P12" s="54"/>
      <c r="Q12" s="54"/>
      <c r="R12" s="54"/>
      <c r="S12" s="44"/>
      <c r="T12" s="54"/>
      <c r="U12" s="54"/>
      <c r="V12" s="13"/>
      <c r="W12" s="54"/>
      <c r="X12" s="54"/>
      <c r="Y12" s="13"/>
      <c r="Z12" s="54"/>
      <c r="AA12" s="13"/>
      <c r="AB12" s="13"/>
      <c r="AC12" s="13"/>
      <c r="AD12" s="13"/>
      <c r="AE12" s="37"/>
    </row>
    <row r="13" spans="1:31" ht="22.5" customHeight="1">
      <c r="A13" s="1251" t="s">
        <v>109</v>
      </c>
      <c r="B13" s="1251"/>
      <c r="C13" s="10" t="s">
        <v>21</v>
      </c>
      <c r="D13" s="16" t="e">
        <f>#REF!</f>
        <v>#REF!</v>
      </c>
      <c r="E13" s="54"/>
      <c r="F13" s="54"/>
      <c r="G13" s="54"/>
      <c r="H13" s="54"/>
      <c r="I13" s="10" t="s">
        <v>21</v>
      </c>
      <c r="J13" s="24" t="e">
        <f>#REF!+#REF!+#REF!</f>
        <v>#REF!</v>
      </c>
      <c r="K13" s="55"/>
      <c r="L13" s="10" t="s">
        <v>21</v>
      </c>
      <c r="M13" s="54"/>
      <c r="N13" s="10" t="s">
        <v>21</v>
      </c>
      <c r="O13" s="25" t="e">
        <f>SUM(J13+D13)</f>
        <v>#REF!</v>
      </c>
      <c r="P13" s="54"/>
      <c r="Q13" s="6" t="e">
        <f>'Caract. produção'!#REF!</f>
        <v>#REF!</v>
      </c>
      <c r="R13" s="10" t="s">
        <v>21</v>
      </c>
      <c r="S13" s="42"/>
      <c r="T13" s="54"/>
      <c r="U13" s="10" t="s">
        <v>21</v>
      </c>
      <c r="V13" s="16" t="e">
        <f>S13+O13</f>
        <v>#REF!</v>
      </c>
      <c r="W13" s="54"/>
      <c r="X13" s="10" t="s">
        <v>21</v>
      </c>
      <c r="Y13" s="16" t="e">
        <f>V13/$D$31</f>
        <v>#REF!</v>
      </c>
      <c r="Z13" s="54"/>
      <c r="AA13" s="12" t="s">
        <v>21</v>
      </c>
      <c r="AB13" s="16" t="e">
        <f>V13/($D$31*360)</f>
        <v>#REF!</v>
      </c>
      <c r="AC13" s="13"/>
      <c r="AD13" s="58" t="s">
        <v>31</v>
      </c>
      <c r="AE13" s="36" t="e">
        <f>AB13*100/$AB$27</f>
        <v>#REF!</v>
      </c>
    </row>
    <row r="14" spans="1:31">
      <c r="A14" s="54"/>
      <c r="B14" s="54"/>
      <c r="C14" s="54"/>
      <c r="D14" s="54"/>
      <c r="E14" s="54"/>
      <c r="F14" s="54"/>
      <c r="G14" s="54"/>
      <c r="H14" s="54"/>
      <c r="I14" s="54"/>
      <c r="J14" s="13"/>
      <c r="K14" s="55"/>
      <c r="L14" s="54"/>
      <c r="M14" s="54"/>
      <c r="N14" s="54"/>
      <c r="O14" s="13"/>
      <c r="P14" s="54"/>
      <c r="Q14" s="54"/>
      <c r="R14" s="54"/>
      <c r="S14" s="44"/>
      <c r="T14" s="54"/>
      <c r="U14" s="54"/>
      <c r="V14" s="13"/>
      <c r="W14" s="54"/>
      <c r="X14" s="54"/>
      <c r="Y14" s="13"/>
      <c r="Z14" s="54"/>
      <c r="AA14" s="13"/>
      <c r="AB14" s="13"/>
      <c r="AC14" s="13"/>
      <c r="AD14" s="13"/>
      <c r="AE14" s="37"/>
    </row>
    <row r="15" spans="1:31" ht="22.5" customHeight="1">
      <c r="A15" s="1251" t="s">
        <v>33</v>
      </c>
      <c r="B15" s="1251"/>
      <c r="C15" s="54"/>
      <c r="D15" s="54"/>
      <c r="E15" s="54"/>
      <c r="F15" s="54"/>
      <c r="G15" s="54"/>
      <c r="H15" s="54"/>
      <c r="I15" s="10" t="s">
        <v>21</v>
      </c>
      <c r="J15" s="16">
        <v>0</v>
      </c>
      <c r="K15" s="55"/>
      <c r="L15" s="10" t="s">
        <v>21</v>
      </c>
      <c r="M15" s="54"/>
      <c r="N15" s="10" t="s">
        <v>21</v>
      </c>
      <c r="O15" s="24">
        <f>J15</f>
        <v>0</v>
      </c>
      <c r="P15" s="54"/>
      <c r="Q15" s="6" t="e">
        <f>'Caract. produção'!#REF!</f>
        <v>#REF!</v>
      </c>
      <c r="R15" s="10" t="s">
        <v>21</v>
      </c>
      <c r="S15" s="42"/>
      <c r="T15" s="54"/>
      <c r="U15" s="10" t="s">
        <v>21</v>
      </c>
      <c r="V15" s="16">
        <f>S15+O15</f>
        <v>0</v>
      </c>
      <c r="W15" s="54"/>
      <c r="X15" s="10" t="s">
        <v>21</v>
      </c>
      <c r="Y15" s="16" t="e">
        <f>V15/$D$31</f>
        <v>#REF!</v>
      </c>
      <c r="Z15" s="54"/>
      <c r="AA15" s="12" t="s">
        <v>21</v>
      </c>
      <c r="AB15" s="16" t="e">
        <f>V15/($D$31*360)</f>
        <v>#REF!</v>
      </c>
      <c r="AC15" s="13"/>
      <c r="AD15" s="58" t="s">
        <v>31</v>
      </c>
      <c r="AE15" s="36" t="e">
        <f>AB15*100/$AB$27</f>
        <v>#REF!</v>
      </c>
    </row>
    <row r="16" spans="1:31">
      <c r="A16" s="54"/>
      <c r="B16" s="54"/>
      <c r="C16" s="54"/>
      <c r="D16" s="54"/>
      <c r="E16" s="54"/>
      <c r="F16" s="54"/>
      <c r="G16" s="54"/>
      <c r="H16" s="54"/>
      <c r="I16" s="54"/>
      <c r="J16" s="13"/>
      <c r="K16" s="55"/>
      <c r="L16" s="54"/>
      <c r="M16" s="54"/>
      <c r="N16" s="54"/>
      <c r="O16" s="13"/>
      <c r="P16" s="54"/>
      <c r="Q16" s="54"/>
      <c r="R16" s="54"/>
      <c r="S16" s="44"/>
      <c r="T16" s="54"/>
      <c r="U16" s="54"/>
      <c r="V16" s="13"/>
      <c r="W16" s="54"/>
      <c r="X16" s="54"/>
      <c r="Y16" s="13"/>
      <c r="Z16" s="54"/>
      <c r="AA16" s="13"/>
      <c r="AB16" s="13"/>
      <c r="AC16" s="13"/>
      <c r="AD16" s="13"/>
      <c r="AE16" s="37"/>
    </row>
    <row r="17" spans="1:31" ht="78.75" customHeight="1">
      <c r="A17" s="1251" t="s">
        <v>37</v>
      </c>
      <c r="B17" s="1251"/>
      <c r="C17" s="10" t="s">
        <v>21</v>
      </c>
      <c r="D17" s="16">
        <v>0</v>
      </c>
      <c r="E17" s="54"/>
      <c r="F17" s="54"/>
      <c r="G17" s="54"/>
      <c r="H17" s="54"/>
      <c r="I17" s="54"/>
      <c r="J17" s="13"/>
      <c r="K17" s="55"/>
      <c r="L17" s="54"/>
      <c r="M17" s="54"/>
      <c r="N17" s="10" t="s">
        <v>21</v>
      </c>
      <c r="O17" s="40">
        <f>D17</f>
        <v>0</v>
      </c>
      <c r="P17" s="54"/>
      <c r="Q17" s="6" t="e">
        <f>'Caract. produção'!#REF!</f>
        <v>#REF!</v>
      </c>
      <c r="R17" s="10" t="s">
        <v>21</v>
      </c>
      <c r="S17" s="42"/>
      <c r="T17" s="54"/>
      <c r="U17" s="10" t="s">
        <v>21</v>
      </c>
      <c r="V17" s="16">
        <f>S17+O17</f>
        <v>0</v>
      </c>
      <c r="W17" s="54"/>
      <c r="X17" s="10" t="s">
        <v>21</v>
      </c>
      <c r="Y17" s="16" t="e">
        <f>V17/$D$31</f>
        <v>#REF!</v>
      </c>
      <c r="Z17" s="54"/>
      <c r="AA17" s="12" t="s">
        <v>21</v>
      </c>
      <c r="AB17" s="16" t="e">
        <f>V17/($D$31*360)</f>
        <v>#REF!</v>
      </c>
      <c r="AC17" s="13"/>
      <c r="AD17" s="58" t="s">
        <v>31</v>
      </c>
      <c r="AE17" s="36" t="e">
        <f>AB17*100/$AB$27</f>
        <v>#REF!</v>
      </c>
    </row>
    <row r="18" spans="1:31">
      <c r="A18" s="54"/>
      <c r="B18" s="5"/>
      <c r="C18" s="54"/>
      <c r="D18" s="54"/>
      <c r="E18" s="54"/>
      <c r="F18" s="54"/>
      <c r="G18" s="54"/>
      <c r="H18" s="54"/>
      <c r="I18" s="54"/>
      <c r="J18" s="13"/>
      <c r="K18" s="55"/>
      <c r="L18" s="54"/>
      <c r="M18" s="54"/>
      <c r="N18" s="54"/>
      <c r="O18" s="13"/>
      <c r="P18" s="54"/>
      <c r="Q18" s="54"/>
      <c r="R18" s="54"/>
      <c r="S18" s="44"/>
      <c r="T18" s="54"/>
      <c r="U18" s="54"/>
      <c r="V18" s="13"/>
      <c r="W18" s="54"/>
      <c r="X18" s="54"/>
      <c r="Y18" s="13"/>
      <c r="Z18" s="54"/>
      <c r="AA18" s="13"/>
      <c r="AB18" s="13"/>
      <c r="AC18" s="13"/>
      <c r="AD18" s="13"/>
      <c r="AE18" s="37"/>
    </row>
    <row r="19" spans="1:31">
      <c r="A19" s="1251" t="s">
        <v>38</v>
      </c>
      <c r="B19" s="1251"/>
      <c r="C19" s="54"/>
      <c r="D19" s="54"/>
      <c r="E19" s="54"/>
      <c r="F19" s="54"/>
      <c r="G19" s="54"/>
      <c r="H19" s="54"/>
      <c r="I19" s="10" t="s">
        <v>21</v>
      </c>
      <c r="J19" s="15">
        <v>0</v>
      </c>
      <c r="K19" s="55"/>
      <c r="L19" s="54"/>
      <c r="M19" s="54"/>
      <c r="N19" s="10" t="s">
        <v>21</v>
      </c>
      <c r="O19" s="41">
        <f>J19</f>
        <v>0</v>
      </c>
      <c r="P19" s="54"/>
      <c r="Q19" s="6" t="e">
        <f>'Caract. produção'!#REF!</f>
        <v>#REF!</v>
      </c>
      <c r="R19" s="10" t="s">
        <v>21</v>
      </c>
      <c r="S19" s="42"/>
      <c r="T19" s="54"/>
      <c r="U19" s="10" t="s">
        <v>21</v>
      </c>
      <c r="V19" s="16">
        <f>S19+O19</f>
        <v>0</v>
      </c>
      <c r="W19" s="54"/>
      <c r="X19" s="10" t="s">
        <v>21</v>
      </c>
      <c r="Y19" s="16" t="e">
        <f>V19/$D$31</f>
        <v>#REF!</v>
      </c>
      <c r="Z19" s="54"/>
      <c r="AA19" s="12" t="s">
        <v>21</v>
      </c>
      <c r="AB19" s="16" t="e">
        <f>V19/($D$31*360)</f>
        <v>#REF!</v>
      </c>
      <c r="AC19" s="13"/>
      <c r="AD19" s="58" t="s">
        <v>31</v>
      </c>
      <c r="AE19" s="36" t="e">
        <f>AB19*100/$AB$27</f>
        <v>#REF!</v>
      </c>
    </row>
    <row r="20" spans="1:31">
      <c r="A20" s="54"/>
      <c r="B20" s="5"/>
      <c r="C20" s="54"/>
      <c r="D20" s="54"/>
      <c r="E20" s="54"/>
      <c r="F20" s="54"/>
      <c r="G20" s="54"/>
      <c r="H20" s="54"/>
      <c r="I20" s="54"/>
      <c r="J20" s="13"/>
      <c r="K20" s="55"/>
      <c r="L20" s="54"/>
      <c r="M20" s="54"/>
      <c r="N20" s="54"/>
      <c r="O20" s="13"/>
      <c r="P20" s="54"/>
      <c r="Q20" s="54"/>
      <c r="R20" s="54"/>
      <c r="S20" s="44"/>
      <c r="T20" s="54"/>
      <c r="U20" s="54"/>
      <c r="V20" s="13"/>
      <c r="W20" s="54"/>
      <c r="X20" s="54"/>
      <c r="Y20" s="13"/>
      <c r="Z20" s="54"/>
      <c r="AA20" s="13"/>
      <c r="AB20" s="13"/>
      <c r="AC20" s="13"/>
      <c r="AD20" s="13"/>
      <c r="AE20" s="37"/>
    </row>
    <row r="21" spans="1:31" ht="22.5" customHeight="1">
      <c r="A21" s="1251" t="s">
        <v>32</v>
      </c>
      <c r="B21" s="1251"/>
      <c r="C21" s="54"/>
      <c r="D21" s="54"/>
      <c r="E21" s="54"/>
      <c r="F21" s="54"/>
      <c r="G21" s="54"/>
      <c r="H21" s="54"/>
      <c r="I21" s="10" t="s">
        <v>21</v>
      </c>
      <c r="J21" s="67" t="e">
        <f>Inventário!#REF!</f>
        <v>#REF!</v>
      </c>
      <c r="K21" s="55"/>
      <c r="L21" s="54"/>
      <c r="M21" s="54"/>
      <c r="N21" s="10" t="s">
        <v>21</v>
      </c>
      <c r="O21" s="26" t="e">
        <f>J21</f>
        <v>#REF!</v>
      </c>
      <c r="P21" s="54"/>
      <c r="Q21" s="6" t="e">
        <f>'Caract. produção'!#REF!</f>
        <v>#REF!</v>
      </c>
      <c r="R21" s="10" t="s">
        <v>21</v>
      </c>
      <c r="S21" s="42"/>
      <c r="T21" s="54"/>
      <c r="U21" s="10" t="s">
        <v>21</v>
      </c>
      <c r="V21" s="16" t="e">
        <f>S21+O21</f>
        <v>#REF!</v>
      </c>
      <c r="W21" s="54"/>
      <c r="X21" s="10" t="s">
        <v>21</v>
      </c>
      <c r="Y21" s="16" t="e">
        <f>V21/$D$31</f>
        <v>#REF!</v>
      </c>
      <c r="Z21" s="54"/>
      <c r="AA21" s="12" t="s">
        <v>21</v>
      </c>
      <c r="AB21" s="16" t="e">
        <f>V21/($D$31*360)</f>
        <v>#REF!</v>
      </c>
      <c r="AC21" s="13"/>
      <c r="AD21" s="58" t="s">
        <v>31</v>
      </c>
      <c r="AE21" s="36" t="e">
        <f>AB21*100/$AB$27</f>
        <v>#REF!</v>
      </c>
    </row>
    <row r="22" spans="1:31">
      <c r="A22" s="54"/>
      <c r="B22" s="5"/>
      <c r="C22" s="54"/>
      <c r="D22" s="54"/>
      <c r="E22" s="54"/>
      <c r="F22" s="54"/>
      <c r="G22" s="54"/>
      <c r="H22" s="54"/>
      <c r="I22" s="54"/>
      <c r="J22" s="13"/>
      <c r="K22" s="55"/>
      <c r="L22" s="54"/>
      <c r="M22" s="54"/>
      <c r="N22" s="54"/>
      <c r="O22" s="13"/>
      <c r="P22" s="54"/>
      <c r="Q22" s="54"/>
      <c r="R22" s="54"/>
      <c r="S22" s="44"/>
      <c r="T22" s="54"/>
      <c r="U22" s="54"/>
      <c r="V22" s="13"/>
      <c r="W22" s="54"/>
      <c r="X22" s="54"/>
      <c r="Y22" s="13"/>
      <c r="Z22" s="54"/>
      <c r="AA22" s="13"/>
      <c r="AB22" s="13"/>
      <c r="AC22" s="13"/>
      <c r="AD22" s="13"/>
      <c r="AE22" s="37"/>
    </row>
    <row r="23" spans="1:31" ht="33.75" customHeight="1">
      <c r="A23" s="1251" t="s">
        <v>53</v>
      </c>
      <c r="B23" s="1251"/>
      <c r="C23" s="54"/>
      <c r="D23" s="54"/>
      <c r="E23" s="54"/>
      <c r="F23" s="10" t="s">
        <v>21</v>
      </c>
      <c r="G23" s="24" t="e">
        <f>SUM('Caract. produção'!#REF!*'Caract. produção'!#REF!,('Caract. produção'!#REF!+(0.2*'Caract. produção'!#REF!))*'Caract. produção'!#REF!)</f>
        <v>#REF!</v>
      </c>
      <c r="H23" s="54"/>
      <c r="I23" s="54"/>
      <c r="J23" s="13"/>
      <c r="K23" s="55"/>
      <c r="L23" s="54"/>
      <c r="M23" s="54"/>
      <c r="N23" s="10" t="s">
        <v>21</v>
      </c>
      <c r="O23" s="25" t="e">
        <f>G23</f>
        <v>#REF!</v>
      </c>
      <c r="P23" s="54"/>
      <c r="Q23" s="6" t="e">
        <f>'Caract. produção'!#REF!</f>
        <v>#REF!</v>
      </c>
      <c r="R23" s="12" t="s">
        <v>21</v>
      </c>
      <c r="S23" s="42"/>
      <c r="T23" s="54"/>
      <c r="U23" s="12" t="s">
        <v>21</v>
      </c>
      <c r="V23" s="16" t="e">
        <f>S23+O23</f>
        <v>#REF!</v>
      </c>
      <c r="W23" s="54"/>
      <c r="X23" s="12" t="s">
        <v>21</v>
      </c>
      <c r="Y23" s="16" t="e">
        <f>V23/$D$31</f>
        <v>#REF!</v>
      </c>
      <c r="Z23" s="54"/>
      <c r="AA23" s="12" t="s">
        <v>21</v>
      </c>
      <c r="AB23" s="16" t="e">
        <f>V23/($D$31*360)</f>
        <v>#REF!</v>
      </c>
      <c r="AC23" s="13"/>
      <c r="AD23" s="58" t="s">
        <v>31</v>
      </c>
      <c r="AE23" s="36" t="e">
        <f>AB23*100/$AB$27</f>
        <v>#REF!</v>
      </c>
    </row>
    <row r="24" spans="1:31">
      <c r="A24" s="54"/>
      <c r="B24" s="5"/>
      <c r="C24" s="54"/>
      <c r="D24" s="54"/>
      <c r="E24" s="54"/>
      <c r="F24" s="54"/>
      <c r="G24" s="54"/>
      <c r="H24" s="54"/>
      <c r="I24" s="54"/>
      <c r="J24" s="13"/>
      <c r="K24" s="55"/>
      <c r="L24" s="54"/>
      <c r="M24" s="54"/>
      <c r="N24" s="54"/>
      <c r="O24" s="13"/>
      <c r="P24" s="54"/>
      <c r="Q24" s="54"/>
      <c r="R24" s="54"/>
      <c r="S24" s="44"/>
      <c r="T24" s="54"/>
      <c r="U24" s="54"/>
      <c r="V24" s="13"/>
      <c r="W24" s="54"/>
      <c r="X24" s="54"/>
      <c r="Y24" s="13"/>
      <c r="Z24" s="54"/>
      <c r="AA24" s="13"/>
      <c r="AB24" s="13"/>
      <c r="AC24" s="13"/>
      <c r="AD24" s="13"/>
      <c r="AE24" s="37"/>
    </row>
    <row r="25" spans="1:31">
      <c r="A25" s="1252" t="s">
        <v>130</v>
      </c>
      <c r="B25" s="1252"/>
      <c r="C25" s="10" t="s">
        <v>21</v>
      </c>
      <c r="D25" s="24" t="e">
        <f>#REF!</f>
        <v>#REF!</v>
      </c>
      <c r="E25" s="54"/>
      <c r="F25" s="54"/>
      <c r="G25" s="54"/>
      <c r="H25" s="54"/>
      <c r="I25" s="54"/>
      <c r="J25" s="13"/>
      <c r="K25" s="55"/>
      <c r="L25" s="54"/>
      <c r="M25" s="54"/>
      <c r="N25" s="10" t="s">
        <v>21</v>
      </c>
      <c r="O25" s="25" t="e">
        <f>D25</f>
        <v>#REF!</v>
      </c>
      <c r="P25" s="54"/>
      <c r="Q25" s="6" t="e">
        <f>'Caract. produção'!#REF!</f>
        <v>#REF!</v>
      </c>
      <c r="R25" s="12" t="s">
        <v>21</v>
      </c>
      <c r="S25" s="42"/>
      <c r="T25" s="54"/>
      <c r="U25" s="12" t="s">
        <v>21</v>
      </c>
      <c r="V25" s="16" t="e">
        <f>S25+O25</f>
        <v>#REF!</v>
      </c>
      <c r="W25" s="54"/>
      <c r="X25" s="12" t="s">
        <v>21</v>
      </c>
      <c r="Y25" s="16" t="e">
        <f>V25/$D$31</f>
        <v>#REF!</v>
      </c>
      <c r="Z25" s="54"/>
      <c r="AA25" s="12" t="s">
        <v>21</v>
      </c>
      <c r="AB25" s="16" t="e">
        <f>V25/($D$31*360)</f>
        <v>#REF!</v>
      </c>
      <c r="AC25" s="13"/>
      <c r="AD25" s="58"/>
      <c r="AE25" s="36" t="e">
        <f>AB25*100/$AB$27</f>
        <v>#REF!</v>
      </c>
    </row>
    <row r="26" spans="1:31">
      <c r="A26" s="54"/>
      <c r="B26" s="5"/>
      <c r="C26" s="54"/>
      <c r="D26" s="54"/>
      <c r="E26" s="54"/>
      <c r="F26" s="54"/>
      <c r="G26" s="54"/>
      <c r="H26" s="54"/>
      <c r="I26" s="54"/>
      <c r="J26" s="13"/>
      <c r="K26" s="55"/>
      <c r="L26" s="54"/>
      <c r="M26" s="54"/>
      <c r="N26" s="54"/>
      <c r="O26" s="13"/>
      <c r="P26" s="54"/>
      <c r="Q26" s="54"/>
      <c r="R26" s="54"/>
      <c r="S26" s="44"/>
      <c r="T26" s="54"/>
      <c r="U26" s="54"/>
      <c r="V26" s="13"/>
      <c r="W26" s="54"/>
      <c r="X26" s="54"/>
      <c r="Y26" s="13"/>
      <c r="Z26" s="54"/>
      <c r="AA26" s="13"/>
      <c r="AB26" s="13"/>
      <c r="AC26" s="13"/>
      <c r="AD26" s="13"/>
      <c r="AE26" s="37"/>
    </row>
    <row r="27" spans="1:31" ht="22.5" customHeight="1">
      <c r="A27" s="1253" t="s">
        <v>9</v>
      </c>
      <c r="B27" s="1253"/>
      <c r="C27" s="11" t="s">
        <v>21</v>
      </c>
      <c r="D27" s="51" t="e">
        <f>SUM(D7:D25)</f>
        <v>#REF!</v>
      </c>
      <c r="E27" s="54"/>
      <c r="F27" s="10" t="s">
        <v>21</v>
      </c>
      <c r="G27" s="51" t="e">
        <f>SUM(G7:G25)</f>
        <v>#REF!</v>
      </c>
      <c r="H27" s="54"/>
      <c r="I27" s="11" t="s">
        <v>21</v>
      </c>
      <c r="J27" s="51" t="e">
        <f>SUM(J7:J25)</f>
        <v>#REF!</v>
      </c>
      <c r="K27" s="55"/>
      <c r="L27" s="11" t="s">
        <v>21</v>
      </c>
      <c r="M27" s="54"/>
      <c r="N27" s="11" t="s">
        <v>21</v>
      </c>
      <c r="O27" s="29" t="e">
        <f>SUM(O5:O25)</f>
        <v>#REF!</v>
      </c>
      <c r="P27" s="54"/>
      <c r="Q27" s="6" t="e">
        <f>'Caract. produção'!#REF!</f>
        <v>#REF!</v>
      </c>
      <c r="R27" s="11" t="s">
        <v>21</v>
      </c>
      <c r="S27" s="30"/>
      <c r="T27" s="54"/>
      <c r="U27" s="11" t="s">
        <v>21</v>
      </c>
      <c r="V27" s="16" t="e">
        <f>S27+O27</f>
        <v>#REF!</v>
      </c>
      <c r="W27" s="54"/>
      <c r="X27" s="11" t="s">
        <v>21</v>
      </c>
      <c r="Y27" s="16" t="e">
        <f>V27/$D$31</f>
        <v>#REF!</v>
      </c>
      <c r="Z27" s="54"/>
      <c r="AA27" s="14" t="s">
        <v>21</v>
      </c>
      <c r="AB27" s="31" t="e">
        <f>SUM(AB5:AB26)</f>
        <v>#REF!</v>
      </c>
      <c r="AC27" s="13"/>
      <c r="AD27" s="58" t="s">
        <v>31</v>
      </c>
      <c r="AE27" s="36" t="e">
        <f>SUM(AE5:AE25)</f>
        <v>#REF!</v>
      </c>
    </row>
    <row r="28" spans="1:31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7"/>
    </row>
    <row r="29" spans="1:31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1243"/>
      <c r="N29" s="1243"/>
      <c r="O29" s="1243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</row>
    <row r="30" spans="1:31" ht="22.5">
      <c r="A30" s="55"/>
      <c r="B30" s="55"/>
      <c r="C30" s="1236" t="s">
        <v>25</v>
      </c>
      <c r="D30" s="1236"/>
      <c r="E30" s="55"/>
      <c r="F30" s="1237" t="s">
        <v>54</v>
      </c>
      <c r="G30" s="1237"/>
      <c r="H30" s="55"/>
      <c r="I30" s="55"/>
      <c r="J30" s="55"/>
      <c r="K30" s="55"/>
      <c r="L30" s="55"/>
      <c r="M30" s="1"/>
      <c r="N30" s="1"/>
      <c r="O30" s="55"/>
      <c r="P30" s="55"/>
      <c r="Q30" s="55"/>
      <c r="R30" s="55"/>
      <c r="S30" s="2" t="s">
        <v>10</v>
      </c>
      <c r="T30" s="2"/>
      <c r="U30" s="55"/>
      <c r="V30" s="58" t="s">
        <v>3</v>
      </c>
      <c r="W30" s="55"/>
      <c r="X30" s="55"/>
      <c r="Y30" s="55"/>
      <c r="Z30" s="55"/>
      <c r="AA30" s="55"/>
      <c r="AB30" s="55"/>
      <c r="AC30" s="55"/>
      <c r="AD30" s="55"/>
      <c r="AE30" s="7"/>
    </row>
    <row r="31" spans="1:31" ht="45" customHeight="1">
      <c r="A31" s="1250" t="s">
        <v>11</v>
      </c>
      <c r="B31" s="1250"/>
      <c r="C31" s="10" t="s">
        <v>20</v>
      </c>
      <c r="D31" s="27" t="e">
        <f>'Caract. produção'!#REF!</f>
        <v>#REF!</v>
      </c>
      <c r="E31" s="55"/>
      <c r="F31" s="10" t="s">
        <v>21</v>
      </c>
      <c r="G31" s="21" t="e">
        <f>'Caract. produção'!#REF!</f>
        <v>#REF!</v>
      </c>
      <c r="H31" s="1244"/>
      <c r="I31" s="1244"/>
      <c r="J31" s="1244"/>
      <c r="K31" s="1245" t="s">
        <v>132</v>
      </c>
      <c r="L31" s="1245"/>
      <c r="M31" s="1245"/>
      <c r="N31" s="1245"/>
      <c r="O31" s="55"/>
      <c r="P31" s="54"/>
      <c r="Q31" s="54"/>
      <c r="R31" s="11" t="s">
        <v>21</v>
      </c>
      <c r="S31" s="30" t="e">
        <f>G31</f>
        <v>#REF!</v>
      </c>
      <c r="T31" s="2"/>
      <c r="U31" s="54"/>
      <c r="V31" s="32" t="e">
        <f>S31*100/S37</f>
        <v>#REF!</v>
      </c>
      <c r="W31" s="54"/>
      <c r="X31" s="54"/>
      <c r="Y31" s="54"/>
      <c r="Z31" s="54"/>
      <c r="AA31" s="54"/>
      <c r="AB31" s="54"/>
      <c r="AC31" s="54"/>
      <c r="AD31" s="54"/>
      <c r="AE31" s="7"/>
    </row>
    <row r="32" spans="1:31">
      <c r="A32" s="54"/>
      <c r="B32" s="54"/>
      <c r="C32" s="54"/>
      <c r="D32" s="54"/>
      <c r="E32" s="55"/>
      <c r="F32" s="54"/>
      <c r="G32" s="9"/>
      <c r="H32" s="1"/>
      <c r="I32" s="54"/>
      <c r="J32" s="54"/>
      <c r="K32" s="55"/>
      <c r="L32" s="55"/>
      <c r="M32" s="55"/>
      <c r="N32" s="55"/>
      <c r="O32" s="55"/>
      <c r="P32" s="54"/>
      <c r="Q32" s="54"/>
      <c r="R32" s="54"/>
      <c r="S32" s="54"/>
      <c r="T32" s="2"/>
      <c r="U32" s="54"/>
      <c r="V32" s="28"/>
      <c r="W32" s="54"/>
      <c r="X32" s="54"/>
      <c r="Y32" s="54"/>
      <c r="Z32" s="54"/>
      <c r="AA32" s="54"/>
      <c r="AB32" s="54"/>
      <c r="AC32" s="54"/>
      <c r="AD32" s="54"/>
      <c r="AE32" s="7"/>
    </row>
    <row r="33" spans="1:31" ht="22.5" customHeight="1">
      <c r="A33" s="1250" t="s">
        <v>12</v>
      </c>
      <c r="B33" s="1250"/>
      <c r="C33" s="54"/>
      <c r="D33" s="54"/>
      <c r="E33" s="19"/>
      <c r="F33" s="10" t="s">
        <v>21</v>
      </c>
      <c r="G33" s="21" t="e">
        <f>'Caract. produção'!#REF!</f>
        <v>#REF!</v>
      </c>
      <c r="H33" s="1244" t="s">
        <v>13</v>
      </c>
      <c r="I33" s="1244"/>
      <c r="J33" s="1244"/>
      <c r="K33" s="1245" t="s">
        <v>133</v>
      </c>
      <c r="L33" s="1245"/>
      <c r="M33" s="1245"/>
      <c r="N33" s="55"/>
      <c r="O33" s="55"/>
      <c r="P33" s="54"/>
      <c r="Q33" s="54"/>
      <c r="R33" s="11" t="s">
        <v>21</v>
      </c>
      <c r="S33" s="20" t="e">
        <f>G33/22.5</f>
        <v>#REF!</v>
      </c>
      <c r="T33" s="2"/>
      <c r="U33" s="54"/>
      <c r="V33" s="32" t="e">
        <f>S33*100/S37</f>
        <v>#REF!</v>
      </c>
      <c r="W33" s="54"/>
      <c r="X33" s="54"/>
      <c r="Y33" s="54"/>
      <c r="Z33" s="54"/>
      <c r="AA33" s="54"/>
      <c r="AB33" s="54"/>
      <c r="AC33" s="54"/>
      <c r="AD33" s="54"/>
      <c r="AE33" s="7"/>
    </row>
    <row r="34" spans="1:31">
      <c r="A34" s="54"/>
      <c r="B34" s="54"/>
      <c r="C34" s="54"/>
      <c r="D34" s="54"/>
      <c r="E34" s="55"/>
      <c r="F34" s="54"/>
      <c r="G34" s="54"/>
      <c r="H34" s="1"/>
      <c r="I34" s="54"/>
      <c r="J34" s="54"/>
      <c r="K34" s="55"/>
      <c r="L34" s="55"/>
      <c r="M34" s="55"/>
      <c r="N34" s="55"/>
      <c r="O34" s="55"/>
      <c r="P34" s="54"/>
      <c r="Q34" s="54"/>
      <c r="R34" s="54"/>
      <c r="S34" s="54"/>
      <c r="T34" s="2"/>
      <c r="U34" s="54"/>
      <c r="V34" s="28"/>
      <c r="W34" s="54"/>
      <c r="X34" s="54"/>
      <c r="Y34" s="54"/>
      <c r="Z34" s="54"/>
      <c r="AA34" s="54"/>
      <c r="AB34" s="54"/>
      <c r="AC34" s="54"/>
      <c r="AD34" s="54"/>
      <c r="AE34" s="7"/>
    </row>
    <row r="35" spans="1:31" ht="33.75" customHeight="1">
      <c r="A35" s="1250" t="s">
        <v>14</v>
      </c>
      <c r="B35" s="1250"/>
      <c r="C35" s="10" t="s">
        <v>34</v>
      </c>
      <c r="D35" s="22">
        <v>0</v>
      </c>
      <c r="E35" s="19"/>
      <c r="F35" s="10" t="s">
        <v>21</v>
      </c>
      <c r="G35" s="62" t="e">
        <f>'Caract. produção'!#REF!</f>
        <v>#REF!</v>
      </c>
      <c r="H35" s="1244" t="s">
        <v>15</v>
      </c>
      <c r="I35" s="1244"/>
      <c r="J35" s="1244"/>
      <c r="K35" s="1246"/>
      <c r="L35" s="1246"/>
      <c r="M35" s="1246"/>
      <c r="N35" s="55"/>
      <c r="O35" s="55"/>
      <c r="P35" s="59" t="s">
        <v>133</v>
      </c>
      <c r="Q35" s="54"/>
      <c r="R35" s="11" t="s">
        <v>21</v>
      </c>
      <c r="S35" s="20" t="e">
        <f>G35*D35</f>
        <v>#REF!</v>
      </c>
      <c r="T35" s="2"/>
      <c r="U35" s="54"/>
      <c r="V35" s="32" t="e">
        <f>S35*100/S37</f>
        <v>#REF!</v>
      </c>
      <c r="W35" s="54"/>
      <c r="X35" s="54"/>
      <c r="Y35" s="54"/>
      <c r="Z35" s="54"/>
      <c r="AA35" s="54"/>
      <c r="AB35" s="54"/>
      <c r="AC35" s="54"/>
      <c r="AD35" s="54"/>
      <c r="AE35" s="7"/>
    </row>
    <row r="36" spans="1:31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5"/>
      <c r="L36" s="54"/>
      <c r="M36" s="1"/>
      <c r="N36" s="54"/>
      <c r="O36" s="54"/>
      <c r="P36" s="54"/>
      <c r="Q36" s="54"/>
      <c r="R36" s="54"/>
      <c r="S36" s="54"/>
      <c r="T36" s="2"/>
      <c r="U36" s="54"/>
      <c r="V36" s="28"/>
      <c r="W36" s="54"/>
      <c r="X36" s="54"/>
      <c r="Y36" s="54"/>
      <c r="Z36" s="54"/>
      <c r="AA36" s="54"/>
      <c r="AB36" s="54"/>
      <c r="AC36" s="54"/>
      <c r="AD36" s="54"/>
      <c r="AE36" s="7"/>
    </row>
    <row r="37" spans="1:31" ht="22.5" customHeight="1">
      <c r="A37" s="1253" t="s">
        <v>16</v>
      </c>
      <c r="B37" s="12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1247"/>
      <c r="N37" s="1247"/>
      <c r="O37" s="1247"/>
      <c r="P37" s="54"/>
      <c r="Q37" s="54"/>
      <c r="R37" s="11" t="s">
        <v>21</v>
      </c>
      <c r="S37" s="31" t="e">
        <f>SUM(S31:S36)</f>
        <v>#REF!</v>
      </c>
      <c r="T37" s="2"/>
      <c r="U37" s="54"/>
      <c r="V37" s="33" t="e">
        <f>SUM(V35,V33,V31,)</f>
        <v>#REF!</v>
      </c>
      <c r="W37" s="54"/>
      <c r="X37" s="54"/>
      <c r="Y37" s="54"/>
      <c r="Z37" s="54"/>
      <c r="AA37" s="54"/>
      <c r="AB37" s="54"/>
      <c r="AC37" s="54"/>
      <c r="AD37" s="54"/>
      <c r="AE37" s="7"/>
    </row>
    <row r="38" spans="1:31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1247"/>
      <c r="N38" s="1247"/>
      <c r="O38" s="1247"/>
      <c r="P38" s="1247"/>
      <c r="Q38" s="1247"/>
      <c r="R38" s="1247"/>
      <c r="S38" s="1247"/>
      <c r="T38" s="2"/>
      <c r="U38" s="1247"/>
      <c r="V38" s="1247"/>
      <c r="W38" s="1247"/>
      <c r="X38" s="1247"/>
      <c r="Y38" s="1247"/>
      <c r="Z38" s="1247"/>
      <c r="AA38" s="54"/>
      <c r="AB38" s="54"/>
      <c r="AC38" s="54"/>
      <c r="AD38" s="54"/>
      <c r="AE38" s="7"/>
    </row>
    <row r="39" spans="1:31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1248"/>
      <c r="N39" s="1248"/>
      <c r="O39" s="1248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</row>
    <row r="40" spans="1:31" ht="22.5">
      <c r="A40" s="55"/>
      <c r="B40" s="55"/>
      <c r="C40" s="55"/>
      <c r="D40" s="55"/>
      <c r="E40" s="55"/>
      <c r="F40" s="55"/>
      <c r="G40" s="55"/>
      <c r="H40" s="55"/>
      <c r="I40" s="55"/>
      <c r="J40" s="2" t="s">
        <v>17</v>
      </c>
      <c r="K40" s="2"/>
      <c r="L40" s="55"/>
      <c r="M40" s="1249"/>
      <c r="N40" s="1249"/>
      <c r="O40" s="1249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</row>
    <row r="41" spans="1:31" ht="45" customHeight="1">
      <c r="A41" s="1250" t="s">
        <v>18</v>
      </c>
      <c r="B41" s="1250"/>
      <c r="C41" s="54"/>
      <c r="D41" s="54"/>
      <c r="E41" s="54"/>
      <c r="F41" s="54"/>
      <c r="G41" s="54"/>
      <c r="H41" s="54"/>
      <c r="I41" s="10" t="s">
        <v>21</v>
      </c>
      <c r="J41" s="34" t="e">
        <f>O27</f>
        <v>#REF!</v>
      </c>
      <c r="K41" s="2"/>
      <c r="L41" s="54"/>
      <c r="M41" s="1247"/>
      <c r="N41" s="1247"/>
      <c r="O41" s="1247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5"/>
      <c r="AE41" s="55"/>
    </row>
    <row r="42" spans="1:31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2"/>
      <c r="L42" s="54"/>
      <c r="M42" s="1247"/>
      <c r="N42" s="1247"/>
      <c r="O42" s="1247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5"/>
      <c r="AE42" s="55"/>
    </row>
    <row r="43" spans="1:31" ht="45" customHeight="1">
      <c r="A43" s="1250" t="s">
        <v>19</v>
      </c>
      <c r="B43" s="1250"/>
      <c r="C43" s="54"/>
      <c r="D43" s="54"/>
      <c r="E43" s="54"/>
      <c r="F43" s="54"/>
      <c r="G43" s="54"/>
      <c r="H43" s="54"/>
      <c r="I43" s="10" t="s">
        <v>21</v>
      </c>
      <c r="J43" s="21" t="e">
        <f>S37</f>
        <v>#REF!</v>
      </c>
      <c r="K43" s="2"/>
      <c r="L43" s="54"/>
      <c r="M43" s="1247"/>
      <c r="N43" s="1247"/>
      <c r="O43" s="1247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5"/>
      <c r="AE43" s="55"/>
    </row>
    <row r="44" spans="1:31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1247"/>
      <c r="N44" s="1247"/>
      <c r="O44" s="1247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5"/>
      <c r="AE44" s="55"/>
    </row>
    <row r="45" spans="1:31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1248"/>
      <c r="N45" s="1248"/>
      <c r="O45" s="1248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</row>
    <row r="50" spans="2:2">
      <c r="B50" s="68"/>
    </row>
    <row r="52" spans="2:2">
      <c r="B52" s="69"/>
    </row>
  </sheetData>
  <customSheetViews>
    <customSheetView guid="{B21478FB-9ACB-45B8-8FD5-2F18F035D5FD}" state="hidden">
      <pageMargins left="0.511811024" right="0.511811024" top="0.78740157499999996" bottom="0.78740157499999996" header="0.31496062000000002" footer="0.31496062000000002"/>
    </customSheetView>
  </customSheetViews>
  <mergeCells count="52">
    <mergeCell ref="C30:D30"/>
    <mergeCell ref="F30:G30"/>
    <mergeCell ref="C1:V1"/>
    <mergeCell ref="F2:G2"/>
    <mergeCell ref="O2:S2"/>
    <mergeCell ref="C3:V3"/>
    <mergeCell ref="I2:J2"/>
    <mergeCell ref="C2:D2"/>
    <mergeCell ref="H31:J31"/>
    <mergeCell ref="K31:N31"/>
    <mergeCell ref="H33:J33"/>
    <mergeCell ref="K33:M33"/>
    <mergeCell ref="M29:O29"/>
    <mergeCell ref="H35:J35"/>
    <mergeCell ref="K35:M35"/>
    <mergeCell ref="M37:O37"/>
    <mergeCell ref="M38:O38"/>
    <mergeCell ref="P38:Q38"/>
    <mergeCell ref="M43:O43"/>
    <mergeCell ref="M44:O44"/>
    <mergeCell ref="M45:O45"/>
    <mergeCell ref="AA2:AB2"/>
    <mergeCell ref="X2:Y2"/>
    <mergeCell ref="U2:V2"/>
    <mergeCell ref="R4:S4"/>
    <mergeCell ref="N4:O4"/>
    <mergeCell ref="U38:V38"/>
    <mergeCell ref="W38:Z38"/>
    <mergeCell ref="M39:O39"/>
    <mergeCell ref="M40:O40"/>
    <mergeCell ref="M41:O41"/>
    <mergeCell ref="M42:O42"/>
    <mergeCell ref="R38:S38"/>
    <mergeCell ref="A2:B2"/>
    <mergeCell ref="A5:B5"/>
    <mergeCell ref="A7:B7"/>
    <mergeCell ref="A9:B9"/>
    <mergeCell ref="A37:B37"/>
    <mergeCell ref="A11:B11"/>
    <mergeCell ref="A15:B15"/>
    <mergeCell ref="A13:B13"/>
    <mergeCell ref="A17:B17"/>
    <mergeCell ref="A19:B19"/>
    <mergeCell ref="A21:B21"/>
    <mergeCell ref="A41:B41"/>
    <mergeCell ref="A43:B43"/>
    <mergeCell ref="A23:B23"/>
    <mergeCell ref="A25:B25"/>
    <mergeCell ref="A27:B27"/>
    <mergeCell ref="A31:B31"/>
    <mergeCell ref="A33:B33"/>
    <mergeCell ref="A35:B3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Caract. produção</vt:lpstr>
      <vt:lpstr>Inventário</vt:lpstr>
      <vt:lpstr>Trabalho</vt:lpstr>
      <vt:lpstr>Insumos</vt:lpstr>
      <vt:lpstr>Transporte</vt:lpstr>
      <vt:lpstr>Emergy_references</vt:lpstr>
      <vt:lpstr>IGP-DI | FGV</vt:lpstr>
      <vt:lpstr>CPM_integrado</vt:lpstr>
      <vt:lpstr>CPM_integradora</vt:lpstr>
      <vt:lpstr>ATALHOS</vt:lpstr>
      <vt:lpstr>CPM_frango</vt:lpstr>
      <vt:lpstr>Facility</vt:lpstr>
      <vt:lpstr>SJR_V1</vt:lpstr>
      <vt:lpstr>EMERGY</vt:lpstr>
      <vt:lpstr>Emergy_V2</vt:lpstr>
      <vt:lpstr>| ref | LEIS E IN's</vt:lpstr>
      <vt:lpstr>Itens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reviewer</cp:lastModifiedBy>
  <cp:lastPrinted>2021-08-03T17:24:15Z</cp:lastPrinted>
  <dcterms:created xsi:type="dcterms:W3CDTF">2018-12-06T12:33:14Z</dcterms:created>
  <dcterms:modified xsi:type="dcterms:W3CDTF">2023-11-06T17:58:00Z</dcterms:modified>
</cp:coreProperties>
</file>