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rok\Documents\Azinzo\03_論文関連(A-)\Pump-free hemofiltration device\"/>
    </mc:Choice>
  </mc:AlternateContent>
  <xr:revisionPtr revIDLastSave="0" documentId="8_{A7DEDB59-B838-406F-ABAC-E1206788B4F6}" xr6:coauthVersionLast="47" xr6:coauthVersionMax="47" xr10:uidLastSave="{00000000-0000-0000-0000-000000000000}"/>
  <bookViews>
    <workbookView xWindow="-98" yWindow="-98" windowWidth="20715" windowHeight="13276" xr2:uid="{AA68B620-69D3-43A1-B422-20DED2C05163}"/>
  </bookViews>
  <sheets>
    <sheet name="Fig.7" sheetId="1" r:id="rId1"/>
    <sheet name="Fig.8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 l="1"/>
  <c r="F6" i="2"/>
  <c r="F9" i="2"/>
  <c r="F10" i="2"/>
  <c r="F11" i="2"/>
  <c r="F14" i="2"/>
  <c r="F15" i="2"/>
  <c r="F16" i="2"/>
  <c r="F4" i="2"/>
  <c r="L13" i="1" l="1"/>
  <c r="L7" i="1" s="1"/>
  <c r="K13" i="1"/>
  <c r="J13" i="1"/>
  <c r="J5" i="1" s="1"/>
  <c r="F13" i="1"/>
  <c r="F7" i="1" s="1"/>
  <c r="E13" i="1"/>
  <c r="E6" i="1" s="1"/>
  <c r="D13" i="1"/>
  <c r="D7" i="1" s="1"/>
  <c r="Y7" i="1"/>
  <c r="X7" i="1"/>
  <c r="W7" i="1"/>
  <c r="S7" i="1"/>
  <c r="R7" i="1"/>
  <c r="Q7" i="1"/>
  <c r="P7" i="1"/>
  <c r="K7" i="1"/>
  <c r="J7" i="1"/>
  <c r="C7" i="1"/>
  <c r="Y6" i="1"/>
  <c r="X6" i="1"/>
  <c r="W6" i="1"/>
  <c r="S6" i="1"/>
  <c r="R6" i="1"/>
  <c r="Q6" i="1"/>
  <c r="P6" i="1"/>
  <c r="K6" i="1"/>
  <c r="J6" i="1"/>
  <c r="C6" i="1"/>
  <c r="Y5" i="1"/>
  <c r="X5" i="1"/>
  <c r="W5" i="1"/>
  <c r="S5" i="1"/>
  <c r="R5" i="1"/>
  <c r="Q5" i="1"/>
  <c r="P5" i="1"/>
  <c r="K5" i="1"/>
  <c r="D5" i="1"/>
  <c r="C5" i="1"/>
  <c r="G14" i="2"/>
  <c r="G9" i="2"/>
  <c r="G4" i="2"/>
  <c r="D6" i="1" l="1"/>
  <c r="E7" i="1"/>
  <c r="E9" i="1" s="1"/>
  <c r="D8" i="1"/>
  <c r="L5" i="1"/>
  <c r="E5" i="1"/>
  <c r="W9" i="1"/>
  <c r="L6" i="1"/>
  <c r="P9" i="1"/>
  <c r="J8" i="1"/>
  <c r="Q8" i="1"/>
  <c r="X8" i="1"/>
  <c r="C8" i="1"/>
  <c r="K8" i="1"/>
  <c r="R8" i="1"/>
  <c r="Y8" i="1"/>
  <c r="F6" i="1"/>
  <c r="S9" i="1"/>
  <c r="F5" i="1"/>
  <c r="S8" i="1"/>
  <c r="C9" i="1"/>
  <c r="J9" i="1"/>
  <c r="Q9" i="1"/>
  <c r="X9" i="1"/>
  <c r="P8" i="1"/>
  <c r="W8" i="1"/>
  <c r="D9" i="1"/>
  <c r="K9" i="1"/>
  <c r="R9" i="1"/>
  <c r="Y9" i="1"/>
  <c r="F9" i="1" l="1"/>
  <c r="L9" i="1"/>
  <c r="E8" i="1"/>
  <c r="L8" i="1"/>
  <c r="F8" i="1"/>
</calcChain>
</file>

<file path=xl/sharedStrings.xml><?xml version="1.0" encoding="utf-8"?>
<sst xmlns="http://schemas.openxmlformats.org/spreadsheetml/2006/main" count="67" uniqueCount="24">
  <si>
    <t>Pa average
[mmHg]</t>
    <phoneticPr fontId="1"/>
  </si>
  <si>
    <t>Pd average
[mmHg]</t>
    <phoneticPr fontId="1"/>
  </si>
  <si>
    <t>Pv average
[mmHg]</t>
    <phoneticPr fontId="1"/>
  </si>
  <si>
    <t>NDF</t>
    <phoneticPr fontId="1"/>
  </si>
  <si>
    <t>average</t>
    <phoneticPr fontId="1"/>
  </si>
  <si>
    <t>average
[-]</t>
    <phoneticPr fontId="1"/>
  </si>
  <si>
    <t>peristaltic pump 
flow rate [ml/min]</t>
    <phoneticPr fontId="1"/>
  </si>
  <si>
    <t>2.4.4. Effect of Fluid-Resistive Device D</t>
    <phoneticPr fontId="1"/>
  </si>
  <si>
    <t>2.4.3. Filtration Coefficient</t>
    <phoneticPr fontId="1"/>
  </si>
  <si>
    <t>Alb [g/dL]</t>
    <phoneticPr fontId="1"/>
  </si>
  <si>
    <t>n=1</t>
    <phoneticPr fontId="1"/>
  </si>
  <si>
    <t>n=2</t>
  </si>
  <si>
    <t>n=3</t>
  </si>
  <si>
    <t>Lpf
 [ml/(h/m2/mmHg)]</t>
    <phoneticPr fontId="1"/>
  </si>
  <si>
    <t>Pin [mmHg]</t>
    <phoneticPr fontId="1"/>
  </si>
  <si>
    <t>Pout [mmHg]</t>
    <phoneticPr fontId="1"/>
  </si>
  <si>
    <t>Pos [mmHg]</t>
    <phoneticPr fontId="1"/>
  </si>
  <si>
    <t>SD</t>
    <phoneticPr fontId="1"/>
  </si>
  <si>
    <t>Filtration with experimentally deduced Pc</t>
    <phoneticPr fontId="1"/>
  </si>
  <si>
    <t>Filtration with calculated Pc</t>
    <phoneticPr fontId="1"/>
  </si>
  <si>
    <t>Backfiltration with experimentally deduced Pc</t>
    <phoneticPr fontId="1"/>
  </si>
  <si>
    <t>Backfiltration with calculated Pc</t>
    <phoneticPr fontId="1"/>
  </si>
  <si>
    <t>Lpbf
 [ml/(h/m2/mmHg)]</t>
    <phoneticPr fontId="1"/>
  </si>
  <si>
    <t>(Pd-Pv)/(Pa-Pv)
[-]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</si>
</sst>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7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Calibri"/>
      <family val="2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2" fontId="3" fillId="0" borderId="0" xfId="0" applyNumberFormat="1" applyFont="1">
      <alignment vertical="center"/>
    </xf>
    <xf numFmtId="2" fontId="3" fillId="0" borderId="0" xfId="0" applyNumberFormat="1" applyFont="1" applyAlignment="1">
      <alignment horizontal="center" vertical="center" wrapText="1"/>
    </xf>
    <xf numFmtId="187" fontId="4" fillId="0" borderId="0" xfId="0" applyNumberFormat="1" applyFont="1">
      <alignment vertical="center"/>
    </xf>
    <xf numFmtId="1" fontId="4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E7968-D770-442E-8478-5BE1B63A9AF1}">
  <dimension ref="A1:Y13"/>
  <sheetViews>
    <sheetView tabSelected="1" topLeftCell="I1" zoomScale="85" zoomScaleNormal="85" workbookViewId="0">
      <selection activeCell="V16" sqref="V16"/>
    </sheetView>
  </sheetViews>
  <sheetFormatPr defaultRowHeight="17.649999999999999" x14ac:dyDescent="0.7"/>
  <cols>
    <col min="1" max="1" width="19.1875" customWidth="1"/>
    <col min="2" max="2" width="13.625" style="6" customWidth="1"/>
    <col min="3" max="7" width="9" style="6"/>
    <col min="8" max="8" width="19.1875" style="6" customWidth="1"/>
    <col min="9" max="9" width="13.625" style="6" customWidth="1"/>
    <col min="10" max="13" width="9" style="6"/>
    <col min="14" max="14" width="19.1875" style="6" customWidth="1"/>
    <col min="15" max="15" width="13.625" style="6" customWidth="1"/>
    <col min="16" max="20" width="9" style="6"/>
    <col min="21" max="21" width="19.1875" style="6" customWidth="1"/>
    <col min="22" max="22" width="13.625" style="6" customWidth="1"/>
    <col min="23" max="25" width="9" style="6"/>
  </cols>
  <sheetData>
    <row r="1" spans="1:25" x14ac:dyDescent="0.7">
      <c r="A1" s="6" t="s">
        <v>8</v>
      </c>
    </row>
    <row r="3" spans="1:25" x14ac:dyDescent="0.7">
      <c r="A3" s="6" t="s">
        <v>18</v>
      </c>
      <c r="C3" s="8"/>
      <c r="D3" s="8"/>
      <c r="E3" s="8"/>
      <c r="F3" s="8"/>
      <c r="H3" s="6" t="s">
        <v>20</v>
      </c>
      <c r="N3" s="6" t="s">
        <v>19</v>
      </c>
      <c r="U3" s="6" t="s">
        <v>21</v>
      </c>
    </row>
    <row r="4" spans="1:25" x14ac:dyDescent="0.7">
      <c r="A4" s="6"/>
      <c r="B4" s="7" t="s">
        <v>9</v>
      </c>
      <c r="C4" s="6">
        <v>0</v>
      </c>
      <c r="D4" s="6">
        <v>1.8</v>
      </c>
      <c r="E4" s="6">
        <v>4.0999999999999996</v>
      </c>
      <c r="F4" s="6">
        <v>5.9</v>
      </c>
      <c r="I4" s="7" t="s">
        <v>9</v>
      </c>
      <c r="J4" s="6">
        <v>1.8</v>
      </c>
      <c r="K4" s="6">
        <v>4.0999999999999996</v>
      </c>
      <c r="L4" s="6">
        <v>5.9</v>
      </c>
      <c r="O4" s="7" t="s">
        <v>9</v>
      </c>
      <c r="P4" s="6">
        <v>0</v>
      </c>
      <c r="Q4" s="6">
        <v>1.8</v>
      </c>
      <c r="R4" s="6">
        <v>4.0999999999999996</v>
      </c>
      <c r="S4" s="6">
        <v>5.9</v>
      </c>
      <c r="V4" s="7" t="s">
        <v>9</v>
      </c>
      <c r="W4" s="6">
        <v>1.8</v>
      </c>
      <c r="X4" s="6">
        <v>4.0999999999999996</v>
      </c>
      <c r="Y4" s="6">
        <v>5.9</v>
      </c>
    </row>
    <row r="5" spans="1:25" ht="35.25" customHeight="1" x14ac:dyDescent="0.7">
      <c r="A5" s="9" t="s">
        <v>13</v>
      </c>
      <c r="B5" s="6" t="s">
        <v>10</v>
      </c>
      <c r="C5" s="13">
        <f>0.56*60/(0.000459*10*(($C$11+$C$12)/2-$C$13))</f>
        <v>283.2918513122483</v>
      </c>
      <c r="D5" s="13">
        <f>0.35*60/(0.000459*10*(($D$11+$D$12)/2-$D$13))</f>
        <v>91.597224743108697</v>
      </c>
      <c r="E5" s="13">
        <f>0.13*60/(0.000459*10*(($E$11+$E$12)/2-$E$13))</f>
        <v>29.134560623181027</v>
      </c>
      <c r="F5" s="13">
        <f>0.134*60/(0.000459*10*(($F$11+$F$12)/2-$F$13))</f>
        <v>19.52020854488801</v>
      </c>
      <c r="H5" s="9" t="s">
        <v>22</v>
      </c>
      <c r="I5" s="6" t="s">
        <v>10</v>
      </c>
      <c r="J5" s="13">
        <f>PI()*0.55^2*-89.7/1000*60/(0.000459*10*(($J$11+$J$12)/2-$J$13))</f>
        <v>257.27003012893829</v>
      </c>
      <c r="K5" s="13">
        <f>PI()*0.55^2*-184.1/1000*60/(0.000459*10*(($K$11+$K$12)/2-$K$13))</f>
        <v>208.5260888171174</v>
      </c>
      <c r="L5" s="13">
        <f>PI()*0.55^2*-179.1/1000*60/(0.000459*10*(($L$11+$L$12)/2-$L$13))</f>
        <v>128.37945512879367</v>
      </c>
      <c r="N5" s="9" t="s">
        <v>13</v>
      </c>
      <c r="O5" s="6" t="s">
        <v>10</v>
      </c>
      <c r="P5" s="13">
        <f>0.56*60/(0.000459*10*(($C$11+$C$12)/2-$C$13))</f>
        <v>283.2918513122483</v>
      </c>
      <c r="Q5" s="13">
        <f>0.35*60/(0.000459*10*(($D$11+$D$12)/2-$Q$13))</f>
        <v>92.633395397708242</v>
      </c>
      <c r="R5" s="13">
        <f>0.13*60/(0.000459*10*(($E$11+$E$12)/2-$R$13))</f>
        <v>33.665756784847716</v>
      </c>
      <c r="S5" s="13">
        <f>0.134*60/(0.000459*10*(($F$11+$F$12)/2-$S$13))</f>
        <v>24.026253164091692</v>
      </c>
      <c r="U5" s="9" t="s">
        <v>22</v>
      </c>
      <c r="V5" s="6" t="s">
        <v>10</v>
      </c>
      <c r="W5" s="13">
        <f>PI()*0.55^2*-89.7/1000*60/(0.000459*10*(($J$11+$J$12)/2-$W$13))</f>
        <v>227.87537714869308</v>
      </c>
      <c r="X5" s="13">
        <f>PI()*0.55^2*-184.1/1000*60/(0.000459*10*(($K$11+$K$12)/2-$X$13))</f>
        <v>121.53297828221693</v>
      </c>
      <c r="Y5" s="13">
        <f>PI()*0.55^2*-179.1/1000*60/(0.000459*10*(($L$11+$L$12)/2-$Y$13))</f>
        <v>65.131569005535056</v>
      </c>
    </row>
    <row r="6" spans="1:25" x14ac:dyDescent="0.7">
      <c r="A6" s="9"/>
      <c r="B6" s="6" t="s">
        <v>11</v>
      </c>
      <c r="C6" s="13">
        <f>0.57*60/(0.000459*10*(($C$11+$C$12)/2-$C$13))</f>
        <v>288.35063437139559</v>
      </c>
      <c r="D6" s="13">
        <f>0.32*60/(0.000459*10*(($D$11+$D$12)/2-$D$13))</f>
        <v>83.746034050842226</v>
      </c>
      <c r="E6" s="13">
        <f>0.13*60/(0.000459*10*(($E$11+$E$12)/2-$E$13))</f>
        <v>29.134560623181027</v>
      </c>
      <c r="F6" s="13">
        <f>0.104*60/(0.000459*10*(($F$11+$F$12)/2-$F$13))</f>
        <v>15.150012602002631</v>
      </c>
      <c r="H6" s="9"/>
      <c r="I6" s="6" t="s">
        <v>11</v>
      </c>
      <c r="J6" s="13">
        <f>PI()*0.55^2*-73.2/1000*60/(0.000459*10*(($J$11+$J$12)/2-$J$13))</f>
        <v>209.94611154334763</v>
      </c>
      <c r="K6" s="13">
        <f>PI()*0.55^2*-179.7/1000*60/(0.000459*10*(($K$11+$K$12)/2-$K$13))</f>
        <v>203.54230396760454</v>
      </c>
      <c r="L6" s="13">
        <f>PI()*0.55^2*-205/1000*60/(0.000459*10*(($L$11+$L$12)/2-$L$13))</f>
        <v>146.94465829928924</v>
      </c>
      <c r="N6" s="9"/>
      <c r="O6" s="6" t="s">
        <v>11</v>
      </c>
      <c r="P6" s="13">
        <f>0.57*60/(0.000459*10*(($C$11+$C$12)/2-$C$13))</f>
        <v>288.35063437139559</v>
      </c>
      <c r="Q6" s="13">
        <f>0.32*60/(0.000459*10*(($D$11+$D$12)/2-$Q$13))</f>
        <v>84.693390077904681</v>
      </c>
      <c r="R6" s="13">
        <f>0.13*60/(0.000459*10*(($E$11+$E$12)/2-$R$13))</f>
        <v>33.665756784847716</v>
      </c>
      <c r="S6" s="13">
        <f>0.104*60/(0.000459*10*(($F$11+$F$12)/2-$S$13))</f>
        <v>18.647241261683099</v>
      </c>
      <c r="U6" s="9"/>
      <c r="V6" s="6" t="s">
        <v>11</v>
      </c>
      <c r="W6" s="13">
        <f>PI()*0.55^2*-73.2/1000*60/(0.000459*10*(($J$11+$J$12)/2-$W$13))</f>
        <v>185.95850175344853</v>
      </c>
      <c r="X6" s="13">
        <f>PI()*0.55^2*-179.7/1000*60/(0.000459*10*(($K$11+$K$12)/2-$X$13))</f>
        <v>118.62833349980652</v>
      </c>
      <c r="Y6" s="13">
        <f>PI()*0.55^2*-205/1000*60/(0.000459*10*(($L$11+$L$12)/2-$Y$13))</f>
        <v>74.550372116888269</v>
      </c>
    </row>
    <row r="7" spans="1:25" x14ac:dyDescent="0.7">
      <c r="A7" s="9"/>
      <c r="B7" s="6" t="s">
        <v>12</v>
      </c>
      <c r="C7" s="13">
        <f>0.59*60/(0.000459*10*(($C$11+$C$12)/2-$C$13))</f>
        <v>298.46820048969016</v>
      </c>
      <c r="D7" s="13">
        <f>0.36*60/(0.000459*10*(($D$11+$D$12)/2-$D$13))</f>
        <v>94.214288307197506</v>
      </c>
      <c r="E7" s="13">
        <f>0.12*60/(0.000459*10*(($E$11+$E$12)/2-$E$13))</f>
        <v>26.893440575244018</v>
      </c>
      <c r="F7" s="13">
        <f>0.104*60/(0.000459*10*(($F$11+$F$12)/2-$F$13))</f>
        <v>15.150012602002631</v>
      </c>
      <c r="H7" s="9"/>
      <c r="I7" s="6" t="s">
        <v>12</v>
      </c>
      <c r="J7" s="13">
        <f>PI()*0.55^2*-72.2/1000*60/(0.000459*10*(($J$11+$J$12)/2-$J$13))</f>
        <v>207.07799526543309</v>
      </c>
      <c r="K7" s="13">
        <f>PI()*0.55^2*-185.4/1000*60/(0.000459*10*(($K$11+$K$12)/2-$K$13))</f>
        <v>209.99857070447351</v>
      </c>
      <c r="L7" s="13">
        <f>PI()*0.55^2*-231.9/1000*60/(0.000459*10*(($L$11+$L$12)/2-$L$13))</f>
        <v>166.22666468100087</v>
      </c>
      <c r="N7" s="9"/>
      <c r="O7" s="6" t="s">
        <v>12</v>
      </c>
      <c r="P7" s="13">
        <f>0.59*60/(0.000459*10*(($C$11+$C$12)/2-$C$13))</f>
        <v>298.46820048969016</v>
      </c>
      <c r="Q7" s="13">
        <f>0.36*60/(0.000459*10*(($D$11+$D$12)/2-$Q$13))</f>
        <v>95.280063837642757</v>
      </c>
      <c r="R7" s="13">
        <f>0.12*60/(0.000459*10*(($E$11+$E$12)/2-$R$13))</f>
        <v>31.076083186013271</v>
      </c>
      <c r="S7" s="13">
        <f>0.104*60/(0.000459*10*(($F$11+$F$12)/2-$S$13))</f>
        <v>18.647241261683099</v>
      </c>
      <c r="U7" s="9"/>
      <c r="V7" s="6" t="s">
        <v>12</v>
      </c>
      <c r="W7" s="13">
        <f>PI()*0.55^2*-72.2/1000*60/(0.000459*10*(($J$11+$J$12)/2-$W$13))</f>
        <v>183.41808506282769</v>
      </c>
      <c r="X7" s="13">
        <f>PI()*0.55^2*-185.4/1000*60/(0.000459*10*(($K$11+$K$12)/2-$X$13))</f>
        <v>122.39116878611094</v>
      </c>
      <c r="Y7" s="13">
        <f>PI()*0.55^2*-231.9/1000*60/(0.000459*10*(($L$11+$L$12)/2-$Y$13))</f>
        <v>84.332835580031173</v>
      </c>
    </row>
    <row r="8" spans="1:25" x14ac:dyDescent="0.7">
      <c r="A8" s="9"/>
      <c r="B8" s="6" t="s">
        <v>4</v>
      </c>
      <c r="C8" s="13">
        <f>AVERAGE(C5:C7)</f>
        <v>290.03689539111133</v>
      </c>
      <c r="D8" s="13">
        <f t="shared" ref="D8:F8" si="0">AVERAGE(D5:D7)</f>
        <v>89.85251570038281</v>
      </c>
      <c r="E8" s="13">
        <f t="shared" si="0"/>
        <v>28.387520607202024</v>
      </c>
      <c r="F8" s="13">
        <f t="shared" si="0"/>
        <v>16.606744582964424</v>
      </c>
      <c r="H8" s="9"/>
      <c r="I8" s="6" t="s">
        <v>4</v>
      </c>
      <c r="J8" s="13">
        <f t="shared" ref="J8:L8" si="1">AVERAGE(J5:J7)</f>
        <v>224.76471231257301</v>
      </c>
      <c r="K8" s="13">
        <f t="shared" si="1"/>
        <v>207.3556544963985</v>
      </c>
      <c r="L8" s="13">
        <f t="shared" si="1"/>
        <v>147.18359270302793</v>
      </c>
      <c r="N8" s="9"/>
      <c r="O8" s="6" t="s">
        <v>4</v>
      </c>
      <c r="P8" s="13">
        <f>AVERAGE(P5:P7)</f>
        <v>290.03689539111133</v>
      </c>
      <c r="Q8" s="13">
        <f t="shared" ref="Q8:S8" si="2">AVERAGE(Q5:Q7)</f>
        <v>90.868949771085227</v>
      </c>
      <c r="R8" s="13">
        <f t="shared" si="2"/>
        <v>32.802532251902903</v>
      </c>
      <c r="S8" s="13">
        <f t="shared" si="2"/>
        <v>20.44024522915263</v>
      </c>
      <c r="U8" s="9"/>
      <c r="V8" s="6" t="s">
        <v>4</v>
      </c>
      <c r="W8" s="13">
        <f t="shared" ref="W8:Y8" si="3">AVERAGE(W5:W7)</f>
        <v>199.08398798832309</v>
      </c>
      <c r="X8" s="13">
        <f t="shared" si="3"/>
        <v>120.8508268560448</v>
      </c>
      <c r="Y8" s="13">
        <f t="shared" si="3"/>
        <v>74.671592234151504</v>
      </c>
    </row>
    <row r="9" spans="1:25" x14ac:dyDescent="0.7">
      <c r="A9" s="9"/>
      <c r="B9" s="6" t="s">
        <v>17</v>
      </c>
      <c r="C9" s="13">
        <f>_xlfn.STDEV.P(C5:C7)</f>
        <v>6.3094110004484421</v>
      </c>
      <c r="D9" s="13">
        <f t="shared" ref="D9:E9" si="4">_xlfn.STDEV.P(D5:D7)</f>
        <v>4.4481527272005268</v>
      </c>
      <c r="E9" s="13">
        <f t="shared" si="4"/>
        <v>1.0564741222329199</v>
      </c>
      <c r="F9" s="13">
        <f>_xlfn.STDEV.P(F5:F7)</f>
        <v>2.0601301242187984</v>
      </c>
      <c r="H9" s="9"/>
      <c r="I9" s="6" t="s">
        <v>17</v>
      </c>
      <c r="J9" s="13">
        <f t="shared" ref="J9:K9" si="5">_xlfn.STDEV.P(J5:J7)</f>
        <v>23.014535805342646</v>
      </c>
      <c r="K9" s="13">
        <f t="shared" si="5"/>
        <v>2.7626415401131013</v>
      </c>
      <c r="L9" s="13">
        <f>_xlfn.STDEV.P(L5:L7)</f>
        <v>15.451982288348132</v>
      </c>
      <c r="N9" s="9"/>
      <c r="O9" s="6" t="s">
        <v>17</v>
      </c>
      <c r="P9" s="13">
        <f>_xlfn.STDEV.P(P5:P7)</f>
        <v>6.3094110004484421</v>
      </c>
      <c r="Q9" s="13">
        <f t="shared" ref="Q9:R9" si="6">_xlfn.STDEV.P(Q5:Q7)</f>
        <v>4.4984713404120962</v>
      </c>
      <c r="R9" s="13">
        <f t="shared" si="6"/>
        <v>1.2207838418637378</v>
      </c>
      <c r="S9" s="13">
        <f>_xlfn.STDEV.P(S5:S7)</f>
        <v>2.5356905281841957</v>
      </c>
      <c r="U9" s="9"/>
      <c r="V9" s="6" t="s">
        <v>17</v>
      </c>
      <c r="W9" s="13">
        <f t="shared" ref="W9:X9" si="7">_xlfn.STDEV.P(W5:W7)</f>
        <v>20.384986249335707</v>
      </c>
      <c r="X9" s="13">
        <f t="shared" si="7"/>
        <v>1.6101201350905323</v>
      </c>
      <c r="Y9" s="13">
        <f>_xlfn.STDEV.P(Y5:Y7)</f>
        <v>7.8393528752415751</v>
      </c>
    </row>
    <row r="10" spans="1:25" x14ac:dyDescent="0.7">
      <c r="A10" s="6"/>
    </row>
    <row r="11" spans="1:25" x14ac:dyDescent="0.7">
      <c r="A11" s="6"/>
      <c r="B11" s="6" t="s">
        <v>14</v>
      </c>
      <c r="C11" s="6">
        <v>33.39</v>
      </c>
      <c r="D11" s="6">
        <v>68.290000000000006</v>
      </c>
      <c r="E11" s="6">
        <v>92.75</v>
      </c>
      <c r="F11" s="6">
        <v>122.31</v>
      </c>
      <c r="I11" s="6" t="s">
        <v>14</v>
      </c>
      <c r="J11" s="6">
        <v>0.06</v>
      </c>
      <c r="K11" s="6">
        <v>0.41</v>
      </c>
      <c r="L11" s="6">
        <v>1.26</v>
      </c>
      <c r="O11" s="6" t="s">
        <v>14</v>
      </c>
      <c r="P11" s="6">
        <v>33.39</v>
      </c>
      <c r="Q11" s="6">
        <v>68.290000000000006</v>
      </c>
      <c r="R11" s="6">
        <v>92.75</v>
      </c>
      <c r="S11" s="6">
        <v>122.31</v>
      </c>
      <c r="V11" s="6" t="s">
        <v>14</v>
      </c>
      <c r="W11" s="6">
        <v>0.06</v>
      </c>
      <c r="X11" s="6">
        <v>0.41</v>
      </c>
      <c r="Y11" s="6">
        <v>1.26</v>
      </c>
    </row>
    <row r="12" spans="1:25" x14ac:dyDescent="0.7">
      <c r="A12" s="6"/>
      <c r="B12" s="6" t="s">
        <v>15</v>
      </c>
      <c r="C12" s="6">
        <v>18.29</v>
      </c>
      <c r="D12" s="6">
        <v>40.049999999999997</v>
      </c>
      <c r="E12" s="6">
        <v>46.4</v>
      </c>
      <c r="F12" s="6">
        <v>93.99</v>
      </c>
      <c r="I12" s="6" t="s">
        <v>15</v>
      </c>
      <c r="J12" s="6">
        <v>-0.28000000000000003</v>
      </c>
      <c r="K12" s="6">
        <v>0.15</v>
      </c>
      <c r="L12" s="6">
        <v>0.91</v>
      </c>
      <c r="O12" s="6" t="s">
        <v>15</v>
      </c>
      <c r="P12" s="6">
        <v>18.29</v>
      </c>
      <c r="Q12" s="6">
        <v>40.049999999999997</v>
      </c>
      <c r="R12" s="6">
        <v>46.4</v>
      </c>
      <c r="S12" s="6">
        <v>93.99</v>
      </c>
      <c r="V12" s="6" t="s">
        <v>15</v>
      </c>
      <c r="W12" s="6">
        <v>-0.28000000000000003</v>
      </c>
      <c r="X12" s="6">
        <v>0.15</v>
      </c>
      <c r="Y12" s="6">
        <v>0.91</v>
      </c>
    </row>
    <row r="13" spans="1:25" x14ac:dyDescent="0.7">
      <c r="A13" s="6"/>
      <c r="B13" s="6" t="s">
        <v>16</v>
      </c>
      <c r="C13" s="12">
        <v>0</v>
      </c>
      <c r="D13" s="12">
        <f>2.1*D4+0.12*D4^2+0.009*D4^3</f>
        <v>4.2212880000000004</v>
      </c>
      <c r="E13" s="12">
        <f t="shared" ref="E13:F13" si="8">2.1*E4+0.12*E4^2+0.009*E4^3</f>
        <v>11.247488999999998</v>
      </c>
      <c r="F13" s="12">
        <f t="shared" si="8"/>
        <v>18.415610999999998</v>
      </c>
      <c r="I13" s="6" t="s">
        <v>16</v>
      </c>
      <c r="J13" s="12">
        <f t="shared" ref="J13:L13" si="9">2.1*J4+0.12*J4^2+0.009*J4^3</f>
        <v>4.2212880000000004</v>
      </c>
      <c r="K13" s="12">
        <f t="shared" si="9"/>
        <v>11.247488999999998</v>
      </c>
      <c r="L13" s="12">
        <f t="shared" si="9"/>
        <v>18.415610999999998</v>
      </c>
      <c r="O13" s="6" t="s">
        <v>16</v>
      </c>
      <c r="P13" s="12">
        <v>0</v>
      </c>
      <c r="Q13" s="12">
        <v>4.78</v>
      </c>
      <c r="R13" s="12">
        <v>19.097999999999999</v>
      </c>
      <c r="S13" s="12">
        <v>35.244999999999997</v>
      </c>
      <c r="V13" s="6" t="s">
        <v>16</v>
      </c>
      <c r="W13" s="12">
        <v>4.78</v>
      </c>
      <c r="X13" s="12">
        <v>19.097999999999999</v>
      </c>
      <c r="Y13" s="12">
        <v>35.244999999999997</v>
      </c>
    </row>
  </sheetData>
  <mergeCells count="4">
    <mergeCell ref="A5:A9"/>
    <mergeCell ref="H5:H9"/>
    <mergeCell ref="N5:N9"/>
    <mergeCell ref="U5:U9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EAF85-49C3-4158-B651-2F5E110C2E51}">
  <dimension ref="A1:I21"/>
  <sheetViews>
    <sheetView workbookViewId="0">
      <selection activeCell="G4" sqref="G4:G14"/>
    </sheetView>
  </sheetViews>
  <sheetFormatPr defaultRowHeight="17.649999999999999" x14ac:dyDescent="0.7"/>
  <cols>
    <col min="2" max="2" width="17.5" customWidth="1"/>
    <col min="3" max="3" width="12.5625" customWidth="1"/>
    <col min="4" max="4" width="12.375" customWidth="1"/>
    <col min="5" max="5" width="12.0625" customWidth="1"/>
    <col min="6" max="7" width="15.0625" customWidth="1"/>
  </cols>
  <sheetData>
    <row r="1" spans="1:9" x14ac:dyDescent="0.7">
      <c r="A1" s="6" t="s">
        <v>7</v>
      </c>
    </row>
    <row r="3" spans="1:9" s="5" customFormat="1" ht="28.5" x14ac:dyDescent="0.7">
      <c r="A3" s="4" t="s">
        <v>3</v>
      </c>
      <c r="B3" s="3" t="s">
        <v>6</v>
      </c>
      <c r="C3" s="3" t="s">
        <v>0</v>
      </c>
      <c r="D3" s="3" t="s">
        <v>1</v>
      </c>
      <c r="E3" s="3" t="s">
        <v>2</v>
      </c>
      <c r="F3" s="3" t="s">
        <v>23</v>
      </c>
      <c r="G3" s="3" t="s">
        <v>5</v>
      </c>
      <c r="H3" s="4"/>
      <c r="I3" s="4"/>
    </row>
    <row r="4" spans="1:9" x14ac:dyDescent="0.7">
      <c r="A4" s="2">
        <v>5</v>
      </c>
      <c r="B4" s="2">
        <v>5</v>
      </c>
      <c r="C4" s="2">
        <v>23.88</v>
      </c>
      <c r="D4" s="2">
        <v>13.86</v>
      </c>
      <c r="E4" s="2">
        <v>4.72</v>
      </c>
      <c r="F4" s="10">
        <f>(D4-E4)/(C4-E4)</f>
        <v>0.47703549060542799</v>
      </c>
      <c r="G4" s="10">
        <f>AVERAGE(F4:F6)</f>
        <v>0.52166792757508329</v>
      </c>
      <c r="H4" s="2"/>
      <c r="I4" s="2"/>
    </row>
    <row r="5" spans="1:9" x14ac:dyDescent="0.7">
      <c r="A5" s="2"/>
      <c r="B5" s="2">
        <v>10</v>
      </c>
      <c r="C5" s="2">
        <v>47.71</v>
      </c>
      <c r="D5" s="2">
        <v>26.96</v>
      </c>
      <c r="E5" s="2">
        <v>4.84</v>
      </c>
      <c r="F5" s="10">
        <f t="shared" ref="F5:F16" si="0">(D5-E5)/(C5-E5)</f>
        <v>0.51597853977140185</v>
      </c>
      <c r="G5" s="10"/>
      <c r="H5" s="2"/>
      <c r="I5" s="2"/>
    </row>
    <row r="6" spans="1:9" x14ac:dyDescent="0.7">
      <c r="A6" s="2"/>
      <c r="B6" s="2">
        <v>15</v>
      </c>
      <c r="C6" s="2">
        <v>63.78</v>
      </c>
      <c r="D6" s="2">
        <v>38.72</v>
      </c>
      <c r="E6" s="2">
        <v>5.23</v>
      </c>
      <c r="F6" s="10">
        <f t="shared" si="0"/>
        <v>0.57198975234842009</v>
      </c>
      <c r="G6" s="10"/>
      <c r="H6" s="2"/>
      <c r="I6" s="2"/>
    </row>
    <row r="7" spans="1:9" x14ac:dyDescent="0.7">
      <c r="A7" s="2"/>
      <c r="B7" s="2"/>
      <c r="C7" s="2"/>
      <c r="D7" s="2"/>
      <c r="E7" s="2"/>
      <c r="F7" s="10"/>
      <c r="G7" s="10"/>
      <c r="H7" s="2"/>
      <c r="I7" s="2"/>
    </row>
    <row r="8" spans="1:9" s="5" customFormat="1" ht="28.5" x14ac:dyDescent="0.7">
      <c r="A8" s="4" t="s">
        <v>3</v>
      </c>
      <c r="B8" s="3" t="s">
        <v>6</v>
      </c>
      <c r="C8" s="3" t="s">
        <v>0</v>
      </c>
      <c r="D8" s="3" t="s">
        <v>1</v>
      </c>
      <c r="E8" s="3" t="s">
        <v>2</v>
      </c>
      <c r="F8" s="11" t="s">
        <v>23</v>
      </c>
      <c r="G8" s="11" t="s">
        <v>5</v>
      </c>
      <c r="H8" s="4"/>
      <c r="I8" s="4"/>
    </row>
    <row r="9" spans="1:9" x14ac:dyDescent="0.7">
      <c r="A9" s="2">
        <v>10</v>
      </c>
      <c r="B9" s="2">
        <v>5</v>
      </c>
      <c r="C9" s="2">
        <v>19.57</v>
      </c>
      <c r="D9" s="2">
        <v>8.99</v>
      </c>
      <c r="E9" s="2">
        <v>4.1100000000000003</v>
      </c>
      <c r="F9" s="10">
        <f t="shared" si="0"/>
        <v>0.31565329883570503</v>
      </c>
      <c r="G9" s="10">
        <f>AVERAGE(F9:F11)</f>
        <v>0.38375416053330147</v>
      </c>
      <c r="H9" s="2"/>
      <c r="I9" s="2"/>
    </row>
    <row r="10" spans="1:9" x14ac:dyDescent="0.7">
      <c r="A10" s="2"/>
      <c r="B10" s="2">
        <v>10</v>
      </c>
      <c r="C10" s="2">
        <v>35.380000000000003</v>
      </c>
      <c r="D10" s="2">
        <v>16.77</v>
      </c>
      <c r="E10" s="2">
        <v>4.3600000000000003</v>
      </c>
      <c r="F10" s="10">
        <f t="shared" si="0"/>
        <v>0.40006447453255961</v>
      </c>
      <c r="G10" s="10"/>
      <c r="H10" s="2"/>
      <c r="I10" s="2"/>
    </row>
    <row r="11" spans="1:9" x14ac:dyDescent="0.7">
      <c r="A11" s="2"/>
      <c r="B11" s="2">
        <v>15</v>
      </c>
      <c r="C11" s="2">
        <v>49.69</v>
      </c>
      <c r="D11" s="2">
        <v>24.25</v>
      </c>
      <c r="E11" s="2">
        <v>4.62</v>
      </c>
      <c r="F11" s="10">
        <f t="shared" si="0"/>
        <v>0.43554470823163965</v>
      </c>
      <c r="G11" s="10"/>
      <c r="H11" s="2"/>
      <c r="I11" s="2"/>
    </row>
    <row r="12" spans="1:9" x14ac:dyDescent="0.7">
      <c r="A12" s="2"/>
      <c r="B12" s="2"/>
      <c r="C12" s="2"/>
      <c r="D12" s="2"/>
      <c r="E12" s="2"/>
      <c r="F12" s="10"/>
      <c r="G12" s="10"/>
      <c r="H12" s="2"/>
      <c r="I12" s="2"/>
    </row>
    <row r="13" spans="1:9" s="5" customFormat="1" ht="28.5" x14ac:dyDescent="0.7">
      <c r="A13" s="4" t="s">
        <v>3</v>
      </c>
      <c r="B13" s="3" t="s">
        <v>6</v>
      </c>
      <c r="C13" s="3" t="s">
        <v>0</v>
      </c>
      <c r="D13" s="3" t="s">
        <v>1</v>
      </c>
      <c r="E13" s="3" t="s">
        <v>2</v>
      </c>
      <c r="F13" s="11" t="s">
        <v>23</v>
      </c>
      <c r="G13" s="11" t="s">
        <v>5</v>
      </c>
      <c r="H13" s="4"/>
      <c r="I13" s="4"/>
    </row>
    <row r="14" spans="1:9" x14ac:dyDescent="0.7">
      <c r="A14" s="2">
        <v>1</v>
      </c>
      <c r="B14" s="2">
        <v>5</v>
      </c>
      <c r="C14" s="2">
        <v>55.22</v>
      </c>
      <c r="D14" s="2">
        <v>46.79</v>
      </c>
      <c r="E14" s="2">
        <v>4.62</v>
      </c>
      <c r="F14" s="10">
        <f t="shared" si="0"/>
        <v>0.83339920948616597</v>
      </c>
      <c r="G14" s="10">
        <f>AVERAGE(F14:F16)</f>
        <v>0.84708586003834052</v>
      </c>
      <c r="H14" s="2"/>
      <c r="I14" s="2"/>
    </row>
    <row r="15" spans="1:9" x14ac:dyDescent="0.7">
      <c r="A15" s="2"/>
      <c r="B15" s="2">
        <v>10</v>
      </c>
      <c r="C15" s="2">
        <v>106</v>
      </c>
      <c r="D15" s="2">
        <v>90.96</v>
      </c>
      <c r="E15" s="2">
        <v>5</v>
      </c>
      <c r="F15" s="10">
        <f t="shared" si="0"/>
        <v>0.85108910891089107</v>
      </c>
      <c r="G15" s="2"/>
      <c r="H15" s="2"/>
      <c r="I15" s="2"/>
    </row>
    <row r="16" spans="1:9" x14ac:dyDescent="0.7">
      <c r="A16" s="2"/>
      <c r="B16" s="2">
        <v>15</v>
      </c>
      <c r="C16" s="2">
        <v>154.29</v>
      </c>
      <c r="D16" s="2">
        <v>132.93</v>
      </c>
      <c r="E16" s="2">
        <v>5.16</v>
      </c>
      <c r="F16" s="10">
        <f t="shared" si="0"/>
        <v>0.8567692617179643</v>
      </c>
      <c r="G16" s="2"/>
      <c r="H16" s="2"/>
      <c r="I16" s="2"/>
    </row>
    <row r="17" spans="1:9" x14ac:dyDescent="0.7">
      <c r="A17" s="2"/>
      <c r="B17" s="2"/>
      <c r="C17" s="2"/>
      <c r="D17" s="2"/>
      <c r="E17" s="2"/>
      <c r="F17" s="2"/>
      <c r="G17" s="2"/>
      <c r="H17" s="2"/>
      <c r="I17" s="2"/>
    </row>
    <row r="18" spans="1:9" x14ac:dyDescent="0.7">
      <c r="B18" s="1"/>
    </row>
    <row r="19" spans="1:9" x14ac:dyDescent="0.7">
      <c r="B19" s="1"/>
      <c r="C19" s="1"/>
      <c r="D19" s="1"/>
      <c r="E19" s="1"/>
      <c r="F19" s="1"/>
      <c r="G19" s="1"/>
    </row>
    <row r="20" spans="1:9" x14ac:dyDescent="0.7">
      <c r="B20" s="1"/>
      <c r="C20" s="1"/>
      <c r="D20" s="1"/>
      <c r="E20" s="1"/>
      <c r="F20" s="1"/>
    </row>
    <row r="21" spans="1:9" x14ac:dyDescent="0.7">
      <c r="B21" s="1"/>
      <c r="C21" s="1"/>
      <c r="D21" s="1"/>
      <c r="E21" s="1"/>
      <c r="F21" s="1"/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Fig.7</vt:lpstr>
      <vt:lpstr>Fig.8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OTA.T</dc:creator>
  <cp:lastModifiedBy>OTA.T</cp:lastModifiedBy>
  <dcterms:created xsi:type="dcterms:W3CDTF">2021-08-19T09:44:51Z</dcterms:created>
  <dcterms:modified xsi:type="dcterms:W3CDTF">2021-08-19T12:02:45Z</dcterms:modified>
</cp:coreProperties>
</file>