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0508\skip pub\跳发\2\genes-1667281-supplementary\"/>
    </mc:Choice>
  </mc:AlternateContent>
  <xr:revisionPtr revIDLastSave="0" documentId="13_ncr:1_{BF0CC24C-F464-402C-8B52-C3FA806DA6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pplementary Table S3 Detaile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  <c r="J290" i="1"/>
  <c r="J287" i="1"/>
  <c r="J286" i="1"/>
  <c r="J283" i="1"/>
  <c r="J282" i="1"/>
  <c r="J281" i="1"/>
  <c r="J279" i="1"/>
  <c r="J278" i="1"/>
  <c r="J276" i="1"/>
  <c r="J275" i="1"/>
  <c r="J274" i="1"/>
  <c r="J273" i="1"/>
  <c r="J272" i="1"/>
  <c r="J271" i="1"/>
  <c r="J270" i="1"/>
  <c r="J269" i="1"/>
  <c r="J266" i="1"/>
  <c r="J265" i="1"/>
  <c r="J264" i="1"/>
  <c r="J263" i="1"/>
  <c r="J260" i="1"/>
  <c r="J258" i="1"/>
  <c r="J257" i="1"/>
  <c r="J255" i="1"/>
  <c r="J254" i="1"/>
  <c r="J253" i="1"/>
  <c r="J251" i="1"/>
  <c r="J250" i="1"/>
  <c r="J249" i="1"/>
  <c r="J248" i="1"/>
  <c r="J247" i="1"/>
  <c r="J246" i="1"/>
  <c r="J245" i="1"/>
  <c r="J244" i="1"/>
  <c r="J242" i="1"/>
  <c r="J241" i="1"/>
  <c r="J240" i="1"/>
  <c r="J236" i="1"/>
  <c r="J233" i="1"/>
  <c r="J232" i="1"/>
  <c r="J231" i="1"/>
  <c r="J229" i="1"/>
  <c r="J226" i="1"/>
  <c r="J223" i="1"/>
  <c r="J222" i="1"/>
  <c r="J221" i="1"/>
  <c r="J220" i="1"/>
  <c r="J216" i="1"/>
  <c r="J215" i="1"/>
  <c r="J214" i="1"/>
  <c r="J213" i="1"/>
  <c r="J211" i="1"/>
  <c r="J210" i="1"/>
  <c r="J208" i="1"/>
  <c r="J205" i="1"/>
  <c r="J200" i="1"/>
  <c r="J197" i="1"/>
  <c r="J196" i="1"/>
  <c r="J195" i="1"/>
  <c r="J194" i="1"/>
  <c r="J193" i="1"/>
  <c r="J192" i="1"/>
  <c r="J191" i="1"/>
  <c r="J189" i="1"/>
  <c r="J188" i="1"/>
  <c r="J187" i="1"/>
  <c r="J186" i="1"/>
  <c r="J185" i="1"/>
  <c r="J184" i="1"/>
  <c r="J183" i="1"/>
  <c r="J182" i="1"/>
  <c r="J181" i="1"/>
  <c r="J179" i="1"/>
  <c r="J178" i="1"/>
  <c r="J177" i="1"/>
  <c r="J176" i="1"/>
  <c r="J175" i="1"/>
  <c r="J174" i="1"/>
  <c r="J173" i="1"/>
  <c r="J172" i="1"/>
  <c r="J171" i="1"/>
  <c r="J168" i="1"/>
  <c r="J167" i="1"/>
  <c r="J166" i="1"/>
  <c r="J165" i="1"/>
  <c r="J164" i="1"/>
  <c r="J163" i="1"/>
  <c r="J162" i="1"/>
  <c r="J161" i="1"/>
  <c r="J160" i="1"/>
  <c r="J159" i="1"/>
  <c r="J157" i="1"/>
  <c r="J155" i="1"/>
  <c r="J154" i="1"/>
  <c r="J153" i="1"/>
  <c r="J152" i="1"/>
  <c r="J151" i="1"/>
  <c r="J150" i="1"/>
  <c r="J149" i="1"/>
  <c r="J148" i="1"/>
  <c r="J147" i="1"/>
  <c r="J144" i="1"/>
  <c r="J143" i="1"/>
  <c r="J142" i="1"/>
  <c r="J141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F216" i="1"/>
  <c r="A2" i="1"/>
  <c r="B2" i="1"/>
  <c r="F2" i="1"/>
  <c r="G2" i="1"/>
  <c r="H2" i="1"/>
  <c r="E2" i="1"/>
  <c r="I2" i="1"/>
  <c r="C2" i="1"/>
  <c r="D2" i="1"/>
  <c r="A3" i="1"/>
  <c r="B3" i="1"/>
  <c r="F3" i="1"/>
  <c r="G3" i="1"/>
  <c r="A4" i="1"/>
  <c r="B4" i="1"/>
  <c r="F4" i="1"/>
  <c r="G4" i="1"/>
  <c r="A5" i="1"/>
  <c r="B5" i="1"/>
  <c r="F5" i="1"/>
  <c r="G5" i="1"/>
  <c r="A6" i="1"/>
  <c r="B6" i="1"/>
  <c r="F6" i="1"/>
  <c r="G6" i="1"/>
  <c r="A7" i="1"/>
  <c r="B7" i="1"/>
  <c r="F7" i="1"/>
  <c r="G7" i="1"/>
  <c r="A8" i="1"/>
  <c r="B8" i="1"/>
  <c r="F8" i="1"/>
  <c r="G8" i="1"/>
  <c r="A9" i="1"/>
  <c r="B9" i="1"/>
  <c r="F9" i="1"/>
  <c r="G9" i="1"/>
  <c r="A10" i="1"/>
  <c r="B10" i="1"/>
  <c r="F10" i="1"/>
  <c r="G10" i="1"/>
  <c r="A11" i="1"/>
  <c r="B11" i="1"/>
  <c r="F11" i="1"/>
  <c r="G11" i="1"/>
  <c r="A12" i="1"/>
  <c r="B12" i="1"/>
  <c r="F12" i="1"/>
  <c r="G12" i="1"/>
  <c r="A13" i="1"/>
  <c r="B13" i="1"/>
  <c r="F13" i="1"/>
  <c r="G13" i="1"/>
  <c r="A14" i="1"/>
  <c r="B14" i="1"/>
  <c r="F14" i="1"/>
  <c r="G14" i="1"/>
  <c r="A15" i="1"/>
  <c r="B15" i="1"/>
  <c r="F15" i="1"/>
  <c r="G15" i="1"/>
  <c r="A16" i="1"/>
  <c r="B16" i="1"/>
  <c r="F16" i="1"/>
  <c r="G16" i="1"/>
  <c r="A17" i="1"/>
  <c r="B17" i="1"/>
  <c r="F17" i="1"/>
  <c r="G17" i="1"/>
  <c r="A18" i="1"/>
  <c r="B18" i="1"/>
  <c r="F18" i="1"/>
  <c r="G18" i="1"/>
  <c r="A19" i="1"/>
  <c r="B19" i="1"/>
  <c r="F19" i="1"/>
  <c r="G19" i="1"/>
  <c r="A20" i="1"/>
  <c r="B20" i="1"/>
  <c r="F20" i="1"/>
  <c r="G20" i="1"/>
  <c r="A21" i="1"/>
  <c r="B21" i="1"/>
  <c r="F21" i="1"/>
  <c r="G21" i="1"/>
  <c r="A22" i="1"/>
  <c r="B22" i="1"/>
  <c r="F22" i="1"/>
  <c r="G22" i="1"/>
  <c r="A23" i="1"/>
  <c r="B23" i="1"/>
  <c r="F23" i="1"/>
  <c r="G23" i="1"/>
  <c r="A24" i="1"/>
  <c r="B24" i="1"/>
  <c r="F24" i="1"/>
  <c r="G24" i="1"/>
  <c r="A25" i="1"/>
  <c r="B25" i="1"/>
  <c r="F25" i="1"/>
  <c r="G25" i="1"/>
  <c r="A26" i="1"/>
  <c r="B26" i="1"/>
  <c r="F26" i="1"/>
  <c r="G26" i="1"/>
  <c r="A27" i="1"/>
  <c r="B27" i="1"/>
  <c r="F27" i="1"/>
  <c r="G27" i="1"/>
  <c r="A28" i="1"/>
  <c r="B28" i="1"/>
  <c r="F28" i="1"/>
  <c r="G28" i="1"/>
  <c r="A29" i="1"/>
  <c r="B29" i="1"/>
  <c r="F29" i="1"/>
  <c r="G29" i="1"/>
  <c r="A30" i="1"/>
  <c r="B30" i="1"/>
  <c r="F30" i="1"/>
  <c r="G30" i="1"/>
  <c r="A31" i="1"/>
  <c r="B31" i="1"/>
  <c r="F31" i="1"/>
  <c r="G31" i="1"/>
  <c r="A32" i="1"/>
  <c r="B32" i="1"/>
  <c r="F32" i="1"/>
  <c r="G32" i="1"/>
  <c r="A33" i="1"/>
  <c r="B33" i="1"/>
  <c r="F33" i="1"/>
  <c r="G33" i="1"/>
  <c r="A34" i="1"/>
  <c r="B34" i="1"/>
  <c r="F34" i="1"/>
  <c r="G34" i="1"/>
  <c r="A35" i="1"/>
  <c r="B35" i="1"/>
  <c r="F35" i="1"/>
  <c r="G35" i="1"/>
  <c r="A36" i="1"/>
  <c r="B36" i="1"/>
  <c r="F36" i="1"/>
  <c r="G36" i="1"/>
  <c r="A37" i="1"/>
  <c r="B37" i="1"/>
  <c r="F37" i="1"/>
  <c r="G37" i="1"/>
  <c r="A38" i="1"/>
  <c r="B38" i="1"/>
  <c r="F38" i="1"/>
  <c r="G38" i="1"/>
  <c r="A39" i="1"/>
  <c r="B39" i="1"/>
  <c r="F39" i="1"/>
  <c r="G39" i="1"/>
  <c r="A40" i="1"/>
  <c r="B40" i="1"/>
  <c r="F40" i="1"/>
  <c r="G40" i="1"/>
  <c r="A41" i="1"/>
  <c r="B41" i="1"/>
  <c r="F41" i="1"/>
  <c r="G41" i="1"/>
  <c r="A42" i="1"/>
  <c r="B42" i="1"/>
  <c r="F42" i="1"/>
  <c r="G42" i="1"/>
  <c r="A43" i="1"/>
  <c r="B43" i="1"/>
  <c r="F43" i="1"/>
  <c r="G43" i="1"/>
  <c r="A44" i="1"/>
  <c r="B44" i="1"/>
  <c r="F44" i="1"/>
  <c r="G44" i="1"/>
  <c r="A45" i="1"/>
  <c r="B45" i="1"/>
  <c r="F45" i="1"/>
  <c r="G45" i="1"/>
  <c r="A46" i="1"/>
  <c r="B46" i="1"/>
  <c r="F46" i="1"/>
  <c r="G46" i="1"/>
  <c r="A47" i="1"/>
  <c r="B47" i="1"/>
  <c r="F47" i="1"/>
  <c r="G47" i="1"/>
  <c r="A48" i="1"/>
  <c r="B48" i="1"/>
  <c r="F48" i="1"/>
  <c r="G48" i="1"/>
  <c r="A49" i="1"/>
  <c r="B49" i="1"/>
  <c r="F49" i="1"/>
  <c r="G49" i="1"/>
  <c r="A50" i="1"/>
  <c r="B50" i="1"/>
  <c r="F50" i="1"/>
  <c r="G50" i="1"/>
  <c r="A51" i="1"/>
  <c r="B51" i="1"/>
  <c r="F51" i="1"/>
  <c r="G51" i="1"/>
  <c r="A52" i="1"/>
  <c r="B52" i="1"/>
  <c r="F52" i="1"/>
  <c r="G52" i="1"/>
  <c r="A53" i="1"/>
  <c r="B53" i="1"/>
  <c r="F53" i="1"/>
  <c r="G53" i="1"/>
  <c r="A54" i="1"/>
  <c r="B54" i="1"/>
  <c r="F54" i="1"/>
  <c r="G54" i="1"/>
  <c r="A55" i="1"/>
  <c r="B55" i="1"/>
  <c r="F55" i="1"/>
  <c r="G55" i="1"/>
  <c r="A56" i="1"/>
  <c r="B56" i="1"/>
  <c r="F56" i="1"/>
  <c r="G56" i="1"/>
  <c r="A57" i="1"/>
  <c r="B57" i="1"/>
  <c r="F57" i="1"/>
  <c r="G57" i="1"/>
  <c r="A58" i="1"/>
  <c r="B58" i="1"/>
  <c r="F58" i="1"/>
  <c r="G58" i="1"/>
  <c r="A59" i="1"/>
  <c r="B59" i="1"/>
  <c r="F59" i="1"/>
  <c r="G59" i="1"/>
  <c r="A60" i="1"/>
  <c r="B60" i="1"/>
  <c r="F60" i="1"/>
  <c r="G60" i="1"/>
  <c r="A61" i="1"/>
  <c r="B61" i="1"/>
  <c r="F61" i="1"/>
  <c r="G61" i="1"/>
  <c r="A62" i="1"/>
  <c r="B62" i="1"/>
  <c r="F62" i="1"/>
  <c r="G62" i="1"/>
  <c r="A63" i="1"/>
  <c r="B63" i="1"/>
  <c r="F63" i="1"/>
  <c r="G63" i="1"/>
  <c r="A64" i="1"/>
  <c r="B64" i="1"/>
  <c r="F64" i="1"/>
  <c r="G64" i="1"/>
  <c r="A65" i="1"/>
  <c r="B65" i="1"/>
  <c r="F65" i="1"/>
  <c r="G65" i="1"/>
  <c r="A66" i="1"/>
  <c r="B66" i="1"/>
  <c r="F66" i="1"/>
  <c r="G66" i="1"/>
  <c r="A67" i="1"/>
  <c r="B67" i="1"/>
  <c r="F67" i="1"/>
  <c r="G67" i="1"/>
  <c r="A68" i="1"/>
  <c r="B68" i="1"/>
  <c r="F68" i="1"/>
  <c r="G68" i="1"/>
  <c r="A69" i="1"/>
  <c r="B69" i="1"/>
  <c r="F69" i="1"/>
  <c r="G69" i="1"/>
  <c r="A70" i="1"/>
  <c r="B70" i="1"/>
  <c r="F70" i="1"/>
  <c r="G70" i="1"/>
  <c r="A71" i="1"/>
  <c r="B71" i="1"/>
  <c r="F71" i="1"/>
  <c r="G71" i="1"/>
  <c r="A72" i="1"/>
  <c r="B72" i="1"/>
  <c r="F72" i="1"/>
  <c r="G72" i="1"/>
  <c r="A73" i="1"/>
  <c r="B73" i="1"/>
  <c r="F73" i="1"/>
  <c r="G73" i="1"/>
  <c r="A74" i="1"/>
  <c r="B74" i="1"/>
  <c r="F74" i="1"/>
  <c r="G74" i="1"/>
  <c r="A75" i="1"/>
  <c r="B75" i="1"/>
  <c r="F75" i="1"/>
  <c r="G75" i="1"/>
  <c r="A76" i="1"/>
  <c r="B76" i="1"/>
  <c r="F76" i="1"/>
  <c r="G76" i="1"/>
  <c r="A77" i="1"/>
  <c r="B77" i="1"/>
  <c r="F77" i="1"/>
  <c r="G77" i="1"/>
  <c r="A78" i="1"/>
  <c r="B78" i="1"/>
  <c r="F78" i="1"/>
  <c r="G78" i="1"/>
  <c r="A79" i="1"/>
  <c r="B79" i="1"/>
  <c r="F79" i="1"/>
  <c r="G79" i="1"/>
  <c r="A80" i="1"/>
  <c r="B80" i="1"/>
  <c r="F80" i="1"/>
  <c r="G80" i="1"/>
  <c r="A81" i="1"/>
  <c r="B81" i="1"/>
  <c r="F81" i="1"/>
  <c r="G81" i="1"/>
  <c r="A82" i="1"/>
  <c r="B82" i="1"/>
  <c r="F82" i="1"/>
  <c r="G82" i="1"/>
  <c r="A83" i="1"/>
  <c r="B83" i="1"/>
  <c r="F83" i="1"/>
  <c r="G83" i="1"/>
  <c r="A84" i="1"/>
  <c r="B84" i="1"/>
  <c r="F84" i="1"/>
  <c r="G84" i="1"/>
  <c r="A85" i="1"/>
  <c r="B85" i="1"/>
  <c r="F85" i="1"/>
  <c r="G85" i="1"/>
  <c r="A86" i="1"/>
  <c r="B86" i="1"/>
  <c r="F86" i="1"/>
  <c r="G86" i="1"/>
  <c r="A87" i="1"/>
  <c r="B87" i="1"/>
  <c r="F87" i="1"/>
  <c r="G87" i="1"/>
  <c r="A88" i="1"/>
  <c r="B88" i="1"/>
  <c r="F88" i="1"/>
  <c r="G88" i="1"/>
  <c r="A89" i="1"/>
  <c r="B89" i="1"/>
  <c r="F89" i="1"/>
  <c r="G89" i="1"/>
  <c r="A90" i="1"/>
  <c r="B90" i="1"/>
  <c r="F90" i="1"/>
  <c r="G90" i="1"/>
  <c r="A91" i="1"/>
  <c r="B91" i="1"/>
  <c r="F91" i="1"/>
  <c r="G91" i="1"/>
  <c r="A92" i="1"/>
  <c r="B92" i="1"/>
  <c r="F92" i="1"/>
  <c r="G92" i="1"/>
  <c r="A93" i="1"/>
  <c r="B93" i="1"/>
  <c r="F93" i="1"/>
  <c r="G93" i="1"/>
  <c r="A94" i="1"/>
  <c r="B94" i="1"/>
  <c r="F94" i="1"/>
  <c r="G94" i="1"/>
  <c r="A95" i="1"/>
  <c r="B95" i="1"/>
  <c r="F95" i="1"/>
  <c r="G95" i="1"/>
  <c r="A96" i="1"/>
  <c r="B96" i="1"/>
  <c r="F96" i="1"/>
  <c r="G96" i="1"/>
  <c r="A97" i="1"/>
  <c r="B97" i="1"/>
  <c r="F97" i="1"/>
  <c r="G97" i="1"/>
  <c r="A98" i="1"/>
  <c r="B98" i="1"/>
  <c r="F98" i="1"/>
  <c r="G98" i="1"/>
  <c r="A99" i="1"/>
  <c r="B99" i="1"/>
  <c r="F99" i="1"/>
  <c r="G99" i="1"/>
  <c r="A100" i="1"/>
  <c r="B100" i="1"/>
  <c r="F100" i="1"/>
  <c r="G100" i="1"/>
  <c r="A101" i="1"/>
  <c r="B101" i="1"/>
  <c r="F101" i="1"/>
  <c r="G101" i="1"/>
  <c r="A102" i="1"/>
  <c r="B102" i="1"/>
  <c r="F102" i="1"/>
  <c r="G102" i="1"/>
  <c r="A103" i="1"/>
  <c r="B103" i="1"/>
  <c r="F103" i="1"/>
  <c r="G103" i="1"/>
  <c r="A104" i="1"/>
  <c r="B104" i="1"/>
  <c r="F104" i="1"/>
  <c r="G104" i="1"/>
  <c r="A105" i="1"/>
  <c r="B105" i="1"/>
  <c r="F105" i="1"/>
  <c r="G105" i="1"/>
  <c r="A106" i="1"/>
  <c r="B106" i="1"/>
  <c r="F106" i="1"/>
  <c r="G106" i="1"/>
  <c r="A107" i="1"/>
  <c r="B107" i="1"/>
  <c r="F107" i="1"/>
  <c r="G107" i="1"/>
  <c r="A108" i="1"/>
  <c r="B108" i="1"/>
  <c r="F108" i="1"/>
  <c r="G108" i="1"/>
  <c r="A109" i="1"/>
  <c r="B109" i="1"/>
  <c r="F109" i="1"/>
  <c r="G109" i="1"/>
  <c r="A110" i="1"/>
  <c r="B110" i="1"/>
  <c r="F110" i="1"/>
  <c r="G110" i="1"/>
  <c r="A111" i="1"/>
  <c r="B111" i="1"/>
  <c r="F111" i="1"/>
  <c r="G111" i="1"/>
  <c r="A112" i="1"/>
  <c r="B112" i="1"/>
  <c r="F112" i="1"/>
  <c r="G112" i="1"/>
  <c r="A113" i="1"/>
  <c r="B113" i="1"/>
  <c r="F113" i="1"/>
  <c r="G113" i="1"/>
  <c r="A114" i="1"/>
  <c r="B114" i="1"/>
  <c r="F114" i="1"/>
  <c r="G114" i="1"/>
  <c r="A115" i="1"/>
  <c r="B115" i="1"/>
  <c r="F115" i="1"/>
  <c r="G115" i="1"/>
  <c r="A116" i="1"/>
  <c r="B116" i="1"/>
  <c r="F116" i="1"/>
  <c r="G116" i="1"/>
  <c r="A117" i="1"/>
  <c r="B117" i="1"/>
  <c r="F117" i="1"/>
  <c r="G117" i="1"/>
  <c r="A118" i="1"/>
  <c r="B118" i="1"/>
  <c r="F118" i="1"/>
  <c r="G118" i="1"/>
  <c r="A119" i="1"/>
  <c r="B119" i="1"/>
  <c r="F119" i="1"/>
  <c r="G119" i="1"/>
  <c r="A120" i="1"/>
  <c r="B120" i="1"/>
  <c r="F120" i="1"/>
  <c r="G120" i="1"/>
  <c r="A121" i="1"/>
  <c r="B121" i="1"/>
  <c r="F121" i="1"/>
  <c r="G121" i="1"/>
  <c r="A122" i="1"/>
  <c r="B122" i="1"/>
  <c r="F122" i="1"/>
  <c r="G122" i="1"/>
  <c r="A123" i="1"/>
  <c r="B123" i="1"/>
  <c r="F123" i="1"/>
  <c r="G123" i="1"/>
  <c r="A124" i="1"/>
  <c r="B124" i="1"/>
  <c r="F124" i="1"/>
  <c r="G124" i="1"/>
  <c r="A125" i="1"/>
  <c r="B125" i="1"/>
  <c r="F125" i="1"/>
  <c r="G125" i="1"/>
  <c r="J125" i="1"/>
  <c r="A126" i="1"/>
  <c r="B126" i="1"/>
  <c r="F126" i="1"/>
  <c r="G126" i="1"/>
  <c r="J126" i="1"/>
  <c r="A127" i="1"/>
  <c r="B127" i="1"/>
  <c r="F127" i="1"/>
  <c r="G127" i="1"/>
  <c r="A128" i="1"/>
  <c r="B128" i="1"/>
  <c r="F128" i="1"/>
  <c r="G128" i="1"/>
  <c r="A129" i="1"/>
  <c r="B129" i="1"/>
  <c r="F129" i="1"/>
  <c r="G129" i="1"/>
  <c r="A130" i="1"/>
  <c r="B130" i="1"/>
  <c r="F130" i="1"/>
  <c r="G130" i="1"/>
  <c r="A131" i="1"/>
  <c r="B131" i="1"/>
  <c r="F131" i="1"/>
  <c r="G131" i="1"/>
  <c r="A132" i="1"/>
  <c r="B132" i="1"/>
  <c r="F132" i="1"/>
  <c r="G132" i="1"/>
  <c r="A133" i="1"/>
  <c r="B133" i="1"/>
  <c r="F133" i="1"/>
  <c r="G133" i="1"/>
  <c r="A134" i="1"/>
  <c r="B134" i="1"/>
  <c r="F134" i="1"/>
  <c r="G134" i="1"/>
  <c r="A135" i="1"/>
  <c r="B135" i="1"/>
  <c r="F135" i="1"/>
  <c r="G135" i="1"/>
  <c r="A136" i="1"/>
  <c r="B136" i="1"/>
  <c r="F136" i="1"/>
  <c r="G136" i="1"/>
  <c r="A137" i="1"/>
  <c r="B137" i="1"/>
  <c r="F137" i="1"/>
  <c r="G137" i="1"/>
  <c r="A138" i="1"/>
  <c r="B138" i="1"/>
  <c r="F138" i="1"/>
  <c r="G138" i="1"/>
  <c r="A139" i="1"/>
  <c r="B139" i="1"/>
  <c r="F139" i="1"/>
  <c r="G139" i="1"/>
  <c r="A140" i="1"/>
  <c r="B140" i="1"/>
  <c r="F140" i="1"/>
  <c r="G140" i="1"/>
  <c r="J140" i="1"/>
  <c r="A141" i="1"/>
  <c r="B141" i="1"/>
  <c r="F141" i="1"/>
  <c r="G141" i="1"/>
  <c r="A142" i="1"/>
  <c r="B142" i="1"/>
  <c r="F142" i="1"/>
  <c r="G142" i="1"/>
  <c r="A143" i="1"/>
  <c r="B143" i="1"/>
  <c r="F143" i="1"/>
  <c r="G143" i="1"/>
  <c r="A144" i="1"/>
  <c r="B144" i="1"/>
  <c r="F144" i="1"/>
  <c r="G144" i="1"/>
  <c r="A145" i="1"/>
  <c r="B145" i="1"/>
  <c r="F145" i="1"/>
  <c r="G145" i="1"/>
  <c r="J145" i="1"/>
  <c r="A146" i="1"/>
  <c r="B146" i="1"/>
  <c r="F146" i="1"/>
  <c r="G146" i="1"/>
  <c r="J146" i="1"/>
  <c r="A147" i="1"/>
  <c r="B147" i="1"/>
  <c r="F147" i="1"/>
  <c r="G147" i="1"/>
  <c r="A148" i="1"/>
  <c r="B148" i="1"/>
  <c r="F148" i="1"/>
  <c r="G148" i="1"/>
  <c r="A149" i="1"/>
  <c r="B149" i="1"/>
  <c r="F149" i="1"/>
  <c r="G149" i="1"/>
  <c r="A150" i="1"/>
  <c r="B150" i="1"/>
  <c r="F150" i="1"/>
  <c r="G150" i="1"/>
  <c r="A151" i="1"/>
  <c r="B151" i="1"/>
  <c r="F151" i="1"/>
  <c r="G151" i="1"/>
  <c r="A152" i="1"/>
  <c r="B152" i="1"/>
  <c r="F152" i="1"/>
  <c r="G152" i="1"/>
  <c r="A153" i="1"/>
  <c r="B153" i="1"/>
  <c r="F153" i="1"/>
  <c r="G153" i="1"/>
  <c r="A154" i="1"/>
  <c r="B154" i="1"/>
  <c r="F154" i="1"/>
  <c r="G154" i="1"/>
  <c r="A155" i="1"/>
  <c r="B155" i="1"/>
  <c r="F155" i="1"/>
  <c r="G155" i="1"/>
  <c r="A156" i="1"/>
  <c r="B156" i="1"/>
  <c r="F156" i="1"/>
  <c r="G156" i="1"/>
  <c r="J156" i="1"/>
  <c r="A157" i="1"/>
  <c r="B157" i="1"/>
  <c r="F157" i="1"/>
  <c r="G157" i="1"/>
  <c r="A158" i="1"/>
  <c r="B158" i="1"/>
  <c r="F158" i="1"/>
  <c r="G158" i="1"/>
  <c r="J158" i="1"/>
  <c r="A159" i="1"/>
  <c r="B159" i="1"/>
  <c r="F159" i="1"/>
  <c r="G159" i="1"/>
  <c r="A160" i="1"/>
  <c r="B160" i="1"/>
  <c r="F160" i="1"/>
  <c r="G160" i="1"/>
  <c r="A161" i="1"/>
  <c r="B161" i="1"/>
  <c r="F161" i="1"/>
  <c r="G161" i="1"/>
  <c r="A162" i="1"/>
  <c r="B162" i="1"/>
  <c r="F162" i="1"/>
  <c r="G162" i="1"/>
  <c r="A163" i="1"/>
  <c r="B163" i="1"/>
  <c r="F163" i="1"/>
  <c r="G163" i="1"/>
  <c r="A164" i="1"/>
  <c r="B164" i="1"/>
  <c r="F164" i="1"/>
  <c r="G164" i="1"/>
  <c r="A165" i="1"/>
  <c r="B165" i="1"/>
  <c r="F165" i="1"/>
  <c r="G165" i="1"/>
  <c r="A166" i="1"/>
  <c r="B166" i="1"/>
  <c r="F166" i="1"/>
  <c r="G166" i="1"/>
  <c r="A167" i="1"/>
  <c r="B167" i="1"/>
  <c r="F167" i="1"/>
  <c r="G167" i="1"/>
  <c r="A168" i="1"/>
  <c r="B168" i="1"/>
  <c r="F168" i="1"/>
  <c r="G168" i="1"/>
  <c r="A169" i="1"/>
  <c r="B169" i="1"/>
  <c r="F169" i="1"/>
  <c r="G169" i="1"/>
  <c r="J169" i="1"/>
  <c r="A170" i="1"/>
  <c r="B170" i="1"/>
  <c r="F170" i="1"/>
  <c r="G170" i="1"/>
  <c r="J170" i="1"/>
  <c r="A171" i="1"/>
  <c r="B171" i="1"/>
  <c r="F171" i="1"/>
  <c r="G171" i="1"/>
  <c r="A172" i="1"/>
  <c r="B172" i="1"/>
  <c r="F172" i="1"/>
  <c r="G172" i="1"/>
  <c r="A173" i="1"/>
  <c r="B173" i="1"/>
  <c r="F173" i="1"/>
  <c r="G173" i="1"/>
  <c r="A174" i="1"/>
  <c r="B174" i="1"/>
  <c r="F174" i="1"/>
  <c r="G174" i="1"/>
  <c r="A175" i="1"/>
  <c r="B175" i="1"/>
  <c r="F175" i="1"/>
  <c r="G175" i="1"/>
  <c r="A176" i="1"/>
  <c r="B176" i="1"/>
  <c r="F176" i="1"/>
  <c r="G176" i="1"/>
  <c r="A177" i="1"/>
  <c r="B177" i="1"/>
  <c r="F177" i="1"/>
  <c r="G177" i="1"/>
  <c r="A178" i="1"/>
  <c r="B178" i="1"/>
  <c r="F178" i="1"/>
  <c r="G178" i="1"/>
  <c r="A179" i="1"/>
  <c r="B179" i="1"/>
  <c r="F179" i="1"/>
  <c r="G179" i="1"/>
  <c r="A180" i="1"/>
  <c r="B180" i="1"/>
  <c r="F180" i="1"/>
  <c r="G180" i="1"/>
  <c r="J180" i="1"/>
  <c r="A181" i="1"/>
  <c r="B181" i="1"/>
  <c r="F181" i="1"/>
  <c r="G181" i="1"/>
  <c r="A182" i="1"/>
  <c r="B182" i="1"/>
  <c r="F182" i="1"/>
  <c r="G182" i="1"/>
  <c r="A183" i="1"/>
  <c r="B183" i="1"/>
  <c r="F183" i="1"/>
  <c r="G183" i="1"/>
  <c r="A184" i="1"/>
  <c r="B184" i="1"/>
  <c r="F184" i="1"/>
  <c r="G184" i="1"/>
  <c r="A185" i="1"/>
  <c r="B185" i="1"/>
  <c r="F185" i="1"/>
  <c r="G185" i="1"/>
  <c r="A186" i="1"/>
  <c r="B186" i="1"/>
  <c r="F186" i="1"/>
  <c r="G186" i="1"/>
  <c r="A187" i="1"/>
  <c r="B187" i="1"/>
  <c r="F187" i="1"/>
  <c r="G187" i="1"/>
  <c r="A188" i="1"/>
  <c r="B188" i="1"/>
  <c r="F188" i="1"/>
  <c r="G188" i="1"/>
  <c r="A189" i="1"/>
  <c r="B189" i="1"/>
  <c r="F189" i="1"/>
  <c r="G189" i="1"/>
  <c r="A190" i="1"/>
  <c r="B190" i="1"/>
  <c r="F190" i="1"/>
  <c r="G190" i="1"/>
  <c r="J190" i="1"/>
  <c r="A191" i="1"/>
  <c r="B191" i="1"/>
  <c r="F191" i="1"/>
  <c r="G191" i="1"/>
  <c r="A192" i="1"/>
  <c r="B192" i="1"/>
  <c r="F192" i="1"/>
  <c r="G192" i="1"/>
  <c r="A193" i="1"/>
  <c r="B193" i="1"/>
  <c r="F193" i="1"/>
  <c r="G193" i="1"/>
  <c r="A194" i="1"/>
  <c r="B194" i="1"/>
  <c r="F194" i="1"/>
  <c r="G194" i="1"/>
  <c r="A195" i="1"/>
  <c r="B195" i="1"/>
  <c r="F195" i="1"/>
  <c r="G195" i="1"/>
  <c r="A196" i="1"/>
  <c r="B196" i="1"/>
  <c r="F196" i="1"/>
  <c r="G196" i="1"/>
  <c r="A197" i="1"/>
  <c r="B197" i="1"/>
  <c r="F197" i="1"/>
  <c r="G197" i="1"/>
  <c r="A198" i="1"/>
  <c r="B198" i="1"/>
  <c r="F198" i="1"/>
  <c r="G198" i="1"/>
  <c r="J198" i="1"/>
  <c r="A199" i="1"/>
  <c r="B199" i="1"/>
  <c r="F199" i="1"/>
  <c r="G199" i="1"/>
  <c r="J199" i="1"/>
  <c r="A200" i="1"/>
  <c r="B200" i="1"/>
  <c r="F200" i="1"/>
  <c r="G200" i="1"/>
  <c r="A201" i="1"/>
  <c r="B201" i="1"/>
  <c r="F201" i="1"/>
  <c r="G201" i="1"/>
  <c r="J201" i="1"/>
  <c r="A202" i="1"/>
  <c r="B202" i="1"/>
  <c r="F202" i="1"/>
  <c r="G202" i="1"/>
  <c r="J202" i="1"/>
  <c r="A203" i="1"/>
  <c r="B203" i="1"/>
  <c r="F203" i="1"/>
  <c r="G203" i="1"/>
  <c r="J203" i="1"/>
  <c r="A204" i="1"/>
  <c r="B204" i="1"/>
  <c r="F204" i="1"/>
  <c r="G204" i="1"/>
  <c r="J204" i="1"/>
  <c r="A205" i="1"/>
  <c r="B205" i="1"/>
  <c r="F205" i="1"/>
  <c r="G205" i="1"/>
  <c r="A206" i="1"/>
  <c r="B206" i="1"/>
  <c r="F206" i="1"/>
  <c r="G206" i="1"/>
  <c r="J206" i="1"/>
  <c r="A207" i="1"/>
  <c r="B207" i="1"/>
  <c r="F207" i="1"/>
  <c r="G207" i="1"/>
  <c r="J207" i="1"/>
  <c r="A208" i="1"/>
  <c r="B208" i="1"/>
  <c r="F208" i="1"/>
  <c r="G208" i="1"/>
  <c r="A209" i="1"/>
  <c r="B209" i="1"/>
  <c r="F209" i="1"/>
  <c r="G209" i="1"/>
  <c r="J209" i="1"/>
  <c r="A210" i="1"/>
  <c r="B210" i="1"/>
  <c r="F210" i="1"/>
  <c r="G210" i="1"/>
  <c r="A211" i="1"/>
  <c r="B211" i="1"/>
  <c r="F211" i="1"/>
  <c r="G211" i="1"/>
  <c r="A212" i="1"/>
  <c r="B212" i="1"/>
  <c r="F212" i="1"/>
  <c r="G212" i="1"/>
  <c r="J212" i="1"/>
  <c r="A213" i="1"/>
  <c r="B213" i="1"/>
  <c r="F213" i="1"/>
  <c r="G213" i="1"/>
  <c r="A214" i="1"/>
  <c r="B214" i="1"/>
  <c r="F214" i="1"/>
  <c r="G214" i="1"/>
  <c r="A215" i="1"/>
  <c r="B215" i="1"/>
  <c r="F215" i="1"/>
  <c r="G215" i="1"/>
  <c r="A216" i="1"/>
  <c r="B216" i="1"/>
  <c r="G216" i="1"/>
  <c r="A217" i="1"/>
  <c r="B217" i="1"/>
  <c r="F217" i="1"/>
  <c r="G217" i="1"/>
  <c r="J217" i="1"/>
  <c r="A218" i="1"/>
  <c r="B218" i="1"/>
  <c r="F218" i="1"/>
  <c r="G218" i="1"/>
  <c r="J218" i="1"/>
  <c r="A219" i="1"/>
  <c r="B219" i="1"/>
  <c r="F219" i="1"/>
  <c r="G219" i="1"/>
  <c r="J219" i="1"/>
  <c r="A220" i="1"/>
  <c r="B220" i="1"/>
  <c r="F220" i="1"/>
  <c r="G220" i="1"/>
  <c r="A221" i="1"/>
  <c r="B221" i="1"/>
  <c r="F221" i="1"/>
  <c r="G221" i="1"/>
  <c r="A222" i="1"/>
  <c r="B222" i="1"/>
  <c r="F222" i="1"/>
  <c r="G222" i="1"/>
  <c r="A223" i="1"/>
  <c r="B223" i="1"/>
  <c r="F223" i="1"/>
  <c r="G223" i="1"/>
  <c r="A224" i="1"/>
  <c r="B224" i="1"/>
  <c r="F224" i="1"/>
  <c r="G224" i="1"/>
  <c r="J224" i="1"/>
  <c r="A225" i="1"/>
  <c r="B225" i="1"/>
  <c r="F225" i="1"/>
  <c r="G225" i="1"/>
  <c r="J225" i="1"/>
  <c r="A226" i="1"/>
  <c r="B226" i="1"/>
  <c r="F226" i="1"/>
  <c r="G226" i="1"/>
  <c r="A227" i="1"/>
  <c r="B227" i="1"/>
  <c r="F227" i="1"/>
  <c r="G227" i="1"/>
  <c r="J227" i="1"/>
  <c r="A228" i="1"/>
  <c r="B228" i="1"/>
  <c r="F228" i="1"/>
  <c r="G228" i="1"/>
  <c r="J228" i="1"/>
  <c r="A229" i="1"/>
  <c r="B229" i="1"/>
  <c r="F229" i="1"/>
  <c r="G229" i="1"/>
  <c r="A230" i="1"/>
  <c r="B230" i="1"/>
  <c r="F230" i="1"/>
  <c r="G230" i="1"/>
  <c r="J230" i="1"/>
  <c r="A231" i="1"/>
  <c r="B231" i="1"/>
  <c r="F231" i="1"/>
  <c r="G231" i="1"/>
  <c r="A232" i="1"/>
  <c r="B232" i="1"/>
  <c r="F232" i="1"/>
  <c r="G232" i="1"/>
  <c r="A233" i="1"/>
  <c r="B233" i="1"/>
  <c r="F233" i="1"/>
  <c r="G233" i="1"/>
  <c r="A234" i="1"/>
  <c r="B234" i="1"/>
  <c r="F234" i="1"/>
  <c r="G234" i="1"/>
  <c r="J234" i="1"/>
  <c r="A235" i="1"/>
  <c r="B235" i="1"/>
  <c r="F235" i="1"/>
  <c r="G235" i="1"/>
  <c r="J235" i="1"/>
  <c r="A236" i="1"/>
  <c r="B236" i="1"/>
  <c r="F236" i="1"/>
  <c r="G236" i="1"/>
  <c r="A237" i="1"/>
  <c r="B237" i="1"/>
  <c r="F237" i="1"/>
  <c r="G237" i="1"/>
  <c r="J237" i="1"/>
  <c r="A238" i="1"/>
  <c r="B238" i="1"/>
  <c r="F238" i="1"/>
  <c r="G238" i="1"/>
  <c r="J238" i="1"/>
  <c r="A239" i="1"/>
  <c r="B239" i="1"/>
  <c r="F239" i="1"/>
  <c r="G239" i="1"/>
  <c r="J239" i="1"/>
  <c r="A240" i="1"/>
  <c r="B240" i="1"/>
  <c r="F240" i="1"/>
  <c r="G240" i="1"/>
  <c r="A241" i="1"/>
  <c r="B241" i="1"/>
  <c r="F241" i="1"/>
  <c r="G241" i="1"/>
  <c r="A242" i="1"/>
  <c r="B242" i="1"/>
  <c r="F242" i="1"/>
  <c r="G242" i="1"/>
  <c r="A243" i="1"/>
  <c r="B243" i="1"/>
  <c r="F243" i="1"/>
  <c r="G243" i="1"/>
  <c r="J243" i="1"/>
  <c r="A244" i="1"/>
  <c r="B244" i="1"/>
  <c r="F244" i="1"/>
  <c r="G244" i="1"/>
  <c r="A245" i="1"/>
  <c r="B245" i="1"/>
  <c r="F245" i="1"/>
  <c r="G245" i="1"/>
  <c r="A246" i="1"/>
  <c r="B246" i="1"/>
  <c r="F246" i="1"/>
  <c r="G246" i="1"/>
  <c r="A247" i="1"/>
  <c r="B247" i="1"/>
  <c r="F247" i="1"/>
  <c r="G247" i="1"/>
  <c r="A248" i="1"/>
  <c r="B248" i="1"/>
  <c r="F248" i="1"/>
  <c r="G248" i="1"/>
  <c r="A249" i="1"/>
  <c r="B249" i="1"/>
  <c r="F249" i="1"/>
  <c r="G249" i="1"/>
  <c r="A250" i="1"/>
  <c r="B250" i="1"/>
  <c r="F250" i="1"/>
  <c r="G250" i="1"/>
  <c r="A251" i="1"/>
  <c r="B251" i="1"/>
  <c r="F251" i="1"/>
  <c r="G251" i="1"/>
  <c r="A252" i="1"/>
  <c r="B252" i="1"/>
  <c r="F252" i="1"/>
  <c r="G252" i="1"/>
  <c r="J252" i="1"/>
  <c r="A253" i="1"/>
  <c r="B253" i="1"/>
  <c r="F253" i="1"/>
  <c r="G253" i="1"/>
  <c r="A254" i="1"/>
  <c r="B254" i="1"/>
  <c r="F254" i="1"/>
  <c r="G254" i="1"/>
  <c r="A255" i="1"/>
  <c r="B255" i="1"/>
  <c r="F255" i="1"/>
  <c r="G255" i="1"/>
  <c r="A256" i="1"/>
  <c r="B256" i="1"/>
  <c r="F256" i="1"/>
  <c r="G256" i="1"/>
  <c r="J256" i="1"/>
  <c r="A257" i="1"/>
  <c r="B257" i="1"/>
  <c r="F257" i="1"/>
  <c r="G257" i="1"/>
  <c r="A258" i="1"/>
  <c r="B258" i="1"/>
  <c r="F258" i="1"/>
  <c r="G258" i="1"/>
  <c r="A259" i="1"/>
  <c r="B259" i="1"/>
  <c r="F259" i="1"/>
  <c r="G259" i="1"/>
  <c r="J259" i="1"/>
  <c r="A260" i="1"/>
  <c r="B260" i="1"/>
  <c r="F260" i="1"/>
  <c r="G260" i="1"/>
  <c r="A261" i="1"/>
  <c r="B261" i="1"/>
  <c r="F261" i="1"/>
  <c r="G261" i="1"/>
  <c r="J261" i="1"/>
  <c r="A262" i="1"/>
  <c r="B262" i="1"/>
  <c r="F262" i="1"/>
  <c r="G262" i="1"/>
  <c r="J262" i="1"/>
  <c r="A263" i="1"/>
  <c r="B263" i="1"/>
  <c r="F263" i="1"/>
  <c r="G263" i="1"/>
  <c r="A264" i="1"/>
  <c r="B264" i="1"/>
  <c r="F264" i="1"/>
  <c r="G264" i="1"/>
  <c r="A265" i="1"/>
  <c r="B265" i="1"/>
  <c r="F265" i="1"/>
  <c r="G265" i="1"/>
  <c r="A266" i="1"/>
  <c r="B266" i="1"/>
  <c r="F266" i="1"/>
  <c r="G266" i="1"/>
  <c r="A267" i="1"/>
  <c r="B267" i="1"/>
  <c r="F267" i="1"/>
  <c r="G267" i="1"/>
  <c r="J267" i="1"/>
  <c r="A268" i="1"/>
  <c r="B268" i="1"/>
  <c r="F268" i="1"/>
  <c r="G268" i="1"/>
  <c r="J268" i="1"/>
  <c r="A269" i="1"/>
  <c r="B269" i="1"/>
  <c r="F269" i="1"/>
  <c r="G269" i="1"/>
  <c r="A270" i="1"/>
  <c r="B270" i="1"/>
  <c r="F270" i="1"/>
  <c r="G270" i="1"/>
  <c r="A271" i="1"/>
  <c r="B271" i="1"/>
  <c r="F271" i="1"/>
  <c r="G271" i="1"/>
  <c r="A272" i="1"/>
  <c r="B272" i="1"/>
  <c r="F272" i="1"/>
  <c r="G272" i="1"/>
  <c r="A273" i="1"/>
  <c r="B273" i="1"/>
  <c r="F273" i="1"/>
  <c r="G273" i="1"/>
  <c r="A274" i="1"/>
  <c r="B274" i="1"/>
  <c r="F274" i="1"/>
  <c r="G274" i="1"/>
  <c r="A275" i="1"/>
  <c r="B275" i="1"/>
  <c r="F275" i="1"/>
  <c r="G275" i="1"/>
  <c r="A276" i="1"/>
  <c r="B276" i="1"/>
  <c r="F276" i="1"/>
  <c r="G276" i="1"/>
  <c r="A277" i="1"/>
  <c r="B277" i="1"/>
  <c r="F277" i="1"/>
  <c r="G277" i="1"/>
  <c r="J277" i="1"/>
  <c r="A278" i="1"/>
  <c r="B278" i="1"/>
  <c r="F278" i="1"/>
  <c r="G278" i="1"/>
  <c r="A279" i="1"/>
  <c r="B279" i="1"/>
  <c r="F279" i="1"/>
  <c r="G279" i="1"/>
  <c r="A280" i="1"/>
  <c r="B280" i="1"/>
  <c r="F280" i="1"/>
  <c r="G280" i="1"/>
  <c r="J280" i="1"/>
  <c r="A281" i="1"/>
  <c r="B281" i="1"/>
  <c r="F281" i="1"/>
  <c r="G281" i="1"/>
  <c r="A282" i="1"/>
  <c r="B282" i="1"/>
  <c r="F282" i="1"/>
  <c r="G282" i="1"/>
  <c r="A283" i="1"/>
  <c r="B283" i="1"/>
  <c r="F283" i="1"/>
  <c r="G283" i="1"/>
  <c r="A284" i="1"/>
  <c r="B284" i="1"/>
  <c r="F284" i="1"/>
  <c r="G284" i="1"/>
  <c r="J284" i="1"/>
  <c r="A285" i="1"/>
  <c r="B285" i="1"/>
  <c r="F285" i="1"/>
  <c r="G285" i="1"/>
  <c r="J285" i="1"/>
  <c r="A286" i="1"/>
  <c r="B286" i="1"/>
  <c r="F286" i="1"/>
  <c r="G286" i="1"/>
  <c r="A287" i="1"/>
  <c r="B287" i="1"/>
  <c r="F287" i="1"/>
  <c r="G287" i="1"/>
  <c r="A288" i="1"/>
  <c r="B288" i="1"/>
  <c r="F288" i="1"/>
  <c r="G288" i="1"/>
  <c r="J288" i="1"/>
  <c r="A289" i="1"/>
  <c r="B289" i="1"/>
  <c r="F289" i="1"/>
  <c r="G289" i="1"/>
  <c r="J289" i="1"/>
  <c r="A290" i="1"/>
  <c r="B290" i="1"/>
  <c r="F290" i="1"/>
  <c r="G290" i="1"/>
</calcChain>
</file>

<file path=xl/sharedStrings.xml><?xml version="1.0" encoding="utf-8"?>
<sst xmlns="http://schemas.openxmlformats.org/spreadsheetml/2006/main" count="1" uniqueCount="1">
  <si>
    <r>
      <rPr>
        <b/>
        <sz val="11"/>
        <color theme="1"/>
        <rFont val="Calibri"/>
        <family val="3"/>
        <charset val="134"/>
        <scheme val="minor"/>
      </rPr>
      <t>Supplementary Table S3.</t>
    </r>
    <r>
      <rPr>
        <sz val="11"/>
        <color theme="1"/>
        <rFont val="Calibri"/>
        <family val="2"/>
        <charset val="134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Detailed information of KEGG enrichment results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</si>
</sst>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8"/>
      <color theme="3"/>
      <name val="Calibri Light"/>
      <family val="2"/>
      <charset val="134"/>
      <scheme val="major"/>
    </font>
    <font>
      <b/>
      <sz val="15"/>
      <color theme="3"/>
      <name val="Calibri"/>
      <family val="2"/>
      <charset val="134"/>
      <scheme val="minor"/>
    </font>
    <font>
      <b/>
      <sz val="13"/>
      <color theme="3"/>
      <name val="Calibri"/>
      <family val="2"/>
      <charset val="134"/>
      <scheme val="minor"/>
    </font>
    <font>
      <b/>
      <sz val="11"/>
      <color theme="3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6500"/>
      <name val="Calibri"/>
      <family val="2"/>
      <charset val="134"/>
      <scheme val="minor"/>
    </font>
    <font>
      <sz val="11"/>
      <color rgb="FF3F3F76"/>
      <name val="Calibri"/>
      <family val="2"/>
      <charset val="134"/>
      <scheme val="minor"/>
    </font>
    <font>
      <b/>
      <sz val="11"/>
      <color rgb="FF3F3F3F"/>
      <name val="Calibri"/>
      <family val="2"/>
      <charset val="134"/>
      <scheme val="minor"/>
    </font>
    <font>
      <b/>
      <sz val="11"/>
      <color rgb="FFFA7D00"/>
      <name val="Calibri"/>
      <family val="2"/>
      <charset val="134"/>
      <scheme val="minor"/>
    </font>
    <font>
      <sz val="11"/>
      <color rgb="FFFA7D00"/>
      <name val="Calibri"/>
      <family val="2"/>
      <charset val="134"/>
      <scheme val="minor"/>
    </font>
    <font>
      <b/>
      <sz val="11"/>
      <color theme="0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i/>
      <sz val="11"/>
      <color rgb="FF7F7F7F"/>
      <name val="Calibri"/>
      <family val="2"/>
      <charset val="134"/>
      <scheme val="minor"/>
    </font>
    <font>
      <b/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4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9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5" borderId="4" applyNumberFormat="0" applyAlignment="0" applyProtection="0">
      <alignment vertical="center"/>
    </xf>
    <xf numFmtId="0" fontId="28" fillId="6" borderId="5" applyNumberFormat="0" applyAlignment="0" applyProtection="0">
      <alignment vertical="center"/>
    </xf>
    <xf numFmtId="0" fontId="29" fillId="6" borderId="4" applyNumberFormat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1" fillId="7" borderId="7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8" borderId="8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7" fillId="0" borderId="0" xfId="0" applyFont="1"/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0" fontId="37" fillId="0" borderId="0" xfId="42" applyFont="1" applyAlignment="1">
      <alignment horizontal="left" vertical="center"/>
    </xf>
    <xf numFmtId="0" fontId="19" fillId="0" borderId="0" xfId="42" applyAlignment="1">
      <alignment horizontal="left" vertical="center"/>
    </xf>
  </cellXfs>
  <cellStyles count="84">
    <cellStyle name="20% - Accent1" xfId="19" builtinId="30" customBuiltin="1"/>
    <cellStyle name="20% - Accent1 2" xfId="61" xr:uid="{E69F5961-A729-492D-8355-5069606F92A1}"/>
    <cellStyle name="20% - Accent2" xfId="23" builtinId="34" customBuiltin="1"/>
    <cellStyle name="20% - Accent2 2" xfId="65" xr:uid="{FF7CB715-3F79-40D7-96CE-4D31EFFF3679}"/>
    <cellStyle name="20% - Accent3" xfId="27" builtinId="38" customBuiltin="1"/>
    <cellStyle name="20% - Accent3 2" xfId="69" xr:uid="{64693485-EBD2-46A9-83F5-1B036897ECE4}"/>
    <cellStyle name="20% - Accent4" xfId="31" builtinId="42" customBuiltin="1"/>
    <cellStyle name="20% - Accent4 2" xfId="73" xr:uid="{B8D079BA-AEBC-4FFC-BAE4-1B77381DA117}"/>
    <cellStyle name="20% - Accent5" xfId="35" builtinId="46" customBuiltin="1"/>
    <cellStyle name="20% - Accent5 2" xfId="77" xr:uid="{8958C1B3-2E6A-419D-A748-20B163CB9E53}"/>
    <cellStyle name="20% - Accent6" xfId="39" builtinId="50" customBuiltin="1"/>
    <cellStyle name="20% - Accent6 2" xfId="81" xr:uid="{C3EF2882-46DE-4AF1-89EC-AEE31071B1BD}"/>
    <cellStyle name="40% - Accent1" xfId="20" builtinId="31" customBuiltin="1"/>
    <cellStyle name="40% - Accent1 2" xfId="62" xr:uid="{60B42C7D-89AA-4FE7-901F-ACEFE6F2B2CE}"/>
    <cellStyle name="40% - Accent2" xfId="24" builtinId="35" customBuiltin="1"/>
    <cellStyle name="40% - Accent2 2" xfId="66" xr:uid="{20FDA85E-CB8C-4300-9E8E-06DAF38E9C45}"/>
    <cellStyle name="40% - Accent3" xfId="28" builtinId="39" customBuiltin="1"/>
    <cellStyle name="40% - Accent3 2" xfId="70" xr:uid="{288AECC1-E5AF-4B87-AB2E-CEA71AFE7EC5}"/>
    <cellStyle name="40% - Accent4" xfId="32" builtinId="43" customBuiltin="1"/>
    <cellStyle name="40% - Accent4 2" xfId="74" xr:uid="{2A573E74-A4F0-4062-B4D9-6E99E31E29F5}"/>
    <cellStyle name="40% - Accent5" xfId="36" builtinId="47" customBuiltin="1"/>
    <cellStyle name="40% - Accent5 2" xfId="78" xr:uid="{4C3A8770-356D-43E9-B102-A9D1C38CA74B}"/>
    <cellStyle name="40% - Accent6" xfId="40" builtinId="51" customBuiltin="1"/>
    <cellStyle name="40% - Accent6 2" xfId="82" xr:uid="{088151CE-6086-4177-87CB-B39D3EA81085}"/>
    <cellStyle name="60% - Accent1" xfId="21" builtinId="32" customBuiltin="1"/>
    <cellStyle name="60% - Accent1 2" xfId="63" xr:uid="{F4D9B13E-3CB4-4B53-A9CE-4E0BF1579779}"/>
    <cellStyle name="60% - Accent2" xfId="25" builtinId="36" customBuiltin="1"/>
    <cellStyle name="60% - Accent2 2" xfId="67" xr:uid="{EE0958D2-3143-4E95-AB1C-CFC33EBAE570}"/>
    <cellStyle name="60% - Accent3" xfId="29" builtinId="40" customBuiltin="1"/>
    <cellStyle name="60% - Accent3 2" xfId="71" xr:uid="{0C0BB98D-21AF-4523-995D-E287CEAFA07B}"/>
    <cellStyle name="60% - Accent4" xfId="33" builtinId="44" customBuiltin="1"/>
    <cellStyle name="60% - Accent4 2" xfId="75" xr:uid="{550ABF11-2F2C-46FE-A6EE-B1E018A7D4D8}"/>
    <cellStyle name="60% - Accent5" xfId="37" builtinId="48" customBuiltin="1"/>
    <cellStyle name="60% - Accent5 2" xfId="79" xr:uid="{9296A49D-8E40-4709-9EE1-3DF4F1494BB5}"/>
    <cellStyle name="60% - Accent6" xfId="41" builtinId="52" customBuiltin="1"/>
    <cellStyle name="60% - Accent6 2" xfId="83" xr:uid="{A305A285-8AB8-4781-9A3D-8E1C5AF1421B}"/>
    <cellStyle name="Accent1" xfId="18" builtinId="29" customBuiltin="1"/>
    <cellStyle name="Accent1 2" xfId="60" xr:uid="{1D2D22EA-14E8-4B72-8412-9453F2904A3A}"/>
    <cellStyle name="Accent2" xfId="22" builtinId="33" customBuiltin="1"/>
    <cellStyle name="Accent2 2" xfId="64" xr:uid="{9F6DE12B-33EB-4B9A-B332-75AD85938C29}"/>
    <cellStyle name="Accent3" xfId="26" builtinId="37" customBuiltin="1"/>
    <cellStyle name="Accent3 2" xfId="68" xr:uid="{736A88B0-E1C6-4BD8-BE98-AE3F110B4909}"/>
    <cellStyle name="Accent4" xfId="30" builtinId="41" customBuiltin="1"/>
    <cellStyle name="Accent4 2" xfId="72" xr:uid="{6C584D15-B87D-444F-A249-B6543F738C9A}"/>
    <cellStyle name="Accent5" xfId="34" builtinId="45" customBuiltin="1"/>
    <cellStyle name="Accent5 2" xfId="76" xr:uid="{1C5DF5A2-FB18-4B97-BA9B-92C1E610A2E4}"/>
    <cellStyle name="Accent6" xfId="38" builtinId="49" customBuiltin="1"/>
    <cellStyle name="Accent6 2" xfId="80" xr:uid="{EC1BF696-A96D-4BC3-A3DA-0AE1887BE91A}"/>
    <cellStyle name="Bad" xfId="7" builtinId="27" customBuiltin="1"/>
    <cellStyle name="Bad 2" xfId="49" xr:uid="{056EADFF-39C6-43ED-8F61-CB7CD1ABB7C7}"/>
    <cellStyle name="Calculation" xfId="11" builtinId="22" customBuiltin="1"/>
    <cellStyle name="Calculation 2" xfId="53" xr:uid="{C0E1BCF4-806B-4DD6-8210-BC97213EE690}"/>
    <cellStyle name="Check Cell" xfId="13" builtinId="23" customBuiltin="1"/>
    <cellStyle name="Check Cell 2" xfId="55" xr:uid="{C380CBFC-BB16-482F-9449-53DC73C703F1}"/>
    <cellStyle name="Explanatory Text" xfId="16" builtinId="53" customBuiltin="1"/>
    <cellStyle name="Explanatory Text 2" xfId="58" xr:uid="{2181463B-C397-42E7-AA4C-35CB948CD618}"/>
    <cellStyle name="Good" xfId="6" builtinId="26" customBuiltin="1"/>
    <cellStyle name="Good 2" xfId="48" xr:uid="{A9F16200-9E3D-45F1-99E6-F4FFDF941EFD}"/>
    <cellStyle name="Heading 1" xfId="2" builtinId="16" customBuiltin="1"/>
    <cellStyle name="Heading 1 2" xfId="44" xr:uid="{C1D431AB-B19C-4038-A5DF-6E9D9B1FF1D3}"/>
    <cellStyle name="Heading 2" xfId="3" builtinId="17" customBuiltin="1"/>
    <cellStyle name="Heading 2 2" xfId="45" xr:uid="{CBE0E3C2-BCD1-43AE-AE3C-3EF27BF8BE5B}"/>
    <cellStyle name="Heading 3" xfId="4" builtinId="18" customBuiltin="1"/>
    <cellStyle name="Heading 3 2" xfId="46" xr:uid="{8F98C5CB-8C8B-43C6-9577-38807C1EB9B3}"/>
    <cellStyle name="Heading 4" xfId="5" builtinId="19" customBuiltin="1"/>
    <cellStyle name="Heading 4 2" xfId="47" xr:uid="{88613DD7-ABD4-48C0-9CE7-8D3D5DD47A48}"/>
    <cellStyle name="Input" xfId="9" builtinId="20" customBuiltin="1"/>
    <cellStyle name="Input 2" xfId="51" xr:uid="{E22FA0AA-9698-4F62-8EFA-F113565DBA13}"/>
    <cellStyle name="Linked Cell" xfId="12" builtinId="24" customBuiltin="1"/>
    <cellStyle name="Linked Cell 2" xfId="54" xr:uid="{FDC7A63D-77E4-4EF6-9EE6-507644AB097A}"/>
    <cellStyle name="Neutral" xfId="8" builtinId="28" customBuiltin="1"/>
    <cellStyle name="Neutral 2" xfId="50" xr:uid="{CAC9C21E-17C2-404F-BDE7-CF03BD042DEA}"/>
    <cellStyle name="Normal" xfId="0" builtinId="0"/>
    <cellStyle name="Normal 2" xfId="42" xr:uid="{BBE426EC-3808-43D6-BF81-C9BA1D00ED92}"/>
    <cellStyle name="Note" xfId="15" builtinId="10" customBuiltin="1"/>
    <cellStyle name="Note 2" xfId="57" xr:uid="{99661EC7-3314-462B-9805-150E8AA52824}"/>
    <cellStyle name="Output" xfId="10" builtinId="21" customBuiltin="1"/>
    <cellStyle name="Output 2" xfId="52" xr:uid="{3831B766-6D75-4692-A69E-8489FC05A290}"/>
    <cellStyle name="Title" xfId="1" builtinId="15" customBuiltin="1"/>
    <cellStyle name="Title 2" xfId="43" xr:uid="{DF04734A-0970-48CA-B43D-3DDFD72B200F}"/>
    <cellStyle name="Total" xfId="17" builtinId="25" customBuiltin="1"/>
    <cellStyle name="Total 2" xfId="59" xr:uid="{C44906FB-7C51-4323-AA9A-79AD7A1C1C46}"/>
    <cellStyle name="Warning Text" xfId="14" builtinId="11" customBuiltin="1"/>
    <cellStyle name="Warning Text 2" xfId="56" xr:uid="{51F89311-C48F-46C4-99DB-9B7ED78689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0"/>
  <sheetViews>
    <sheetView tabSelected="1" zoomScaleNormal="100" workbookViewId="0">
      <selection activeCell="B5" sqref="B5"/>
    </sheetView>
  </sheetViews>
  <sheetFormatPr defaultRowHeight="15"/>
  <cols>
    <col min="1" max="1" width="10.28515625" customWidth="1"/>
    <col min="2" max="2" width="50" style="1" customWidth="1"/>
    <col min="4" max="4" width="14.42578125" customWidth="1"/>
    <col min="5" max="5" width="10.5703125" customWidth="1"/>
    <col min="6" max="6" width="11.42578125" customWidth="1"/>
    <col min="10" max="10" width="12.42578125" customWidth="1"/>
  </cols>
  <sheetData>
    <row r="1" spans="1:10">
      <c r="A1" s="5" t="s">
        <v>0</v>
      </c>
      <c r="B1" s="6"/>
      <c r="C1" s="6"/>
      <c r="D1" s="6"/>
      <c r="E1" s="6"/>
      <c r="F1" s="6"/>
      <c r="G1" s="6"/>
      <c r="H1" s="6"/>
    </row>
    <row r="2" spans="1:10" s="1" customFormat="1">
      <c r="A2" s="2" t="str">
        <f>"ID"</f>
        <v>ID</v>
      </c>
      <c r="B2" s="2" t="str">
        <f>"Description"</f>
        <v>Description</v>
      </c>
      <c r="C2" s="2" t="str">
        <f>"Count"</f>
        <v>Count</v>
      </c>
      <c r="D2" s="2" t="str">
        <f>"richFactor"</f>
        <v>richFactor</v>
      </c>
      <c r="E2" s="2" t="str">
        <f>"p.adjust"</f>
        <v>p.adjust</v>
      </c>
      <c r="F2" s="2" t="str">
        <f>"GeneRatio"</f>
        <v>GeneRatio</v>
      </c>
      <c r="G2" s="2" t="str">
        <f>"BgRatio"</f>
        <v>BgRatio</v>
      </c>
      <c r="H2" s="2" t="str">
        <f>"pvalue"</f>
        <v>pvalue</v>
      </c>
      <c r="I2" s="2" t="str">
        <f>"qvalue"</f>
        <v>qvalue</v>
      </c>
      <c r="J2" s="2" t="str">
        <f>"Gene symbols"</f>
        <v>Gene symbols</v>
      </c>
    </row>
    <row r="3" spans="1:10">
      <c r="A3" s="3" t="str">
        <f>"hsa04510"</f>
        <v>hsa04510</v>
      </c>
      <c r="B3" s="2" t="str">
        <f>"Focal adhesion"</f>
        <v>Focal adhesion</v>
      </c>
      <c r="C3" s="3">
        <v>29</v>
      </c>
      <c r="D3" s="3">
        <v>0.144278606965174</v>
      </c>
      <c r="E3" s="4">
        <v>2.05914451287619E-5</v>
      </c>
      <c r="F3" s="3" t="str">
        <f>"29/386"</f>
        <v>29/386</v>
      </c>
      <c r="G3" s="3" t="str">
        <f>"201/8106"</f>
        <v>201/8106</v>
      </c>
      <c r="H3" s="4">
        <v>7.1498073363756601E-8</v>
      </c>
      <c r="I3" s="4">
        <v>1.7987410035724001E-5</v>
      </c>
      <c r="J3" s="3" t="str">
        <f>"CAV1, CAV2, CCND2, COL1A2, COL2A1, COL4A6, COL6A1, COL6A2, COL9A2, EGF, FLNB, FLNC, IGF1, ITGA1, ITGA4, ITGA8, ITGA9, LAMA2, LAMB1, MYLK, PAK5, PDGFC, PGF, PRKCA, PRKCB, RAC3, RASGRF1, THBS4, VCL"</f>
        <v>CAV1, CAV2, CCND2, COL1A2, COL2A1, COL4A6, COL6A1, COL6A2, COL9A2, EGF, FLNB, FLNC, IGF1, ITGA1, ITGA4, ITGA8, ITGA9, LAMA2, LAMB1, MYLK, PAK5, PDGFC, PGF, PRKCA, PRKCB, RAC3, RASGRF1, THBS4, VCL</v>
      </c>
    </row>
    <row r="4" spans="1:10">
      <c r="A4" s="3" t="str">
        <f>"hsa05414"</f>
        <v>hsa05414</v>
      </c>
      <c r="B4" s="2" t="str">
        <f>"Dilated cardiomyopathy"</f>
        <v>Dilated cardiomyopathy</v>
      </c>
      <c r="C4" s="3">
        <v>18</v>
      </c>
      <c r="D4" s="3">
        <v>0.1875</v>
      </c>
      <c r="E4" s="4">
        <v>6.86543438638944E-5</v>
      </c>
      <c r="F4" s="3" t="str">
        <f>"18/386"</f>
        <v>18/386</v>
      </c>
      <c r="G4" s="3" t="str">
        <f>"96/8106"</f>
        <v>96/8106</v>
      </c>
      <c r="H4" s="4">
        <v>4.7676627683260003E-7</v>
      </c>
      <c r="I4" s="4">
        <v>5.9972179033153301E-5</v>
      </c>
      <c r="J4" s="3" t="str">
        <f>"ACTC1, ADRB1, IGF1, ITGA1, ITGA4, ITGA8, ITGA9, LAMA2, MYH6, PLN, RYR2, SGCA, SGCB, SGCD, SGCG, SLC8A1, TGFB3, TPM2"</f>
        <v>ACTC1, ADRB1, IGF1, ITGA1, ITGA4, ITGA8, ITGA9, LAMA2, MYH6, PLN, RYR2, SGCA, SGCB, SGCD, SGCG, SLC8A1, TGFB3, TPM2</v>
      </c>
    </row>
    <row r="5" spans="1:10">
      <c r="A5" s="3" t="str">
        <f>"hsa04974"</f>
        <v>hsa04974</v>
      </c>
      <c r="B5" s="2" t="str">
        <f>"Protein digestion and absorption"</f>
        <v>Protein digestion and absorption</v>
      </c>
      <c r="C5" s="3">
        <v>18</v>
      </c>
      <c r="D5" s="3">
        <v>0.17475728155339801</v>
      </c>
      <c r="E5" s="3">
        <v>1.3508651548799699E-4</v>
      </c>
      <c r="F5" s="3" t="str">
        <f>"18/386"</f>
        <v>18/386</v>
      </c>
      <c r="G5" s="3" t="str">
        <f>"103/8106"</f>
        <v>103/8106</v>
      </c>
      <c r="H5" s="4">
        <v>1.4071512029999699E-6</v>
      </c>
      <c r="I5" s="3">
        <v>1.18003206146314E-4</v>
      </c>
      <c r="J5" s="3" t="str">
        <f>"ATP1A2, COL13A1, COL14A1, COL16A1, COL17A1, COL1A2, COL2A1, COL4A6, COL5A2, COL5A3, COL6A1, COL6A2, COL9A2, CPA3, DPP4, KCNE3, KCNN4, SLC8A1"</f>
        <v>ATP1A2, COL13A1, COL14A1, COL16A1, COL17A1, COL1A2, COL2A1, COL4A6, COL5A2, COL5A3, COL6A1, COL6A2, COL9A2, CPA3, DPP4, KCNE3, KCNN4, SLC8A1</v>
      </c>
    </row>
    <row r="6" spans="1:10">
      <c r="A6" s="3" t="str">
        <f>"hsa05410"</f>
        <v>hsa05410</v>
      </c>
      <c r="B6" s="2" t="str">
        <f>"Hypertrophic cardiomyopathy"</f>
        <v>Hypertrophic cardiomyopathy</v>
      </c>
      <c r="C6" s="3">
        <v>16</v>
      </c>
      <c r="D6" s="3">
        <v>0.17777777777777801</v>
      </c>
      <c r="E6" s="3">
        <v>3.1069119944514398E-4</v>
      </c>
      <c r="F6" s="3" t="str">
        <f>"16/386"</f>
        <v>16/386</v>
      </c>
      <c r="G6" s="3" t="str">
        <f>"90/8106"</f>
        <v>90/8106</v>
      </c>
      <c r="H6" s="4">
        <v>4.3151555478492297E-6</v>
      </c>
      <c r="I6" s="3">
        <v>2.7140057261472802E-4</v>
      </c>
      <c r="J6" s="3" t="str">
        <f>"ACTC1, IGF1, ITGA1, ITGA4, ITGA8, ITGA9, LAMA2, MYH6, RYR2, SGCA, SGCB, SGCD, SGCG, SLC8A1, TGFB3, TPM2"</f>
        <v>ACTC1, IGF1, ITGA1, ITGA4, ITGA8, ITGA9, LAMA2, MYH6, RYR2, SGCA, SGCB, SGCD, SGCG, SLC8A1, TGFB3, TPM2</v>
      </c>
    </row>
    <row r="7" spans="1:10">
      <c r="A7" s="3" t="str">
        <f>"hsa04020"</f>
        <v>hsa04020</v>
      </c>
      <c r="B7" s="2" t="str">
        <f>"Calcium signaling pathway"</f>
        <v>Calcium signaling pathway</v>
      </c>
      <c r="C7" s="3">
        <v>27</v>
      </c>
      <c r="D7" s="3">
        <v>0.1125</v>
      </c>
      <c r="E7" s="3">
        <v>1.4883811794586799E-3</v>
      </c>
      <c r="F7" s="3" t="str">
        <f>"27/386"</f>
        <v>27/386</v>
      </c>
      <c r="G7" s="3" t="str">
        <f>"240/8106"</f>
        <v>240/8106</v>
      </c>
      <c r="H7" s="4">
        <v>2.5839951032268699E-5</v>
      </c>
      <c r="I7" s="3">
        <v>1.3001575361499399E-3</v>
      </c>
      <c r="J7" s="3" t="str">
        <f>"ADRA1A, ADRB1, ADRB3, CACNA1A, CAMK1G, CHRM3, EDNRB, EGF, ERBB3, FGF2, FGF7, FGFR1, FGFR2, FGFR4, MYLK, NOS1, NTRK1, NTRK3, PDE1C, PDGFC, PLN, PRKCA, PRKCB, PTGFR, RYR2, SLC8A1, TACR2"</f>
        <v>ADRA1A, ADRB1, ADRB3, CACNA1A, CAMK1G, CHRM3, EDNRB, EGF, ERBB3, FGF2, FGF7, FGFR1, FGFR2, FGFR4, MYLK, NOS1, NTRK1, NTRK3, PDE1C, PDGFC, PLN, PRKCA, PRKCB, PTGFR, RYR2, SLC8A1, TACR2</v>
      </c>
    </row>
    <row r="8" spans="1:10">
      <c r="A8" s="3" t="str">
        <f>"hsa05412"</f>
        <v>hsa05412</v>
      </c>
      <c r="B8" s="2" t="str">
        <f>"Arrhythmogenic right ventricular cardiomyopathy"</f>
        <v>Arrhythmogenic right ventricular cardiomyopathy</v>
      </c>
      <c r="C8" s="3">
        <v>13</v>
      </c>
      <c r="D8" s="3">
        <v>0.168831168831169</v>
      </c>
      <c r="E8" s="3">
        <v>2.56726882822312E-3</v>
      </c>
      <c r="F8" s="3" t="str">
        <f>"13/386"</f>
        <v>13/386</v>
      </c>
      <c r="G8" s="3" t="str">
        <f>"77/8106"</f>
        <v>77/8106</v>
      </c>
      <c r="H8" s="4">
        <v>6.0358506488447198E-5</v>
      </c>
      <c r="I8" s="3">
        <v>2.2426069076949E-3</v>
      </c>
      <c r="J8" s="3" t="str">
        <f>"CDH2, DSC2, ITGA1, ITGA4, ITGA8, ITGA9, LAMA2, RYR2, SGCA, SGCB, SGCD, SGCG, SLC8A1"</f>
        <v>CDH2, DSC2, ITGA1, ITGA4, ITGA8, ITGA9, LAMA2, RYR2, SGCA, SGCB, SGCD, SGCG, SLC8A1</v>
      </c>
    </row>
    <row r="9" spans="1:10">
      <c r="A9" s="3" t="str">
        <f>"hsa04512"</f>
        <v>hsa04512</v>
      </c>
      <c r="B9" s="2" t="str">
        <f>"ECM-receptor interaction"</f>
        <v>ECM-receptor interaction</v>
      </c>
      <c r="C9" s="3">
        <v>14</v>
      </c>
      <c r="D9" s="3">
        <v>0.15909090909090901</v>
      </c>
      <c r="E9" s="3">
        <v>2.56726882822312E-3</v>
      </c>
      <c r="F9" s="3" t="str">
        <f>"14/386"</f>
        <v>14/386</v>
      </c>
      <c r="G9" s="3" t="str">
        <f>"88/8106"</f>
        <v>88/8106</v>
      </c>
      <c r="H9" s="4">
        <v>6.2398895130423094E-5</v>
      </c>
      <c r="I9" s="3">
        <v>2.2426069076949E-3</v>
      </c>
      <c r="J9" s="3" t="str">
        <f>"COL1A2, COL2A1, COL4A6, COL6A1, COL6A2, COL9A2, ITGA1, ITGA4, ITGA8, ITGA9, LAMA2, LAMB1, SV2A, THBS4"</f>
        <v>COL1A2, COL2A1, COL4A6, COL6A1, COL6A2, COL9A2, ITGA1, ITGA4, ITGA8, ITGA9, LAMA2, LAMB1, SV2A, THBS4</v>
      </c>
    </row>
    <row r="10" spans="1:10">
      <c r="A10" s="3" t="str">
        <f>"hsa04151"</f>
        <v>hsa04151</v>
      </c>
      <c r="B10" s="2" t="str">
        <f>"PI3K-Akt signaling pathway"</f>
        <v>PI3K-Akt signaling pathway</v>
      </c>
      <c r="C10" s="3">
        <v>33</v>
      </c>
      <c r="D10" s="3">
        <v>9.3220338983050793E-2</v>
      </c>
      <c r="E10" s="3">
        <v>5.4701626350374503E-3</v>
      </c>
      <c r="F10" s="3" t="str">
        <f>"33/386"</f>
        <v>33/386</v>
      </c>
      <c r="G10" s="3" t="str">
        <f>"354/8106"</f>
        <v>354/8106</v>
      </c>
      <c r="H10" s="3">
        <v>1.51948962084374E-4</v>
      </c>
      <c r="I10" s="3">
        <v>4.7783949918638498E-3</v>
      </c>
      <c r="J10" s="3" t="str">
        <f>"ANGPT1, BDNF, CCND2, COL1A2, COL2A1, COL4A6, COL6A1, COL6A2, COL9A2, CREB3L4, EGF, ERBB3, FGF2, FGF7, FGFR1, FGFR2, FGFR4, FLT3LG, GNG4, IGF1, ITGA1, ITGA4, ITGA8, ITGA9, KITLG, LAMA2, LAMB1, LPAR2, NTRK1, PDGFC, PGF, PRKCA, THBS4"</f>
        <v>ANGPT1, BDNF, CCND2, COL1A2, COL2A1, COL4A6, COL6A1, COL6A2, COL9A2, CREB3L4, EGF, ERBB3, FGF2, FGF7, FGFR1, FGFR2, FGFR4, FLT3LG, GNG4, IGF1, ITGA1, ITGA4, ITGA8, ITGA9, KITLG, LAMA2, LAMB1, LPAR2, NTRK1, PDGFC, PGF, PRKCA, THBS4</v>
      </c>
    </row>
    <row r="11" spans="1:10">
      <c r="A11" s="3" t="str">
        <f>"hsa05205"</f>
        <v>hsa05205</v>
      </c>
      <c r="B11" s="2" t="str">
        <f>"Proteoglycans in cancer"</f>
        <v>Proteoglycans in cancer</v>
      </c>
      <c r="C11" s="3">
        <v>22</v>
      </c>
      <c r="D11" s="3">
        <v>0.107317073170732</v>
      </c>
      <c r="E11" s="3">
        <v>9.1823885233377894E-3</v>
      </c>
      <c r="F11" s="3" t="str">
        <f>"22/386"</f>
        <v>22/386</v>
      </c>
      <c r="G11" s="3" t="str">
        <f>"205/8106"</f>
        <v>205/8106</v>
      </c>
      <c r="H11" s="3">
        <v>2.8694964135430597E-4</v>
      </c>
      <c r="I11" s="3">
        <v>8.0211654132958093E-3</v>
      </c>
      <c r="J11" s="3" t="str">
        <f>"ANK2, CAV1, CAV2, COL1A2, DCN, ERBB3, FGF2, FGFR1, FLNB, FLNC, FZD7, HOXD10, HSPB2, IGF1, LUM, PRKCA, PRKCB, TIMP3, TWIST2, WNT11, WNT2, WNT2B"</f>
        <v>ANK2, CAV1, CAV2, COL1A2, DCN, ERBB3, FGF2, FGFR1, FLNB, FLNC, FZD7, HOXD10, HSPB2, IGF1, LUM, PRKCA, PRKCB, TIMP3, TWIST2, WNT11, WNT2, WNT2B</v>
      </c>
    </row>
    <row r="12" spans="1:10">
      <c r="A12" s="3" t="str">
        <f>"hsa00330"</f>
        <v>hsa00330</v>
      </c>
      <c r="B12" s="2" t="str">
        <f>"Arginine and proline metabolism"</f>
        <v>Arginine and proline metabolism</v>
      </c>
      <c r="C12" s="3">
        <v>9</v>
      </c>
      <c r="D12" s="3">
        <v>0.17647058823529399</v>
      </c>
      <c r="E12" s="3">
        <v>1.6945190206327902E-2</v>
      </c>
      <c r="F12" s="3" t="str">
        <f>"9/386"</f>
        <v>9/386</v>
      </c>
      <c r="G12" s="3" t="str">
        <f>"51/8106"</f>
        <v>51/8106</v>
      </c>
      <c r="H12" s="3">
        <v>5.8837465994194204E-4</v>
      </c>
      <c r="I12" s="3">
        <v>1.48022677606446E-2</v>
      </c>
      <c r="J12" s="3" t="str">
        <f>"AGMAT, AMD1, CKM, GATM, HOGA1, MAOB, NOS1, PYCR1, PYCR3"</f>
        <v>AGMAT, AMD1, CKM, GATM, HOGA1, MAOB, NOS1, PYCR1, PYCR3</v>
      </c>
    </row>
    <row r="13" spans="1:10">
      <c r="A13" s="3" t="str">
        <f>"hsa04014"</f>
        <v>hsa04014</v>
      </c>
      <c r="B13" s="2" t="str">
        <f>"Ras signaling pathway"</f>
        <v>Ras signaling pathway</v>
      </c>
      <c r="C13" s="3">
        <v>23</v>
      </c>
      <c r="D13" s="3">
        <v>9.9137931034482804E-2</v>
      </c>
      <c r="E13" s="3">
        <v>1.71990647425946E-2</v>
      </c>
      <c r="F13" s="3" t="str">
        <f>"23/386"</f>
        <v>23/386</v>
      </c>
      <c r="G13" s="3" t="str">
        <f>"232/8106"</f>
        <v>232/8106</v>
      </c>
      <c r="H13" s="3">
        <v>6.5690872280743304E-4</v>
      </c>
      <c r="I13" s="3">
        <v>1.5024036818275299E-2</v>
      </c>
      <c r="J13" s="3" t="str">
        <f>"ANGPT1, BDNF, EGF, FGF2, FGF7, FGFR1, FGFR2, FGFR4, FLT3LG, GNG4, IGF1, KITLG, NTRK1, PAK5, PDGFC, PGF, PLA1A, PLA2G2A, PLD1, PRKCA, PRKCB, RAC3, RASGRF1"</f>
        <v>ANGPT1, BDNF, EGF, FGF2, FGF7, FGFR1, FGFR2, FGFR4, FLT3LG, GNG4, IGF1, KITLG, NTRK1, PAK5, PDGFC, PGF, PLA1A, PLA2G2A, PLD1, PRKCA, PRKCB, RAC3, RASGRF1</v>
      </c>
    </row>
    <row r="14" spans="1:10">
      <c r="A14" s="3" t="str">
        <f>"hsa04911"</f>
        <v>hsa04911</v>
      </c>
      <c r="B14" s="2" t="str">
        <f>"Insulin secretion"</f>
        <v>Insulin secretion</v>
      </c>
      <c r="C14" s="3">
        <v>12</v>
      </c>
      <c r="D14" s="3">
        <v>0.13953488372093001</v>
      </c>
      <c r="E14" s="3">
        <v>1.7212000929737601E-2</v>
      </c>
      <c r="F14" s="3" t="str">
        <f>"12/386"</f>
        <v>12/386</v>
      </c>
      <c r="G14" s="3" t="str">
        <f>"86/8106"</f>
        <v>86/8106</v>
      </c>
      <c r="H14" s="3">
        <v>7.1716670540573305E-4</v>
      </c>
      <c r="I14" s="3">
        <v>1.50353370694711E-2</v>
      </c>
      <c r="J14" s="3" t="str">
        <f>"ATP1A2, CHRM3, CREB3L4, GCK, KCNMA1, KCNMB1, KCNN2, KCNN4, PRKCA, PRKCB, RYR2, TRPM4"</f>
        <v>ATP1A2, CHRM3, CREB3L4, GCK, KCNMA1, KCNMB1, KCNN2, KCNN4, PRKCA, PRKCB, RYR2, TRPM4</v>
      </c>
    </row>
    <row r="15" spans="1:10">
      <c r="A15" s="3" t="str">
        <f>"hsa04360"</f>
        <v>hsa04360</v>
      </c>
      <c r="B15" s="2" t="str">
        <f>"Axon guidance"</f>
        <v>Axon guidance</v>
      </c>
      <c r="C15" s="3">
        <v>19</v>
      </c>
      <c r="D15" s="3">
        <v>0.104395604395604</v>
      </c>
      <c r="E15" s="3">
        <v>2.28283437893291E-2</v>
      </c>
      <c r="F15" s="3" t="str">
        <f>"19/386"</f>
        <v>19/386</v>
      </c>
      <c r="G15" s="3" t="str">
        <f>"182/8106"</f>
        <v>182/8106</v>
      </c>
      <c r="H15" s="3">
        <v>1.0304460738238799E-3</v>
      </c>
      <c r="I15" s="3">
        <v>1.9941426044041199E-2</v>
      </c>
      <c r="J15" s="3" t="str">
        <f>"BMPR1B, CFL2, CXCL12, DPYSL2, EPHA3, EPHA7, EPHB1, PAK5, PRKCA, RAC3, ROBO2, SEMA3A, SEMA3E, SEMA6D, SLIT3, TRPC1, TRPC4, UNC5A, UNC5C"</f>
        <v>BMPR1B, CFL2, CXCL12, DPYSL2, EPHA3, EPHA7, EPHB1, PAK5, PRKCA, RAC3, ROBO2, SEMA3A, SEMA3E, SEMA6D, SLIT3, TRPC1, TRPC4, UNC5A, UNC5C</v>
      </c>
    </row>
    <row r="16" spans="1:10">
      <c r="A16" s="3" t="str">
        <f>"hsa04970"</f>
        <v>hsa04970</v>
      </c>
      <c r="B16" s="2" t="str">
        <f>"Salivary secretion"</f>
        <v>Salivary secretion</v>
      </c>
      <c r="C16" s="3">
        <v>12</v>
      </c>
      <c r="D16" s="3">
        <v>0.12903225806451599</v>
      </c>
      <c r="E16" s="3">
        <v>2.9784502103790401E-2</v>
      </c>
      <c r="F16" s="3" t="str">
        <f>"12/386"</f>
        <v>12/386</v>
      </c>
      <c r="G16" s="3" t="str">
        <f>"93/8106"</f>
        <v>93/8106</v>
      </c>
      <c r="H16" s="3">
        <v>1.44785774115648E-3</v>
      </c>
      <c r="I16" s="3">
        <v>2.6017894747097599E-2</v>
      </c>
      <c r="J16" s="3" t="str">
        <f>"ADRA1A, ADRB1, ADRB3, ATP1A2, CHRM3, KCNMA1, KCNN4, NOS1, PRKCA, PRKCB, PRKG1, TRPV6"</f>
        <v>ADRA1A, ADRB1, ADRB3, ATP1A2, CHRM3, KCNMA1, KCNN4, NOS1, PRKCA, PRKCB, PRKG1, TRPV6</v>
      </c>
    </row>
    <row r="17" spans="1:10">
      <c r="A17" s="3" t="str">
        <f>"hsa04810"</f>
        <v>hsa04810</v>
      </c>
      <c r="B17" s="2" t="str">
        <f>"Regulation of actin cytoskeleton"</f>
        <v>Regulation of actin cytoskeleton</v>
      </c>
      <c r="C17" s="3">
        <v>21</v>
      </c>
      <c r="D17" s="3">
        <v>9.6330275229357804E-2</v>
      </c>
      <c r="E17" s="3">
        <v>3.08159096707828E-2</v>
      </c>
      <c r="F17" s="3" t="str">
        <f>"21/386"</f>
        <v>21/386</v>
      </c>
      <c r="G17" s="3" t="str">
        <f>"218/8106"</f>
        <v>218/8106</v>
      </c>
      <c r="H17" s="3">
        <v>1.60499529535327E-3</v>
      </c>
      <c r="I17" s="3">
        <v>2.6918868462416201E-2</v>
      </c>
      <c r="J17" s="3" t="str">
        <f>"CFL2, CHRM3, CXCL12, EGF, FGF2, FGF7, FGFR1, FGFR2, FGFR4, IQGAP2, ITGA1, ITGA4, ITGA8, ITGA9, LPAR2, MYH11, MYLK, PAK5, PDGFC, RAC3, VCL"</f>
        <v>CFL2, CHRM3, CXCL12, EGF, FGF2, FGF7, FGFR1, FGFR2, FGFR4, IQGAP2, ITGA1, ITGA4, ITGA8, ITGA9, LPAR2, MYH11, MYLK, PAK5, PDGFC, RAC3, VCL</v>
      </c>
    </row>
    <row r="18" spans="1:10">
      <c r="A18" s="3" t="str">
        <f>"hsa04514"</f>
        <v>hsa04514</v>
      </c>
      <c r="B18" s="2" t="str">
        <f>"Cell adhesion molecules"</f>
        <v>Cell adhesion molecules</v>
      </c>
      <c r="C18" s="3">
        <v>16</v>
      </c>
      <c r="D18" s="3">
        <v>0.10738255033557</v>
      </c>
      <c r="E18" s="3">
        <v>3.1349502781504203E-2</v>
      </c>
      <c r="F18" s="3" t="str">
        <f>"16/386"</f>
        <v>16/386</v>
      </c>
      <c r="G18" s="3" t="str">
        <f>"149/8106"</f>
        <v>149/8106</v>
      </c>
      <c r="H18" s="3">
        <v>1.8813747051102099E-3</v>
      </c>
      <c r="I18" s="3">
        <v>2.73849823274105E-2</v>
      </c>
      <c r="J18" s="3" t="str">
        <f>"CDH2, CLDN3, CLDN4, CLDN7, CLDN8, CNTN1, HLA-DRB4, ITGA4, ITGA8, ITGA9, JAM3, NCAM1, NECTIN2, NEGR1, NRXN3, VCAN"</f>
        <v>CDH2, CLDN3, CLDN4, CLDN7, CLDN8, CNTN1, HLA-DRB4, ITGA4, ITGA8, ITGA9, JAM3, NCAM1, NECTIN2, NEGR1, NRXN3, VCAN</v>
      </c>
    </row>
    <row r="19" spans="1:10">
      <c r="A19" s="3" t="str">
        <f>"hsa04730"</f>
        <v>hsa04730</v>
      </c>
      <c r="B19" s="2" t="str">
        <f>"Long-term depression"</f>
        <v>Long-term depression</v>
      </c>
      <c r="C19" s="3">
        <v>9</v>
      </c>
      <c r="D19" s="3">
        <v>0.15</v>
      </c>
      <c r="E19" s="3">
        <v>3.1349502781504203E-2</v>
      </c>
      <c r="F19" s="3" t="str">
        <f>"9/386"</f>
        <v>9/386</v>
      </c>
      <c r="G19" s="3" t="str">
        <f>"60/8106"</f>
        <v>60/8106</v>
      </c>
      <c r="H19" s="3">
        <v>1.9593439238440101E-3</v>
      </c>
      <c r="I19" s="3">
        <v>2.73849823274105E-2</v>
      </c>
      <c r="J19" s="3" t="str">
        <f>"CACNA1A, GNAO1, GNAZ, GRIA3, IGF1, NOS1, PRKCA, PRKCB, PRKG1"</f>
        <v>CACNA1A, GNAO1, GNAZ, GRIA3, IGF1, NOS1, PRKCA, PRKCB, PRKG1</v>
      </c>
    </row>
    <row r="20" spans="1:10">
      <c r="A20" s="3" t="str">
        <f>"hsa05416"</f>
        <v>hsa05416</v>
      </c>
      <c r="B20" s="2" t="str">
        <f>"Viral myocarditis"</f>
        <v>Viral myocarditis</v>
      </c>
      <c r="C20" s="3">
        <v>9</v>
      </c>
      <c r="D20" s="3">
        <v>0.15</v>
      </c>
      <c r="E20" s="3">
        <v>3.1349502781504203E-2</v>
      </c>
      <c r="F20" s="3" t="str">
        <f>"9/386"</f>
        <v>9/386</v>
      </c>
      <c r="G20" s="3" t="str">
        <f>"60/8106"</f>
        <v>60/8106</v>
      </c>
      <c r="H20" s="3">
        <v>1.9593439238440101E-3</v>
      </c>
      <c r="I20" s="3">
        <v>2.73849823274105E-2</v>
      </c>
      <c r="J20" s="3" t="str">
        <f>"CAV1, HLA-DRB4, LAMA2, MYH6, RAC3, SGCA, SGCB, SGCD, SGCG"</f>
        <v>CAV1, HLA-DRB4, LAMA2, MYH6, RAC3, SGCA, SGCB, SGCD, SGCG</v>
      </c>
    </row>
    <row r="21" spans="1:10">
      <c r="A21" s="3" t="str">
        <f>"hsa04022"</f>
        <v>hsa04022</v>
      </c>
      <c r="B21" s="2" t="str">
        <f>"cGMP-PKG signaling pathway"</f>
        <v>cGMP-PKG signaling pathway</v>
      </c>
      <c r="C21" s="3">
        <v>17</v>
      </c>
      <c r="D21" s="3">
        <v>0.101796407185629</v>
      </c>
      <c r="E21" s="3">
        <v>3.7093896761767199E-2</v>
      </c>
      <c r="F21" s="3" t="str">
        <f>"17/386"</f>
        <v>17/386</v>
      </c>
      <c r="G21" s="3" t="str">
        <f>"167/8106"</f>
        <v>167/8106</v>
      </c>
      <c r="H21" s="3">
        <v>2.4471668002554801E-3</v>
      </c>
      <c r="I21" s="3">
        <v>3.2402928823327397E-2</v>
      </c>
      <c r="J21" s="3" t="str">
        <f>"ADRA1A, ADRB1, ADRB3, ATP1A2, CREB3L4, EDNRB, KCNJ8, KCNMA1, KCNMB1, MRVI1, MYH6, MYLK, NPPC, PDE5A, PLN, PRKG1, SLC8A1"</f>
        <v>ADRA1A, ADRB1, ADRB3, ATP1A2, CREB3L4, EDNRB, KCNJ8, KCNMA1, KCNMB1, MRVI1, MYH6, MYLK, NPPC, PDE5A, PLN, PRKG1, SLC8A1</v>
      </c>
    </row>
    <row r="22" spans="1:10">
      <c r="A22" s="3" t="str">
        <f>"hsa04972"</f>
        <v>hsa04972</v>
      </c>
      <c r="B22" s="2" t="str">
        <f>"Pancreatic secretion"</f>
        <v>Pancreatic secretion</v>
      </c>
      <c r="C22" s="3">
        <v>12</v>
      </c>
      <c r="D22" s="3">
        <v>0.11764705882352899</v>
      </c>
      <c r="E22" s="3">
        <v>4.6038567305485001E-2</v>
      </c>
      <c r="F22" s="3" t="str">
        <f>"12/386"</f>
        <v>12/386</v>
      </c>
      <c r="G22" s="3" t="str">
        <f>"102/8106"</f>
        <v>102/8106</v>
      </c>
      <c r="H22" s="3">
        <v>3.1971227295475701E-3</v>
      </c>
      <c r="I22" s="3">
        <v>4.0216438545361499E-2</v>
      </c>
      <c r="J22" s="3" t="str">
        <f>"ATP1A2, CEL, CHRM3, CLCA2, CPA3, KCNMA1, PLA2G2A, PRKCA, PRKCB, RYR2, SLC4A4, TRPC1"</f>
        <v>ATP1A2, CEL, CHRM3, CLCA2, CPA3, KCNMA1, PLA2G2A, PRKCA, PRKCB, RYR2, SLC4A4, TRPC1</v>
      </c>
    </row>
    <row r="23" spans="1:10">
      <c r="A23" s="3" t="str">
        <f>"hsa01521"</f>
        <v>hsa01521</v>
      </c>
      <c r="B23" s="2" t="str">
        <f>"EGFR tyrosine kinase inhibitor resistance"</f>
        <v>EGFR tyrosine kinase inhibitor resistance</v>
      </c>
      <c r="C23" s="3">
        <v>10</v>
      </c>
      <c r="D23" s="3">
        <v>0.126582278481013</v>
      </c>
      <c r="E23" s="3">
        <v>5.5776551220422702E-2</v>
      </c>
      <c r="F23" s="3" t="str">
        <f>"10/386"</f>
        <v>10/386</v>
      </c>
      <c r="G23" s="3" t="str">
        <f>"79/8106"</f>
        <v>79/8106</v>
      </c>
      <c r="H23" s="3">
        <v>4.0670401931558204E-3</v>
      </c>
      <c r="I23" s="3">
        <v>4.8722937652342903E-2</v>
      </c>
      <c r="J23" s="3" t="str">
        <f>"EGF, ERBB3, FGF2, FGFR2, IGF1, NRG1, NRG2, PDGFC, PRKCA, PRKCB"</f>
        <v>EGF, ERBB3, FGF2, FGFR2, IGF1, NRG1, NRG2, PDGFC, PRKCA, PRKCB</v>
      </c>
    </row>
    <row r="24" spans="1:10">
      <c r="A24" s="3" t="str">
        <f>"hsa04310"</f>
        <v>hsa04310</v>
      </c>
      <c r="B24" s="2" t="str">
        <f>"Wnt signaling pathway"</f>
        <v>Wnt signaling pathway</v>
      </c>
      <c r="C24" s="3">
        <v>16</v>
      </c>
      <c r="D24" s="3">
        <v>9.6385542168674704E-2</v>
      </c>
      <c r="E24" s="3">
        <v>7.2625367611731703E-2</v>
      </c>
      <c r="F24" s="3" t="str">
        <f>"16/386"</f>
        <v>16/386</v>
      </c>
      <c r="G24" s="3" t="str">
        <f>"166/8106"</f>
        <v>166/8106</v>
      </c>
      <c r="H24" s="3">
        <v>5.5477711370072796E-3</v>
      </c>
      <c r="I24" s="3">
        <v>6.3441019222236397E-2</v>
      </c>
      <c r="J24" s="3" t="str">
        <f>"AXIN2, CCND2, CTNND2, DKK1, FZD7, LGR5, LGR6, PRKCA, PRKCB, RAC3, SFRP2, TBL1X, WIF1, WNT11, WNT2, WNT2B"</f>
        <v>AXIN2, CCND2, CTNND2, DKK1, FZD7, LGR5, LGR6, PRKCA, PRKCB, RAC3, SFRP2, TBL1X, WIF1, WNT11, WNT2, WNT2B</v>
      </c>
    </row>
    <row r="25" spans="1:10">
      <c r="A25" s="3" t="str">
        <f>"hsa04010"</f>
        <v>hsa04010</v>
      </c>
      <c r="B25" s="2" t="str">
        <f>"MAPK signaling pathway"</f>
        <v>MAPK signaling pathway</v>
      </c>
      <c r="C25" s="3">
        <v>24</v>
      </c>
      <c r="D25" s="3">
        <v>8.1632653061224497E-2</v>
      </c>
      <c r="E25" s="3">
        <v>8.2386072022243698E-2</v>
      </c>
      <c r="F25" s="3" t="str">
        <f>"24/386"</f>
        <v>24/386</v>
      </c>
      <c r="G25" s="3" t="str">
        <f>"294/8106"</f>
        <v>294/8106</v>
      </c>
      <c r="H25" s="3">
        <v>6.7662476663230197E-3</v>
      </c>
      <c r="I25" s="3">
        <v>7.1967365545746495E-2</v>
      </c>
      <c r="J25" s="3" t="str">
        <f>"ANGPT1, BDNF, CACNA1A, EGF, ERBB3, FGF2, FGF7, FGFR1, FGFR2, FGFR4, FLNB, FLNC, FLT3LG, IGF1, KITLG, MAP3K12, NTRK1, PDGFC, PGF, PRKCA, PRKCB, RAC3, RASGRF1, TGFB3"</f>
        <v>ANGPT1, BDNF, CACNA1A, EGF, ERBB3, FGF2, FGF7, FGFR1, FGFR2, FGFR4, FLNB, FLNC, FLT3LG, IGF1, KITLG, MAP3K12, NTRK1, PDGFC, PGF, PRKCA, PRKCB, RAC3, RASGRF1, TGFB3</v>
      </c>
    </row>
    <row r="26" spans="1:10">
      <c r="A26" s="3" t="str">
        <f>"hsa04610"</f>
        <v>hsa04610</v>
      </c>
      <c r="B26" s="2" t="str">
        <f>"Complement and coagulation cascades"</f>
        <v>Complement and coagulation cascades</v>
      </c>
      <c r="C26" s="3">
        <v>10</v>
      </c>
      <c r="D26" s="3">
        <v>0.11764705882352899</v>
      </c>
      <c r="E26" s="3">
        <v>8.2386072022243698E-2</v>
      </c>
      <c r="F26" s="3" t="str">
        <f>"10/386"</f>
        <v>10/386</v>
      </c>
      <c r="G26" s="3" t="str">
        <f>"85/8106"</f>
        <v>85/8106</v>
      </c>
      <c r="H26" s="3">
        <v>6.86550600185364E-3</v>
      </c>
      <c r="I26" s="3">
        <v>7.1967365545746495E-2</v>
      </c>
      <c r="J26" s="3" t="str">
        <f>"A2M, C1S, C7, CFD, CFH, CLU, F10, MASP1, SERPINA5, TFPI"</f>
        <v>A2M, C1S, C7, CFD, CFH, CLU, F10, MASP1, SERPINA5, TFPI</v>
      </c>
    </row>
    <row r="27" spans="1:10">
      <c r="A27" s="3" t="str">
        <f>"hsa05217"</f>
        <v>hsa05217</v>
      </c>
      <c r="B27" s="2" t="str">
        <f>"Basal cell carcinoma"</f>
        <v>Basal cell carcinoma</v>
      </c>
      <c r="C27" s="3">
        <v>8</v>
      </c>
      <c r="D27" s="3">
        <v>0.126984126984127</v>
      </c>
      <c r="E27" s="3">
        <v>0.11053812884348301</v>
      </c>
      <c r="F27" s="3" t="str">
        <f>"8/386"</f>
        <v>8/386</v>
      </c>
      <c r="G27" s="3" t="str">
        <f>"63/8106"</f>
        <v>63/8106</v>
      </c>
      <c r="H27" s="3">
        <v>9.5953236843301301E-3</v>
      </c>
      <c r="I27" s="3">
        <v>9.6559257286522204E-2</v>
      </c>
      <c r="J27" s="3" t="str">
        <f>"AXIN2, BMP4, FZD7, HHIP, KIF7, WNT11, WNT2, WNT2B"</f>
        <v>AXIN2, BMP4, FZD7, HHIP, KIF7, WNT11, WNT2, WNT2B</v>
      </c>
    </row>
    <row r="28" spans="1:10">
      <c r="A28" s="3" t="str">
        <f>"hsa00100"</f>
        <v>hsa00100</v>
      </c>
      <c r="B28" s="2" t="str">
        <f>"Steroid biosynthesis"</f>
        <v>Steroid biosynthesis</v>
      </c>
      <c r="C28" s="3">
        <v>4</v>
      </c>
      <c r="D28" s="3">
        <v>0.2</v>
      </c>
      <c r="E28" s="3">
        <v>0.148075261898478</v>
      </c>
      <c r="F28" s="3" t="str">
        <f>"4/386"</f>
        <v>4/386</v>
      </c>
      <c r="G28" s="3" t="str">
        <f>"20/8106"</f>
        <v>20/8106</v>
      </c>
      <c r="H28" s="3">
        <v>1.3367905588057E-2</v>
      </c>
      <c r="I28" s="3">
        <v>0.129349369860147</v>
      </c>
      <c r="J28" s="3" t="str">
        <f>"CEL, DHCR24, SOAT1, TM7SF2"</f>
        <v>CEL, DHCR24, SOAT1, TM7SF2</v>
      </c>
    </row>
    <row r="29" spans="1:10">
      <c r="A29" s="3" t="str">
        <f>"hsa04390"</f>
        <v>hsa04390</v>
      </c>
      <c r="B29" s="2" t="str">
        <f>"Hippo signaling pathway"</f>
        <v>Hippo signaling pathway</v>
      </c>
      <c r="C29" s="3">
        <v>14</v>
      </c>
      <c r="D29" s="3">
        <v>8.9171974522293002E-2</v>
      </c>
      <c r="E29" s="3">
        <v>0.18510540553302199</v>
      </c>
      <c r="F29" s="3" t="str">
        <f>"14/386"</f>
        <v>14/386</v>
      </c>
      <c r="G29" s="3" t="str">
        <f>"157/8106"</f>
        <v>157/8106</v>
      </c>
      <c r="H29" s="3">
        <v>1.7353631768720901E-2</v>
      </c>
      <c r="I29" s="3">
        <v>0.161696607903481</v>
      </c>
      <c r="J29" s="3" t="str">
        <f>"AXIN2, BMP4, BMP5, BMPR1B, CCND2, FRMD6, FZD7, SNAI2, TEAD1, TGFB3, WNT11, WNT2, WNT2B, WWC1"</f>
        <v>AXIN2, BMP4, BMP5, BMPR1B, CCND2, FRMD6, FZD7, SNAI2, TEAD1, TGFB3, WNT11, WNT2, WNT2B, WWC1</v>
      </c>
    </row>
    <row r="30" spans="1:10">
      <c r="A30" s="3" t="str">
        <f>"hsa04550"</f>
        <v>hsa04550</v>
      </c>
      <c r="B30" s="2" t="str">
        <f>"Signaling pathways regulating pluripotency of stem cells"</f>
        <v>Signaling pathways regulating pluripotency of stem cells</v>
      </c>
      <c r="C30" s="3">
        <v>13</v>
      </c>
      <c r="D30" s="3">
        <v>9.0909090909090898E-2</v>
      </c>
      <c r="E30" s="3">
        <v>0.19075885102315601</v>
      </c>
      <c r="F30" s="3" t="str">
        <f>"13/386"</f>
        <v>13/386</v>
      </c>
      <c r="G30" s="3" t="str">
        <f>"143/8106"</f>
        <v>143/8106</v>
      </c>
      <c r="H30" s="3">
        <v>1.8545999405029E-2</v>
      </c>
      <c r="I30" s="3">
        <v>0.166635107436163</v>
      </c>
      <c r="J30" s="3" t="str">
        <f>"AXIN2, BMP4, BMPR1B, FGF2, FGFR1, FGFR2, FGFR4, FZD7, ID4, IGF1, WNT11, WNT2, WNT2B"</f>
        <v>AXIN2, BMP4, BMPR1B, FGF2, FGFR1, FGFR2, FGFR4, FZD7, ID4, IGF1, WNT11, WNT2, WNT2B</v>
      </c>
    </row>
    <row r="31" spans="1:10">
      <c r="A31" s="3" t="str">
        <f>"hsa04724"</f>
        <v>hsa04724</v>
      </c>
      <c r="B31" s="2" t="str">
        <f>"Glutamatergic synapse"</f>
        <v>Glutamatergic synapse</v>
      </c>
      <c r="C31" s="3">
        <v>11</v>
      </c>
      <c r="D31" s="3">
        <v>9.6491228070175405E-2</v>
      </c>
      <c r="E31" s="3">
        <v>0.19433066878301899</v>
      </c>
      <c r="F31" s="3" t="str">
        <f>"11/386"</f>
        <v>11/386</v>
      </c>
      <c r="G31" s="3" t="str">
        <f>"114/8106"</f>
        <v>114/8106</v>
      </c>
      <c r="H31" s="3">
        <v>1.9568018731623501E-2</v>
      </c>
      <c r="I31" s="3">
        <v>0.169755226020254</v>
      </c>
      <c r="J31" s="3" t="str">
        <f>"CACNA1A, GNAO1, GNG4, GRIA3, GRIK1, HOMER2, KCNJ3, PLD1, PRKCA, PRKCB, TRPC1"</f>
        <v>CACNA1A, GNAO1, GNG4, GRIA3, GRIK1, HOMER2, KCNJ3, PLD1, PRKCA, PRKCB, TRPC1</v>
      </c>
    </row>
    <row r="32" spans="1:10">
      <c r="A32" s="3" t="str">
        <f>"hsa04726"</f>
        <v>hsa04726</v>
      </c>
      <c r="B32" s="2" t="str">
        <f>"Serotonergic synapse"</f>
        <v>Serotonergic synapse</v>
      </c>
      <c r="C32" s="3">
        <v>11</v>
      </c>
      <c r="D32" s="3">
        <v>9.5652173913043495E-2</v>
      </c>
      <c r="E32" s="3">
        <v>0.19919800431915199</v>
      </c>
      <c r="F32" s="3" t="str">
        <f>"11/386"</f>
        <v>11/386</v>
      </c>
      <c r="G32" s="3" t="str">
        <f>"115/8106"</f>
        <v>115/8106</v>
      </c>
      <c r="H32" s="3">
        <v>2.0749792116578299E-2</v>
      </c>
      <c r="I32" s="3">
        <v>0.174007028626745</v>
      </c>
      <c r="J32" s="3" t="str">
        <f>"CACNA1A, GABRB3, GNAO1, GNG4, KCNJ3, KCNN2, MAOB, PRKCA, PRKCB, PTGS1, TRPC1"</f>
        <v>CACNA1A, GABRB3, GNAO1, GNG4, KCNJ3, KCNN2, MAOB, PRKCA, PRKCB, PTGS1, TRPC1</v>
      </c>
    </row>
    <row r="33" spans="1:10">
      <c r="A33" s="3" t="str">
        <f>"hsa04916"</f>
        <v>hsa04916</v>
      </c>
      <c r="B33" s="2" t="str">
        <f>"Melanogenesis"</f>
        <v>Melanogenesis</v>
      </c>
      <c r="C33" s="3">
        <v>10</v>
      </c>
      <c r="D33" s="3">
        <v>9.9009900990099001E-2</v>
      </c>
      <c r="E33" s="3">
        <v>0.20075538393961001</v>
      </c>
      <c r="F33" s="3" t="str">
        <f>"10/386"</f>
        <v>10/386</v>
      </c>
      <c r="G33" s="3" t="str">
        <f>"101/8106"</f>
        <v>101/8106</v>
      </c>
      <c r="H33" s="3">
        <v>2.1609086465721902E-2</v>
      </c>
      <c r="I33" s="3">
        <v>0.175367458923855</v>
      </c>
      <c r="J33" s="3" t="str">
        <f>"CREB3L4, EDNRB, FZD7, GNAO1, KITLG, PRKCA, PRKCB, WNT11, WNT2, WNT2B"</f>
        <v>CREB3L4, EDNRB, FZD7, GNAO1, KITLG, PRKCA, PRKCB, WNT11, WNT2, WNT2B</v>
      </c>
    </row>
    <row r="34" spans="1:10">
      <c r="A34" s="3" t="str">
        <f>"hsa04270"</f>
        <v>hsa04270</v>
      </c>
      <c r="B34" s="2" t="str">
        <f>"Vascular smooth muscle contraction"</f>
        <v>Vascular smooth muscle contraction</v>
      </c>
      <c r="C34" s="3">
        <v>12</v>
      </c>
      <c r="D34" s="3">
        <v>9.0225563909774403E-2</v>
      </c>
      <c r="E34" s="3">
        <v>0.21965033379653101</v>
      </c>
      <c r="F34" s="3" t="str">
        <f>"12/386"</f>
        <v>12/386</v>
      </c>
      <c r="G34" s="3" t="str">
        <f>"133/8106"</f>
        <v>133/8106</v>
      </c>
      <c r="H34" s="3">
        <v>2.4405592644059001E-2</v>
      </c>
      <c r="I34" s="3">
        <v>0.19187291585296401</v>
      </c>
      <c r="J34" s="3" t="str">
        <f>"ADRA1A, EDN3, KCNMA1, KCNMB1, MRVI1, MYH11, MYLK, NPPC, PLA2G2A, PRKCA, PRKCB, PRKG1"</f>
        <v>ADRA1A, EDN3, KCNMA1, KCNMB1, MRVI1, MYH11, MYLK, NPPC, PLA2G2A, PRKCA, PRKCB, PRKG1</v>
      </c>
    </row>
    <row r="35" spans="1:10">
      <c r="A35" s="3" t="str">
        <f>"hsa04261"</f>
        <v>hsa04261</v>
      </c>
      <c r="B35" s="2" t="str">
        <f>"Adrenergic signaling in cardiomyocytes"</f>
        <v>Adrenergic signaling in cardiomyocytes</v>
      </c>
      <c r="C35" s="3">
        <v>13</v>
      </c>
      <c r="D35" s="3">
        <v>8.6666666666666697E-2</v>
      </c>
      <c r="E35" s="3">
        <v>0.22577968458638301</v>
      </c>
      <c r="F35" s="3" t="str">
        <f>"13/386"</f>
        <v>13/386</v>
      </c>
      <c r="G35" s="3" t="str">
        <f>"150/8106"</f>
        <v>150/8106</v>
      </c>
      <c r="H35" s="3">
        <v>2.6367089295125899E-2</v>
      </c>
      <c r="I35" s="3">
        <v>0.19722713675491799</v>
      </c>
      <c r="J35" s="3" t="str">
        <f>"ACTC1, ADRA1A, ADRB1, ATP1A2, CREB3L4, MYH6, PLN, PPP1R1A, PRKCA, RYR2, SCN7A, SLC8A1, TPM2"</f>
        <v>ACTC1, ADRA1A, ADRB1, ATP1A2, CREB3L4, MYH6, PLN, PPP1R1A, PRKCA, RYR2, SCN7A, SLC8A1, TPM2</v>
      </c>
    </row>
    <row r="36" spans="1:10">
      <c r="A36" s="3" t="str">
        <f>"hsa00350"</f>
        <v>hsa00350</v>
      </c>
      <c r="B36" s="2" t="str">
        <f>"Tyrosine metabolism"</f>
        <v>Tyrosine metabolism</v>
      </c>
      <c r="C36" s="3">
        <v>5</v>
      </c>
      <c r="D36" s="3">
        <v>0.13888888888888901</v>
      </c>
      <c r="E36" s="3">
        <v>0.22577968458638301</v>
      </c>
      <c r="F36" s="3" t="str">
        <f>"5/386"</f>
        <v>5/386</v>
      </c>
      <c r="G36" s="3" t="str">
        <f>"36/8106"</f>
        <v>36/8106</v>
      </c>
      <c r="H36" s="3">
        <v>2.6654546097003601E-2</v>
      </c>
      <c r="I36" s="3">
        <v>0.19722713675491799</v>
      </c>
      <c r="J36" s="3" t="str">
        <f>"ADH1B, ADH1C, ALDH3B2, HPD, MAOB"</f>
        <v>ADH1B, ADH1C, ALDH3B2, HPD, MAOB</v>
      </c>
    </row>
    <row r="37" spans="1:10">
      <c r="A37" s="3" t="str">
        <f>"hsa04024"</f>
        <v>hsa04024</v>
      </c>
      <c r="B37" s="2" t="str">
        <f>"cAMP signaling pathway"</f>
        <v>cAMP signaling pathway</v>
      </c>
      <c r="C37" s="3">
        <v>17</v>
      </c>
      <c r="D37" s="3">
        <v>7.8703703703703706E-2</v>
      </c>
      <c r="E37" s="3">
        <v>0.234277818229293</v>
      </c>
      <c r="F37" s="3" t="str">
        <f>"17/386"</f>
        <v>17/386</v>
      </c>
      <c r="G37" s="3" t="str">
        <f>"216/8106"</f>
        <v>216/8106</v>
      </c>
      <c r="H37" s="3">
        <v>2.8471262632032101E-2</v>
      </c>
      <c r="I37" s="3">
        <v>0.204650579520471</v>
      </c>
      <c r="J37" s="3" t="str">
        <f>"ABCC4, ADRB1, ATP1A2, BDNF, CREB3L4, EDN3, FFAR2, FXYD1, GRIA3, HCAR1, HHIP, NPY, PLD1, PLN, PTGER2, RAC3, RYR2"</f>
        <v>ABCC4, ADRB1, ATP1A2, BDNF, CREB3L4, EDN3, FFAR2, FXYD1, GRIA3, HCAR1, HHIP, NPY, PLD1, PLN, PTGER2, RAC3, RYR2</v>
      </c>
    </row>
    <row r="38" spans="1:10">
      <c r="A38" s="3" t="str">
        <f>"hsa04960"</f>
        <v>hsa04960</v>
      </c>
      <c r="B38" s="2" t="str">
        <f>"Aldosterone-regulated sodium reabsorption"</f>
        <v>Aldosterone-regulated sodium reabsorption</v>
      </c>
      <c r="C38" s="3">
        <v>5</v>
      </c>
      <c r="D38" s="3">
        <v>0.135135135135135</v>
      </c>
      <c r="E38" s="3">
        <v>0.237257197871235</v>
      </c>
      <c r="F38" s="3" t="str">
        <f>"5/386"</f>
        <v>5/386</v>
      </c>
      <c r="G38" s="3" t="str">
        <f>"37/8106"</f>
        <v>37/8106</v>
      </c>
      <c r="H38" s="3">
        <v>2.9657149733904299E-2</v>
      </c>
      <c r="I38" s="3">
        <v>0.20725318088898101</v>
      </c>
      <c r="J38" s="3" t="str">
        <f>"ATP1A2, IGF1, NEDD4L, PRKCA, PRKCB"</f>
        <v>ATP1A2, IGF1, NEDD4L, PRKCA, PRKCB</v>
      </c>
    </row>
    <row r="39" spans="1:10">
      <c r="A39" s="3" t="str">
        <f>"hsa04929"</f>
        <v>hsa04929</v>
      </c>
      <c r="B39" s="2" t="str">
        <f>"GnRH secretion"</f>
        <v>GnRH secretion</v>
      </c>
      <c r="C39" s="3">
        <v>7</v>
      </c>
      <c r="D39" s="3">
        <v>0.109375</v>
      </c>
      <c r="E39" s="3">
        <v>0.24622416802203201</v>
      </c>
      <c r="F39" s="3" t="str">
        <f>"7/386"</f>
        <v>7/386</v>
      </c>
      <c r="G39" s="3" t="str">
        <f>"64/8106"</f>
        <v>64/8106</v>
      </c>
      <c r="H39" s="3">
        <v>3.1632966030608202E-2</v>
      </c>
      <c r="I39" s="3">
        <v>0.21508617016544401</v>
      </c>
      <c r="J39" s="3" t="str">
        <f>"KCNJ3, KCNN2, KCNN4, PRKCA, PRKCB, TRPC1, TRPC4"</f>
        <v>KCNJ3, KCNN2, KCNN4, PRKCA, PRKCB, TRPC1, TRPC4</v>
      </c>
    </row>
    <row r="40" spans="1:10">
      <c r="A40" s="3" t="str">
        <f>"hsa04350"</f>
        <v>hsa04350</v>
      </c>
      <c r="B40" s="2" t="str">
        <f>"TGF-beta signaling pathway"</f>
        <v>TGF-beta signaling pathway</v>
      </c>
      <c r="C40" s="3">
        <v>9</v>
      </c>
      <c r="D40" s="3">
        <v>9.5744680851063801E-2</v>
      </c>
      <c r="E40" s="3">
        <v>0.26095071703261802</v>
      </c>
      <c r="F40" s="3" t="str">
        <f>"9/386"</f>
        <v>9/386</v>
      </c>
      <c r="G40" s="3" t="str">
        <f>"94/8106"</f>
        <v>94/8106</v>
      </c>
      <c r="H40" s="3">
        <v>3.4430997386248198E-2</v>
      </c>
      <c r="I40" s="3">
        <v>0.227950370507294</v>
      </c>
      <c r="J40" s="3" t="str">
        <f>"BMP4, BMP5, BMPR1B, DCN, FBN1, GREM2, ID4, PITX2, TGFB3"</f>
        <v>BMP4, BMP5, BMPR1B, DCN, FBN1, GREM2, ID4, PITX2, TGFB3</v>
      </c>
    </row>
    <row r="41" spans="1:10">
      <c r="A41" s="3" t="str">
        <f>"hsa01040"</f>
        <v>hsa01040</v>
      </c>
      <c r="B41" s="2" t="str">
        <f>"Biosynthesis of unsaturated fatty acids"</f>
        <v>Biosynthesis of unsaturated fatty acids</v>
      </c>
      <c r="C41" s="3">
        <v>4</v>
      </c>
      <c r="D41" s="3">
        <v>0.148148148148148</v>
      </c>
      <c r="E41" s="3">
        <v>0.27558598671505002</v>
      </c>
      <c r="F41" s="3" t="str">
        <f>"4/386"</f>
        <v>4/386</v>
      </c>
      <c r="G41" s="3" t="str">
        <f>"27/8106"</f>
        <v>27/8106</v>
      </c>
      <c r="H41" s="3">
        <v>3.73189357009963E-2</v>
      </c>
      <c r="I41" s="3">
        <v>0.240734834886319</v>
      </c>
      <c r="J41" s="3" t="str">
        <f>"ELOVL2, ELOVL7, SCD, SCD5"</f>
        <v>ELOVL2, ELOVL7, SCD, SCD5</v>
      </c>
    </row>
    <row r="42" spans="1:10">
      <c r="A42" s="3" t="str">
        <f>"hsa04713"</f>
        <v>hsa04713</v>
      </c>
      <c r="B42" s="2" t="str">
        <f>"Circadian entrainment"</f>
        <v>Circadian entrainment</v>
      </c>
      <c r="C42" s="3">
        <v>9</v>
      </c>
      <c r="D42" s="3">
        <v>9.2783505154639206E-2</v>
      </c>
      <c r="E42" s="3">
        <v>0.27572224916789601</v>
      </c>
      <c r="F42" s="3" t="str">
        <f>"9/386"</f>
        <v>9/386</v>
      </c>
      <c r="G42" s="3" t="str">
        <f>"97/8106"</f>
        <v>97/8106</v>
      </c>
      <c r="H42" s="3">
        <v>4.0913587751498899E-2</v>
      </c>
      <c r="I42" s="3">
        <v>0.24085386531844699</v>
      </c>
      <c r="J42" s="3" t="str">
        <f>"GNAO1, GNG4, GRIA3, KCNJ3, NOS1, PRKCA, PRKCB, PRKG1, RYR2"</f>
        <v>GNAO1, GNG4, GRIA3, KCNJ3, NOS1, PRKCA, PRKCB, PRKG1, RYR2</v>
      </c>
    </row>
    <row r="43" spans="1:10">
      <c r="A43" s="3" t="str">
        <f>"hsa05215"</f>
        <v>hsa05215</v>
      </c>
      <c r="B43" s="2" t="str">
        <f>"Prostate cancer"</f>
        <v>Prostate cancer</v>
      </c>
      <c r="C43" s="3">
        <v>9</v>
      </c>
      <c r="D43" s="3">
        <v>9.2783505154639206E-2</v>
      </c>
      <c r="E43" s="3">
        <v>0.27572224916789601</v>
      </c>
      <c r="F43" s="3" t="str">
        <f>"9/386"</f>
        <v>9/386</v>
      </c>
      <c r="G43" s="3" t="str">
        <f>"97/8106"</f>
        <v>97/8106</v>
      </c>
      <c r="H43" s="3">
        <v>4.0913587751498899E-2</v>
      </c>
      <c r="I43" s="3">
        <v>0.24085386531844699</v>
      </c>
      <c r="J43" s="3" t="str">
        <f>"CREB3L4, EGF, ETV5, FGFR1, FGFR2, IGF1, NKX3-1, PDGFC, TMPRSS2"</f>
        <v>CREB3L4, EGF, ETV5, FGFR1, FGFR2, IGF1, NKX3-1, PDGFC, TMPRSS2</v>
      </c>
    </row>
    <row r="44" spans="1:10">
      <c r="A44" s="3" t="str">
        <f>"hsa04015"</f>
        <v>hsa04015</v>
      </c>
      <c r="B44" s="2" t="str">
        <f>"Rap1 signaling pathway"</f>
        <v>Rap1 signaling pathway</v>
      </c>
      <c r="C44" s="3">
        <v>16</v>
      </c>
      <c r="D44" s="3">
        <v>7.6190476190476197E-2</v>
      </c>
      <c r="E44" s="3">
        <v>0.27572224916789601</v>
      </c>
      <c r="F44" s="3" t="str">
        <f>"16/386"</f>
        <v>16/386</v>
      </c>
      <c r="G44" s="3" t="str">
        <f>"210/8106"</f>
        <v>210/8106</v>
      </c>
      <c r="H44" s="3">
        <v>4.2401097784917102E-2</v>
      </c>
      <c r="I44" s="3">
        <v>0.24085386531844699</v>
      </c>
      <c r="J44" s="3" t="str">
        <f>"ANGPT1, EGF, FGF2, FGF7, FGFR1, FGFR2, FGFR4, GNAO1, IGF1, KITLG, LPAR2, PDGFC, PGF, PRKCA, PRKCB, RAC3"</f>
        <v>ANGPT1, EGF, FGF2, FGF7, FGFR1, FGFR2, FGFR4, GNAO1, IGF1, KITLG, LPAR2, PDGFC, PGF, PRKCA, PRKCB, RAC3</v>
      </c>
    </row>
    <row r="45" spans="1:10">
      <c r="A45" s="3" t="str">
        <f>"hsa04725"</f>
        <v>hsa04725</v>
      </c>
      <c r="B45" s="2" t="str">
        <f>"Cholinergic synapse"</f>
        <v>Cholinergic synapse</v>
      </c>
      <c r="C45" s="3">
        <v>10</v>
      </c>
      <c r="D45" s="3">
        <v>8.8495575221238895E-2</v>
      </c>
      <c r="E45" s="3">
        <v>0.27572224916789601</v>
      </c>
      <c r="F45" s="3" t="str">
        <f>"10/386"</f>
        <v>10/386</v>
      </c>
      <c r="G45" s="3" t="str">
        <f>"113/8106"</f>
        <v>113/8106</v>
      </c>
      <c r="H45" s="3">
        <v>4.2483570729247702E-2</v>
      </c>
      <c r="I45" s="3">
        <v>0.24085386531844699</v>
      </c>
      <c r="J45" s="3" t="str">
        <f>"CACNA1A, CHRM3, CREB3L4, GNAO1, GNG4, KCNJ3, KCNQ2, KCNQ5, PRKCA, PRKCB"</f>
        <v>CACNA1A, CHRM3, CREB3L4, GNAO1, GNG4, KCNJ3, KCNQ2, KCNQ5, PRKCA, PRKCB</v>
      </c>
    </row>
    <row r="46" spans="1:10">
      <c r="A46" s="3" t="str">
        <f>"hsa00120"</f>
        <v>hsa00120</v>
      </c>
      <c r="B46" s="2" t="str">
        <f>"Primary bile acid biosynthesis"</f>
        <v>Primary bile acid biosynthesis</v>
      </c>
      <c r="C46" s="3">
        <v>3</v>
      </c>
      <c r="D46" s="3">
        <v>0.17647058823529399</v>
      </c>
      <c r="E46" s="3">
        <v>0.27572224916789601</v>
      </c>
      <c r="F46" s="3" t="str">
        <f>"3/386"</f>
        <v>3/386</v>
      </c>
      <c r="G46" s="3" t="str">
        <f>"17/8106"</f>
        <v>17/8106</v>
      </c>
      <c r="H46" s="3">
        <v>4.4331584061681403E-2</v>
      </c>
      <c r="I46" s="3">
        <v>0.24085386531844699</v>
      </c>
      <c r="J46" s="3" t="str">
        <f>"ACOX2, AMACR, CH25H"</f>
        <v>ACOX2, AMACR, CH25H</v>
      </c>
    </row>
    <row r="47" spans="1:10">
      <c r="A47" s="3" t="str">
        <f>"hsa00360"</f>
        <v>hsa00360</v>
      </c>
      <c r="B47" s="2" t="str">
        <f>"Phenylalanine metabolism"</f>
        <v>Phenylalanine metabolism</v>
      </c>
      <c r="C47" s="3">
        <v>3</v>
      </c>
      <c r="D47" s="3">
        <v>0.17647058823529399</v>
      </c>
      <c r="E47" s="3">
        <v>0.27572224916789601</v>
      </c>
      <c r="F47" s="3" t="str">
        <f>"3/386"</f>
        <v>3/386</v>
      </c>
      <c r="G47" s="3" t="str">
        <f>"17/8106"</f>
        <v>17/8106</v>
      </c>
      <c r="H47" s="3">
        <v>4.4331584061681403E-2</v>
      </c>
      <c r="I47" s="3">
        <v>0.24085386531844699</v>
      </c>
      <c r="J47" s="3" t="str">
        <f>"ALDH3B2, HPD, MAOB"</f>
        <v>ALDH3B2, HPD, MAOB</v>
      </c>
    </row>
    <row r="48" spans="1:10">
      <c r="A48" s="3" t="str">
        <f>"hsa04670"</f>
        <v>hsa04670</v>
      </c>
      <c r="B48" s="2" t="str">
        <f>"Leukocyte transendothelial migration"</f>
        <v>Leukocyte transendothelial migration</v>
      </c>
      <c r="C48" s="3">
        <v>10</v>
      </c>
      <c r="D48" s="3">
        <v>8.7719298245614002E-2</v>
      </c>
      <c r="E48" s="3">
        <v>0.27572224916789601</v>
      </c>
      <c r="F48" s="3" t="str">
        <f>"10/386"</f>
        <v>10/386</v>
      </c>
      <c r="G48" s="3" t="str">
        <f>"114/8106"</f>
        <v>114/8106</v>
      </c>
      <c r="H48" s="3">
        <v>4.4686989190557601E-2</v>
      </c>
      <c r="I48" s="3">
        <v>0.24085386531844699</v>
      </c>
      <c r="J48" s="3" t="str">
        <f>"CLDN3, CLDN4, CLDN7, CLDN8, CXCL12, ITGA4, JAM3, PRKCA, PRKCB, VCL"</f>
        <v>CLDN3, CLDN4, CLDN7, CLDN8, CXCL12, ITGA4, JAM3, PRKCA, PRKCB, VCL</v>
      </c>
    </row>
    <row r="49" spans="1:10">
      <c r="A49" s="3" t="str">
        <f>"hsa04924"</f>
        <v>hsa04924</v>
      </c>
      <c r="B49" s="2" t="str">
        <f>"Renin secretion"</f>
        <v>Renin secretion</v>
      </c>
      <c r="C49" s="3">
        <v>7</v>
      </c>
      <c r="D49" s="3">
        <v>0.101449275362319</v>
      </c>
      <c r="E49" s="3">
        <v>0.27572224916789601</v>
      </c>
      <c r="F49" s="3" t="str">
        <f>"7/386"</f>
        <v>7/386</v>
      </c>
      <c r="G49" s="3" t="str">
        <f>"69/8106"</f>
        <v>69/8106</v>
      </c>
      <c r="H49" s="3">
        <v>4.4996339273927502E-2</v>
      </c>
      <c r="I49" s="3">
        <v>0.24085386531844699</v>
      </c>
      <c r="J49" s="3" t="str">
        <f>"ADRB1, ADRB3, CLCA2, EDN3, KCNMA1, PDE1C, PTGER2"</f>
        <v>ADRB1, ADRB3, CLCA2, EDN3, KCNMA1, PDE1C, PTGER2</v>
      </c>
    </row>
    <row r="50" spans="1:10">
      <c r="A50" s="3" t="str">
        <f>"hsa04392"</f>
        <v>hsa04392</v>
      </c>
      <c r="B50" s="2" t="str">
        <f>"Hippo signaling pathway - multiple species"</f>
        <v>Hippo signaling pathway - multiple species</v>
      </c>
      <c r="C50" s="3">
        <v>4</v>
      </c>
      <c r="D50" s="3">
        <v>0.13793103448275901</v>
      </c>
      <c r="E50" s="3">
        <v>0.27860694135830499</v>
      </c>
      <c r="F50" s="3" t="str">
        <f>"4/386"</f>
        <v>4/386</v>
      </c>
      <c r="G50" s="3" t="str">
        <f>"29/8106"</f>
        <v>29/8106</v>
      </c>
      <c r="H50" s="3">
        <v>4.6913275542196702E-2</v>
      </c>
      <c r="I50" s="3">
        <v>0.243373753598811</v>
      </c>
      <c r="J50" s="3" t="str">
        <f>"FAT4, FRMD6, TEAD1, WWC1"</f>
        <v>FAT4, FRMD6, TEAD1, WWC1</v>
      </c>
    </row>
    <row r="51" spans="1:10">
      <c r="A51" s="3" t="str">
        <f>"hsa05224"</f>
        <v>hsa05224</v>
      </c>
      <c r="B51" s="2" t="str">
        <f>"Breast cancer"</f>
        <v>Breast cancer</v>
      </c>
      <c r="C51" s="3">
        <v>12</v>
      </c>
      <c r="D51" s="3">
        <v>8.1632653061224497E-2</v>
      </c>
      <c r="E51" s="3">
        <v>0.27860694135830499</v>
      </c>
      <c r="F51" s="3" t="str">
        <f>"12/386"</f>
        <v>12/386</v>
      </c>
      <c r="G51" s="3" t="str">
        <f>"147/8106"</f>
        <v>147/8106</v>
      </c>
      <c r="H51" s="3">
        <v>4.7401875439433798E-2</v>
      </c>
      <c r="I51" s="3">
        <v>0.243373753598811</v>
      </c>
      <c r="J51" s="3" t="str">
        <f>"AXIN2, EGF, FGF2, FGF7, FGFR1, FZD7, HEY1, IGF1, PGR, WNT11, WNT2, WNT2B"</f>
        <v>AXIN2, EGF, FGF2, FGF7, FGFR1, FZD7, HEY1, IGF1, PGR, WNT11, WNT2, WNT2B</v>
      </c>
    </row>
    <row r="52" spans="1:10">
      <c r="A52" s="3" t="str">
        <f>"hsa05226"</f>
        <v>hsa05226</v>
      </c>
      <c r="B52" s="2" t="str">
        <f>"Gastric cancer"</f>
        <v>Gastric cancer</v>
      </c>
      <c r="C52" s="3">
        <v>12</v>
      </c>
      <c r="D52" s="3">
        <v>8.0536912751677805E-2</v>
      </c>
      <c r="E52" s="3">
        <v>0.29610888907160299</v>
      </c>
      <c r="F52" s="3" t="str">
        <f>"12/386"</f>
        <v>12/386</v>
      </c>
      <c r="G52" s="3" t="str">
        <f>"149/8106"</f>
        <v>149/8106</v>
      </c>
      <c r="H52" s="3">
        <v>5.1606656198003503E-2</v>
      </c>
      <c r="I52" s="3">
        <v>0.25866237020509197</v>
      </c>
      <c r="J52" s="3" t="str">
        <f>"AXIN2, CDH17, EGF, FGF2, FGF7, FGFR2, FZD7, MUC2, TGFB3, WNT11, WNT2, WNT2B"</f>
        <v>AXIN2, CDH17, EGF, FGF2, FGF7, FGFR2, FZD7, MUC2, TGFB3, WNT11, WNT2, WNT2B</v>
      </c>
    </row>
    <row r="53" spans="1:10">
      <c r="A53" s="3" t="str">
        <f>"hsa01212"</f>
        <v>hsa01212</v>
      </c>
      <c r="B53" s="2" t="str">
        <f>"Fatty acid metabolism"</f>
        <v>Fatty acid metabolism</v>
      </c>
      <c r="C53" s="3">
        <v>6</v>
      </c>
      <c r="D53" s="3">
        <v>0.105263157894737</v>
      </c>
      <c r="E53" s="3">
        <v>0.29610888907160299</v>
      </c>
      <c r="F53" s="3" t="str">
        <f>"6/386"</f>
        <v>6/386</v>
      </c>
      <c r="G53" s="3" t="str">
        <f>"57/8106"</f>
        <v>57/8106</v>
      </c>
      <c r="H53" s="3">
        <v>5.27206107756715E-2</v>
      </c>
      <c r="I53" s="3">
        <v>0.25866237020509197</v>
      </c>
      <c r="J53" s="3" t="str">
        <f>"ACAA2, ELOVL2, ELOVL7, FASN, SCD, SCD5"</f>
        <v>ACAA2, ELOVL2, ELOVL7, FASN, SCD, SCD5</v>
      </c>
    </row>
    <row r="54" spans="1:10">
      <c r="A54" s="3" t="str">
        <f>"hsa05146"</f>
        <v>hsa05146</v>
      </c>
      <c r="B54" s="2" t="str">
        <f>"Amoebiasis"</f>
        <v>Amoebiasis</v>
      </c>
      <c r="C54" s="3">
        <v>9</v>
      </c>
      <c r="D54" s="3">
        <v>8.8235294117647106E-2</v>
      </c>
      <c r="E54" s="3">
        <v>0.29610888907160299</v>
      </c>
      <c r="F54" s="3" t="str">
        <f>"9/386"</f>
        <v>9/386</v>
      </c>
      <c r="G54" s="3" t="str">
        <f>"102/8106"</f>
        <v>102/8106</v>
      </c>
      <c r="H54" s="3">
        <v>5.3464104971261701E-2</v>
      </c>
      <c r="I54" s="3">
        <v>0.25866237020509197</v>
      </c>
      <c r="J54" s="3" t="str">
        <f>"COL1A2, COL4A6, LAMA2, LAMB1, MUC2, PRKCA, PRKCB, TGFB3, VCL"</f>
        <v>COL1A2, COL4A6, LAMA2, LAMB1, MUC2, PRKCA, PRKCB, TGFB3, VCL</v>
      </c>
    </row>
    <row r="55" spans="1:10">
      <c r="A55" s="3" t="str">
        <f>"hsa00512"</f>
        <v>hsa00512</v>
      </c>
      <c r="B55" s="2" t="str">
        <f>"Mucin type O-glycan biosynthesis"</f>
        <v>Mucin type O-glycan biosynthesis</v>
      </c>
      <c r="C55" s="3">
        <v>4</v>
      </c>
      <c r="D55" s="3">
        <v>0.125</v>
      </c>
      <c r="E55" s="3">
        <v>0.34572819762212598</v>
      </c>
      <c r="F55" s="3" t="str">
        <f>"4/386"</f>
        <v>4/386</v>
      </c>
      <c r="G55" s="3" t="str">
        <f>"32/8106"</f>
        <v>32/8106</v>
      </c>
      <c r="H55" s="3">
        <v>6.3623591923516298E-2</v>
      </c>
      <c r="I55" s="3">
        <v>0.30200672233804199</v>
      </c>
      <c r="J55" s="3" t="str">
        <f>"GALNT13, GALNT3, GALNT7, GCNT1"</f>
        <v>GALNT13, GALNT3, GALNT7, GCNT1</v>
      </c>
    </row>
    <row r="56" spans="1:10">
      <c r="A56" s="3" t="str">
        <f>"hsa05032"</f>
        <v>hsa05032</v>
      </c>
      <c r="B56" s="2" t="str">
        <f>"Morphine addiction"</f>
        <v>Morphine addiction</v>
      </c>
      <c r="C56" s="3">
        <v>8</v>
      </c>
      <c r="D56" s="3">
        <v>8.7912087912087905E-2</v>
      </c>
      <c r="E56" s="3">
        <v>0.35492716962054</v>
      </c>
      <c r="F56" s="3" t="str">
        <f>"8/386"</f>
        <v>8/386</v>
      </c>
      <c r="G56" s="3" t="str">
        <f>"91/8106"</f>
        <v>91/8106</v>
      </c>
      <c r="H56" s="3">
        <v>6.7533440376606899E-2</v>
      </c>
      <c r="I56" s="3">
        <v>0.31004237404718199</v>
      </c>
      <c r="J56" s="3" t="str">
        <f>"CACNA1A, GABRB3, GNAO1, GNG4, KCNJ3, PDE1C, PRKCA, PRKCB"</f>
        <v>CACNA1A, GABRB3, GNAO1, GNG4, KCNJ3, PDE1C, PRKCA, PRKCB</v>
      </c>
    </row>
    <row r="57" spans="1:10">
      <c r="A57" s="3" t="str">
        <f>"hsa00590"</f>
        <v>hsa00590</v>
      </c>
      <c r="B57" s="2" t="str">
        <f>"Arachidonic acid metabolism"</f>
        <v>Arachidonic acid metabolism</v>
      </c>
      <c r="C57" s="3">
        <v>6</v>
      </c>
      <c r="D57" s="3">
        <v>9.8360655737704902E-2</v>
      </c>
      <c r="E57" s="3">
        <v>0.35492716962054</v>
      </c>
      <c r="F57" s="3" t="str">
        <f>"6/386"</f>
        <v>6/386</v>
      </c>
      <c r="G57" s="3" t="str">
        <f>"61/8106"</f>
        <v>61/8106</v>
      </c>
      <c r="H57" s="3">
        <v>6.9044949825854393E-2</v>
      </c>
      <c r="I57" s="3">
        <v>0.31004237404718199</v>
      </c>
      <c r="J57" s="3" t="str">
        <f>"GGT5, GPX8, PLA2G2A, PTGDS, PTGIS, PTGS1"</f>
        <v>GGT5, GPX8, PLA2G2A, PTGDS, PTGIS, PTGS1</v>
      </c>
    </row>
    <row r="58" spans="1:10">
      <c r="A58" s="3" t="str">
        <f>"hsa03320"</f>
        <v>hsa03320</v>
      </c>
      <c r="B58" s="2" t="str">
        <f>"PPAR signaling pathway"</f>
        <v>PPAR signaling pathway</v>
      </c>
      <c r="C58" s="3">
        <v>7</v>
      </c>
      <c r="D58" s="3">
        <v>9.2105263157894704E-2</v>
      </c>
      <c r="E58" s="3">
        <v>0.35492716962054</v>
      </c>
      <c r="F58" s="3" t="str">
        <f>"7/386"</f>
        <v>7/386</v>
      </c>
      <c r="G58" s="3" t="str">
        <f>"76/8106"</f>
        <v>76/8106</v>
      </c>
      <c r="H58" s="3">
        <v>6.9066519271304305E-2</v>
      </c>
      <c r="I58" s="3">
        <v>0.31004237404718199</v>
      </c>
      <c r="J58" s="3" t="str">
        <f>"ACOX2, HMGCS2, ME1, PPARG, SCD, SCD5, SLC27A2"</f>
        <v>ACOX2, HMGCS2, ME1, PPARG, SCD, SCD5, SLC27A2</v>
      </c>
    </row>
    <row r="59" spans="1:10">
      <c r="A59" s="3" t="str">
        <f>"hsa05165"</f>
        <v>hsa05165</v>
      </c>
      <c r="B59" s="2" t="str">
        <f>"Human papillomavirus infection"</f>
        <v>Human papillomavirus infection</v>
      </c>
      <c r="C59" s="3">
        <v>22</v>
      </c>
      <c r="D59" s="3">
        <v>6.6465256797583097E-2</v>
      </c>
      <c r="E59" s="3">
        <v>0.35492716962054</v>
      </c>
      <c r="F59" s="3" t="str">
        <f>"22/386"</f>
        <v>22/386</v>
      </c>
      <c r="G59" s="3" t="str">
        <f>"331/8106"</f>
        <v>331/8106</v>
      </c>
      <c r="H59" s="3">
        <v>7.0246002320731804E-2</v>
      </c>
      <c r="I59" s="3">
        <v>0.31004237404718199</v>
      </c>
      <c r="J59" s="3" t="str">
        <f>"AXIN2, CCND2, COL1A2, COL2A1, COL4A6, COL6A1, COL6A2, COL9A2, CREB3L4, EGF, FZD7, HEY1, ITGA1, ITGA4, ITGA8, ITGA9, LAMA2, LAMB1, THBS4, WNT11, WNT2, WNT2B"</f>
        <v>AXIN2, CCND2, COL1A2, COL2A1, COL4A6, COL6A1, COL6A2, COL9A2, CREB3L4, EGF, FZD7, HEY1, ITGA1, ITGA4, ITGA8, ITGA9, LAMA2, LAMB1, THBS4, WNT11, WNT2, WNT2B</v>
      </c>
    </row>
    <row r="60" spans="1:10">
      <c r="A60" s="3" t="str">
        <f>"hsa05202"</f>
        <v>hsa05202</v>
      </c>
      <c r="B60" s="2" t="str">
        <f>"Transcriptional misregulation in cancer"</f>
        <v>Transcriptional misregulation in cancer</v>
      </c>
      <c r="C60" s="3">
        <v>14</v>
      </c>
      <c r="D60" s="3">
        <v>7.2916666666666699E-2</v>
      </c>
      <c r="E60" s="3">
        <v>0.36653630727052</v>
      </c>
      <c r="F60" s="3" t="str">
        <f>"14/386"</f>
        <v>14/386</v>
      </c>
      <c r="G60" s="3" t="str">
        <f>"192/8106"</f>
        <v>192/8106</v>
      </c>
      <c r="H60" s="3">
        <v>7.3816339658646396E-2</v>
      </c>
      <c r="I60" s="3">
        <v>0.32018339706745003</v>
      </c>
      <c r="J60" s="3" t="str">
        <f>"CCND2, ELANE, ETV5, FEV, GRIA3, HMGA2, IGF1, NR4A3, NTRK1, PPARG, RUNX1T1, SLC45A3, TMPRSS2, WT1"</f>
        <v>CCND2, ELANE, ETV5, FEV, GRIA3, HMGA2, IGF1, NR4A3, NTRK1, PPARG, RUNX1T1, SLC45A3, TMPRSS2, WT1</v>
      </c>
    </row>
    <row r="61" spans="1:10">
      <c r="A61" s="3" t="str">
        <f>"hsa00072"</f>
        <v>hsa00072</v>
      </c>
      <c r="B61" s="2" t="str">
        <f>"Synthesis and degradation of ketone bodies"</f>
        <v>Synthesis and degradation of ketone bodies</v>
      </c>
      <c r="C61" s="3">
        <v>2</v>
      </c>
      <c r="D61" s="3">
        <v>0.2</v>
      </c>
      <c r="E61" s="3">
        <v>0.38576246765140698</v>
      </c>
      <c r="F61" s="3" t="str">
        <f>"2/386"</f>
        <v>2/386</v>
      </c>
      <c r="G61" s="3" t="str">
        <f>"10/8106"</f>
        <v>10/8106</v>
      </c>
      <c r="H61" s="3">
        <v>7.9027727748031407E-2</v>
      </c>
      <c r="I61" s="3">
        <v>0.33697817897911703</v>
      </c>
      <c r="J61" s="3" t="str">
        <f>"HMGCLL1, HMGCS2"</f>
        <v>HMGCLL1, HMGCS2</v>
      </c>
    </row>
    <row r="62" spans="1:10">
      <c r="A62" s="3" t="str">
        <f>"hsa00340"</f>
        <v>hsa00340</v>
      </c>
      <c r="B62" s="2" t="str">
        <f>"Histidine metabolism"</f>
        <v>Histidine metabolism</v>
      </c>
      <c r="C62" s="3">
        <v>3</v>
      </c>
      <c r="D62" s="3">
        <v>0.13636363636363599</v>
      </c>
      <c r="E62" s="3">
        <v>0.40531516715022198</v>
      </c>
      <c r="F62" s="3" t="str">
        <f>"3/386"</f>
        <v>3/386</v>
      </c>
      <c r="G62" s="3" t="str">
        <f>"22/8106"</f>
        <v>22/8106</v>
      </c>
      <c r="H62" s="3">
        <v>8.4440659822962894E-2</v>
      </c>
      <c r="I62" s="3">
        <v>0.35405820522259901</v>
      </c>
      <c r="J62" s="3" t="str">
        <f>"ALDH3B2, ASPA, MAOB"</f>
        <v>ALDH3B2, ASPA, MAOB</v>
      </c>
    </row>
    <row r="63" spans="1:10">
      <c r="A63" s="3" t="str">
        <f>"hsa05150"</f>
        <v>hsa05150</v>
      </c>
      <c r="B63" s="2" t="str">
        <f>"Staphylococcus aureus infection"</f>
        <v>Staphylococcus aureus infection</v>
      </c>
      <c r="C63" s="3">
        <v>8</v>
      </c>
      <c r="D63" s="3">
        <v>8.3333333333333301E-2</v>
      </c>
      <c r="E63" s="3">
        <v>0.40725954236186801</v>
      </c>
      <c r="F63" s="3" t="str">
        <f>"8/386"</f>
        <v>8/386</v>
      </c>
      <c r="G63" s="3" t="str">
        <f>"96/8106"</f>
        <v>96/8106</v>
      </c>
      <c r="H63" s="3">
        <v>8.6259833625256896E-2</v>
      </c>
      <c r="I63" s="3">
        <v>0.35575669087897099</v>
      </c>
      <c r="J63" s="3" t="str">
        <f>"C1S, CFD, CFH, HLA-DRB4, KRT14, KRT18, KRT23, MASP1"</f>
        <v>C1S, CFD, CFH, HLA-DRB4, KRT14, KRT18, KRT23, MASP1</v>
      </c>
    </row>
    <row r="64" spans="1:10">
      <c r="A64" s="3" t="str">
        <f>"hsa04614"</f>
        <v>hsa04614</v>
      </c>
      <c r="B64" s="2" t="str">
        <f>"Renin-angiotensin system"</f>
        <v>Renin-angiotensin system</v>
      </c>
      <c r="C64" s="3">
        <v>3</v>
      </c>
      <c r="D64" s="3">
        <v>0.13043478260869601</v>
      </c>
      <c r="E64" s="3">
        <v>0.43585752240384701</v>
      </c>
      <c r="F64" s="3" t="str">
        <f>"3/386"</f>
        <v>3/386</v>
      </c>
      <c r="G64" s="3" t="str">
        <f>"23/8106"</f>
        <v>23/8106</v>
      </c>
      <c r="H64" s="3">
        <v>9.3830438850828202E-2</v>
      </c>
      <c r="I64" s="3">
        <v>0.38073811350336101</v>
      </c>
      <c r="J64" s="3" t="str">
        <f>"CPA3, ENPEP, KLK2"</f>
        <v>CPA3, ENPEP, KLK2</v>
      </c>
    </row>
    <row r="65" spans="1:10">
      <c r="A65" s="3" t="str">
        <f>"hsa00250"</f>
        <v>hsa00250</v>
      </c>
      <c r="B65" s="2" t="str">
        <f>"Alanine, aspartate and glutamate metabolism"</f>
        <v>Alanine, aspartate and glutamate metabolism</v>
      </c>
      <c r="C65" s="3">
        <v>4</v>
      </c>
      <c r="D65" s="3">
        <v>0.108108108108108</v>
      </c>
      <c r="E65" s="3">
        <v>0.44530872815533401</v>
      </c>
      <c r="F65" s="3" t="str">
        <f>"4/386"</f>
        <v>4/386</v>
      </c>
      <c r="G65" s="3" t="str">
        <f>"37/8106"</f>
        <v>37/8106</v>
      </c>
      <c r="H65" s="3">
        <v>9.7411284283979299E-2</v>
      </c>
      <c r="I65" s="3">
        <v>0.38899410098364301</v>
      </c>
      <c r="J65" s="3" t="str">
        <f>"ASPA, DDO, FOLH1, GPT2"</f>
        <v>ASPA, DDO, FOLH1, GPT2</v>
      </c>
    </row>
    <row r="66" spans="1:10">
      <c r="A66" s="3" t="str">
        <f>"hsa04961"</f>
        <v>hsa04961</v>
      </c>
      <c r="B66" s="2" t="str">
        <f>"Endocrine and other factor-regulated calcium reabsorption"</f>
        <v>Endocrine and other factor-regulated calcium reabsorption</v>
      </c>
      <c r="C66" s="3">
        <v>5</v>
      </c>
      <c r="D66" s="3">
        <v>9.4339622641509399E-2</v>
      </c>
      <c r="E66" s="3">
        <v>0.47886657678508399</v>
      </c>
      <c r="F66" s="3" t="str">
        <f>"5/386"</f>
        <v>5/386</v>
      </c>
      <c r="G66" s="3" t="str">
        <f>"53/8106"</f>
        <v>53/8106</v>
      </c>
      <c r="H66" s="3">
        <v>0.10641479484113001</v>
      </c>
      <c r="I66" s="3">
        <v>0.41830815735246801</v>
      </c>
      <c r="J66" s="3" t="str">
        <f>"ATP1A2, KLK2, PRKCA, PRKCB, SLC8A1"</f>
        <v>ATP1A2, KLK2, PRKCA, PRKCB, SLC8A1</v>
      </c>
    </row>
    <row r="67" spans="1:10">
      <c r="A67" s="3" t="str">
        <f>"hsa04012"</f>
        <v>hsa04012</v>
      </c>
      <c r="B67" s="2" t="str">
        <f>"ErbB signaling pathway"</f>
        <v>ErbB signaling pathway</v>
      </c>
      <c r="C67" s="3">
        <v>7</v>
      </c>
      <c r="D67" s="3">
        <v>8.2352941176470601E-2</v>
      </c>
      <c r="E67" s="3">
        <v>0.48498168503706801</v>
      </c>
      <c r="F67" s="3" t="str">
        <f>"7/386"</f>
        <v>7/386</v>
      </c>
      <c r="G67" s="3" t="str">
        <f>"85/8106"</f>
        <v>85/8106</v>
      </c>
      <c r="H67" s="3">
        <v>0.109457671970172</v>
      </c>
      <c r="I67" s="3">
        <v>0.423649936856211</v>
      </c>
      <c r="J67" s="3" t="str">
        <f>"EGF, ERBB3, NRG1, NRG2, PAK5, PRKCA, PRKCB"</f>
        <v>EGF, ERBB3, NRG1, NRG2, PAK5, PRKCA, PRKCB</v>
      </c>
    </row>
    <row r="68" spans="1:10">
      <c r="A68" s="3" t="str">
        <f>"hsa04152"</f>
        <v>hsa04152</v>
      </c>
      <c r="B68" s="2" t="str">
        <f>"AMPK signaling pathway"</f>
        <v>AMPK signaling pathway</v>
      </c>
      <c r="C68" s="3">
        <v>9</v>
      </c>
      <c r="D68" s="3">
        <v>7.4999999999999997E-2</v>
      </c>
      <c r="E68" s="3">
        <v>0.51436443093046302</v>
      </c>
      <c r="F68" s="3" t="str">
        <f>"9/386"</f>
        <v>9/386</v>
      </c>
      <c r="G68" s="3" t="str">
        <f>"120/8106"</f>
        <v>120/8106</v>
      </c>
      <c r="H68" s="3">
        <v>0.117875182088231</v>
      </c>
      <c r="I68" s="3">
        <v>0.44931688228209399</v>
      </c>
      <c r="J68" s="3" t="str">
        <f>"ADRA1A, CREB3L4, FASN, FBP1, IGF1, PPARG, PPARGC1A, SCD, SCD5"</f>
        <v>ADRA1A, CREB3L4, FASN, FBP1, IGF1, PPARG, PPARGC1A, SCD, SCD5</v>
      </c>
    </row>
    <row r="69" spans="1:10">
      <c r="A69" s="3" t="str">
        <f>"hsa04260"</f>
        <v>hsa04260</v>
      </c>
      <c r="B69" s="2" t="str">
        <f>"Cardiac muscle contraction"</f>
        <v>Cardiac muscle contraction</v>
      </c>
      <c r="C69" s="3">
        <v>7</v>
      </c>
      <c r="D69" s="3">
        <v>8.04597701149425E-2</v>
      </c>
      <c r="E69" s="3">
        <v>0.51514768181284398</v>
      </c>
      <c r="F69" s="3" t="str">
        <f>"7/386"</f>
        <v>7/386</v>
      </c>
      <c r="G69" s="3" t="str">
        <f>"87/8106"</f>
        <v>87/8106</v>
      </c>
      <c r="H69" s="3">
        <v>0.11984338431062699</v>
      </c>
      <c r="I69" s="3">
        <v>0.45000108170054698</v>
      </c>
      <c r="J69" s="3" t="str">
        <f>"ACTC1, ATP1A2, MYH6, RYR2, SLC8A1, SLC9A7, TPM2"</f>
        <v>ACTC1, ATP1A2, MYH6, RYR2, SLC8A1, SLC9A7, TPM2</v>
      </c>
    </row>
    <row r="70" spans="1:10">
      <c r="A70" s="3" t="str">
        <f>"hsa05218"</f>
        <v>hsa05218</v>
      </c>
      <c r="B70" s="2" t="str">
        <f>"Melanoma"</f>
        <v>Melanoma</v>
      </c>
      <c r="C70" s="3">
        <v>6</v>
      </c>
      <c r="D70" s="3">
        <v>8.3333333333333301E-2</v>
      </c>
      <c r="E70" s="3">
        <v>0.53872721919835198</v>
      </c>
      <c r="F70" s="3" t="str">
        <f>"6/386"</f>
        <v>6/386</v>
      </c>
      <c r="G70" s="3" t="str">
        <f>"72/8106"</f>
        <v>72/8106</v>
      </c>
      <c r="H70" s="3">
        <v>0.12719948231072201</v>
      </c>
      <c r="I70" s="3">
        <v>0.47059870390499298</v>
      </c>
      <c r="J70" s="3" t="str">
        <f>"EGF, FGF2, FGF7, FGFR1, IGF1, PDGFC"</f>
        <v>EGF, FGF2, FGF7, FGFR1, IGF1, PDGFC</v>
      </c>
    </row>
    <row r="71" spans="1:10">
      <c r="A71" s="3" t="str">
        <f>"hsa04727"</f>
        <v>hsa04727</v>
      </c>
      <c r="B71" s="2" t="str">
        <f>"GABAergic synapse"</f>
        <v>GABAergic synapse</v>
      </c>
      <c r="C71" s="3">
        <v>7</v>
      </c>
      <c r="D71" s="3">
        <v>7.8651685393258397E-2</v>
      </c>
      <c r="E71" s="3">
        <v>0.54091462247618805</v>
      </c>
      <c r="F71" s="3" t="str">
        <f>"7/386"</f>
        <v>7/386</v>
      </c>
      <c r="G71" s="3" t="str">
        <f>"89/8106"</f>
        <v>89/8106</v>
      </c>
      <c r="H71" s="3">
        <v>0.13071893261238601</v>
      </c>
      <c r="I71" s="3">
        <v>0.472509483815091</v>
      </c>
      <c r="J71" s="3" t="str">
        <f>"CACNA1A, GABRB3, GNAO1, GNG4, PLCL1, PRKCA, PRKCB"</f>
        <v>CACNA1A, GABRB3, GNAO1, GNG4, PLCL1, PRKCA, PRKCB</v>
      </c>
    </row>
    <row r="72" spans="1:10">
      <c r="A72" s="3" t="str">
        <f>"hsa04928"</f>
        <v>hsa04928</v>
      </c>
      <c r="B72" s="2" t="str">
        <f>"Parathyroid hormone synthesis, secretion and action"</f>
        <v>Parathyroid hormone synthesis, secretion and action</v>
      </c>
      <c r="C72" s="3">
        <v>8</v>
      </c>
      <c r="D72" s="3">
        <v>7.5471698113207503E-2</v>
      </c>
      <c r="E72" s="3">
        <v>0.54091462247618805</v>
      </c>
      <c r="F72" s="3" t="str">
        <f>"8/386"</f>
        <v>8/386</v>
      </c>
      <c r="G72" s="3" t="str">
        <f>"106/8106"</f>
        <v>106/8106</v>
      </c>
      <c r="H72" s="3">
        <v>0.13187443172191399</v>
      </c>
      <c r="I72" s="3">
        <v>0.472509483815091</v>
      </c>
      <c r="J72" s="3" t="str">
        <f>"CREB3L4, FGFR1, MMP14, MMP16, PLD1, PRKCA, PRKCB, PTHLH"</f>
        <v>CREB3L4, FGFR1, MMP14, MMP16, PLD1, PRKCA, PRKCB, PTHLH</v>
      </c>
    </row>
    <row r="73" spans="1:10">
      <c r="A73" s="3" t="str">
        <f>"hsa04923"</f>
        <v>hsa04923</v>
      </c>
      <c r="B73" s="2" t="str">
        <f>"Regulation of lipolysis in adipocytes"</f>
        <v>Regulation of lipolysis in adipocytes</v>
      </c>
      <c r="C73" s="3">
        <v>5</v>
      </c>
      <c r="D73" s="3">
        <v>8.7719298245614002E-2</v>
      </c>
      <c r="E73" s="3">
        <v>0.54091462247618805</v>
      </c>
      <c r="F73" s="3" t="str">
        <f>"5/386"</f>
        <v>5/386</v>
      </c>
      <c r="G73" s="3" t="str">
        <f>"57/8106"</f>
        <v>57/8106</v>
      </c>
      <c r="H73" s="3">
        <v>0.13374678902204701</v>
      </c>
      <c r="I73" s="3">
        <v>0.472509483815091</v>
      </c>
      <c r="J73" s="3" t="str">
        <f>"ADRB1, ADRB3, NPY, PRKG1, PTGS1"</f>
        <v>ADRB1, ADRB3, NPY, PRKG1, PTGS1</v>
      </c>
    </row>
    <row r="74" spans="1:10">
      <c r="A74" s="3" t="str">
        <f>"hsa00062"</f>
        <v>hsa00062</v>
      </c>
      <c r="B74" s="2" t="str">
        <f>"Fatty acid elongation"</f>
        <v>Fatty acid elongation</v>
      </c>
      <c r="C74" s="3">
        <v>3</v>
      </c>
      <c r="D74" s="3">
        <v>0.11111111111111099</v>
      </c>
      <c r="E74" s="3">
        <v>0.54091462247618805</v>
      </c>
      <c r="F74" s="3" t="str">
        <f>"3/386"</f>
        <v>3/386</v>
      </c>
      <c r="G74" s="3" t="str">
        <f>"27/8106"</f>
        <v>27/8106</v>
      </c>
      <c r="H74" s="3">
        <v>0.13522865561904701</v>
      </c>
      <c r="I74" s="3">
        <v>0.472509483815091</v>
      </c>
      <c r="J74" s="3" t="str">
        <f>"ACAA2, ELOVL2, ELOVL7"</f>
        <v>ACAA2, ELOVL2, ELOVL7</v>
      </c>
    </row>
    <row r="75" spans="1:10">
      <c r="A75" s="3" t="str">
        <f>"hsa04918"</f>
        <v>hsa04918</v>
      </c>
      <c r="B75" s="2" t="str">
        <f>"Thyroid hormone synthesis"</f>
        <v>Thyroid hormone synthesis</v>
      </c>
      <c r="C75" s="3">
        <v>6</v>
      </c>
      <c r="D75" s="3">
        <v>0.08</v>
      </c>
      <c r="E75" s="3">
        <v>0.57686503501389397</v>
      </c>
      <c r="F75" s="3" t="str">
        <f>"6/386"</f>
        <v>6/386</v>
      </c>
      <c r="G75" s="3" t="str">
        <f>"75/8106"</f>
        <v>75/8106</v>
      </c>
      <c r="H75" s="3">
        <v>0.14621926234727201</v>
      </c>
      <c r="I75" s="3">
        <v>0.50391353570292596</v>
      </c>
      <c r="J75" s="3" t="str">
        <f>"ATP1A2, CREB3L4, GPX8, PRKCA, PRKCB, SLC26A4"</f>
        <v>ATP1A2, CREB3L4, GPX8, PRKCA, PRKCB, SLC26A4</v>
      </c>
    </row>
    <row r="76" spans="1:10">
      <c r="A76" s="3" t="str">
        <f>"hsa04971"</f>
        <v>hsa04971</v>
      </c>
      <c r="B76" s="2" t="str">
        <f>"Gastric acid secretion"</f>
        <v>Gastric acid secretion</v>
      </c>
      <c r="C76" s="3">
        <v>6</v>
      </c>
      <c r="D76" s="3">
        <v>7.8947368421052599E-2</v>
      </c>
      <c r="E76" s="3">
        <v>0.59480700172900902</v>
      </c>
      <c r="F76" s="3" t="str">
        <f>"6/386"</f>
        <v>6/386</v>
      </c>
      <c r="G76" s="3" t="str">
        <f>"76/8106"</f>
        <v>76/8106</v>
      </c>
      <c r="H76" s="3">
        <v>0.15283235461092601</v>
      </c>
      <c r="I76" s="3">
        <v>0.51958652563316199</v>
      </c>
      <c r="J76" s="3" t="str">
        <f>"ATP1A2, CHRM3, KCNJ15, MYLK, PRKCA, PRKCB"</f>
        <v>ATP1A2, CHRM3, KCNJ15, MYLK, PRKCA, PRKCB</v>
      </c>
    </row>
    <row r="77" spans="1:10">
      <c r="A77" s="3" t="str">
        <f>"hsa04978"</f>
        <v>hsa04978</v>
      </c>
      <c r="B77" s="2" t="str">
        <f>"Mineral absorption"</f>
        <v>Mineral absorption</v>
      </c>
      <c r="C77" s="3">
        <v>5</v>
      </c>
      <c r="D77" s="3">
        <v>8.3333333333333301E-2</v>
      </c>
      <c r="E77" s="3">
        <v>0.59940470984520899</v>
      </c>
      <c r="F77" s="3" t="str">
        <f>"5/386"</f>
        <v>5/386</v>
      </c>
      <c r="G77" s="3" t="str">
        <f>"60/8106"</f>
        <v>60/8106</v>
      </c>
      <c r="H77" s="3">
        <v>0.15609497652219001</v>
      </c>
      <c r="I77" s="3">
        <v>0.52360279843934499</v>
      </c>
      <c r="J77" s="3" t="str">
        <f>"ATP1A2, HEPH, SLC8A1, STEAP1, TRPV6"</f>
        <v>ATP1A2, HEPH, SLC8A1, STEAP1, TRPV6</v>
      </c>
    </row>
    <row r="78" spans="1:10">
      <c r="A78" s="3" t="str">
        <f>"hsa00980"</f>
        <v>hsa00980</v>
      </c>
      <c r="B78" s="2" t="str">
        <f>"Metabolism of xenobiotics by cytochrome P450"</f>
        <v>Metabolism of xenobiotics by cytochrome P450</v>
      </c>
      <c r="C78" s="3">
        <v>6</v>
      </c>
      <c r="D78" s="3">
        <v>7.69230769230769E-2</v>
      </c>
      <c r="E78" s="3">
        <v>0.63074640553216299</v>
      </c>
      <c r="F78" s="3" t="str">
        <f>"6/386"</f>
        <v>6/386</v>
      </c>
      <c r="G78" s="3" t="str">
        <f>"78/8106"</f>
        <v>78/8106</v>
      </c>
      <c r="H78" s="3">
        <v>0.166446968126543</v>
      </c>
      <c r="I78" s="3">
        <v>0.55098096097290605</v>
      </c>
      <c r="J78" s="3" t="str">
        <f>"ADH1B, ADH1C, ALDH3B2, DHDH, GSTM5, HSD11B1"</f>
        <v>ADH1B, ADH1C, ALDH3B2, DHDH, GSTM5, HSD11B1</v>
      </c>
    </row>
    <row r="79" spans="1:10">
      <c r="A79" s="3" t="str">
        <f>"hsa04728"</f>
        <v>hsa04728</v>
      </c>
      <c r="B79" s="2" t="str">
        <f>"Dopaminergic synapse"</f>
        <v>Dopaminergic synapse</v>
      </c>
      <c r="C79" s="3">
        <v>9</v>
      </c>
      <c r="D79" s="3">
        <v>6.8181818181818205E-2</v>
      </c>
      <c r="E79" s="3">
        <v>0.66279433524783304</v>
      </c>
      <c r="F79" s="3" t="str">
        <f>"9/386"</f>
        <v>9/386</v>
      </c>
      <c r="G79" s="3" t="str">
        <f>"132/8106"</f>
        <v>132/8106</v>
      </c>
      <c r="H79" s="3">
        <v>0.17720542991001101</v>
      </c>
      <c r="I79" s="3">
        <v>0.57897604577570205</v>
      </c>
      <c r="J79" s="3" t="str">
        <f>"CACNA1A, CREB3L4, GNAO1, GNG4, GRIA3, KCNJ3, MAOB, PRKCA, PRKCB"</f>
        <v>CACNA1A, CREB3L4, GNAO1, GNG4, GRIA3, KCNJ3, MAOB, PRKCA, PRKCB</v>
      </c>
    </row>
    <row r="80" spans="1:10">
      <c r="A80" s="3" t="str">
        <f>"hsa00514"</f>
        <v>hsa00514</v>
      </c>
      <c r="B80" s="2" t="str">
        <f>"Other types of O-glycan biosynthesis"</f>
        <v>Other types of O-glycan biosynthesis</v>
      </c>
      <c r="C80" s="3">
        <v>4</v>
      </c>
      <c r="D80" s="3">
        <v>8.5106382978723402E-2</v>
      </c>
      <c r="E80" s="3">
        <v>0.66697576124284896</v>
      </c>
      <c r="F80" s="3" t="str">
        <f>"4/386"</f>
        <v>4/386</v>
      </c>
      <c r="G80" s="3" t="str">
        <f>"47/8106"</f>
        <v>47/8106</v>
      </c>
      <c r="H80" s="3">
        <v>0.18391882276191501</v>
      </c>
      <c r="I80" s="3">
        <v>0.58262868032544202</v>
      </c>
      <c r="J80" s="3" t="str">
        <f>"COLGALT2, GALNT13, GALNT3, GALNT7"</f>
        <v>COLGALT2, GALNT13, GALNT3, GALNT7</v>
      </c>
    </row>
    <row r="81" spans="1:10">
      <c r="A81" s="3" t="str">
        <f>"hsa00564"</f>
        <v>hsa00564</v>
      </c>
      <c r="B81" s="2" t="str">
        <f>"Glycerophospholipid metabolism"</f>
        <v>Glycerophospholipid metabolism</v>
      </c>
      <c r="C81" s="3">
        <v>7</v>
      </c>
      <c r="D81" s="3">
        <v>7.1428571428571397E-2</v>
      </c>
      <c r="E81" s="3">
        <v>0.66697576124284896</v>
      </c>
      <c r="F81" s="3" t="str">
        <f>"7/386"</f>
        <v>7/386</v>
      </c>
      <c r="G81" s="3" t="str">
        <f>"98/8106"</f>
        <v>98/8106</v>
      </c>
      <c r="H81" s="3">
        <v>0.18527104478968001</v>
      </c>
      <c r="I81" s="3">
        <v>0.58262868032544202</v>
      </c>
      <c r="J81" s="3" t="str">
        <f>"GPAT2, LCAT, LPIN1, PLA1A, PLA2G2A, PLD1, PLPP5"</f>
        <v>GPAT2, LCAT, LPIN1, PLA1A, PLA2G2A, PLD1, PLPP5</v>
      </c>
    </row>
    <row r="82" spans="1:10">
      <c r="A82" s="3" t="str">
        <f>"hsa05231"</f>
        <v>hsa05231</v>
      </c>
      <c r="B82" s="2" t="str">
        <f>"Choline metabolism in cancer"</f>
        <v>Choline metabolism in cancer</v>
      </c>
      <c r="C82" s="3">
        <v>7</v>
      </c>
      <c r="D82" s="3">
        <v>7.1428571428571397E-2</v>
      </c>
      <c r="E82" s="3">
        <v>0.66697576124284896</v>
      </c>
      <c r="F82" s="3" t="str">
        <f>"7/386"</f>
        <v>7/386</v>
      </c>
      <c r="G82" s="3" t="str">
        <f>"98/8106"</f>
        <v>98/8106</v>
      </c>
      <c r="H82" s="3">
        <v>0.18527104478968001</v>
      </c>
      <c r="I82" s="3">
        <v>0.58262868032544202</v>
      </c>
      <c r="J82" s="3" t="str">
        <f>"EGF, PDGFC, PLD1, PRKCA, PRKCB, RAC3, SLC44A4"</f>
        <v>EGF, PDGFC, PLD1, PRKCA, PRKCB, RAC3, SLC44A4</v>
      </c>
    </row>
    <row r="83" spans="1:10">
      <c r="A83" s="3" t="str">
        <f>"hsa04080"</f>
        <v>hsa04080</v>
      </c>
      <c r="B83" s="2" t="str">
        <f>"Neuroactive ligand-receptor interaction"</f>
        <v>Neuroactive ligand-receptor interaction</v>
      </c>
      <c r="C83" s="3">
        <v>20</v>
      </c>
      <c r="D83" s="3">
        <v>5.8651026392961901E-2</v>
      </c>
      <c r="E83" s="3">
        <v>0.69445439454223501</v>
      </c>
      <c r="F83" s="3" t="str">
        <f>"20/386"</f>
        <v>20/386</v>
      </c>
      <c r="G83" s="3" t="str">
        <f>"341/8106"</f>
        <v>341/8106</v>
      </c>
      <c r="H83" s="3">
        <v>0.19531529846500401</v>
      </c>
      <c r="I83" s="3">
        <v>0.60663231102190895</v>
      </c>
      <c r="J83" s="3" t="str">
        <f>"ADRA1A, ADRB1, ADRB3, CHRM3, EDN3, EDNRB, GABRB3, GAL, GALR1, GRIA3, GRIK1, LPAR2, LTB4R, NPY, PENK, PTGER2, PTGFR, S1PR3, TAC1, TACR2"</f>
        <v>ADRA1A, ADRB1, ADRB3, CHRM3, EDN3, EDNRB, GABRB3, GAL, GALR1, GRIA3, GRIK1, LPAR2, LTB4R, NPY, PENK, PTGER2, PTGFR, S1PR3, TAC1, TACR2</v>
      </c>
    </row>
    <row r="84" spans="1:10">
      <c r="A84" s="3" t="str">
        <f>"hsa05204"</f>
        <v>hsa05204</v>
      </c>
      <c r="B84" s="2" t="str">
        <f>"Chemical carcinogenesis"</f>
        <v>Chemical carcinogenesis</v>
      </c>
      <c r="C84" s="3">
        <v>6</v>
      </c>
      <c r="D84" s="3">
        <v>7.2289156626505993E-2</v>
      </c>
      <c r="E84" s="3">
        <v>0.70641015855310696</v>
      </c>
      <c r="F84" s="3" t="str">
        <f>"6/386"</f>
        <v>6/386</v>
      </c>
      <c r="G84" s="3" t="str">
        <f>"83/8106"</f>
        <v>83/8106</v>
      </c>
      <c r="H84" s="3">
        <v>0.20256570315082301</v>
      </c>
      <c r="I84" s="3">
        <v>0.61707612534427103</v>
      </c>
      <c r="J84" s="3" t="str">
        <f>"ADH1B, ADH1C, ALDH3B2, GSTM5, HSD11B1, NAT2"</f>
        <v>ADH1B, ADH1C, ALDH3B2, GSTM5, HSD11B1, NAT2</v>
      </c>
    </row>
    <row r="85" spans="1:10">
      <c r="A85" s="3" t="str">
        <f>"hsa05030"</f>
        <v>hsa05030</v>
      </c>
      <c r="B85" s="2" t="str">
        <f>"Cocaine addiction"</f>
        <v>Cocaine addiction</v>
      </c>
      <c r="C85" s="3">
        <v>4</v>
      </c>
      <c r="D85" s="3">
        <v>8.1632653061224497E-2</v>
      </c>
      <c r="E85" s="3">
        <v>0.70641015855310696</v>
      </c>
      <c r="F85" s="3" t="str">
        <f>"4/386"</f>
        <v>4/386</v>
      </c>
      <c r="G85" s="3" t="str">
        <f>"49/8106"</f>
        <v>49/8106</v>
      </c>
      <c r="H85" s="3">
        <v>0.203583483194125</v>
      </c>
      <c r="I85" s="3">
        <v>0.61707612534427103</v>
      </c>
      <c r="J85" s="3" t="str">
        <f>"BDNF, CREB3L4, MAOB, RGS9"</f>
        <v>BDNF, CREB3L4, MAOB, RGS9</v>
      </c>
    </row>
    <row r="86" spans="1:10">
      <c r="A86" s="3" t="str">
        <f>"hsa00010"</f>
        <v>hsa00010</v>
      </c>
      <c r="B86" s="2" t="str">
        <f>"Glycolysis / Gluconeogenesis"</f>
        <v>Glycolysis / Gluconeogenesis</v>
      </c>
      <c r="C86" s="3">
        <v>5</v>
      </c>
      <c r="D86" s="3">
        <v>7.4626865671641798E-2</v>
      </c>
      <c r="E86" s="3">
        <v>0.73186391869911904</v>
      </c>
      <c r="F86" s="3" t="str">
        <f>"5/386"</f>
        <v>5/386</v>
      </c>
      <c r="G86" s="3" t="str">
        <f>"67/8106"</f>
        <v>67/8106</v>
      </c>
      <c r="H86" s="3">
        <v>0.21346030962057599</v>
      </c>
      <c r="I86" s="3">
        <v>0.63931095237240299</v>
      </c>
      <c r="J86" s="3" t="str">
        <f>"ADH1B, ADH1C, ALDH3B2, FBP1, GCK"</f>
        <v>ADH1B, ADH1C, ALDH3B2, FBP1, GCK</v>
      </c>
    </row>
    <row r="87" spans="1:10">
      <c r="A87" s="3" t="str">
        <f>"hsa01210"</f>
        <v>hsa01210</v>
      </c>
      <c r="B87" s="2" t="str">
        <f>"2-Oxocarboxylic acid metabolism"</f>
        <v>2-Oxocarboxylic acid metabolism</v>
      </c>
      <c r="C87" s="3">
        <v>2</v>
      </c>
      <c r="D87" s="3">
        <v>0.105263157894737</v>
      </c>
      <c r="E87" s="3">
        <v>0.77338467141151201</v>
      </c>
      <c r="F87" s="3" t="str">
        <f>"2/386"</f>
        <v>2/386</v>
      </c>
      <c r="G87" s="3" t="str">
        <f>"19/8106"</f>
        <v>19/8106</v>
      </c>
      <c r="H87" s="3">
        <v>0.22825589260409199</v>
      </c>
      <c r="I87" s="3">
        <v>0.67558090814090399</v>
      </c>
      <c r="J87" s="3" t="str">
        <f>"GPT2, IDH3A"</f>
        <v>GPT2, IDH3A</v>
      </c>
    </row>
    <row r="88" spans="1:10">
      <c r="A88" s="3" t="str">
        <f>"hsa05031"</f>
        <v>hsa05031</v>
      </c>
      <c r="B88" s="2" t="str">
        <f>"Amphetamine addiction"</f>
        <v>Amphetamine addiction</v>
      </c>
      <c r="C88" s="3">
        <v>5</v>
      </c>
      <c r="D88" s="3">
        <v>7.2463768115942004E-2</v>
      </c>
      <c r="E88" s="3">
        <v>0.77345201831522703</v>
      </c>
      <c r="F88" s="3" t="str">
        <f>"5/386"</f>
        <v>5/386</v>
      </c>
      <c r="G88" s="3" t="str">
        <f>"69/8106"</f>
        <v>69/8106</v>
      </c>
      <c r="H88" s="3">
        <v>0.230961366580241</v>
      </c>
      <c r="I88" s="3">
        <v>0.67563973822126899</v>
      </c>
      <c r="J88" s="3" t="str">
        <f>"CREB3L4, GRIA3, MAOB, PRKCA, PRKCB"</f>
        <v>CREB3L4, GRIA3, MAOB, PRKCA, PRKCB</v>
      </c>
    </row>
    <row r="89" spans="1:10">
      <c r="A89" s="3" t="str">
        <f>"hsa05230"</f>
        <v>hsa05230</v>
      </c>
      <c r="B89" s="2" t="str">
        <f>"Central carbon metabolism in cancer"</f>
        <v>Central carbon metabolism in cancer</v>
      </c>
      <c r="C89" s="3">
        <v>5</v>
      </c>
      <c r="D89" s="3">
        <v>7.1428571428571397E-2</v>
      </c>
      <c r="E89" s="3">
        <v>0.78948361921171595</v>
      </c>
      <c r="F89" s="3" t="str">
        <f>"5/386"</f>
        <v>5/386</v>
      </c>
      <c r="G89" s="3" t="str">
        <f>"70/8106"</f>
        <v>70/8106</v>
      </c>
      <c r="H89" s="3">
        <v>0.23986341318281601</v>
      </c>
      <c r="I89" s="3">
        <v>0.68964395099269005</v>
      </c>
      <c r="J89" s="3" t="str">
        <f>"FGFR1, FGFR2, GCK, NTRK1, NTRK3"</f>
        <v>FGFR1, FGFR2, GCK, NTRK1, NTRK3</v>
      </c>
    </row>
    <row r="90" spans="1:10">
      <c r="A90" s="3" t="str">
        <f>"hsa04540"</f>
        <v>hsa04540</v>
      </c>
      <c r="B90" s="2" t="str">
        <f>"Gap junction"</f>
        <v>Gap junction</v>
      </c>
      <c r="C90" s="3">
        <v>6</v>
      </c>
      <c r="D90" s="3">
        <v>6.8181818181818205E-2</v>
      </c>
      <c r="E90" s="3">
        <v>0.78948361921171595</v>
      </c>
      <c r="F90" s="3" t="str">
        <f>"6/386"</f>
        <v>6/386</v>
      </c>
      <c r="G90" s="3" t="str">
        <f>"88/8106"</f>
        <v>88/8106</v>
      </c>
      <c r="H90" s="3">
        <v>0.24123110587024599</v>
      </c>
      <c r="I90" s="3">
        <v>0.68964395099269005</v>
      </c>
      <c r="J90" s="3" t="str">
        <f>"ADRB1, EGF, PDGFC, PRKCA, PRKCB, PRKG1"</f>
        <v>ADRB1, EGF, PDGFC, PRKCA, PRKCB, PRKG1</v>
      </c>
    </row>
    <row r="91" spans="1:10">
      <c r="A91" s="3" t="str">
        <f>"hsa04520"</f>
        <v>hsa04520</v>
      </c>
      <c r="B91" s="2" t="str">
        <f>"Adherens junction"</f>
        <v>Adherens junction</v>
      </c>
      <c r="C91" s="3">
        <v>5</v>
      </c>
      <c r="D91" s="3">
        <v>7.0422535211267595E-2</v>
      </c>
      <c r="E91" s="3">
        <v>0.80529115996751199</v>
      </c>
      <c r="F91" s="3" t="str">
        <f>"5/386"</f>
        <v>5/386</v>
      </c>
      <c r="G91" s="3" t="str">
        <f>"71/8106"</f>
        <v>71/8106</v>
      </c>
      <c r="H91" s="3">
        <v>0.24885733762884901</v>
      </c>
      <c r="I91" s="3">
        <v>0.70345243871430996</v>
      </c>
      <c r="J91" s="3" t="str">
        <f>"FGFR1, NECTIN2, RAC3, SNAI2, VCL"</f>
        <v>FGFR1, NECTIN2, RAC3, SNAI2, VCL</v>
      </c>
    </row>
    <row r="92" spans="1:10">
      <c r="A92" s="3" t="str">
        <f>"hsa04931"</f>
        <v>hsa04931</v>
      </c>
      <c r="B92" s="2" t="str">
        <f>"Insulin resistance"</f>
        <v>Insulin resistance</v>
      </c>
      <c r="C92" s="3">
        <v>7</v>
      </c>
      <c r="D92" s="3">
        <v>6.4814814814814797E-2</v>
      </c>
      <c r="E92" s="3">
        <v>0.81551984381682396</v>
      </c>
      <c r="F92" s="3" t="str">
        <f>"7/386"</f>
        <v>7/386</v>
      </c>
      <c r="G92" s="3" t="str">
        <f>"108/8106"</f>
        <v>108/8106</v>
      </c>
      <c r="H92" s="3">
        <v>0.254849951192758</v>
      </c>
      <c r="I92" s="3">
        <v>0.71238758286630499</v>
      </c>
      <c r="J92" s="3" t="str">
        <f>"CREB3L4, PPARGC1A, PPARGC1B, PPP1R3C, PRKCB, SLC27A2, TRIB3"</f>
        <v>CREB3L4, PPARGC1A, PPARGC1B, PPP1R3C, PRKCB, SLC27A2, TRIB3</v>
      </c>
    </row>
    <row r="93" spans="1:10">
      <c r="A93" s="3" t="str">
        <f>"hsa00982"</f>
        <v>hsa00982</v>
      </c>
      <c r="B93" s="2" t="str">
        <f>"Drug metabolism - cytochrome P450"</f>
        <v>Drug metabolism - cytochrome P450</v>
      </c>
      <c r="C93" s="3">
        <v>5</v>
      </c>
      <c r="D93" s="3">
        <v>6.9444444444444406E-2</v>
      </c>
      <c r="E93" s="3">
        <v>0.81632581573632501</v>
      </c>
      <c r="F93" s="3" t="str">
        <f>"5/386"</f>
        <v>5/386</v>
      </c>
      <c r="G93" s="3" t="str">
        <f>"72/8106"</f>
        <v>72/8106</v>
      </c>
      <c r="H93" s="3">
        <v>0.25793628205557501</v>
      </c>
      <c r="I93" s="3">
        <v>0.71309162997434805</v>
      </c>
      <c r="J93" s="3" t="str">
        <f>"ADH1B, ADH1C, ALDH3B2, GSTM5, MAOB"</f>
        <v>ADH1B, ADH1C, ALDH3B2, GSTM5, MAOB</v>
      </c>
    </row>
    <row r="94" spans="1:10">
      <c r="A94" s="3" t="str">
        <f>"hsa04926"</f>
        <v>hsa04926</v>
      </c>
      <c r="B94" s="2" t="str">
        <f>"Relaxin signaling pathway"</f>
        <v>Relaxin signaling pathway</v>
      </c>
      <c r="C94" s="3">
        <v>8</v>
      </c>
      <c r="D94" s="3">
        <v>6.2015503875968998E-2</v>
      </c>
      <c r="E94" s="3">
        <v>0.85103063702255599</v>
      </c>
      <c r="F94" s="3" t="str">
        <f>"8/386"</f>
        <v>8/386</v>
      </c>
      <c r="G94" s="3" t="str">
        <f>"129/8106"</f>
        <v>129/8106</v>
      </c>
      <c r="H94" s="3">
        <v>0.271857009048872</v>
      </c>
      <c r="I94" s="3">
        <v>0.74340761055698401</v>
      </c>
      <c r="J94" s="3" t="str">
        <f>"COL1A2, COL4A6, CREB3L4, EDNRB, GNAO1, GNG4, NOS1, PRKCA"</f>
        <v>COL1A2, COL4A6, CREB3L4, EDNRB, GNAO1, GNG4, NOS1, PRKCA</v>
      </c>
    </row>
    <row r="95" spans="1:10">
      <c r="A95" s="3" t="str">
        <f>"hsa04340"</f>
        <v>hsa04340</v>
      </c>
      <c r="B95" s="2" t="str">
        <f>"Hedgehog signaling pathway"</f>
        <v>Hedgehog signaling pathway</v>
      </c>
      <c r="C95" s="3">
        <v>4</v>
      </c>
      <c r="D95" s="3">
        <v>7.1428571428571397E-2</v>
      </c>
      <c r="E95" s="3">
        <v>0.85600707677502497</v>
      </c>
      <c r="F95" s="3" t="str">
        <f>"4/386"</f>
        <v>4/386</v>
      </c>
      <c r="G95" s="3" t="str">
        <f>"56/8106"</f>
        <v>56/8106</v>
      </c>
      <c r="H95" s="3">
        <v>0.27641895187526799</v>
      </c>
      <c r="I95" s="3">
        <v>0.74775471984368003</v>
      </c>
      <c r="J95" s="3" t="str">
        <f>"CCND2, GPR161, HHIP, KIF7"</f>
        <v>CCND2, GPR161, HHIP, KIF7</v>
      </c>
    </row>
    <row r="96" spans="1:10">
      <c r="A96" s="3" t="str">
        <f>"hsa00220"</f>
        <v>hsa00220</v>
      </c>
      <c r="B96" s="2" t="str">
        <f>"Arginine biosynthesis"</f>
        <v>Arginine biosynthesis</v>
      </c>
      <c r="C96" s="3">
        <v>2</v>
      </c>
      <c r="D96" s="3">
        <v>9.0909090909090898E-2</v>
      </c>
      <c r="E96" s="3">
        <v>0.86155998683785595</v>
      </c>
      <c r="F96" s="3" t="str">
        <f>"2/386"</f>
        <v>2/386</v>
      </c>
      <c r="G96" s="3" t="str">
        <f>"22/8106"</f>
        <v>22/8106</v>
      </c>
      <c r="H96" s="3">
        <v>0.282115070399171</v>
      </c>
      <c r="I96" s="3">
        <v>0.75260539785909197</v>
      </c>
      <c r="J96" s="3" t="str">
        <f>"GPT2, NOS1"</f>
        <v>GPT2, NOS1</v>
      </c>
    </row>
    <row r="97" spans="1:10">
      <c r="A97" s="3" t="str">
        <f>"hsa05214"</f>
        <v>hsa05214</v>
      </c>
      <c r="B97" s="2" t="str">
        <f>"Glioma"</f>
        <v>Glioma</v>
      </c>
      <c r="C97" s="3">
        <v>5</v>
      </c>
      <c r="D97" s="3">
        <v>6.6666666666666693E-2</v>
      </c>
      <c r="E97" s="3">
        <v>0.86155998683785595</v>
      </c>
      <c r="F97" s="3" t="str">
        <f>"5/386"</f>
        <v>5/386</v>
      </c>
      <c r="G97" s="3" t="str">
        <f>"75/8106"</f>
        <v>75/8106</v>
      </c>
      <c r="H97" s="3">
        <v>0.28561491581028497</v>
      </c>
      <c r="I97" s="3">
        <v>0.75260539785909197</v>
      </c>
      <c r="J97" s="3" t="str">
        <f>"CAMK1G, EGF, IGF1, PRKCA, PRKCB"</f>
        <v>CAMK1G, EGF, IGF1, PRKCA, PRKCB</v>
      </c>
    </row>
    <row r="98" spans="1:10">
      <c r="A98" s="3" t="str">
        <f>"hsa00240"</f>
        <v>hsa00240</v>
      </c>
      <c r="B98" s="2" t="str">
        <f>"Pyrimidine metabolism"</f>
        <v>Pyrimidine metabolism</v>
      </c>
      <c r="C98" s="3">
        <v>4</v>
      </c>
      <c r="D98" s="3">
        <v>7.0175438596491196E-2</v>
      </c>
      <c r="E98" s="3">
        <v>0.86155998683785595</v>
      </c>
      <c r="F98" s="3" t="str">
        <f>"4/386"</f>
        <v>4/386</v>
      </c>
      <c r="G98" s="3" t="str">
        <f>"57/8106"</f>
        <v>57/8106</v>
      </c>
      <c r="H98" s="3">
        <v>0.28718666227928502</v>
      </c>
      <c r="I98" s="3">
        <v>0.75260539785909197</v>
      </c>
      <c r="J98" s="3" t="str">
        <f>"CANT1, ENTPD1, ENTPD5, NT5E"</f>
        <v>CANT1, ENTPD1, ENTPD5, NT5E</v>
      </c>
    </row>
    <row r="99" spans="1:10">
      <c r="A99" s="3" t="str">
        <f>"hsa00260"</f>
        <v>hsa00260</v>
      </c>
      <c r="B99" s="2" t="str">
        <f>"Glycine, serine and threonine metabolism"</f>
        <v>Glycine, serine and threonine metabolism</v>
      </c>
      <c r="C99" s="3">
        <v>3</v>
      </c>
      <c r="D99" s="3">
        <v>7.4999999999999997E-2</v>
      </c>
      <c r="E99" s="3">
        <v>0.86413518740287099</v>
      </c>
      <c r="F99" s="3" t="str">
        <f>"3/386"</f>
        <v>3/386</v>
      </c>
      <c r="G99" s="3" t="str">
        <f>"40/8106"</f>
        <v>40/8106</v>
      </c>
      <c r="H99" s="3">
        <v>0.296775591850089</v>
      </c>
      <c r="I99" s="3">
        <v>0.75485493344037302</v>
      </c>
      <c r="J99" s="3" t="str">
        <f>"CHDH, GATM, MAOB"</f>
        <v>CHDH, GATM, MAOB</v>
      </c>
    </row>
    <row r="100" spans="1:10">
      <c r="A100" s="3" t="str">
        <f>"hsa05033"</f>
        <v>hsa05033</v>
      </c>
      <c r="B100" s="2" t="str">
        <f>"Nicotine addiction"</f>
        <v>Nicotine addiction</v>
      </c>
      <c r="C100" s="3">
        <v>3</v>
      </c>
      <c r="D100" s="3">
        <v>7.4999999999999997E-2</v>
      </c>
      <c r="E100" s="3">
        <v>0.86413518740287099</v>
      </c>
      <c r="F100" s="3" t="str">
        <f>"3/386"</f>
        <v>3/386</v>
      </c>
      <c r="G100" s="3" t="str">
        <f>"40/8106"</f>
        <v>40/8106</v>
      </c>
      <c r="H100" s="3">
        <v>0.296775591850089</v>
      </c>
      <c r="I100" s="3">
        <v>0.75485493344037302</v>
      </c>
      <c r="J100" s="3" t="str">
        <f>"CACNA1A, GABRB3, GRIA3"</f>
        <v>CACNA1A, GABRB3, GRIA3</v>
      </c>
    </row>
    <row r="101" spans="1:10">
      <c r="A101" s="3" t="str">
        <f>"hsa00515"</f>
        <v>hsa00515</v>
      </c>
      <c r="B101" s="2" t="str">
        <f>"Mannose type O-glycan biosynthesis"</f>
        <v>Mannose type O-glycan biosynthesis</v>
      </c>
      <c r="C101" s="3">
        <v>2</v>
      </c>
      <c r="D101" s="3">
        <v>8.6956521739130405E-2</v>
      </c>
      <c r="E101" s="3">
        <v>0.86413518740287099</v>
      </c>
      <c r="F101" s="3" t="str">
        <f>"2/386"</f>
        <v>2/386</v>
      </c>
      <c r="G101" s="3" t="str">
        <f>"23/8106"</f>
        <v>23/8106</v>
      </c>
      <c r="H101" s="3">
        <v>0.30004694007044103</v>
      </c>
      <c r="I101" s="3">
        <v>0.75485493344037302</v>
      </c>
      <c r="J101" s="3" t="str">
        <f>"B3GAT1, LARGE1"</f>
        <v>B3GAT1, LARGE1</v>
      </c>
    </row>
    <row r="102" spans="1:10">
      <c r="A102" s="3" t="str">
        <f>"hsa04964"</f>
        <v>hsa04964</v>
      </c>
      <c r="B102" s="2" t="str">
        <f>"Proximal tubule bicarbonate reclamation"</f>
        <v>Proximal tubule bicarbonate reclamation</v>
      </c>
      <c r="C102" s="3">
        <v>2</v>
      </c>
      <c r="D102" s="3">
        <v>8.6956521739130405E-2</v>
      </c>
      <c r="E102" s="3">
        <v>0.86413518740287099</v>
      </c>
      <c r="F102" s="3" t="str">
        <f>"2/386"</f>
        <v>2/386</v>
      </c>
      <c r="G102" s="3" t="str">
        <f>"23/8106"</f>
        <v>23/8106</v>
      </c>
      <c r="H102" s="3">
        <v>0.30004694007044103</v>
      </c>
      <c r="I102" s="3">
        <v>0.75485493344037302</v>
      </c>
      <c r="J102" s="3" t="str">
        <f>"ATP1A2, SLC4A4"</f>
        <v>ATP1A2, SLC4A4</v>
      </c>
    </row>
    <row r="103" spans="1:10">
      <c r="A103" s="3" t="str">
        <f>"hsa00534"</f>
        <v>hsa00534</v>
      </c>
      <c r="B103" s="2" t="str">
        <f>"Glycosaminoglycan biosynthesis - heparan sulfate / heparin"</f>
        <v>Glycosaminoglycan biosynthesis - heparan sulfate / heparin</v>
      </c>
      <c r="C103" s="3">
        <v>2</v>
      </c>
      <c r="D103" s="3">
        <v>8.3333333333333301E-2</v>
      </c>
      <c r="E103" s="3">
        <v>0.88903584913079403</v>
      </c>
      <c r="F103" s="3" t="str">
        <f>"2/386"</f>
        <v>2/386</v>
      </c>
      <c r="G103" s="3" t="str">
        <f>"24/8106"</f>
        <v>24/8106</v>
      </c>
      <c r="H103" s="3">
        <v>0.317903281020469</v>
      </c>
      <c r="I103" s="3">
        <v>0.77660660797609504</v>
      </c>
      <c r="J103" s="3" t="str">
        <f>"HS3ST3A1, HS6ST2"</f>
        <v>HS3ST3A1, HS6ST2</v>
      </c>
    </row>
    <row r="104" spans="1:10">
      <c r="A104" s="3" t="str">
        <f>"hsa04977"</f>
        <v>hsa04977</v>
      </c>
      <c r="B104" s="2" t="str">
        <f>"Vitamin digestion and absorption"</f>
        <v>Vitamin digestion and absorption</v>
      </c>
      <c r="C104" s="3">
        <v>2</v>
      </c>
      <c r="D104" s="3">
        <v>8.3333333333333301E-2</v>
      </c>
      <c r="E104" s="3">
        <v>0.88903584913079403</v>
      </c>
      <c r="F104" s="3" t="str">
        <f>"2/386"</f>
        <v>2/386</v>
      </c>
      <c r="G104" s="3" t="str">
        <f>"24/8106"</f>
        <v>24/8106</v>
      </c>
      <c r="H104" s="3">
        <v>0.317903281020469</v>
      </c>
      <c r="I104" s="3">
        <v>0.77660660797609504</v>
      </c>
      <c r="J104" s="3" t="str">
        <f>"FOLH1, SLC19A1"</f>
        <v>FOLH1, SLC19A1</v>
      </c>
    </row>
    <row r="105" spans="1:10">
      <c r="A105" s="3" t="str">
        <f>"hsa04750"</f>
        <v>hsa04750</v>
      </c>
      <c r="B105" s="2" t="str">
        <f>"Inflammatory mediator regulation of TRP channels"</f>
        <v>Inflammatory mediator regulation of TRP channels</v>
      </c>
      <c r="C105" s="3">
        <v>6</v>
      </c>
      <c r="D105" s="3">
        <v>6.1224489795918401E-2</v>
      </c>
      <c r="E105" s="3">
        <v>0.88903584913079403</v>
      </c>
      <c r="F105" s="3" t="str">
        <f>"6/386"</f>
        <v>6/386</v>
      </c>
      <c r="G105" s="3" t="str">
        <f>"98/8106"</f>
        <v>98/8106</v>
      </c>
      <c r="H105" s="3">
        <v>0.32389489144871098</v>
      </c>
      <c r="I105" s="3">
        <v>0.77660660797609504</v>
      </c>
      <c r="J105" s="3" t="str">
        <f>"IGF1, NTRK1, PRKCA, PRKCB, PTGER2, TRPM8"</f>
        <v>IGF1, NTRK1, PRKCA, PRKCB, PTGER2, TRPM8</v>
      </c>
    </row>
    <row r="106" spans="1:10">
      <c r="A106" s="3" t="str">
        <f>"hsa04925"</f>
        <v>hsa04925</v>
      </c>
      <c r="B106" s="2" t="str">
        <f>"Aldosterone synthesis and secretion"</f>
        <v>Aldosterone synthesis and secretion</v>
      </c>
      <c r="C106" s="3">
        <v>6</v>
      </c>
      <c r="D106" s="3">
        <v>6.1224489795918401E-2</v>
      </c>
      <c r="E106" s="3">
        <v>0.88903584913079403</v>
      </c>
      <c r="F106" s="3" t="str">
        <f>"6/386"</f>
        <v>6/386</v>
      </c>
      <c r="G106" s="3" t="str">
        <f>"98/8106"</f>
        <v>98/8106</v>
      </c>
      <c r="H106" s="3">
        <v>0.32389489144871098</v>
      </c>
      <c r="I106" s="3">
        <v>0.77660660797609504</v>
      </c>
      <c r="J106" s="3" t="str">
        <f>"ATP1A2, CAMK1G, CREB3L4, CYP11A1, PRKCA, PRKCB"</f>
        <v>ATP1A2, CAMK1G, CREB3L4, CYP11A1, PRKCA, PRKCB</v>
      </c>
    </row>
    <row r="107" spans="1:10">
      <c r="A107" s="3" t="str">
        <f>"hsa00561"</f>
        <v>hsa00561</v>
      </c>
      <c r="B107" s="2" t="str">
        <f>"Glycerolipid metabolism"</f>
        <v>Glycerolipid metabolism</v>
      </c>
      <c r="C107" s="3">
        <v>4</v>
      </c>
      <c r="D107" s="3">
        <v>6.5573770491803296E-2</v>
      </c>
      <c r="E107" s="3">
        <v>0.88903584913079403</v>
      </c>
      <c r="F107" s="3" t="str">
        <f>"4/386"</f>
        <v>4/386</v>
      </c>
      <c r="G107" s="3" t="str">
        <f>"61/8106"</f>
        <v>61/8106</v>
      </c>
      <c r="H107" s="3">
        <v>0.33074488238111699</v>
      </c>
      <c r="I107" s="3">
        <v>0.77660660797609504</v>
      </c>
      <c r="J107" s="3" t="str">
        <f>"CEL, GPAT2, LPIN1, PLPP5"</f>
        <v>CEL, GPAT2, LPIN1, PLPP5</v>
      </c>
    </row>
    <row r="108" spans="1:10">
      <c r="A108" s="3" t="str">
        <f>"hsa04640"</f>
        <v>hsa04640</v>
      </c>
      <c r="B108" s="2" t="str">
        <f>"Hematopoietic cell lineage"</f>
        <v>Hematopoietic cell lineage</v>
      </c>
      <c r="C108" s="3">
        <v>6</v>
      </c>
      <c r="D108" s="3">
        <v>6.0606060606060601E-2</v>
      </c>
      <c r="E108" s="3">
        <v>0.88903584913079403</v>
      </c>
      <c r="F108" s="3" t="str">
        <f>"6/386"</f>
        <v>6/386</v>
      </c>
      <c r="G108" s="3" t="str">
        <f>"99/8106"</f>
        <v>99/8106</v>
      </c>
      <c r="H108" s="3">
        <v>0.33241397480338097</v>
      </c>
      <c r="I108" s="3">
        <v>0.77660660797609504</v>
      </c>
      <c r="J108" s="3" t="str">
        <f>"FLT3LG, HLA-DRB4, ITGA1, ITGA4, KITLG, MS4A1"</f>
        <v>FLT3LG, HLA-DRB4, ITGA1, ITGA4, KITLG, MS4A1</v>
      </c>
    </row>
    <row r="109" spans="1:10">
      <c r="A109" s="3" t="str">
        <f>"hsa04915"</f>
        <v>hsa04915</v>
      </c>
      <c r="B109" s="2" t="str">
        <f>"Estrogen signaling pathway"</f>
        <v>Estrogen signaling pathway</v>
      </c>
      <c r="C109" s="3">
        <v>8</v>
      </c>
      <c r="D109" s="3">
        <v>5.7971014492753603E-2</v>
      </c>
      <c r="E109" s="3">
        <v>0.88903584913079403</v>
      </c>
      <c r="F109" s="3" t="str">
        <f>"8/386"</f>
        <v>8/386</v>
      </c>
      <c r="G109" s="3" t="str">
        <f>"138/8106"</f>
        <v>138/8106</v>
      </c>
      <c r="H109" s="3">
        <v>0.335507844578676</v>
      </c>
      <c r="I109" s="3">
        <v>0.77660660797609504</v>
      </c>
      <c r="J109" s="3" t="str">
        <f>"CREB3L4, FKBP4, GNAO1, KCNJ3, KRT14, KRT18, KRT23, PGR"</f>
        <v>CREB3L4, FKBP4, GNAO1, KCNJ3, KRT14, KRT18, KRT23, PGR</v>
      </c>
    </row>
    <row r="110" spans="1:10">
      <c r="A110" s="3" t="str">
        <f>"hsa00071"</f>
        <v>hsa00071</v>
      </c>
      <c r="B110" s="2" t="str">
        <f>"Fatty acid degradation"</f>
        <v>Fatty acid degradation</v>
      </c>
      <c r="C110" s="3">
        <v>3</v>
      </c>
      <c r="D110" s="3">
        <v>6.9767441860465101E-2</v>
      </c>
      <c r="E110" s="3">
        <v>0.88903584913079403</v>
      </c>
      <c r="F110" s="3" t="str">
        <f>"3/386"</f>
        <v>3/386</v>
      </c>
      <c r="G110" s="3" t="str">
        <f>"43/8106"</f>
        <v>43/8106</v>
      </c>
      <c r="H110" s="3">
        <v>0.33647537345575201</v>
      </c>
      <c r="I110" s="3">
        <v>0.77660660797609504</v>
      </c>
      <c r="J110" s="3" t="str">
        <f>"ACAA2, ADH1B, ADH1C"</f>
        <v>ACAA2, ADH1B, ADH1C</v>
      </c>
    </row>
    <row r="111" spans="1:10">
      <c r="A111" s="3" t="str">
        <f>"hsa04940"</f>
        <v>hsa04940</v>
      </c>
      <c r="B111" s="2" t="str">
        <f>"Type I diabetes mellitus"</f>
        <v>Type I diabetes mellitus</v>
      </c>
      <c r="C111" s="3">
        <v>3</v>
      </c>
      <c r="D111" s="3">
        <v>6.9767441860465101E-2</v>
      </c>
      <c r="E111" s="3">
        <v>0.88903584913079403</v>
      </c>
      <c r="F111" s="3" t="str">
        <f>"3/386"</f>
        <v>3/386</v>
      </c>
      <c r="G111" s="3" t="str">
        <f>"43/8106"</f>
        <v>43/8106</v>
      </c>
      <c r="H111" s="3">
        <v>0.33647537345575201</v>
      </c>
      <c r="I111" s="3">
        <v>0.77660660797609504</v>
      </c>
      <c r="J111" s="3" t="str">
        <f>"HLA-DRB4, ICA1, PTPRN2"</f>
        <v>HLA-DRB4, ICA1, PTPRN2</v>
      </c>
    </row>
    <row r="112" spans="1:10">
      <c r="A112" s="3" t="str">
        <f>"hsa04146"</f>
        <v>hsa04146</v>
      </c>
      <c r="B112" s="2" t="str">
        <f>"Peroxisome"</f>
        <v>Peroxisome</v>
      </c>
      <c r="C112" s="3">
        <v>5</v>
      </c>
      <c r="D112" s="3">
        <v>6.0975609756097601E-2</v>
      </c>
      <c r="E112" s="3">
        <v>0.91076490600099003</v>
      </c>
      <c r="F112" s="3" t="str">
        <f>"5/386"</f>
        <v>5/386</v>
      </c>
      <c r="G112" s="3" t="str">
        <f>"82/8106"</f>
        <v>82/8106</v>
      </c>
      <c r="H112" s="3">
        <v>0.35191807036533301</v>
      </c>
      <c r="I112" s="3">
        <v>0.79558776511051399</v>
      </c>
      <c r="J112" s="3" t="str">
        <f>"ACOX2, AMACR, DDO, HMGCLL1, SLC27A2"</f>
        <v>ACOX2, AMACR, DDO, HMGCLL1, SLC27A2</v>
      </c>
    </row>
    <row r="113" spans="1:10">
      <c r="A113" s="3" t="str">
        <f>"hsa04950"</f>
        <v>hsa04950</v>
      </c>
      <c r="B113" s="2" t="str">
        <f>"Maturity onset diabetes of the young"</f>
        <v>Maturity onset diabetes of the young</v>
      </c>
      <c r="C113" s="3">
        <v>2</v>
      </c>
      <c r="D113" s="3">
        <v>7.69230769230769E-2</v>
      </c>
      <c r="E113" s="3">
        <v>0.91076490600099003</v>
      </c>
      <c r="F113" s="3" t="str">
        <f>"2/386"</f>
        <v>2/386</v>
      </c>
      <c r="G113" s="3" t="str">
        <f>"26/8106"</f>
        <v>26/8106</v>
      </c>
      <c r="H113" s="3">
        <v>0.35325909673285399</v>
      </c>
      <c r="I113" s="3">
        <v>0.79558776511051399</v>
      </c>
      <c r="J113" s="3" t="str">
        <f>"GCK, MNX1"</f>
        <v>GCK, MNX1</v>
      </c>
    </row>
    <row r="114" spans="1:10">
      <c r="A114" s="3" t="str">
        <f>"hsa04919"</f>
        <v>hsa04919</v>
      </c>
      <c r="B114" s="2" t="str">
        <f>"Thyroid hormone signaling pathway"</f>
        <v>Thyroid hormone signaling pathway</v>
      </c>
      <c r="C114" s="3">
        <v>7</v>
      </c>
      <c r="D114" s="3">
        <v>5.7851239669421503E-2</v>
      </c>
      <c r="E114" s="3">
        <v>0.91076490600099003</v>
      </c>
      <c r="F114" s="3" t="str">
        <f>"7/386"</f>
        <v>7/386</v>
      </c>
      <c r="G114" s="3" t="str">
        <f>"121/8106"</f>
        <v>121/8106</v>
      </c>
      <c r="H114" s="3">
        <v>0.35418635233371798</v>
      </c>
      <c r="I114" s="3">
        <v>0.79558776511051399</v>
      </c>
      <c r="J114" s="3" t="str">
        <f>"ATP1A2, BMP4, MYH6, PLN, PRKCA, PRKCB, RCAN2"</f>
        <v>ATP1A2, BMP4, MYH6, PLN, PRKCA, PRKCB, RCAN2</v>
      </c>
    </row>
    <row r="115" spans="1:10">
      <c r="A115" s="3" t="str">
        <f>"hsa00601"</f>
        <v>hsa00601</v>
      </c>
      <c r="B115" s="2" t="str">
        <f>"Glycosphingolipid biosynthesis - lacto and neolacto series"</f>
        <v>Glycosphingolipid biosynthesis - lacto and neolacto series</v>
      </c>
      <c r="C115" s="3">
        <v>2</v>
      </c>
      <c r="D115" s="3">
        <v>7.4074074074074098E-2</v>
      </c>
      <c r="E115" s="3">
        <v>0.94479682497632</v>
      </c>
      <c r="F115" s="3" t="str">
        <f>"2/386"</f>
        <v>2/386</v>
      </c>
      <c r="G115" s="3" t="str">
        <f>"27/8106"</f>
        <v>27/8106</v>
      </c>
      <c r="H115" s="3">
        <v>0.37070153202195899</v>
      </c>
      <c r="I115" s="3">
        <v>0.82531593994642005</v>
      </c>
      <c r="J115" s="3" t="str">
        <f>"B3GALT2, ST8SIA1"</f>
        <v>B3GALT2, ST8SIA1</v>
      </c>
    </row>
    <row r="116" spans="1:10">
      <c r="A116" s="3" t="str">
        <f>"hsa00650"</f>
        <v>hsa00650</v>
      </c>
      <c r="B116" s="2" t="str">
        <f>"Butanoate metabolism"</f>
        <v>Butanoate metabolism</v>
      </c>
      <c r="C116" s="3">
        <v>2</v>
      </c>
      <c r="D116" s="3">
        <v>7.1428571428571397E-2</v>
      </c>
      <c r="E116" s="3">
        <v>0.965076870791307</v>
      </c>
      <c r="F116" s="3" t="str">
        <f>"2/386"</f>
        <v>2/386</v>
      </c>
      <c r="G116" s="3" t="str">
        <f>"28/8106"</f>
        <v>28/8106</v>
      </c>
      <c r="H116" s="3">
        <v>0.38795389364249899</v>
      </c>
      <c r="I116" s="3">
        <v>0.84303133084474602</v>
      </c>
      <c r="J116" s="3" t="str">
        <f>"HMGCLL1, HMGCS2"</f>
        <v>HMGCLL1, HMGCS2</v>
      </c>
    </row>
    <row r="117" spans="1:10">
      <c r="A117" s="3" t="str">
        <f>"hsa00620"</f>
        <v>hsa00620</v>
      </c>
      <c r="B117" s="2" t="str">
        <f>"Pyruvate metabolism"</f>
        <v>Pyruvate metabolism</v>
      </c>
      <c r="C117" s="3">
        <v>3</v>
      </c>
      <c r="D117" s="3">
        <v>6.3829787234042507E-2</v>
      </c>
      <c r="E117" s="3">
        <v>0.965076870791307</v>
      </c>
      <c r="F117" s="3" t="str">
        <f>"3/386"</f>
        <v>3/386</v>
      </c>
      <c r="G117" s="3" t="str">
        <f>"47/8106"</f>
        <v>47/8106</v>
      </c>
      <c r="H117" s="3">
        <v>0.38915635122634101</v>
      </c>
      <c r="I117" s="3">
        <v>0.84303133084474602</v>
      </c>
      <c r="J117" s="3" t="str">
        <f>"ADH1B, ADH1C, ME1"</f>
        <v>ADH1B, ADH1C, ME1</v>
      </c>
    </row>
    <row r="118" spans="1:10">
      <c r="A118" s="3" t="str">
        <f>"hsa05034"</f>
        <v>hsa05034</v>
      </c>
      <c r="B118" s="2" t="str">
        <f>"Alcoholism"</f>
        <v>Alcoholism</v>
      </c>
      <c r="C118" s="3">
        <v>10</v>
      </c>
      <c r="D118" s="3">
        <v>5.3475935828876997E-2</v>
      </c>
      <c r="E118" s="3">
        <v>0.965076870791307</v>
      </c>
      <c r="F118" s="3" t="str">
        <f>"10/386"</f>
        <v>10/386</v>
      </c>
      <c r="G118" s="3" t="str">
        <f>"187/8106"</f>
        <v>187/8106</v>
      </c>
      <c r="H118" s="3">
        <v>0.399477776812519</v>
      </c>
      <c r="I118" s="3">
        <v>0.84303133084474602</v>
      </c>
      <c r="J118" s="3" t="str">
        <f>"BDNF, CREB3L4, GNAO1, GNG4, H2AC17, H2AC8, H2AW, HDAC9, MAOB, NPY"</f>
        <v>BDNF, CREB3L4, GNAO1, GNG4, H2AC17, H2AC8, H2AW, HDAC9, MAOB, NPY</v>
      </c>
    </row>
    <row r="119" spans="1:10">
      <c r="A119" s="3" t="str">
        <f>"hsa00280"</f>
        <v>hsa00280</v>
      </c>
      <c r="B119" s="2" t="str">
        <f>"Valine, leucine and isoleucine degradation"</f>
        <v>Valine, leucine and isoleucine degradation</v>
      </c>
      <c r="C119" s="3">
        <v>3</v>
      </c>
      <c r="D119" s="3">
        <v>6.25E-2</v>
      </c>
      <c r="E119" s="3">
        <v>0.965076870791307</v>
      </c>
      <c r="F119" s="3" t="str">
        <f>"3/386"</f>
        <v>3/386</v>
      </c>
      <c r="G119" s="3" t="str">
        <f>"48/8106"</f>
        <v>48/8106</v>
      </c>
      <c r="H119" s="3">
        <v>0.40218859897000597</v>
      </c>
      <c r="I119" s="3">
        <v>0.84303133084474602</v>
      </c>
      <c r="J119" s="3" t="str">
        <f>"ACAA2, HMGCLL1, HMGCS2"</f>
        <v>ACAA2, HMGCLL1, HMGCS2</v>
      </c>
    </row>
    <row r="120" spans="1:10">
      <c r="A120" s="3" t="str">
        <f>"hsa00520"</f>
        <v>hsa00520</v>
      </c>
      <c r="B120" s="2" t="str">
        <f>"Amino sugar and nucleotide sugar metabolism"</f>
        <v>Amino sugar and nucleotide sugar metabolism</v>
      </c>
      <c r="C120" s="3">
        <v>3</v>
      </c>
      <c r="D120" s="3">
        <v>6.25E-2</v>
      </c>
      <c r="E120" s="3">
        <v>0.965076870791307</v>
      </c>
      <c r="F120" s="3" t="str">
        <f>"3/386"</f>
        <v>3/386</v>
      </c>
      <c r="G120" s="3" t="str">
        <f>"48/8106"</f>
        <v>48/8106</v>
      </c>
      <c r="H120" s="3">
        <v>0.40218859897000597</v>
      </c>
      <c r="I120" s="3">
        <v>0.84303133084474602</v>
      </c>
      <c r="J120" s="3" t="str">
        <f>"GCK, GMDS, PGM3"</f>
        <v>GCK, GMDS, PGM3</v>
      </c>
    </row>
    <row r="121" spans="1:10">
      <c r="A121" s="3" t="str">
        <f>"hsa05225"</f>
        <v>hsa05225</v>
      </c>
      <c r="B121" s="2" t="str">
        <f>"Hepatocellular carcinoma"</f>
        <v>Hepatocellular carcinoma</v>
      </c>
      <c r="C121" s="3">
        <v>9</v>
      </c>
      <c r="D121" s="3">
        <v>5.3571428571428603E-2</v>
      </c>
      <c r="E121" s="3">
        <v>0.965076870791307</v>
      </c>
      <c r="F121" s="3" t="str">
        <f>"9/386"</f>
        <v>9/386</v>
      </c>
      <c r="G121" s="3" t="str">
        <f>"168/8106"</f>
        <v>168/8106</v>
      </c>
      <c r="H121" s="3">
        <v>0.40734854399848403</v>
      </c>
      <c r="I121" s="3">
        <v>0.84303133084474602</v>
      </c>
      <c r="J121" s="3" t="str">
        <f>"AXIN2, FZD7, GSTM5, PRKCA, PRKCB, TGFB3, WNT11, WNT2, WNT2B"</f>
        <v>AXIN2, FZD7, GSTM5, PRKCA, PRKCB, TGFB3, WNT11, WNT2, WNT2B</v>
      </c>
    </row>
    <row r="122" spans="1:10">
      <c r="A122" s="3" t="str">
        <f>"hsa04723"</f>
        <v>hsa04723</v>
      </c>
      <c r="B122" s="2" t="str">
        <f>"Retrograde endocannabinoid signaling"</f>
        <v>Retrograde endocannabinoid signaling</v>
      </c>
      <c r="C122" s="3">
        <v>8</v>
      </c>
      <c r="D122" s="3">
        <v>5.4054054054054099E-2</v>
      </c>
      <c r="E122" s="3">
        <v>0.965076870791307</v>
      </c>
      <c r="F122" s="3" t="str">
        <f>"8/386"</f>
        <v>8/386</v>
      </c>
      <c r="G122" s="3" t="str">
        <f>"148/8106"</f>
        <v>148/8106</v>
      </c>
      <c r="H122" s="3">
        <v>0.40852310817696902</v>
      </c>
      <c r="I122" s="3">
        <v>0.84303133084474602</v>
      </c>
      <c r="J122" s="3" t="str">
        <f>"CACNA1A, GABRB3, GNAO1, GNG4, GRIA3, KCNJ3, PRKCA, PRKCB"</f>
        <v>CACNA1A, GABRB3, GNAO1, GNG4, GRIA3, KCNJ3, PRKCA, PRKCB</v>
      </c>
    </row>
    <row r="123" spans="1:10">
      <c r="A123" s="3" t="str">
        <f>"hsa00565"</f>
        <v>hsa00565</v>
      </c>
      <c r="B123" s="2" t="str">
        <f>"Ether lipid metabolism"</f>
        <v>Ether lipid metabolism</v>
      </c>
      <c r="C123" s="3">
        <v>3</v>
      </c>
      <c r="D123" s="3">
        <v>6.1224489795918401E-2</v>
      </c>
      <c r="E123" s="3">
        <v>0.965076870791307</v>
      </c>
      <c r="F123" s="3" t="str">
        <f>"3/386"</f>
        <v>3/386</v>
      </c>
      <c r="G123" s="3" t="str">
        <f>"49/8106"</f>
        <v>49/8106</v>
      </c>
      <c r="H123" s="3">
        <v>0.41514110652060698</v>
      </c>
      <c r="I123" s="3">
        <v>0.84303133084474602</v>
      </c>
      <c r="J123" s="3" t="str">
        <f>"PLA2G2A, PLA2G7, PLD1"</f>
        <v>PLA2G2A, PLA2G7, PLD1</v>
      </c>
    </row>
    <row r="124" spans="1:10">
      <c r="A124" s="3" t="str">
        <f>"hsa04672"</f>
        <v>hsa04672</v>
      </c>
      <c r="B124" s="2" t="str">
        <f>"Intestinal immune network for IgA production"</f>
        <v>Intestinal immune network for IgA production</v>
      </c>
      <c r="C124" s="3">
        <v>3</v>
      </c>
      <c r="D124" s="3">
        <v>6.1224489795918401E-2</v>
      </c>
      <c r="E124" s="3">
        <v>0.965076870791307</v>
      </c>
      <c r="F124" s="3" t="str">
        <f>"3/386"</f>
        <v>3/386</v>
      </c>
      <c r="G124" s="3" t="str">
        <f>"49/8106"</f>
        <v>49/8106</v>
      </c>
      <c r="H124" s="3">
        <v>0.41514110652060698</v>
      </c>
      <c r="I124" s="3">
        <v>0.84303133084474602</v>
      </c>
      <c r="J124" s="3" t="str">
        <f>"CXCL12, HLA-DRB4, ITGA4"</f>
        <v>CXCL12, HLA-DRB4, ITGA4</v>
      </c>
    </row>
    <row r="125" spans="1:10">
      <c r="A125" s="3" t="str">
        <f>"hsa00130"</f>
        <v>hsa00130</v>
      </c>
      <c r="B125" s="2" t="str">
        <f>"Ubiquinone and other terpenoid-quinone biosynthesis"</f>
        <v>Ubiquinone and other terpenoid-quinone biosynthesis</v>
      </c>
      <c r="C125" s="3">
        <v>1</v>
      </c>
      <c r="D125" s="3">
        <v>9.0909090909090898E-2</v>
      </c>
      <c r="E125" s="3">
        <v>0.965076870791307</v>
      </c>
      <c r="F125" s="3" t="str">
        <f>"1/386"</f>
        <v>1/386</v>
      </c>
      <c r="G125" s="3" t="str">
        <f>"11/8106"</f>
        <v>11/8106</v>
      </c>
      <c r="H125" s="3">
        <v>0.41551920825736799</v>
      </c>
      <c r="I125" s="3">
        <v>0.84303133084474602</v>
      </c>
      <c r="J125" s="3" t="str">
        <f>"HPD"</f>
        <v>HPD</v>
      </c>
    </row>
    <row r="126" spans="1:10">
      <c r="A126" s="3" t="str">
        <f>"hsa00430"</f>
        <v>hsa00430</v>
      </c>
      <c r="B126" s="2" t="str">
        <f>"Taurine and hypotaurine metabolism"</f>
        <v>Taurine and hypotaurine metabolism</v>
      </c>
      <c r="C126" s="3">
        <v>1</v>
      </c>
      <c r="D126" s="3">
        <v>9.0909090909090898E-2</v>
      </c>
      <c r="E126" s="3">
        <v>0.965076870791307</v>
      </c>
      <c r="F126" s="3" t="str">
        <f>"1/386"</f>
        <v>1/386</v>
      </c>
      <c r="G126" s="3" t="str">
        <f>"11/8106"</f>
        <v>11/8106</v>
      </c>
      <c r="H126" s="3">
        <v>0.41551920825736799</v>
      </c>
      <c r="I126" s="3">
        <v>0.84303133084474602</v>
      </c>
      <c r="J126" s="3" t="str">
        <f>"GGT5"</f>
        <v>GGT5</v>
      </c>
    </row>
    <row r="127" spans="1:10">
      <c r="A127" s="3" t="str">
        <f>"hsa00030"</f>
        <v>hsa00030</v>
      </c>
      <c r="B127" s="2" t="str">
        <f>"Pentose phosphate pathway"</f>
        <v>Pentose phosphate pathway</v>
      </c>
      <c r="C127" s="3">
        <v>2</v>
      </c>
      <c r="D127" s="3">
        <v>6.6666666666666693E-2</v>
      </c>
      <c r="E127" s="3">
        <v>0.97182035075290896</v>
      </c>
      <c r="F127" s="3" t="str">
        <f>"2/386"</f>
        <v>2/386</v>
      </c>
      <c r="G127" s="3" t="str">
        <f>"30/8106"</f>
        <v>30/8106</v>
      </c>
      <c r="H127" s="3">
        <v>0.42180509020864498</v>
      </c>
      <c r="I127" s="3">
        <v>0.84892201692231395</v>
      </c>
      <c r="J127" s="3" t="str">
        <f>"FBP1, RGN"</f>
        <v>FBP1, RGN</v>
      </c>
    </row>
    <row r="128" spans="1:10">
      <c r="A128" s="3" t="str">
        <f>"hsa00230"</f>
        <v>hsa00230</v>
      </c>
      <c r="B128" s="2" t="str">
        <f>"Purine metabolism"</f>
        <v>Purine metabolism</v>
      </c>
      <c r="C128" s="3">
        <v>7</v>
      </c>
      <c r="D128" s="3">
        <v>5.3846153846153801E-2</v>
      </c>
      <c r="E128" s="3">
        <v>0.97182035075290896</v>
      </c>
      <c r="F128" s="3" t="str">
        <f>"7/386"</f>
        <v>7/386</v>
      </c>
      <c r="G128" s="3" t="str">
        <f>"130/8106"</f>
        <v>130/8106</v>
      </c>
      <c r="H128" s="3">
        <v>0.42517140345439802</v>
      </c>
      <c r="I128" s="3">
        <v>0.84892201692231395</v>
      </c>
      <c r="J128" s="3" t="str">
        <f>"ADA, CANT1, ENTPD1, ENTPD5, NT5E, PDE1C, PDE5A"</f>
        <v>ADA, CANT1, ENTPD1, ENTPD5, NT5E, PDE1C, PDE5A</v>
      </c>
    </row>
    <row r="129" spans="1:10">
      <c r="A129" s="3" t="str">
        <f>"hsa01523"</f>
        <v>hsa01523</v>
      </c>
      <c r="B129" s="2" t="str">
        <f>"Antifolate resistance"</f>
        <v>Antifolate resistance</v>
      </c>
      <c r="C129" s="3">
        <v>2</v>
      </c>
      <c r="D129" s="3">
        <v>6.4516129032258104E-2</v>
      </c>
      <c r="E129" s="3">
        <v>0.98632854529647396</v>
      </c>
      <c r="F129" s="3" t="str">
        <f>"2/386"</f>
        <v>2/386</v>
      </c>
      <c r="G129" s="3" t="str">
        <f>"31/8106"</f>
        <v>31/8106</v>
      </c>
      <c r="H129" s="3">
        <v>0.43836824235398902</v>
      </c>
      <c r="I129" s="3">
        <v>0.86159547633719802</v>
      </c>
      <c r="J129" s="3" t="str">
        <f>"ABCC4, SLC19A1"</f>
        <v>ABCC4, SLC19A1</v>
      </c>
    </row>
    <row r="130" spans="1:10">
      <c r="A130" s="3" t="str">
        <f>"hsa05310"</f>
        <v>hsa05310</v>
      </c>
      <c r="B130" s="2" t="str">
        <f>"Asthma"</f>
        <v>Asthma</v>
      </c>
      <c r="C130" s="3">
        <v>2</v>
      </c>
      <c r="D130" s="3">
        <v>6.4516129032258104E-2</v>
      </c>
      <c r="E130" s="3">
        <v>0.98632854529647396</v>
      </c>
      <c r="F130" s="3" t="str">
        <f>"2/386"</f>
        <v>2/386</v>
      </c>
      <c r="G130" s="3" t="str">
        <f>"31/8106"</f>
        <v>31/8106</v>
      </c>
      <c r="H130" s="3">
        <v>0.43836824235398902</v>
      </c>
      <c r="I130" s="3">
        <v>0.86159547633719802</v>
      </c>
      <c r="J130" s="3" t="str">
        <f>"HLA-DRB4, PRG2"</f>
        <v>HLA-DRB4, PRG2</v>
      </c>
    </row>
    <row r="131" spans="1:10">
      <c r="A131" s="3" t="str">
        <f>"hsa04150"</f>
        <v>hsa04150</v>
      </c>
      <c r="B131" s="2" t="str">
        <f>"mTOR signaling pathway"</f>
        <v>mTOR signaling pathway</v>
      </c>
      <c r="C131" s="3">
        <v>8</v>
      </c>
      <c r="D131" s="3">
        <v>5.16129032258065E-2</v>
      </c>
      <c r="E131" s="3">
        <v>0.99999946786478</v>
      </c>
      <c r="F131" s="3" t="str">
        <f>"8/386"</f>
        <v>8/386</v>
      </c>
      <c r="G131" s="3" t="str">
        <f>"155/8106"</f>
        <v>155/8106</v>
      </c>
      <c r="H131" s="3">
        <v>0.459703217213069</v>
      </c>
      <c r="I131" s="3">
        <v>0.87353754685556495</v>
      </c>
      <c r="J131" s="3" t="str">
        <f>"FZD7, IGF1, LPIN1, PRKCA, PRKCB, WNT11, WNT2, WNT2B"</f>
        <v>FZD7, IGF1, LPIN1, PRKCA, PRKCB, WNT11, WNT2, WNT2B</v>
      </c>
    </row>
    <row r="132" spans="1:10">
      <c r="A132" s="3" t="str">
        <f>"hsa04115"</f>
        <v>hsa04115</v>
      </c>
      <c r="B132" s="2" t="str">
        <f>"p53 signaling pathway"</f>
        <v>p53 signaling pathway</v>
      </c>
      <c r="C132" s="3">
        <v>4</v>
      </c>
      <c r="D132" s="3">
        <v>5.4794520547945202E-2</v>
      </c>
      <c r="E132" s="3">
        <v>0.99999946786478</v>
      </c>
      <c r="F132" s="3" t="str">
        <f>"4/386"</f>
        <v>4/386</v>
      </c>
      <c r="G132" s="3" t="str">
        <f>"73/8106"</f>
        <v>73/8106</v>
      </c>
      <c r="H132" s="3">
        <v>0.46115705031090298</v>
      </c>
      <c r="I132" s="3">
        <v>0.87353754685556495</v>
      </c>
      <c r="J132" s="3" t="str">
        <f>"CCND2, GTSE1, IGF1, TP53AIP1"</f>
        <v>CCND2, GTSE1, IGF1, TP53AIP1</v>
      </c>
    </row>
    <row r="133" spans="1:10">
      <c r="A133" s="3" t="str">
        <f>"hsa00051"</f>
        <v>hsa00051</v>
      </c>
      <c r="B133" s="2" t="str">
        <f>"Fructose and mannose metabolism"</f>
        <v>Fructose and mannose metabolism</v>
      </c>
      <c r="C133" s="3">
        <v>2</v>
      </c>
      <c r="D133" s="3">
        <v>6.0606060606060601E-2</v>
      </c>
      <c r="E133" s="3">
        <v>0.99999946786478</v>
      </c>
      <c r="F133" s="3" t="str">
        <f>"2/386"</f>
        <v>2/386</v>
      </c>
      <c r="G133" s="3" t="str">
        <f>"33/8106"</f>
        <v>33/8106</v>
      </c>
      <c r="H133" s="3">
        <v>0.470696499870975</v>
      </c>
      <c r="I133" s="3">
        <v>0.87353754685556495</v>
      </c>
      <c r="J133" s="3" t="str">
        <f>"FBP1, GMDS"</f>
        <v>FBP1, GMDS</v>
      </c>
    </row>
    <row r="134" spans="1:10">
      <c r="A134" s="3" t="str">
        <f>"hsa05322"</f>
        <v>hsa05322</v>
      </c>
      <c r="B134" s="2" t="str">
        <f>"Systemic lupus erythematosus"</f>
        <v>Systemic lupus erythematosus</v>
      </c>
      <c r="C134" s="3">
        <v>7</v>
      </c>
      <c r="D134" s="3">
        <v>5.1470588235294101E-2</v>
      </c>
      <c r="E134" s="3">
        <v>0.99999946786478</v>
      </c>
      <c r="F134" s="3" t="str">
        <f>"7/386"</f>
        <v>7/386</v>
      </c>
      <c r="G134" s="3" t="str">
        <f>"136/8106"</f>
        <v>136/8106</v>
      </c>
      <c r="H134" s="3">
        <v>0.47213413225627798</v>
      </c>
      <c r="I134" s="3">
        <v>0.87353754685556495</v>
      </c>
      <c r="J134" s="3" t="str">
        <f>"C1S, C7, ELANE, H2AC17, H2AC8, H2AW, HLA-DRB4"</f>
        <v>C1S, C7, ELANE, H2AC17, H2AC8, H2AW, HLA-DRB4</v>
      </c>
    </row>
    <row r="135" spans="1:10">
      <c r="A135" s="3" t="str">
        <f>"hsa01200"</f>
        <v>hsa01200</v>
      </c>
      <c r="B135" s="2" t="str">
        <f>"Carbon metabolism"</f>
        <v>Carbon metabolism</v>
      </c>
      <c r="C135" s="3">
        <v>6</v>
      </c>
      <c r="D135" s="3">
        <v>5.1724137931034503E-2</v>
      </c>
      <c r="E135" s="3">
        <v>0.99999946786478</v>
      </c>
      <c r="F135" s="3" t="str">
        <f>"6/386"</f>
        <v>6/386</v>
      </c>
      <c r="G135" s="3" t="str">
        <f>"116/8106"</f>
        <v>116/8106</v>
      </c>
      <c r="H135" s="3">
        <v>0.47793879474349599</v>
      </c>
      <c r="I135" s="3">
        <v>0.87353754685556495</v>
      </c>
      <c r="J135" s="3" t="str">
        <f>"FBP1, GCK, GPT2, IDH3A, ME1, RGN"</f>
        <v>FBP1, GCK, GPT2, IDH3A, ME1, RGN</v>
      </c>
    </row>
    <row r="136" spans="1:10">
      <c r="A136" s="3" t="str">
        <f>"hsa01230"</f>
        <v>hsa01230</v>
      </c>
      <c r="B136" s="2" t="str">
        <f>"Biosynthesis of amino acids"</f>
        <v>Biosynthesis of amino acids</v>
      </c>
      <c r="C136" s="3">
        <v>4</v>
      </c>
      <c r="D136" s="3">
        <v>5.3333333333333302E-2</v>
      </c>
      <c r="E136" s="3">
        <v>0.99999946786478</v>
      </c>
      <c r="F136" s="3" t="str">
        <f>"4/386"</f>
        <v>4/386</v>
      </c>
      <c r="G136" s="3" t="str">
        <f>"75/8106"</f>
        <v>75/8106</v>
      </c>
      <c r="H136" s="3">
        <v>0.48220380103114902</v>
      </c>
      <c r="I136" s="3">
        <v>0.87353754685556495</v>
      </c>
      <c r="J136" s="3" t="str">
        <f>"GPT2, IDH3A, PYCR1, PYCR3"</f>
        <v>GPT2, IDH3A, PYCR1, PYCR3</v>
      </c>
    </row>
    <row r="137" spans="1:10">
      <c r="A137" s="3" t="str">
        <f>"hsa05212"</f>
        <v>hsa05212</v>
      </c>
      <c r="B137" s="2" t="str">
        <f>"Pancreatic cancer"</f>
        <v>Pancreatic cancer</v>
      </c>
      <c r="C137" s="3">
        <v>4</v>
      </c>
      <c r="D137" s="3">
        <v>5.2631578947368397E-2</v>
      </c>
      <c r="E137" s="3">
        <v>0.99999946786478</v>
      </c>
      <c r="F137" s="3" t="str">
        <f>"4/386"</f>
        <v>4/386</v>
      </c>
      <c r="G137" s="3" t="str">
        <f>"76/8106"</f>
        <v>76/8106</v>
      </c>
      <c r="H137" s="3">
        <v>0.49260591217722399</v>
      </c>
      <c r="I137" s="3">
        <v>0.87353754685556495</v>
      </c>
      <c r="J137" s="3" t="str">
        <f>"EGF, PLD1, RAC3, TGFB3"</f>
        <v>EGF, PLD1, RAC3, TGFB3</v>
      </c>
    </row>
    <row r="138" spans="1:10">
      <c r="A138" s="3" t="str">
        <f>"hsa04070"</f>
        <v>hsa04070</v>
      </c>
      <c r="B138" s="2" t="str">
        <f>"Phosphatidylinositol signaling system"</f>
        <v>Phosphatidylinositol signaling system</v>
      </c>
      <c r="C138" s="3">
        <v>5</v>
      </c>
      <c r="D138" s="3">
        <v>5.1546391752577303E-2</v>
      </c>
      <c r="E138" s="3">
        <v>0.99999946786478</v>
      </c>
      <c r="F138" s="3" t="str">
        <f>"5/386"</f>
        <v>5/386</v>
      </c>
      <c r="G138" s="3" t="str">
        <f>"97/8106"</f>
        <v>97/8106</v>
      </c>
      <c r="H138" s="3">
        <v>0.493816585537588</v>
      </c>
      <c r="I138" s="3">
        <v>0.87353754685556495</v>
      </c>
      <c r="J138" s="3" t="str">
        <f>"INPP5B, INPP5D, IP6K3, PRKCA, PRKCB"</f>
        <v>INPP5B, INPP5D, IP6K3, PRKCA, PRKCB</v>
      </c>
    </row>
    <row r="139" spans="1:10">
      <c r="A139" s="3" t="str">
        <f>"hsa04666"</f>
        <v>hsa04666</v>
      </c>
      <c r="B139" s="2" t="str">
        <f>"Fc gamma R-mediated phagocytosis"</f>
        <v>Fc gamma R-mediated phagocytosis</v>
      </c>
      <c r="C139" s="3">
        <v>5</v>
      </c>
      <c r="D139" s="3">
        <v>5.1546391752577303E-2</v>
      </c>
      <c r="E139" s="3">
        <v>0.99999946786478</v>
      </c>
      <c r="F139" s="3" t="str">
        <f>"5/386"</f>
        <v>5/386</v>
      </c>
      <c r="G139" s="3" t="str">
        <f>"97/8106"</f>
        <v>97/8106</v>
      </c>
      <c r="H139" s="3">
        <v>0.493816585537588</v>
      </c>
      <c r="I139" s="3">
        <v>0.87353754685556495</v>
      </c>
      <c r="J139" s="3" t="str">
        <f>"CFL2, INPP5D, PLD1, PRKCA, PRKCB"</f>
        <v>CFL2, INPP5D, PLD1, PRKCA, PRKCB</v>
      </c>
    </row>
    <row r="140" spans="1:10">
      <c r="A140" s="3" t="str">
        <f>"hsa00533"</f>
        <v>hsa00533</v>
      </c>
      <c r="B140" s="2" t="str">
        <f>"Glycosaminoglycan biosynthesis - keratan sulfate"</f>
        <v>Glycosaminoglycan biosynthesis - keratan sulfate</v>
      </c>
      <c r="C140" s="3">
        <v>1</v>
      </c>
      <c r="D140" s="3">
        <v>7.1428571428571397E-2</v>
      </c>
      <c r="E140" s="3">
        <v>0.99999946786478</v>
      </c>
      <c r="F140" s="3" t="str">
        <f>"1/386"</f>
        <v>1/386</v>
      </c>
      <c r="G140" s="3" t="str">
        <f>"14/8106"</f>
        <v>14/8106</v>
      </c>
      <c r="H140" s="3">
        <v>0.49521579133183202</v>
      </c>
      <c r="I140" s="3">
        <v>0.87353754685556495</v>
      </c>
      <c r="J140" s="3" t="str">
        <f>"CHST6"</f>
        <v>CHST6</v>
      </c>
    </row>
    <row r="141" spans="1:10">
      <c r="A141" s="3" t="str">
        <f>"hsa05418"</f>
        <v>hsa05418</v>
      </c>
      <c r="B141" s="2" t="str">
        <f>"Fluid shear stress and atherosclerosis"</f>
        <v>Fluid shear stress and atherosclerosis</v>
      </c>
      <c r="C141" s="3">
        <v>7</v>
      </c>
      <c r="D141" s="3">
        <v>5.0359712230215799E-2</v>
      </c>
      <c r="E141" s="3">
        <v>0.99999946786478</v>
      </c>
      <c r="F141" s="3" t="str">
        <f>"7/386"</f>
        <v>7/386</v>
      </c>
      <c r="G141" s="3" t="str">
        <f>"139/8106"</f>
        <v>139/8106</v>
      </c>
      <c r="H141" s="3">
        <v>0.49527514026436598</v>
      </c>
      <c r="I141" s="3">
        <v>0.87353754685556495</v>
      </c>
      <c r="J141" s="3" t="str">
        <f>"BMP4, BMPR1B, CAV1, CAV2, GSTM5, NPPC, RAC3"</f>
        <v>BMP4, BMPR1B, CAV1, CAV2, GSTM5, NPPC, RAC3</v>
      </c>
    </row>
    <row r="142" spans="1:10">
      <c r="A142" s="3" t="str">
        <f>"hsa00760"</f>
        <v>hsa00760</v>
      </c>
      <c r="B142" s="2" t="str">
        <f>"Nicotinate and nicotinamide metabolism"</f>
        <v>Nicotinate and nicotinamide metabolism</v>
      </c>
      <c r="C142" s="3">
        <v>2</v>
      </c>
      <c r="D142" s="3">
        <v>5.7142857142857099E-2</v>
      </c>
      <c r="E142" s="3">
        <v>0.99999946786478</v>
      </c>
      <c r="F142" s="3" t="str">
        <f>"2/386"</f>
        <v>2/386</v>
      </c>
      <c r="G142" s="3" t="str">
        <f>"35/8106"</f>
        <v>35/8106</v>
      </c>
      <c r="H142" s="3">
        <v>0.50188513868631601</v>
      </c>
      <c r="I142" s="3">
        <v>0.87353754685556495</v>
      </c>
      <c r="J142" s="3" t="str">
        <f>"NT5E, QPRT"</f>
        <v>NT5E, QPRT</v>
      </c>
    </row>
    <row r="143" spans="1:10">
      <c r="A143" s="3" t="str">
        <f>"hsa05140"</f>
        <v>hsa05140</v>
      </c>
      <c r="B143" s="2" t="str">
        <f>"Leishmaniasis"</f>
        <v>Leishmaniasis</v>
      </c>
      <c r="C143" s="3">
        <v>4</v>
      </c>
      <c r="D143" s="3">
        <v>5.1948051948052E-2</v>
      </c>
      <c r="E143" s="3">
        <v>0.99999946786478</v>
      </c>
      <c r="F143" s="3" t="str">
        <f>"4/386"</f>
        <v>4/386</v>
      </c>
      <c r="G143" s="3" t="str">
        <f>"77/8106"</f>
        <v>77/8106</v>
      </c>
      <c r="H143" s="3">
        <v>0.50292032610348403</v>
      </c>
      <c r="I143" s="3">
        <v>0.87353754685556495</v>
      </c>
      <c r="J143" s="3" t="str">
        <f>"HLA-DRB4, ITGA4, PRKCB, TGFB3"</f>
        <v>HLA-DRB4, ITGA4, PRKCB, TGFB3</v>
      </c>
    </row>
    <row r="144" spans="1:10">
      <c r="A144" s="3" t="str">
        <f>"hsa00480"</f>
        <v>hsa00480</v>
      </c>
      <c r="B144" s="2" t="str">
        <f>"Glutathione metabolism"</f>
        <v>Glutathione metabolism</v>
      </c>
      <c r="C144" s="3">
        <v>3</v>
      </c>
      <c r="D144" s="3">
        <v>5.2631578947368397E-2</v>
      </c>
      <c r="E144" s="3">
        <v>0.99999946786478</v>
      </c>
      <c r="F144" s="3" t="str">
        <f>"3/386"</f>
        <v>3/386</v>
      </c>
      <c r="G144" s="3" t="str">
        <f>"57/8106"</f>
        <v>57/8106</v>
      </c>
      <c r="H144" s="3">
        <v>0.51471272518678801</v>
      </c>
      <c r="I144" s="3">
        <v>0.87353754685556495</v>
      </c>
      <c r="J144" s="3" t="str">
        <f>"GGT5, GPX8, GSTM5"</f>
        <v>GGT5, GPX8, GSTM5</v>
      </c>
    </row>
    <row r="145" spans="1:10">
      <c r="A145" s="3" t="str">
        <f>"hsa00603"</f>
        <v>hsa00603</v>
      </c>
      <c r="B145" s="2" t="str">
        <f>"Glycosphingolipid biosynthesis - globo and isoglobo series"</f>
        <v>Glycosphingolipid biosynthesis - globo and isoglobo series</v>
      </c>
      <c r="C145" s="3">
        <v>1</v>
      </c>
      <c r="D145" s="3">
        <v>6.6666666666666693E-2</v>
      </c>
      <c r="E145" s="3">
        <v>0.99999946786478</v>
      </c>
      <c r="F145" s="3" t="str">
        <f>"1/386"</f>
        <v>1/386</v>
      </c>
      <c r="G145" s="3" t="str">
        <f>"15/8106"</f>
        <v>15/8106</v>
      </c>
      <c r="H145" s="3">
        <v>0.51929472170082802</v>
      </c>
      <c r="I145" s="3">
        <v>0.87353754685556495</v>
      </c>
      <c r="J145" s="3" t="str">
        <f>"ST8SIA1"</f>
        <v>ST8SIA1</v>
      </c>
    </row>
    <row r="146" spans="1:10">
      <c r="A146" s="3" t="str">
        <f>"hsa00604"</f>
        <v>hsa00604</v>
      </c>
      <c r="B146" s="2" t="str">
        <f>"Glycosphingolipid biosynthesis - ganglio series"</f>
        <v>Glycosphingolipid biosynthesis - ganglio series</v>
      </c>
      <c r="C146" s="3">
        <v>1</v>
      </c>
      <c r="D146" s="3">
        <v>6.6666666666666693E-2</v>
      </c>
      <c r="E146" s="3">
        <v>0.99999946786478</v>
      </c>
      <c r="F146" s="3" t="str">
        <f>"1/386"</f>
        <v>1/386</v>
      </c>
      <c r="G146" s="3" t="str">
        <f>"15/8106"</f>
        <v>15/8106</v>
      </c>
      <c r="H146" s="3">
        <v>0.51929472170082802</v>
      </c>
      <c r="I146" s="3">
        <v>0.87353754685556495</v>
      </c>
      <c r="J146" s="3" t="str">
        <f>"ST8SIA1"</f>
        <v>ST8SIA1</v>
      </c>
    </row>
    <row r="147" spans="1:10">
      <c r="A147" s="3" t="str">
        <f>"hsa04061"</f>
        <v>hsa04061</v>
      </c>
      <c r="B147" s="2" t="str">
        <f>"Viral protein interaction with cytokine and cytokine receptor"</f>
        <v>Viral protein interaction with cytokine and cytokine receptor</v>
      </c>
      <c r="C147" s="3">
        <v>5</v>
      </c>
      <c r="D147" s="3">
        <v>0.05</v>
      </c>
      <c r="E147" s="3">
        <v>0.99999946786478</v>
      </c>
      <c r="F147" s="3" t="str">
        <f>"5/386"</f>
        <v>5/386</v>
      </c>
      <c r="G147" s="3" t="str">
        <f>"100/8106"</f>
        <v>100/8106</v>
      </c>
      <c r="H147" s="3">
        <v>0.52102665362274303</v>
      </c>
      <c r="I147" s="3">
        <v>0.87353754685556495</v>
      </c>
      <c r="J147" s="3" t="str">
        <f>"CCL21, CX3CR1, CXCL12, CXCL13, CXCR3"</f>
        <v>CCL21, CX3CR1, CXCL12, CXCL13, CXCR3</v>
      </c>
    </row>
    <row r="148" spans="1:10">
      <c r="A148" s="3" t="str">
        <f>"hsa04933"</f>
        <v>hsa04933</v>
      </c>
      <c r="B148" s="2" t="str">
        <f>"AGE-RAGE signaling pathway in diabetic complications"</f>
        <v>AGE-RAGE signaling pathway in diabetic complications</v>
      </c>
      <c r="C148" s="3">
        <v>5</v>
      </c>
      <c r="D148" s="3">
        <v>0.05</v>
      </c>
      <c r="E148" s="3">
        <v>0.99999946786478</v>
      </c>
      <c r="F148" s="3" t="str">
        <f>"5/386"</f>
        <v>5/386</v>
      </c>
      <c r="G148" s="3" t="str">
        <f>"100/8106"</f>
        <v>100/8106</v>
      </c>
      <c r="H148" s="3">
        <v>0.52102665362274303</v>
      </c>
      <c r="I148" s="3">
        <v>0.87353754685556495</v>
      </c>
      <c r="J148" s="3" t="str">
        <f>"COL1A2, COL4A6, PRKCA, PRKCB, TGFB3"</f>
        <v>COL1A2, COL4A6, PRKCA, PRKCB, TGFB3</v>
      </c>
    </row>
    <row r="149" spans="1:10">
      <c r="A149" s="3" t="str">
        <f>"hsa05143"</f>
        <v>hsa05143</v>
      </c>
      <c r="B149" s="2" t="str">
        <f>"African trypanosomiasis"</f>
        <v>African trypanosomiasis</v>
      </c>
      <c r="C149" s="3">
        <v>2</v>
      </c>
      <c r="D149" s="3">
        <v>5.4054054054054099E-2</v>
      </c>
      <c r="E149" s="3">
        <v>0.99999946786478</v>
      </c>
      <c r="F149" s="3" t="str">
        <f>"2/386"</f>
        <v>2/386</v>
      </c>
      <c r="G149" s="3" t="str">
        <f>"37/8106"</f>
        <v>37/8106</v>
      </c>
      <c r="H149" s="3">
        <v>0.53186626629222</v>
      </c>
      <c r="I149" s="3">
        <v>0.87353754685556495</v>
      </c>
      <c r="J149" s="3" t="str">
        <f>"PRKCA, PRKCB"</f>
        <v>PRKCA, PRKCB</v>
      </c>
    </row>
    <row r="150" spans="1:10">
      <c r="A150" s="3" t="str">
        <f>"hsa05216"</f>
        <v>hsa05216</v>
      </c>
      <c r="B150" s="2" t="str">
        <f>"Thyroid cancer"</f>
        <v>Thyroid cancer</v>
      </c>
      <c r="C150" s="3">
        <v>2</v>
      </c>
      <c r="D150" s="3">
        <v>5.4054054054054099E-2</v>
      </c>
      <c r="E150" s="3">
        <v>0.99999946786478</v>
      </c>
      <c r="F150" s="3" t="str">
        <f>"2/386"</f>
        <v>2/386</v>
      </c>
      <c r="G150" s="3" t="str">
        <f>"37/8106"</f>
        <v>37/8106</v>
      </c>
      <c r="H150" s="3">
        <v>0.53186626629222</v>
      </c>
      <c r="I150" s="3">
        <v>0.87353754685556495</v>
      </c>
      <c r="J150" s="3" t="str">
        <f>"NTRK1, PPARG"</f>
        <v>NTRK1, PPARG</v>
      </c>
    </row>
    <row r="151" spans="1:10">
      <c r="A151" s="3" t="str">
        <f>"hsa04370"</f>
        <v>hsa04370</v>
      </c>
      <c r="B151" s="2" t="str">
        <f>"VEGF signaling pathway"</f>
        <v>VEGF signaling pathway</v>
      </c>
      <c r="C151" s="3">
        <v>3</v>
      </c>
      <c r="D151" s="3">
        <v>5.0847457627118599E-2</v>
      </c>
      <c r="E151" s="3">
        <v>0.99999946786478</v>
      </c>
      <c r="F151" s="3" t="str">
        <f>"3/386"</f>
        <v>3/386</v>
      </c>
      <c r="G151" s="3" t="str">
        <f>"59/8106"</f>
        <v>59/8106</v>
      </c>
      <c r="H151" s="3">
        <v>0.53819222389836596</v>
      </c>
      <c r="I151" s="3">
        <v>0.87353754685556495</v>
      </c>
      <c r="J151" s="3" t="str">
        <f>"PRKCA, PRKCB, RAC3"</f>
        <v>PRKCA, PRKCB, RAC3</v>
      </c>
    </row>
    <row r="152" spans="1:10">
      <c r="A152" s="3" t="str">
        <f>"hsa04060"</f>
        <v>hsa04060</v>
      </c>
      <c r="B152" s="2" t="str">
        <f>"Cytokine-cytokine receptor interaction"</f>
        <v>Cytokine-cytokine receptor interaction</v>
      </c>
      <c r="C152" s="3">
        <v>14</v>
      </c>
      <c r="D152" s="3">
        <v>4.7457627118644097E-2</v>
      </c>
      <c r="E152" s="3">
        <v>0.99999946786478</v>
      </c>
      <c r="F152" s="3" t="str">
        <f>"14/386"</f>
        <v>14/386</v>
      </c>
      <c r="G152" s="3" t="str">
        <f>"295/8106"</f>
        <v>295/8106</v>
      </c>
      <c r="H152" s="3">
        <v>0.545312853024848</v>
      </c>
      <c r="I152" s="3">
        <v>0.87353754685556495</v>
      </c>
      <c r="J152" s="3" t="str">
        <f>"BMP4, BMP5, BMPR1B, CCL21, CX3CR1, CXCL12, CXCL13, CXCR3, GDF10, GDF15, IL16, TGFB3, TNFRSF4, TSLP"</f>
        <v>BMP4, BMP5, BMPR1B, CCL21, CX3CR1, CXCL12, CXCL13, CXCR3, GDF10, GDF15, IL16, TGFB3, TNFRSF4, TSLP</v>
      </c>
    </row>
    <row r="153" spans="1:10">
      <c r="A153" s="3" t="str">
        <f>"hsa05170"</f>
        <v>hsa05170</v>
      </c>
      <c r="B153" s="2" t="str">
        <f>"Human immunodeficiency virus 1 infection"</f>
        <v>Human immunodeficiency virus 1 infection</v>
      </c>
      <c r="C153" s="3">
        <v>10</v>
      </c>
      <c r="D153" s="3">
        <v>4.71698113207547E-2</v>
      </c>
      <c r="E153" s="3">
        <v>0.99999946786478</v>
      </c>
      <c r="F153" s="3" t="str">
        <f>"10/386"</f>
        <v>10/386</v>
      </c>
      <c r="G153" s="3" t="str">
        <f>"212/8106"</f>
        <v>212/8106</v>
      </c>
      <c r="H153" s="3">
        <v>0.55901500289287298</v>
      </c>
      <c r="I153" s="3">
        <v>0.87353754685556495</v>
      </c>
      <c r="J153" s="3" t="str">
        <f>"AP1M2, AP1S3, BST2, CFL2, GNAO1, GNG4, PAK5, PRKCA, PRKCB, RAC3"</f>
        <v>AP1M2, AP1S3, BST2, CFL2, GNAO1, GNG4, PAK5, PRKCA, PRKCB, RAC3</v>
      </c>
    </row>
    <row r="154" spans="1:10">
      <c r="A154" s="3" t="str">
        <f>"hsa00140"</f>
        <v>hsa00140</v>
      </c>
      <c r="B154" s="2" t="str">
        <f>"Steroid hormone biosynthesis"</f>
        <v>Steroid hormone biosynthesis</v>
      </c>
      <c r="C154" s="3">
        <v>3</v>
      </c>
      <c r="D154" s="3">
        <v>4.91803278688525E-2</v>
      </c>
      <c r="E154" s="3">
        <v>0.99999946786478</v>
      </c>
      <c r="F154" s="3" t="str">
        <f>"3/386"</f>
        <v>3/386</v>
      </c>
      <c r="G154" s="3" t="str">
        <f>"61/8106"</f>
        <v>61/8106</v>
      </c>
      <c r="H154" s="3">
        <v>0.56101100486680799</v>
      </c>
      <c r="I154" s="3">
        <v>0.87353754685556495</v>
      </c>
      <c r="J154" s="3" t="str">
        <f>"CYP11A1, HSD11B1, SULT1E1"</f>
        <v>CYP11A1, HSD11B1, SULT1E1</v>
      </c>
    </row>
    <row r="155" spans="1:10">
      <c r="A155" s="3" t="str">
        <f>"hsa04072"</f>
        <v>hsa04072</v>
      </c>
      <c r="B155" s="2" t="str">
        <f>"Phospholipase D signaling pathway"</f>
        <v>Phospholipase D signaling pathway</v>
      </c>
      <c r="C155" s="3">
        <v>7</v>
      </c>
      <c r="D155" s="3">
        <v>4.72972972972973E-2</v>
      </c>
      <c r="E155" s="3">
        <v>0.99999946786478</v>
      </c>
      <c r="F155" s="3" t="str">
        <f>"7/386"</f>
        <v>7/386</v>
      </c>
      <c r="G155" s="3" t="str">
        <f>"148/8106"</f>
        <v>148/8106</v>
      </c>
      <c r="H155" s="3">
        <v>0.56255204764266098</v>
      </c>
      <c r="I155" s="3">
        <v>0.87353754685556495</v>
      </c>
      <c r="J155" s="3" t="str">
        <f>"EGF, KITLG, LPAR2, PDGFC, PLD1, PRKCA, PTGFR"</f>
        <v>EGF, KITLG, LPAR2, PDGFC, PLD1, PRKCA, PTGFR</v>
      </c>
    </row>
    <row r="156" spans="1:10">
      <c r="A156" s="3" t="str">
        <f>"hsa00910"</f>
        <v>hsa00910</v>
      </c>
      <c r="B156" s="2" t="str">
        <f>"Nitrogen metabolism"</f>
        <v>Nitrogen metabolism</v>
      </c>
      <c r="C156" s="3">
        <v>1</v>
      </c>
      <c r="D156" s="3">
        <v>5.8823529411764698E-2</v>
      </c>
      <c r="E156" s="3">
        <v>0.99999946786478</v>
      </c>
      <c r="F156" s="3" t="str">
        <f>"1/386"</f>
        <v>1/386</v>
      </c>
      <c r="G156" s="3" t="str">
        <f>"17/8106"</f>
        <v>17/8106</v>
      </c>
      <c r="H156" s="3">
        <v>0.56406967102348005</v>
      </c>
      <c r="I156" s="3">
        <v>0.87353754685556495</v>
      </c>
      <c r="J156" s="3" t="str">
        <f>"CA3"</f>
        <v>CA3</v>
      </c>
    </row>
    <row r="157" spans="1:10">
      <c r="A157" s="3" t="str">
        <f>"hsa04213"</f>
        <v>hsa04213</v>
      </c>
      <c r="B157" s="2" t="str">
        <f>"Longevity regulating pathway - multiple species"</f>
        <v>Longevity regulating pathway - multiple species</v>
      </c>
      <c r="C157" s="3">
        <v>3</v>
      </c>
      <c r="D157" s="3">
        <v>4.8387096774193498E-2</v>
      </c>
      <c r="E157" s="3">
        <v>0.99999946786478</v>
      </c>
      <c r="F157" s="3" t="str">
        <f>"3/386"</f>
        <v>3/386</v>
      </c>
      <c r="G157" s="3" t="str">
        <f>"62/8106"</f>
        <v>62/8106</v>
      </c>
      <c r="H157" s="3">
        <v>0.57216204528870596</v>
      </c>
      <c r="I157" s="3">
        <v>0.87353754685556495</v>
      </c>
      <c r="J157" s="3" t="str">
        <f>"CRYAB, EIF4EBP2, IGF1"</f>
        <v>CRYAB, EIF4EBP2, IGF1</v>
      </c>
    </row>
    <row r="158" spans="1:10">
      <c r="A158" s="3" t="str">
        <f>"hsa00061"</f>
        <v>hsa00061</v>
      </c>
      <c r="B158" s="2" t="str">
        <f>"Fatty acid biosynthesis"</f>
        <v>Fatty acid biosynthesis</v>
      </c>
      <c r="C158" s="3">
        <v>1</v>
      </c>
      <c r="D158" s="3">
        <v>5.5555555555555601E-2</v>
      </c>
      <c r="E158" s="3">
        <v>0.99999946786478</v>
      </c>
      <c r="F158" s="3" t="str">
        <f>"1/386"</f>
        <v>1/386</v>
      </c>
      <c r="G158" s="3" t="str">
        <f>"18/8106"</f>
        <v>18/8106</v>
      </c>
      <c r="H158" s="3">
        <v>0.58487188476868202</v>
      </c>
      <c r="I158" s="3">
        <v>0.87353754685556495</v>
      </c>
      <c r="J158" s="3" t="str">
        <f>"FASN"</f>
        <v>FASN</v>
      </c>
    </row>
    <row r="159" spans="1:10">
      <c r="A159" s="3" t="str">
        <f>"hsa05210"</f>
        <v>hsa05210</v>
      </c>
      <c r="B159" s="2" t="str">
        <f>"Colorectal cancer"</f>
        <v>Colorectal cancer</v>
      </c>
      <c r="C159" s="3">
        <v>4</v>
      </c>
      <c r="D159" s="3">
        <v>4.6511627906976702E-2</v>
      </c>
      <c r="E159" s="3">
        <v>0.99999946786478</v>
      </c>
      <c r="F159" s="3" t="str">
        <f>"4/386"</f>
        <v>4/386</v>
      </c>
      <c r="G159" s="3" t="str">
        <f>"86/8106"</f>
        <v>86/8106</v>
      </c>
      <c r="H159" s="3">
        <v>0.59110611351842801</v>
      </c>
      <c r="I159" s="3">
        <v>0.87353754685556495</v>
      </c>
      <c r="J159" s="3" t="str">
        <f>"AXIN2, EGF, RAC3, TGFB3"</f>
        <v>AXIN2, EGF, RAC3, TGFB3</v>
      </c>
    </row>
    <row r="160" spans="1:10">
      <c r="A160" s="3" t="str">
        <f>"hsa04068"</f>
        <v>hsa04068</v>
      </c>
      <c r="B160" s="2" t="str">
        <f>"FoxO signaling pathway"</f>
        <v>FoxO signaling pathway</v>
      </c>
      <c r="C160" s="3">
        <v>6</v>
      </c>
      <c r="D160" s="3">
        <v>4.58015267175573E-2</v>
      </c>
      <c r="E160" s="3">
        <v>0.99999946786478</v>
      </c>
      <c r="F160" s="3" t="str">
        <f>"6/386"</f>
        <v>6/386</v>
      </c>
      <c r="G160" s="3" t="str">
        <f>"131/8106"</f>
        <v>131/8106</v>
      </c>
      <c r="H160" s="3">
        <v>0.59795502204015405</v>
      </c>
      <c r="I160" s="3">
        <v>0.87353754685556495</v>
      </c>
      <c r="J160" s="3" t="str">
        <f>"CCND2, EGF, HOMER2, IGF1, PLK2, TGFB3"</f>
        <v>CCND2, EGF, HOMER2, IGF1, PLK2, TGFB3</v>
      </c>
    </row>
    <row r="161" spans="1:10">
      <c r="A161" s="3" t="str">
        <f>"hsa04066"</f>
        <v>hsa04066</v>
      </c>
      <c r="B161" s="2" t="str">
        <f>"HIF-1 signaling pathway"</f>
        <v>HIF-1 signaling pathway</v>
      </c>
      <c r="C161" s="3">
        <v>5</v>
      </c>
      <c r="D161" s="3">
        <v>4.5871559633027498E-2</v>
      </c>
      <c r="E161" s="3">
        <v>0.99999946786478</v>
      </c>
      <c r="F161" s="3" t="str">
        <f>"5/386"</f>
        <v>5/386</v>
      </c>
      <c r="G161" s="3" t="str">
        <f>"109/8106"</f>
        <v>109/8106</v>
      </c>
      <c r="H161" s="3">
        <v>0.59850918163220201</v>
      </c>
      <c r="I161" s="3">
        <v>0.87353754685556495</v>
      </c>
      <c r="J161" s="3" t="str">
        <f>"ANGPT1, EGF, IGF1, PRKCA, PRKCB"</f>
        <v>ANGPT1, EGF, IGF1, PRKCA, PRKCB</v>
      </c>
    </row>
    <row r="162" spans="1:10">
      <c r="A162" s="3" t="str">
        <f>"hsa05130"</f>
        <v>hsa05130</v>
      </c>
      <c r="B162" s="2" t="str">
        <f>"Pathogenic Escherichia coli infection"</f>
        <v>Pathogenic Escherichia coli infection</v>
      </c>
      <c r="C162" s="3">
        <v>9</v>
      </c>
      <c r="D162" s="3">
        <v>4.5685279187817299E-2</v>
      </c>
      <c r="E162" s="3">
        <v>0.99999946786478</v>
      </c>
      <c r="F162" s="3" t="str">
        <f>"9/386"</f>
        <v>9/386</v>
      </c>
      <c r="G162" s="3" t="str">
        <f>"197/8106"</f>
        <v>197/8106</v>
      </c>
      <c r="H162" s="3">
        <v>0.599731304006208</v>
      </c>
      <c r="I162" s="3">
        <v>0.87353754685556495</v>
      </c>
      <c r="J162" s="3" t="str">
        <f>"BAIAP2L1, CLDN3, CLDN4, CLDN7, CLDN8, LPAR2, MYH11, MYO1D, MYO6"</f>
        <v>BAIAP2L1, CLDN3, CLDN4, CLDN7, CLDN8, LPAR2, MYH11, MYO1D, MYO6</v>
      </c>
    </row>
    <row r="163" spans="1:10">
      <c r="A163" s="3" t="str">
        <f>"hsa05321"</f>
        <v>hsa05321</v>
      </c>
      <c r="B163" s="2" t="str">
        <f>"Inflammatory bowel disease"</f>
        <v>Inflammatory bowel disease</v>
      </c>
      <c r="C163" s="3">
        <v>3</v>
      </c>
      <c r="D163" s="3">
        <v>4.6153846153846198E-2</v>
      </c>
      <c r="E163" s="3">
        <v>0.99999946786478</v>
      </c>
      <c r="F163" s="3" t="str">
        <f>"3/386"</f>
        <v>3/386</v>
      </c>
      <c r="G163" s="3" t="str">
        <f>"65/8106"</f>
        <v>65/8106</v>
      </c>
      <c r="H163" s="3">
        <v>0.60454210591676005</v>
      </c>
      <c r="I163" s="3">
        <v>0.87353754685556495</v>
      </c>
      <c r="J163" s="3" t="str">
        <f>"HLA-DRB4, RORC, TGFB3"</f>
        <v>HLA-DRB4, RORC, TGFB3</v>
      </c>
    </row>
    <row r="164" spans="1:10">
      <c r="A164" s="3" t="str">
        <f>"hsa04921"</f>
        <v>hsa04921</v>
      </c>
      <c r="B164" s="2" t="str">
        <f>"Oxytocin signaling pathway"</f>
        <v>Oxytocin signaling pathway</v>
      </c>
      <c r="C164" s="3">
        <v>7</v>
      </c>
      <c r="D164" s="3">
        <v>4.5454545454545497E-2</v>
      </c>
      <c r="E164" s="3">
        <v>0.99999946786478</v>
      </c>
      <c r="F164" s="3" t="str">
        <f>"7/386"</f>
        <v>7/386</v>
      </c>
      <c r="G164" s="3" t="str">
        <f>"154/8106"</f>
        <v>154/8106</v>
      </c>
      <c r="H164" s="3">
        <v>0.60507694833654602</v>
      </c>
      <c r="I164" s="3">
        <v>0.87353754685556495</v>
      </c>
      <c r="J164" s="3" t="str">
        <f>"CAMK1G, GNAO1, KCNJ3, MYLK, PRKCA, PRKCB, RYR2"</f>
        <v>CAMK1G, GNAO1, KCNJ3, MYLK, PRKCA, PRKCB, RYR2</v>
      </c>
    </row>
    <row r="165" spans="1:10">
      <c r="A165" s="3" t="str">
        <f>"hsa04934"</f>
        <v>hsa04934</v>
      </c>
      <c r="B165" s="2" t="str">
        <f>"Cushing syndrome"</f>
        <v>Cushing syndrome</v>
      </c>
      <c r="C165" s="3">
        <v>7</v>
      </c>
      <c r="D165" s="3">
        <v>4.5161290322580601E-2</v>
      </c>
      <c r="E165" s="3">
        <v>0.99999946786478</v>
      </c>
      <c r="F165" s="3" t="str">
        <f>"7/386"</f>
        <v>7/386</v>
      </c>
      <c r="G165" s="3" t="str">
        <f>"155/8106"</f>
        <v>155/8106</v>
      </c>
      <c r="H165" s="3">
        <v>0.61195273291671004</v>
      </c>
      <c r="I165" s="3">
        <v>0.87353754685556495</v>
      </c>
      <c r="J165" s="3" t="str">
        <f>"AXIN2, CREB3L4, CYP11A1, FZD7, WNT11, WNT2, WNT2B"</f>
        <v>AXIN2, CREB3L4, CYP11A1, FZD7, WNT11, WNT2, WNT2B</v>
      </c>
    </row>
    <row r="166" spans="1:10">
      <c r="A166" s="3" t="str">
        <f>"hsa04975"</f>
        <v>hsa04975</v>
      </c>
      <c r="B166" s="2" t="str">
        <f>"Fat digestion and absorption"</f>
        <v>Fat digestion and absorption</v>
      </c>
      <c r="C166" s="3">
        <v>2</v>
      </c>
      <c r="D166" s="3">
        <v>4.6511627906976702E-2</v>
      </c>
      <c r="E166" s="3">
        <v>0.99999946786478</v>
      </c>
      <c r="F166" s="3" t="str">
        <f>"2/386"</f>
        <v>2/386</v>
      </c>
      <c r="G166" s="3" t="str">
        <f>"43/8106"</f>
        <v>43/8106</v>
      </c>
      <c r="H166" s="3">
        <v>0.61420067669706702</v>
      </c>
      <c r="I166" s="3">
        <v>0.87353754685556495</v>
      </c>
      <c r="J166" s="3" t="str">
        <f>"CEL, PLA2G2A"</f>
        <v>CEL, PLA2G2A</v>
      </c>
    </row>
    <row r="167" spans="1:10">
      <c r="A167" s="3" t="str">
        <f>"hsa04211"</f>
        <v>hsa04211</v>
      </c>
      <c r="B167" s="2" t="str">
        <f>"Longevity regulating pathway"</f>
        <v>Longevity regulating pathway</v>
      </c>
      <c r="C167" s="3">
        <v>4</v>
      </c>
      <c r="D167" s="3">
        <v>4.49438202247191E-2</v>
      </c>
      <c r="E167" s="3">
        <v>0.99999946786478</v>
      </c>
      <c r="F167" s="3" t="str">
        <f>"4/386"</f>
        <v>4/386</v>
      </c>
      <c r="G167" s="3" t="str">
        <f>"89/8106"</f>
        <v>89/8106</v>
      </c>
      <c r="H167" s="3">
        <v>0.61838593318179502</v>
      </c>
      <c r="I167" s="3">
        <v>0.87353754685556495</v>
      </c>
      <c r="J167" s="3" t="str">
        <f>"CREB3L4, IGF1, PPARG, PPARGC1A"</f>
        <v>CREB3L4, IGF1, PPARG, PPARGC1A</v>
      </c>
    </row>
    <row r="168" spans="1:10">
      <c r="A168" s="3" t="str">
        <f>"hsa05145"</f>
        <v>hsa05145</v>
      </c>
      <c r="B168" s="2" t="str">
        <f>"Toxoplasmosis"</f>
        <v>Toxoplasmosis</v>
      </c>
      <c r="C168" s="3">
        <v>5</v>
      </c>
      <c r="D168" s="3">
        <v>4.4642857142857102E-2</v>
      </c>
      <c r="E168" s="3">
        <v>0.99999946786478</v>
      </c>
      <c r="F168" s="3" t="str">
        <f>"5/386"</f>
        <v>5/386</v>
      </c>
      <c r="G168" s="3" t="str">
        <f>"112/8106"</f>
        <v>112/8106</v>
      </c>
      <c r="H168" s="3">
        <v>0.62272696153843998</v>
      </c>
      <c r="I168" s="3">
        <v>0.87353754685556495</v>
      </c>
      <c r="J168" s="3" t="str">
        <f>"GNAO1, HLA-DRB4, LAMA2, LAMB1, TGFB3"</f>
        <v>GNAO1, HLA-DRB4, LAMA2, LAMB1, TGFB3</v>
      </c>
    </row>
    <row r="169" spans="1:10">
      <c r="A169" s="3" t="str">
        <f>"hsa00532"</f>
        <v>hsa00532</v>
      </c>
      <c r="B169" s="2" t="str">
        <f>"Glycosaminoglycan biosynthesis - chondroitin sulfate / dermatan sulfate"</f>
        <v>Glycosaminoglycan biosynthesis - chondroitin sulfate / dermatan sulfate</v>
      </c>
      <c r="C169" s="3">
        <v>1</v>
      </c>
      <c r="D169" s="3">
        <v>0.05</v>
      </c>
      <c r="E169" s="3">
        <v>0.99999946786478</v>
      </c>
      <c r="F169" s="3" t="str">
        <f>"1/386"</f>
        <v>1/386</v>
      </c>
      <c r="G169" s="3" t="str">
        <f>"20/8106"</f>
        <v>20/8106</v>
      </c>
      <c r="H169" s="3">
        <v>0.62355268866716596</v>
      </c>
      <c r="I169" s="3">
        <v>0.87353754685556495</v>
      </c>
      <c r="J169" s="3" t="str">
        <f>"CHST3"</f>
        <v>CHST3</v>
      </c>
    </row>
    <row r="170" spans="1:10">
      <c r="A170" s="3" t="str">
        <f>"hsa00670"</f>
        <v>hsa00670</v>
      </c>
      <c r="B170" s="2" t="str">
        <f>"One carbon pool by folate"</f>
        <v>One carbon pool by folate</v>
      </c>
      <c r="C170" s="3">
        <v>1</v>
      </c>
      <c r="D170" s="3">
        <v>0.05</v>
      </c>
      <c r="E170" s="3">
        <v>0.99999946786478</v>
      </c>
      <c r="F170" s="3" t="str">
        <f>"1/386"</f>
        <v>1/386</v>
      </c>
      <c r="G170" s="3" t="str">
        <f>"20/8106"</f>
        <v>20/8106</v>
      </c>
      <c r="H170" s="3">
        <v>0.62355268866716596</v>
      </c>
      <c r="I170" s="3">
        <v>0.87353754685556495</v>
      </c>
      <c r="J170" s="3" t="str">
        <f>"ALDH1L2"</f>
        <v>ALDH1L2</v>
      </c>
    </row>
    <row r="171" spans="1:10">
      <c r="A171" s="3" t="str">
        <f>"hsa04720"</f>
        <v>hsa04720</v>
      </c>
      <c r="B171" s="2" t="str">
        <f>"Long-term potentiation"</f>
        <v>Long-term potentiation</v>
      </c>
      <c r="C171" s="3">
        <v>3</v>
      </c>
      <c r="D171" s="3">
        <v>4.47761194029851E-2</v>
      </c>
      <c r="E171" s="3">
        <v>0.99999946786478</v>
      </c>
      <c r="F171" s="3" t="str">
        <f>"3/386"</f>
        <v>3/386</v>
      </c>
      <c r="G171" s="3" t="str">
        <f>"67/8106"</f>
        <v>67/8106</v>
      </c>
      <c r="H171" s="3">
        <v>0.62520998796442095</v>
      </c>
      <c r="I171" s="3">
        <v>0.87353754685556495</v>
      </c>
      <c r="J171" s="3" t="str">
        <f>"PPP1R1A, PRKCA, PRKCB"</f>
        <v>PPP1R1A, PRKCA, PRKCB</v>
      </c>
    </row>
    <row r="172" spans="1:10">
      <c r="A172" s="3" t="str">
        <f>"hsa04976"</f>
        <v>hsa04976</v>
      </c>
      <c r="B172" s="2" t="str">
        <f>"Bile secretion"</f>
        <v>Bile secretion</v>
      </c>
      <c r="C172" s="3">
        <v>4</v>
      </c>
      <c r="D172" s="3">
        <v>4.4444444444444398E-2</v>
      </c>
      <c r="E172" s="3">
        <v>0.99999946786478</v>
      </c>
      <c r="F172" s="3" t="str">
        <f>"4/386"</f>
        <v>4/386</v>
      </c>
      <c r="G172" s="3" t="str">
        <f>"90/8106"</f>
        <v>90/8106</v>
      </c>
      <c r="H172" s="3">
        <v>0.62722291876269198</v>
      </c>
      <c r="I172" s="3">
        <v>0.87353754685556495</v>
      </c>
      <c r="J172" s="3" t="str">
        <f>"ABCC4, ATP1A2, KCNN2, SLC4A4"</f>
        <v>ABCC4, ATP1A2, KCNN2, SLC4A4</v>
      </c>
    </row>
    <row r="173" spans="1:10">
      <c r="A173" s="3" t="str">
        <f>"hsa00830"</f>
        <v>hsa00830</v>
      </c>
      <c r="B173" s="2" t="str">
        <f>"Retinol metabolism"</f>
        <v>Retinol metabolism</v>
      </c>
      <c r="C173" s="3">
        <v>3</v>
      </c>
      <c r="D173" s="3">
        <v>4.4117647058823498E-2</v>
      </c>
      <c r="E173" s="3">
        <v>0.99999946786478</v>
      </c>
      <c r="F173" s="3" t="str">
        <f>"3/386"</f>
        <v>3/386</v>
      </c>
      <c r="G173" s="3" t="str">
        <f>"68/8106"</f>
        <v>68/8106</v>
      </c>
      <c r="H173" s="3">
        <v>0.63526292446659505</v>
      </c>
      <c r="I173" s="3">
        <v>0.87353754685556495</v>
      </c>
      <c r="J173" s="3" t="str">
        <f>"ADH1B, ADH1C, RDH16"</f>
        <v>ADH1B, ADH1C, RDH16</v>
      </c>
    </row>
    <row r="174" spans="1:10">
      <c r="A174" s="3" t="str">
        <f>"hsa04664"</f>
        <v>hsa04664</v>
      </c>
      <c r="B174" s="2" t="str">
        <f>"Fc epsilon RI signaling pathway"</f>
        <v>Fc epsilon RI signaling pathway</v>
      </c>
      <c r="C174" s="3">
        <v>3</v>
      </c>
      <c r="D174" s="3">
        <v>4.4117647058823498E-2</v>
      </c>
      <c r="E174" s="3">
        <v>0.99999946786478</v>
      </c>
      <c r="F174" s="3" t="str">
        <f>"3/386"</f>
        <v>3/386</v>
      </c>
      <c r="G174" s="3" t="str">
        <f>"68/8106"</f>
        <v>68/8106</v>
      </c>
      <c r="H174" s="3">
        <v>0.63526292446659505</v>
      </c>
      <c r="I174" s="3">
        <v>0.87353754685556495</v>
      </c>
      <c r="J174" s="3" t="str">
        <f>"INPP5D, PRKCA, RAC3"</f>
        <v>INPP5D, PRKCA, RAC3</v>
      </c>
    </row>
    <row r="175" spans="1:10">
      <c r="A175" s="3" t="str">
        <f>"hsa04371"</f>
        <v>hsa04371</v>
      </c>
      <c r="B175" s="2" t="str">
        <f>"Apelin signaling pathway"</f>
        <v>Apelin signaling pathway</v>
      </c>
      <c r="C175" s="3">
        <v>6</v>
      </c>
      <c r="D175" s="3">
        <v>4.3795620437956199E-2</v>
      </c>
      <c r="E175" s="3">
        <v>0.99999946786478</v>
      </c>
      <c r="F175" s="3" t="str">
        <f>"6/386"</f>
        <v>6/386</v>
      </c>
      <c r="G175" s="3" t="str">
        <f>"137/8106"</f>
        <v>137/8106</v>
      </c>
      <c r="H175" s="3">
        <v>0.64166019725167101</v>
      </c>
      <c r="I175" s="3">
        <v>0.87353754685556495</v>
      </c>
      <c r="J175" s="3" t="str">
        <f>"GNG4, MYLK, NOS1, PPARGC1A, RYR2, SLC8A1"</f>
        <v>GNG4, MYLK, NOS1, PPARGC1A, RYR2, SLC8A1</v>
      </c>
    </row>
    <row r="176" spans="1:10">
      <c r="A176" s="3" t="str">
        <f>"hsa04910"</f>
        <v>hsa04910</v>
      </c>
      <c r="B176" s="2" t="str">
        <f>"Insulin signaling pathway"</f>
        <v>Insulin signaling pathway</v>
      </c>
      <c r="C176" s="3">
        <v>6</v>
      </c>
      <c r="D176" s="3">
        <v>4.3795620437956199E-2</v>
      </c>
      <c r="E176" s="3">
        <v>0.99999946786478</v>
      </c>
      <c r="F176" s="3" t="str">
        <f>"6/386"</f>
        <v>6/386</v>
      </c>
      <c r="G176" s="3" t="str">
        <f>"137/8106"</f>
        <v>137/8106</v>
      </c>
      <c r="H176" s="3">
        <v>0.64166019725167101</v>
      </c>
      <c r="I176" s="3">
        <v>0.87353754685556495</v>
      </c>
      <c r="J176" s="3" t="str">
        <f>"FASN, FBP1, GCK, PPARGC1A, PPP1R3C, PRKAR2B"</f>
        <v>FASN, FBP1, GCK, PPARGC1A, PPP1R3C, PRKAR2B</v>
      </c>
    </row>
    <row r="177" spans="1:10">
      <c r="A177" s="3" t="str">
        <f>"hsa04930"</f>
        <v>hsa04930</v>
      </c>
      <c r="B177" s="2" t="str">
        <f>"Type II diabetes mellitus"</f>
        <v>Type II diabetes mellitus</v>
      </c>
      <c r="C177" s="3">
        <v>2</v>
      </c>
      <c r="D177" s="3">
        <v>4.3478260869565202E-2</v>
      </c>
      <c r="E177" s="3">
        <v>0.99999946786478</v>
      </c>
      <c r="F177" s="3" t="str">
        <f>"2/386"</f>
        <v>2/386</v>
      </c>
      <c r="G177" s="3" t="str">
        <f>"46/8106"</f>
        <v>46/8106</v>
      </c>
      <c r="H177" s="3">
        <v>0.65102524559019204</v>
      </c>
      <c r="I177" s="3">
        <v>0.87353754685556495</v>
      </c>
      <c r="J177" s="3" t="str">
        <f>"CACNA1A, GCK"</f>
        <v>CACNA1A, GCK</v>
      </c>
    </row>
    <row r="178" spans="1:10">
      <c r="A178" s="3" t="str">
        <f>"hsa04912"</f>
        <v>hsa04912</v>
      </c>
      <c r="B178" s="2" t="str">
        <f>"GnRH signaling pathway"</f>
        <v>GnRH signaling pathway</v>
      </c>
      <c r="C178" s="3">
        <v>4</v>
      </c>
      <c r="D178" s="3">
        <v>4.3010752688171998E-2</v>
      </c>
      <c r="E178" s="3">
        <v>0.99999946786478</v>
      </c>
      <c r="F178" s="3" t="str">
        <f>"4/386"</f>
        <v>4/386</v>
      </c>
      <c r="G178" s="3" t="str">
        <f>"93/8106"</f>
        <v>93/8106</v>
      </c>
      <c r="H178" s="3">
        <v>0.65294308670543</v>
      </c>
      <c r="I178" s="3">
        <v>0.87353754685556495</v>
      </c>
      <c r="J178" s="3" t="str">
        <f>"MMP14, PLD1, PRKCA, PRKCB"</f>
        <v>MMP14, PLD1, PRKCA, PRKCB</v>
      </c>
    </row>
    <row r="179" spans="1:10">
      <c r="A179" s="3" t="str">
        <f>"hsa05323"</f>
        <v>hsa05323</v>
      </c>
      <c r="B179" s="2" t="str">
        <f>"Rheumatoid arthritis"</f>
        <v>Rheumatoid arthritis</v>
      </c>
      <c r="C179" s="3">
        <v>4</v>
      </c>
      <c r="D179" s="3">
        <v>4.3010752688171998E-2</v>
      </c>
      <c r="E179" s="3">
        <v>0.99999946786478</v>
      </c>
      <c r="F179" s="3" t="str">
        <f>"4/386"</f>
        <v>4/386</v>
      </c>
      <c r="G179" s="3" t="str">
        <f>"93/8106"</f>
        <v>93/8106</v>
      </c>
      <c r="H179" s="3">
        <v>0.65294308670543</v>
      </c>
      <c r="I179" s="3">
        <v>0.87353754685556495</v>
      </c>
      <c r="J179" s="3" t="str">
        <f>"ANGPT1, CXCL12, HLA-DRB4, TGFB3"</f>
        <v>ANGPT1, CXCL12, HLA-DRB4, TGFB3</v>
      </c>
    </row>
    <row r="180" spans="1:10">
      <c r="A180" s="3" t="str">
        <f>"hsa00900"</f>
        <v>hsa00900</v>
      </c>
      <c r="B180" s="2" t="str">
        <f>"Terpenoid backbone biosynthesis"</f>
        <v>Terpenoid backbone biosynthesis</v>
      </c>
      <c r="C180" s="3">
        <v>1</v>
      </c>
      <c r="D180" s="3">
        <v>4.5454545454545497E-2</v>
      </c>
      <c r="E180" s="3">
        <v>0.99999946786478</v>
      </c>
      <c r="F180" s="3" t="str">
        <f>"1/386"</f>
        <v>1/386</v>
      </c>
      <c r="G180" s="3" t="str">
        <f>"22/8106"</f>
        <v>22/8106</v>
      </c>
      <c r="H180" s="3">
        <v>0.65863775721099505</v>
      </c>
      <c r="I180" s="3">
        <v>0.87353754685556495</v>
      </c>
      <c r="J180" s="3" t="str">
        <f>"HMGCS2"</f>
        <v>HMGCS2</v>
      </c>
    </row>
    <row r="181" spans="1:10">
      <c r="A181" s="3" t="str">
        <f>"hsa04973"</f>
        <v>hsa04973</v>
      </c>
      <c r="B181" s="2" t="str">
        <f>"Carbohydrate digestion and absorption"</f>
        <v>Carbohydrate digestion and absorption</v>
      </c>
      <c r="C181" s="3">
        <v>2</v>
      </c>
      <c r="D181" s="3">
        <v>4.2553191489361701E-2</v>
      </c>
      <c r="E181" s="3">
        <v>0.99999946786478</v>
      </c>
      <c r="F181" s="3" t="str">
        <f>"2/386"</f>
        <v>2/386</v>
      </c>
      <c r="G181" s="3" t="str">
        <f>"47/8106"</f>
        <v>47/8106</v>
      </c>
      <c r="H181" s="3">
        <v>0.66266386311747505</v>
      </c>
      <c r="I181" s="3">
        <v>0.87353754685556495</v>
      </c>
      <c r="J181" s="3" t="str">
        <f>"ATP1A2, PRKCB"</f>
        <v>ATP1A2, PRKCB</v>
      </c>
    </row>
    <row r="182" spans="1:10">
      <c r="A182" s="3" t="str">
        <f>"hsa05223"</f>
        <v>hsa05223</v>
      </c>
      <c r="B182" s="2" t="str">
        <f>"Non-small cell lung cancer"</f>
        <v>Non-small cell lung cancer</v>
      </c>
      <c r="C182" s="3">
        <v>3</v>
      </c>
      <c r="D182" s="3">
        <v>4.1666666666666699E-2</v>
      </c>
      <c r="E182" s="3">
        <v>0.99999946786478</v>
      </c>
      <c r="F182" s="3" t="str">
        <f>"3/386"</f>
        <v>3/386</v>
      </c>
      <c r="G182" s="3" t="str">
        <f>"72/8106"</f>
        <v>72/8106</v>
      </c>
      <c r="H182" s="3">
        <v>0.67357966705609396</v>
      </c>
      <c r="I182" s="3">
        <v>0.87353754685556495</v>
      </c>
      <c r="J182" s="3" t="str">
        <f>"EGF, PRKCA, PRKCB"</f>
        <v>EGF, PRKCA, PRKCB</v>
      </c>
    </row>
    <row r="183" spans="1:10">
      <c r="A183" s="3" t="str">
        <f>"hsa04071"</f>
        <v>hsa04071</v>
      </c>
      <c r="B183" s="2" t="str">
        <f>"Sphingolipid signaling pathway"</f>
        <v>Sphingolipid signaling pathway</v>
      </c>
      <c r="C183" s="3">
        <v>5</v>
      </c>
      <c r="D183" s="3">
        <v>4.20168067226891E-2</v>
      </c>
      <c r="E183" s="3">
        <v>0.99999946786478</v>
      </c>
      <c r="F183" s="3" t="str">
        <f>"5/386"</f>
        <v>5/386</v>
      </c>
      <c r="G183" s="3" t="str">
        <f>"119/8106"</f>
        <v>119/8106</v>
      </c>
      <c r="H183" s="3">
        <v>0.67572297932939696</v>
      </c>
      <c r="I183" s="3">
        <v>0.87353754685556495</v>
      </c>
      <c r="J183" s="3" t="str">
        <f>"PLD1, PRKCA, PRKCB, RAC3, S1PR3"</f>
        <v>PLD1, PRKCA, PRKCB, RAC3, S1PR3</v>
      </c>
    </row>
    <row r="184" spans="1:10">
      <c r="A184" s="3" t="str">
        <f>"hsa05017"</f>
        <v>hsa05017</v>
      </c>
      <c r="B184" s="2" t="str">
        <f>"Spinocerebellar ataxia"</f>
        <v>Spinocerebellar ataxia</v>
      </c>
      <c r="C184" s="3">
        <v>6</v>
      </c>
      <c r="D184" s="3">
        <v>4.1958041958042001E-2</v>
      </c>
      <c r="E184" s="3">
        <v>0.99999946786478</v>
      </c>
      <c r="F184" s="3" t="str">
        <f>"6/386"</f>
        <v>6/386</v>
      </c>
      <c r="G184" s="3" t="str">
        <f>"143/8106"</f>
        <v>143/8106</v>
      </c>
      <c r="H184" s="3">
        <v>0.68241261393362995</v>
      </c>
      <c r="I184" s="3">
        <v>0.87353754685556495</v>
      </c>
      <c r="J184" s="3" t="str">
        <f>"CACNA1A, DAB1, FGF14, GRIA3, PRKCA, PRKCB"</f>
        <v>CACNA1A, DAB1, FGF14, GRIA3, PRKCA, PRKCB</v>
      </c>
    </row>
    <row r="185" spans="1:10">
      <c r="A185" s="3" t="str">
        <f>"hsa00270"</f>
        <v>hsa00270</v>
      </c>
      <c r="B185" s="2" t="str">
        <f>"Cysteine and methionine metabolism"</f>
        <v>Cysteine and methionine metabolism</v>
      </c>
      <c r="C185" s="3">
        <v>2</v>
      </c>
      <c r="D185" s="3">
        <v>0.04</v>
      </c>
      <c r="E185" s="3">
        <v>0.99999946786478</v>
      </c>
      <c r="F185" s="3" t="str">
        <f>"2/386"</f>
        <v>2/386</v>
      </c>
      <c r="G185" s="3" t="str">
        <f>"50/8106"</f>
        <v>50/8106</v>
      </c>
      <c r="H185" s="3">
        <v>0.69571204005987197</v>
      </c>
      <c r="I185" s="3">
        <v>0.87353754685556495</v>
      </c>
      <c r="J185" s="3" t="str">
        <f>"AMD1, BHMT2"</f>
        <v>AMD1, BHMT2</v>
      </c>
    </row>
    <row r="186" spans="1:10">
      <c r="A186" s="3" t="str">
        <f>"hsa04979"</f>
        <v>hsa04979</v>
      </c>
      <c r="B186" s="2" t="str">
        <f>"Cholesterol metabolism"</f>
        <v>Cholesterol metabolism</v>
      </c>
      <c r="C186" s="3">
        <v>2</v>
      </c>
      <c r="D186" s="3">
        <v>0.04</v>
      </c>
      <c r="E186" s="3">
        <v>0.99999946786478</v>
      </c>
      <c r="F186" s="3" t="str">
        <f>"2/386"</f>
        <v>2/386</v>
      </c>
      <c r="G186" s="3" t="str">
        <f>"50/8106"</f>
        <v>50/8106</v>
      </c>
      <c r="H186" s="3">
        <v>0.69571204005987197</v>
      </c>
      <c r="I186" s="3">
        <v>0.87353754685556495</v>
      </c>
      <c r="J186" s="3" t="str">
        <f>"LCAT, SOAT1"</f>
        <v>LCAT, SOAT1</v>
      </c>
    </row>
    <row r="187" spans="1:10">
      <c r="A187" s="3" t="str">
        <f>"hsa05144"</f>
        <v>hsa05144</v>
      </c>
      <c r="B187" s="2" t="str">
        <f>"Malaria"</f>
        <v>Malaria</v>
      </c>
      <c r="C187" s="3">
        <v>2</v>
      </c>
      <c r="D187" s="3">
        <v>0.04</v>
      </c>
      <c r="E187" s="3">
        <v>0.99999946786478</v>
      </c>
      <c r="F187" s="3" t="str">
        <f>"2/386"</f>
        <v>2/386</v>
      </c>
      <c r="G187" s="3" t="str">
        <f>"50/8106"</f>
        <v>50/8106</v>
      </c>
      <c r="H187" s="3">
        <v>0.69571204005987197</v>
      </c>
      <c r="I187" s="3">
        <v>0.87353754685556495</v>
      </c>
      <c r="J187" s="3" t="str">
        <f>"TGFB3, THBS4"</f>
        <v>TGFB3, THBS4</v>
      </c>
    </row>
    <row r="188" spans="1:10">
      <c r="A188" s="3" t="str">
        <f>"hsa04530"</f>
        <v>hsa04530</v>
      </c>
      <c r="B188" s="2" t="str">
        <f>"Tight junction"</f>
        <v>Tight junction</v>
      </c>
      <c r="C188" s="3">
        <v>7</v>
      </c>
      <c r="D188" s="3">
        <v>4.1420118343195297E-2</v>
      </c>
      <c r="E188" s="3">
        <v>0.99999946786478</v>
      </c>
      <c r="F188" s="3" t="str">
        <f>"7/386"</f>
        <v>7/386</v>
      </c>
      <c r="G188" s="3" t="str">
        <f>"169/8106"</f>
        <v>169/8106</v>
      </c>
      <c r="H188" s="3">
        <v>0.70103653287457102</v>
      </c>
      <c r="I188" s="3">
        <v>0.87353754685556495</v>
      </c>
      <c r="J188" s="3" t="str">
        <f>"CLDN3, CLDN4, CLDN7, CLDN8, JAM3, MYH11, NEDD4L"</f>
        <v>CLDN3, CLDN4, CLDN7, CLDN8, JAM3, MYH11, NEDD4L</v>
      </c>
    </row>
    <row r="189" spans="1:10">
      <c r="A189" s="3" t="str">
        <f>"hsa04062"</f>
        <v>hsa04062</v>
      </c>
      <c r="B189" s="2" t="str">
        <f>"Chemokine signaling pathway"</f>
        <v>Chemokine signaling pathway</v>
      </c>
      <c r="C189" s="3">
        <v>8</v>
      </c>
      <c r="D189" s="3">
        <v>4.1666666666666699E-2</v>
      </c>
      <c r="E189" s="3">
        <v>0.99999946786478</v>
      </c>
      <c r="F189" s="3" t="str">
        <f>"8/386"</f>
        <v>8/386</v>
      </c>
      <c r="G189" s="3" t="str">
        <f>"192/8106"</f>
        <v>192/8106</v>
      </c>
      <c r="H189" s="3">
        <v>0.70140590217141197</v>
      </c>
      <c r="I189" s="3">
        <v>0.87353754685556495</v>
      </c>
      <c r="J189" s="3" t="str">
        <f>"CCL21, CX3CR1, CXCL12, CXCL13, CXCR3, GNG4, PRKCB, RAC3"</f>
        <v>CCL21, CX3CR1, CXCL12, CXCL13, CXCR3, GNG4, PRKCB, RAC3</v>
      </c>
    </row>
    <row r="190" spans="1:10">
      <c r="A190" s="3" t="str">
        <f>"hsa00592"</f>
        <v>hsa00592</v>
      </c>
      <c r="B190" s="2" t="str">
        <f>"alpha-Linolenic acid metabolism"</f>
        <v>alpha-Linolenic acid metabolism</v>
      </c>
      <c r="C190" s="3">
        <v>1</v>
      </c>
      <c r="D190" s="3">
        <v>0.04</v>
      </c>
      <c r="E190" s="3">
        <v>0.99999946786478</v>
      </c>
      <c r="F190" s="3" t="str">
        <f>"1/386"</f>
        <v>1/386</v>
      </c>
      <c r="G190" s="3" t="str">
        <f>"25/8106"</f>
        <v>25/8106</v>
      </c>
      <c r="H190" s="3">
        <v>0.70524430436513397</v>
      </c>
      <c r="I190" s="3">
        <v>0.87353754685556495</v>
      </c>
      <c r="J190" s="3" t="str">
        <f>"PLA2G2A"</f>
        <v>PLA2G2A</v>
      </c>
    </row>
    <row r="191" spans="1:10">
      <c r="A191" s="3" t="str">
        <f>"hsa04913"</f>
        <v>hsa04913</v>
      </c>
      <c r="B191" s="2" t="str">
        <f>"Ovarian steroidogenesis"</f>
        <v>Ovarian steroidogenesis</v>
      </c>
      <c r="C191" s="3">
        <v>2</v>
      </c>
      <c r="D191" s="3">
        <v>3.9215686274509803E-2</v>
      </c>
      <c r="E191" s="3">
        <v>0.99999946786478</v>
      </c>
      <c r="F191" s="3" t="str">
        <f>"2/386"</f>
        <v>2/386</v>
      </c>
      <c r="G191" s="3" t="str">
        <f>"51/8106"</f>
        <v>51/8106</v>
      </c>
      <c r="H191" s="3">
        <v>0.706118099456851</v>
      </c>
      <c r="I191" s="3">
        <v>0.87353754685556495</v>
      </c>
      <c r="J191" s="3" t="str">
        <f>"CYP11A1, IGF1"</f>
        <v>CYP11A1, IGF1</v>
      </c>
    </row>
    <row r="192" spans="1:10">
      <c r="A192" s="3" t="str">
        <f>"hsa04914"</f>
        <v>hsa04914</v>
      </c>
      <c r="B192" s="2" t="str">
        <f>"Progesterone-mediated oocyte maturation"</f>
        <v>Progesterone-mediated oocyte maturation</v>
      </c>
      <c r="C192" s="3">
        <v>4</v>
      </c>
      <c r="D192" s="3">
        <v>0.04</v>
      </c>
      <c r="E192" s="3">
        <v>0.99999946786478</v>
      </c>
      <c r="F192" s="3" t="str">
        <f>"4/386"</f>
        <v>4/386</v>
      </c>
      <c r="G192" s="3" t="str">
        <f>"100/8106"</f>
        <v>100/8106</v>
      </c>
      <c r="H192" s="3">
        <v>0.70822741159700497</v>
      </c>
      <c r="I192" s="3">
        <v>0.87353754685556495</v>
      </c>
      <c r="J192" s="3" t="str">
        <f>"CPEB1, IGF1, PGR, STK10"</f>
        <v>CPEB1, IGF1, PGR, STK10</v>
      </c>
    </row>
    <row r="193" spans="1:10">
      <c r="A193" s="3" t="str">
        <f>"hsa04611"</f>
        <v>hsa04611</v>
      </c>
      <c r="B193" s="2" t="str">
        <f>"Platelet activation"</f>
        <v>Platelet activation</v>
      </c>
      <c r="C193" s="3">
        <v>5</v>
      </c>
      <c r="D193" s="3">
        <v>4.0322580645161303E-2</v>
      </c>
      <c r="E193" s="3">
        <v>0.99999946786478</v>
      </c>
      <c r="F193" s="3" t="str">
        <f>"5/386"</f>
        <v>5/386</v>
      </c>
      <c r="G193" s="3" t="str">
        <f>"124/8106"</f>
        <v>124/8106</v>
      </c>
      <c r="H193" s="3">
        <v>0.710424535727888</v>
      </c>
      <c r="I193" s="3">
        <v>0.87353754685556495</v>
      </c>
      <c r="J193" s="3" t="str">
        <f>"COL1A2, MYLK, P2RY12, PRKG1, PTGS1"</f>
        <v>COL1A2, MYLK, P2RY12, PRKG1, PTGS1</v>
      </c>
    </row>
    <row r="194" spans="1:10">
      <c r="A194" s="3" t="str">
        <f>"hsa05100"</f>
        <v>hsa05100</v>
      </c>
      <c r="B194" s="2" t="str">
        <f>"Bacterial invasion of epithelial cells"</f>
        <v>Bacterial invasion of epithelial cells</v>
      </c>
      <c r="C194" s="3">
        <v>3</v>
      </c>
      <c r="D194" s="3">
        <v>3.8961038961039002E-2</v>
      </c>
      <c r="E194" s="3">
        <v>0.99999946786478</v>
      </c>
      <c r="F194" s="3" t="str">
        <f>"3/386"</f>
        <v>3/386</v>
      </c>
      <c r="G194" s="3" t="str">
        <f>"77/8106"</f>
        <v>77/8106</v>
      </c>
      <c r="H194" s="3">
        <v>0.71720735220066301</v>
      </c>
      <c r="I194" s="3">
        <v>0.87353754685556495</v>
      </c>
      <c r="J194" s="3" t="str">
        <f>"CAV1, CAV2, VCL"</f>
        <v>CAV1, CAV2, VCL</v>
      </c>
    </row>
    <row r="195" spans="1:10">
      <c r="A195" s="3" t="str">
        <f>"hsa00983"</f>
        <v>hsa00983</v>
      </c>
      <c r="B195" s="2" t="str">
        <f>"Drug metabolism - other enzymes"</f>
        <v>Drug metabolism - other enzymes</v>
      </c>
      <c r="C195" s="3">
        <v>3</v>
      </c>
      <c r="D195" s="3">
        <v>3.7499999999999999E-2</v>
      </c>
      <c r="E195" s="3">
        <v>0.99999946786478</v>
      </c>
      <c r="F195" s="3" t="str">
        <f>"3/386"</f>
        <v>3/386</v>
      </c>
      <c r="G195" s="3" t="str">
        <f>"80/8106"</f>
        <v>80/8106</v>
      </c>
      <c r="H195" s="3">
        <v>0.74114211183535805</v>
      </c>
      <c r="I195" s="3">
        <v>0.87353754685556495</v>
      </c>
      <c r="J195" s="3" t="str">
        <f>"CES1, GSTM5, NAT2"</f>
        <v>CES1, GSTM5, NAT2</v>
      </c>
    </row>
    <row r="196" spans="1:10">
      <c r="A196" s="3" t="str">
        <f>"hsa04662"</f>
        <v>hsa04662</v>
      </c>
      <c r="B196" s="2" t="str">
        <f>"B cell receptor signaling pathway"</f>
        <v>B cell receptor signaling pathway</v>
      </c>
      <c r="C196" s="3">
        <v>3</v>
      </c>
      <c r="D196" s="3">
        <v>3.65853658536585E-2</v>
      </c>
      <c r="E196" s="3">
        <v>0.99999946786478</v>
      </c>
      <c r="F196" s="3" t="str">
        <f>"3/386"</f>
        <v>3/386</v>
      </c>
      <c r="G196" s="3" t="str">
        <f>"82/8106"</f>
        <v>82/8106</v>
      </c>
      <c r="H196" s="3">
        <v>0.75618789081514903</v>
      </c>
      <c r="I196" s="3">
        <v>0.87353754685556495</v>
      </c>
      <c r="J196" s="3" t="str">
        <f>"INPP5D, PRKCB, RAC3"</f>
        <v>INPP5D, PRKCB, RAC3</v>
      </c>
    </row>
    <row r="197" spans="1:10">
      <c r="A197" s="3" t="str">
        <f>"hsa04922"</f>
        <v>hsa04922</v>
      </c>
      <c r="B197" s="2" t="str">
        <f>"Glucagon signaling pathway"</f>
        <v>Glucagon signaling pathway</v>
      </c>
      <c r="C197" s="3">
        <v>4</v>
      </c>
      <c r="D197" s="3">
        <v>3.7383177570093497E-2</v>
      </c>
      <c r="E197" s="3">
        <v>0.99999946786478</v>
      </c>
      <c r="F197" s="3" t="str">
        <f>"4/386"</f>
        <v>4/386</v>
      </c>
      <c r="G197" s="3" t="str">
        <f>"107/8106"</f>
        <v>107/8106</v>
      </c>
      <c r="H197" s="3">
        <v>0.75683657239187896</v>
      </c>
      <c r="I197" s="3">
        <v>0.87353754685556495</v>
      </c>
      <c r="J197" s="3" t="str">
        <f>"CREB3L4, FBP1, GCK, PPARGC1A"</f>
        <v>CREB3L4, FBP1, GCK, PPARGC1A</v>
      </c>
    </row>
    <row r="198" spans="1:10">
      <c r="A198" s="3" t="str">
        <f>"hsa00591"</f>
        <v>hsa00591</v>
      </c>
      <c r="B198" s="2" t="str">
        <f>"Linoleic acid metabolism"</f>
        <v>Linoleic acid metabolism</v>
      </c>
      <c r="C198" s="3">
        <v>1</v>
      </c>
      <c r="D198" s="3">
        <v>3.4482758620689703E-2</v>
      </c>
      <c r="E198" s="3">
        <v>0.99999946786478</v>
      </c>
      <c r="F198" s="3" t="str">
        <f>"1/386"</f>
        <v>1/386</v>
      </c>
      <c r="G198" s="3" t="str">
        <f>"29/8106"</f>
        <v>29/8106</v>
      </c>
      <c r="H198" s="3">
        <v>0.75766279454180996</v>
      </c>
      <c r="I198" s="3">
        <v>0.87353754685556495</v>
      </c>
      <c r="J198" s="3" t="str">
        <f>"PLA2G2A"</f>
        <v>PLA2G2A</v>
      </c>
    </row>
    <row r="199" spans="1:10">
      <c r="A199" s="3" t="str">
        <f>"hsa04744"</f>
        <v>hsa04744</v>
      </c>
      <c r="B199" s="2" t="str">
        <f>"Phototransduction"</f>
        <v>Phototransduction</v>
      </c>
      <c r="C199" s="3">
        <v>1</v>
      </c>
      <c r="D199" s="3">
        <v>3.4482758620689703E-2</v>
      </c>
      <c r="E199" s="3">
        <v>0.99999946786478</v>
      </c>
      <c r="F199" s="3" t="str">
        <f>"1/386"</f>
        <v>1/386</v>
      </c>
      <c r="G199" s="3" t="str">
        <f>"29/8106"</f>
        <v>29/8106</v>
      </c>
      <c r="H199" s="3">
        <v>0.75766279454180996</v>
      </c>
      <c r="I199" s="3">
        <v>0.87353754685556495</v>
      </c>
      <c r="J199" s="3" t="str">
        <f>"RGS9"</f>
        <v>RGS9</v>
      </c>
    </row>
    <row r="200" spans="1:10">
      <c r="A200" s="3" t="str">
        <f>"hsa04144"</f>
        <v>hsa04144</v>
      </c>
      <c r="B200" s="2" t="str">
        <f>"Endocytosis"</f>
        <v>Endocytosis</v>
      </c>
      <c r="C200" s="3">
        <v>10</v>
      </c>
      <c r="D200" s="3">
        <v>3.9682539682539701E-2</v>
      </c>
      <c r="E200" s="3">
        <v>0.99999946786478</v>
      </c>
      <c r="F200" s="3" t="str">
        <f>"10/386"</f>
        <v>10/386</v>
      </c>
      <c r="G200" s="3" t="str">
        <f>"252/8106"</f>
        <v>252/8106</v>
      </c>
      <c r="H200" s="3">
        <v>0.76812259744363498</v>
      </c>
      <c r="I200" s="3">
        <v>0.87353754685556495</v>
      </c>
      <c r="J200" s="3" t="str">
        <f>"CAV1, CAV2, CBLC, EHD2, EPN3, FGFR2, FGFR4, NEDD4L, PLD1, SH3GL2"</f>
        <v>CAV1, CAV2, CBLC, EHD2, EPN3, FGFR2, FGFR4, NEDD4L, PLD1, SH3GL2</v>
      </c>
    </row>
    <row r="201" spans="1:10">
      <c r="A201" s="3" t="str">
        <f>"hsa00020"</f>
        <v>hsa00020</v>
      </c>
      <c r="B201" s="2" t="str">
        <f>"Citrate cycle (TCA cycle)"</f>
        <v>Citrate cycle (TCA cycle)</v>
      </c>
      <c r="C201" s="3">
        <v>1</v>
      </c>
      <c r="D201" s="3">
        <v>3.3333333333333298E-2</v>
      </c>
      <c r="E201" s="3">
        <v>0.99999946786478</v>
      </c>
      <c r="F201" s="3" t="str">
        <f>"1/386"</f>
        <v>1/386</v>
      </c>
      <c r="G201" s="3" t="str">
        <f>"30/8106"</f>
        <v>30/8106</v>
      </c>
      <c r="H201" s="3">
        <v>0.76924409469123001</v>
      </c>
      <c r="I201" s="3">
        <v>0.87353754685556495</v>
      </c>
      <c r="J201" s="3" t="str">
        <f>"IDH3A"</f>
        <v>IDH3A</v>
      </c>
    </row>
    <row r="202" spans="1:10">
      <c r="A202" s="3" t="str">
        <f>"hsa00053"</f>
        <v>hsa00053</v>
      </c>
      <c r="B202" s="2" t="str">
        <f>"Ascorbate and aldarate metabolism"</f>
        <v>Ascorbate and aldarate metabolism</v>
      </c>
      <c r="C202" s="3">
        <v>1</v>
      </c>
      <c r="D202" s="3">
        <v>3.3333333333333298E-2</v>
      </c>
      <c r="E202" s="3">
        <v>0.99999946786478</v>
      </c>
      <c r="F202" s="3" t="str">
        <f>"1/386"</f>
        <v>1/386</v>
      </c>
      <c r="G202" s="3" t="str">
        <f>"30/8106"</f>
        <v>30/8106</v>
      </c>
      <c r="H202" s="3">
        <v>0.76924409469123001</v>
      </c>
      <c r="I202" s="3">
        <v>0.87353754685556495</v>
      </c>
      <c r="J202" s="3" t="str">
        <f>"RGN"</f>
        <v>RGN</v>
      </c>
    </row>
    <row r="203" spans="1:10">
      <c r="A203" s="3" t="str">
        <f>"hsa00410"</f>
        <v>hsa00410</v>
      </c>
      <c r="B203" s="2" t="str">
        <f>"beta-Alanine metabolism"</f>
        <v>beta-Alanine metabolism</v>
      </c>
      <c r="C203" s="3">
        <v>1</v>
      </c>
      <c r="D203" s="3">
        <v>3.3333333333333298E-2</v>
      </c>
      <c r="E203" s="3">
        <v>0.99999946786478</v>
      </c>
      <c r="F203" s="3" t="str">
        <f>"1/386"</f>
        <v>1/386</v>
      </c>
      <c r="G203" s="3" t="str">
        <f>"30/8106"</f>
        <v>30/8106</v>
      </c>
      <c r="H203" s="3">
        <v>0.76924409469123001</v>
      </c>
      <c r="I203" s="3">
        <v>0.87353754685556495</v>
      </c>
      <c r="J203" s="3" t="str">
        <f>"ALDH3B2"</f>
        <v>ALDH3B2</v>
      </c>
    </row>
    <row r="204" spans="1:10">
      <c r="A204" s="3" t="str">
        <f>"hsa00630"</f>
        <v>hsa00630</v>
      </c>
      <c r="B204" s="2" t="str">
        <f>"Glyoxylate and dicarboxylate metabolism"</f>
        <v>Glyoxylate and dicarboxylate metabolism</v>
      </c>
      <c r="C204" s="3">
        <v>1</v>
      </c>
      <c r="D204" s="3">
        <v>3.3333333333333298E-2</v>
      </c>
      <c r="E204" s="3">
        <v>0.99999946786478</v>
      </c>
      <c r="F204" s="3" t="str">
        <f>"1/386"</f>
        <v>1/386</v>
      </c>
      <c r="G204" s="3" t="str">
        <f>"30/8106"</f>
        <v>30/8106</v>
      </c>
      <c r="H204" s="3">
        <v>0.76924409469123001</v>
      </c>
      <c r="I204" s="3">
        <v>0.87353754685556495</v>
      </c>
      <c r="J204" s="3" t="str">
        <f>"HOGA1"</f>
        <v>HOGA1</v>
      </c>
    </row>
    <row r="205" spans="1:10">
      <c r="A205" s="3" t="str">
        <f>"hsa05213"</f>
        <v>hsa05213</v>
      </c>
      <c r="B205" s="2" t="str">
        <f>"Endometrial cancer"</f>
        <v>Endometrial cancer</v>
      </c>
      <c r="C205" s="3">
        <v>2</v>
      </c>
      <c r="D205" s="3">
        <v>3.4482758620689703E-2</v>
      </c>
      <c r="E205" s="3">
        <v>0.99999946786478</v>
      </c>
      <c r="F205" s="3" t="str">
        <f>"2/386"</f>
        <v>2/386</v>
      </c>
      <c r="G205" s="3" t="str">
        <f>"58/8106"</f>
        <v>58/8106</v>
      </c>
      <c r="H205" s="3">
        <v>0.77089685929940699</v>
      </c>
      <c r="I205" s="3">
        <v>0.87353754685556495</v>
      </c>
      <c r="J205" s="3" t="str">
        <f>"AXIN2, EGF"</f>
        <v>AXIN2, EGF</v>
      </c>
    </row>
    <row r="206" spans="1:10">
      <c r="A206" s="3" t="str">
        <f>"hsa00052"</f>
        <v>hsa00052</v>
      </c>
      <c r="B206" s="2" t="str">
        <f>"Galactose metabolism"</f>
        <v>Galactose metabolism</v>
      </c>
      <c r="C206" s="3">
        <v>1</v>
      </c>
      <c r="D206" s="3">
        <v>3.2258064516128997E-2</v>
      </c>
      <c r="E206" s="3">
        <v>0.99999946786478</v>
      </c>
      <c r="F206" s="3" t="str">
        <f>"1/386"</f>
        <v>1/386</v>
      </c>
      <c r="G206" s="3" t="str">
        <f>"31/8106"</f>
        <v>31/8106</v>
      </c>
      <c r="H206" s="3">
        <v>0.78027328976913801</v>
      </c>
      <c r="I206" s="3">
        <v>0.87353754685556495</v>
      </c>
      <c r="J206" s="3" t="str">
        <f>"GCK"</f>
        <v>GCK</v>
      </c>
    </row>
    <row r="207" spans="1:10">
      <c r="A207" s="3" t="str">
        <f>"hsa04710"</f>
        <v>hsa04710</v>
      </c>
      <c r="B207" s="2" t="str">
        <f>"Circadian rhythm"</f>
        <v>Circadian rhythm</v>
      </c>
      <c r="C207" s="3">
        <v>1</v>
      </c>
      <c r="D207" s="3">
        <v>3.2258064516128997E-2</v>
      </c>
      <c r="E207" s="3">
        <v>0.99999946786478</v>
      </c>
      <c r="F207" s="3" t="str">
        <f>"1/386"</f>
        <v>1/386</v>
      </c>
      <c r="G207" s="3" t="str">
        <f>"31/8106"</f>
        <v>31/8106</v>
      </c>
      <c r="H207" s="3">
        <v>0.78027328976913801</v>
      </c>
      <c r="I207" s="3">
        <v>0.87353754685556495</v>
      </c>
      <c r="J207" s="3" t="str">
        <f>"RORC"</f>
        <v>RORC</v>
      </c>
    </row>
    <row r="208" spans="1:10">
      <c r="A208" s="3" t="str">
        <f>"hsa04742"</f>
        <v>hsa04742</v>
      </c>
      <c r="B208" s="2" t="str">
        <f>"Taste transduction"</f>
        <v>Taste transduction</v>
      </c>
      <c r="C208" s="3">
        <v>3</v>
      </c>
      <c r="D208" s="3">
        <v>3.4883720930232599E-2</v>
      </c>
      <c r="E208" s="3">
        <v>0.99999946786478</v>
      </c>
      <c r="F208" s="3" t="str">
        <f>"3/386"</f>
        <v>3/386</v>
      </c>
      <c r="G208" s="3" t="str">
        <f>"86/8106"</f>
        <v>86/8106</v>
      </c>
      <c r="H208" s="3">
        <v>0.78416280961591001</v>
      </c>
      <c r="I208" s="3">
        <v>0.87353754685556495</v>
      </c>
      <c r="J208" s="3" t="str">
        <f>"CACNA1A, CHRM3, PDE1C"</f>
        <v>CACNA1A, CHRM3, PDE1C</v>
      </c>
    </row>
    <row r="209" spans="1:10">
      <c r="A209" s="3" t="str">
        <f>"hsa04130"</f>
        <v>hsa04130</v>
      </c>
      <c r="B209" s="2" t="str">
        <f>"SNARE interactions in vesicular transport"</f>
        <v>SNARE interactions in vesicular transport</v>
      </c>
      <c r="C209" s="3">
        <v>1</v>
      </c>
      <c r="D209" s="3">
        <v>3.03030303030303E-2</v>
      </c>
      <c r="E209" s="3">
        <v>0.99999946786478</v>
      </c>
      <c r="F209" s="3" t="str">
        <f>"1/386"</f>
        <v>1/386</v>
      </c>
      <c r="G209" s="3" t="str">
        <f>"33/8106"</f>
        <v>33/8106</v>
      </c>
      <c r="H209" s="3">
        <v>0.80077913889200303</v>
      </c>
      <c r="I209" s="3">
        <v>0.87353754685556495</v>
      </c>
      <c r="J209" s="3" t="str">
        <f>"STX19"</f>
        <v>STX19</v>
      </c>
    </row>
    <row r="210" spans="1:10">
      <c r="A210" s="3" t="str">
        <f>"hsa04613"</f>
        <v>hsa04613</v>
      </c>
      <c r="B210" s="2" t="str">
        <f>"Neutrophil extracellular trap formation"</f>
        <v>Neutrophil extracellular trap formation</v>
      </c>
      <c r="C210" s="3">
        <v>7</v>
      </c>
      <c r="D210" s="3">
        <v>3.6842105263157898E-2</v>
      </c>
      <c r="E210" s="3">
        <v>0.99999946786478</v>
      </c>
      <c r="F210" s="3" t="str">
        <f>"7/386"</f>
        <v>7/386</v>
      </c>
      <c r="G210" s="3" t="str">
        <f>"190/8106"</f>
        <v>190/8106</v>
      </c>
      <c r="H210" s="3">
        <v>0.80737045592544399</v>
      </c>
      <c r="I210" s="3">
        <v>0.87353754685556495</v>
      </c>
      <c r="J210" s="3" t="str">
        <f>"ELANE, H2AC17, H2AC8, H2AW, HDAC9, PRKCA, PRKCB"</f>
        <v>ELANE, H2AC17, H2AC8, H2AW, HDAC9, PRKCA, PRKCB</v>
      </c>
    </row>
    <row r="211" spans="1:10">
      <c r="A211" s="3" t="str">
        <f>"hsa00310"</f>
        <v>hsa00310</v>
      </c>
      <c r="B211" s="2" t="str">
        <f>"Lysine degradation"</f>
        <v>Lysine degradation</v>
      </c>
      <c r="C211" s="3">
        <v>2</v>
      </c>
      <c r="D211" s="3">
        <v>3.1746031746031703E-2</v>
      </c>
      <c r="E211" s="3">
        <v>0.99999946786478</v>
      </c>
      <c r="F211" s="3" t="str">
        <f>"2/386"</f>
        <v>2/386</v>
      </c>
      <c r="G211" s="3" t="str">
        <f>"63/8106"</f>
        <v>63/8106</v>
      </c>
      <c r="H211" s="3">
        <v>0.80922414146439003</v>
      </c>
      <c r="I211" s="3">
        <v>0.87353754685556495</v>
      </c>
      <c r="J211" s="3" t="str">
        <f>"COLGALT2, TMLHE"</f>
        <v>COLGALT2, TMLHE</v>
      </c>
    </row>
    <row r="212" spans="1:10">
      <c r="A212" s="3" t="str">
        <f>"hsa00040"</f>
        <v>hsa00040</v>
      </c>
      <c r="B212" s="2" t="str">
        <f>"Pentose and glucuronate interconversions"</f>
        <v>Pentose and glucuronate interconversions</v>
      </c>
      <c r="C212" s="3">
        <v>1</v>
      </c>
      <c r="D212" s="3">
        <v>2.9411764705882401E-2</v>
      </c>
      <c r="E212" s="3">
        <v>0.99999946786478</v>
      </c>
      <c r="F212" s="3" t="str">
        <f>"1/386"</f>
        <v>1/386</v>
      </c>
      <c r="G212" s="3" t="str">
        <f>"34/8106"</f>
        <v>34/8106</v>
      </c>
      <c r="H212" s="3">
        <v>0.810304625376295</v>
      </c>
      <c r="I212" s="3">
        <v>0.87353754685556495</v>
      </c>
      <c r="J212" s="3" t="str">
        <f>"DHDH"</f>
        <v>DHDH</v>
      </c>
    </row>
    <row r="213" spans="1:10">
      <c r="A213" s="3" t="str">
        <f>"hsa05222"</f>
        <v>hsa05222</v>
      </c>
      <c r="B213" s="2" t="str">
        <f>"Small cell lung cancer"</f>
        <v>Small cell lung cancer</v>
      </c>
      <c r="C213" s="3">
        <v>3</v>
      </c>
      <c r="D213" s="3">
        <v>3.2608695652173898E-2</v>
      </c>
      <c r="E213" s="3">
        <v>0.99999946786478</v>
      </c>
      <c r="F213" s="3" t="str">
        <f>"3/386"</f>
        <v>3/386</v>
      </c>
      <c r="G213" s="3" t="str">
        <f>"92/8106"</f>
        <v>92/8106</v>
      </c>
      <c r="H213" s="3">
        <v>0.82111049457547503</v>
      </c>
      <c r="I213" s="3">
        <v>0.87353754685556495</v>
      </c>
      <c r="J213" s="3" t="str">
        <f>"COL4A6, LAMA2, LAMB1"</f>
        <v>COL4A6, LAMA2, LAMB1</v>
      </c>
    </row>
    <row r="214" spans="1:10">
      <c r="A214" s="3" t="str">
        <f>"hsa04927"</f>
        <v>hsa04927</v>
      </c>
      <c r="B214" s="2" t="str">
        <f>"Cortisol synthesis and secretion"</f>
        <v>Cortisol synthesis and secretion</v>
      </c>
      <c r="C214" s="3">
        <v>2</v>
      </c>
      <c r="D214" s="3">
        <v>3.0769230769230799E-2</v>
      </c>
      <c r="E214" s="3">
        <v>0.99999946786478</v>
      </c>
      <c r="F214" s="3" t="str">
        <f>"2/386"</f>
        <v>2/386</v>
      </c>
      <c r="G214" s="3" t="str">
        <f>"65/8106"</f>
        <v>65/8106</v>
      </c>
      <c r="H214" s="3">
        <v>0.82288741956880995</v>
      </c>
      <c r="I214" s="3">
        <v>0.87353754685556495</v>
      </c>
      <c r="J214" s="3" t="str">
        <f>"CREB3L4, CYP11A1"</f>
        <v>CREB3L4, CYP11A1</v>
      </c>
    </row>
    <row r="215" spans="1:10">
      <c r="A215" s="3" t="str">
        <f>"hsa04722"</f>
        <v>hsa04722</v>
      </c>
      <c r="B215" s="2" t="str">
        <f>"Neurotrophin signaling pathway"</f>
        <v>Neurotrophin signaling pathway</v>
      </c>
      <c r="C215" s="3">
        <v>4</v>
      </c>
      <c r="D215" s="3">
        <v>3.3613445378151301E-2</v>
      </c>
      <c r="E215" s="3">
        <v>0.99999946786478</v>
      </c>
      <c r="F215" s="3" t="str">
        <f>"4/386"</f>
        <v>4/386</v>
      </c>
      <c r="G215" s="3" t="str">
        <f>"119/8106"</f>
        <v>119/8106</v>
      </c>
      <c r="H215" s="3">
        <v>0.82529854032303196</v>
      </c>
      <c r="I215" s="3">
        <v>0.87353754685556495</v>
      </c>
      <c r="J215" s="3" t="str">
        <f>"BDNF, IRAK3, NTRK1, NTRK3"</f>
        <v>BDNF, IRAK3, NTRK1, NTRK3</v>
      </c>
    </row>
    <row r="216" spans="1:10">
      <c r="A216" s="3" t="str">
        <f>"hsa04935"</f>
        <v>hsa04935</v>
      </c>
      <c r="B216" s="2" t="str">
        <f>"Growth hormone synthesis, secretion and action"</f>
        <v>Growth hormone synthesis, secretion and action</v>
      </c>
      <c r="C216" s="3">
        <v>4</v>
      </c>
      <c r="D216" s="3">
        <v>3.3613445378151301E-2</v>
      </c>
      <c r="E216" s="3">
        <v>0.99999946786478</v>
      </c>
      <c r="F216" s="3" t="str">
        <f>"4/386"</f>
        <v>4/386</v>
      </c>
      <c r="G216" s="3" t="str">
        <f>"119/8106"</f>
        <v>119/8106</v>
      </c>
      <c r="H216" s="3">
        <v>0.82529854032303196</v>
      </c>
      <c r="I216" s="3">
        <v>0.87353754685556495</v>
      </c>
      <c r="J216" s="3" t="str">
        <f>"CREB3L4, IGF1, PRKCA, PRKCB"</f>
        <v>CREB3L4, IGF1, PRKCA, PRKCB</v>
      </c>
    </row>
    <row r="217" spans="1:10">
      <c r="A217" s="3" t="str">
        <f>"hsa00500"</f>
        <v>hsa00500</v>
      </c>
      <c r="B217" s="2" t="str">
        <f>"Starch and sucrose metabolism"</f>
        <v>Starch and sucrose metabolism</v>
      </c>
      <c r="C217" s="3">
        <v>1</v>
      </c>
      <c r="D217" s="3">
        <v>2.7777777777777801E-2</v>
      </c>
      <c r="E217" s="3">
        <v>0.99999946786478</v>
      </c>
      <c r="F217" s="3" t="str">
        <f>"1/386"</f>
        <v>1/386</v>
      </c>
      <c r="G217" s="3" t="str">
        <f>"36/8106"</f>
        <v>36/8106</v>
      </c>
      <c r="H217" s="3">
        <v>0.82801423877711999</v>
      </c>
      <c r="I217" s="3">
        <v>0.87353754685556495</v>
      </c>
      <c r="J217" s="3" t="str">
        <f>"GCK"</f>
        <v>GCK</v>
      </c>
    </row>
    <row r="218" spans="1:10">
      <c r="A218" s="3" t="str">
        <f>"hsa05330"</f>
        <v>hsa05330</v>
      </c>
      <c r="B218" s="2" t="str">
        <f>"Allograft rejection"</f>
        <v>Allograft rejection</v>
      </c>
      <c r="C218" s="3">
        <v>1</v>
      </c>
      <c r="D218" s="3">
        <v>2.6315789473684199E-2</v>
      </c>
      <c r="E218" s="3">
        <v>0.99999946786478</v>
      </c>
      <c r="F218" s="3" t="str">
        <f>"1/386"</f>
        <v>1/386</v>
      </c>
      <c r="G218" s="3" t="str">
        <f>"38/8106"</f>
        <v>38/8106</v>
      </c>
      <c r="H218" s="3">
        <v>0.84407439703215104</v>
      </c>
      <c r="I218" s="3">
        <v>0.87353754685556495</v>
      </c>
      <c r="J218" s="3" t="str">
        <f>"HLA-DRB4"</f>
        <v>HLA-DRB4</v>
      </c>
    </row>
    <row r="219" spans="1:10">
      <c r="A219" s="3" t="str">
        <f>"hsa05340"</f>
        <v>hsa05340</v>
      </c>
      <c r="B219" s="2" t="str">
        <f>"Primary immunodeficiency"</f>
        <v>Primary immunodeficiency</v>
      </c>
      <c r="C219" s="3">
        <v>1</v>
      </c>
      <c r="D219" s="3">
        <v>2.6315789473684199E-2</v>
      </c>
      <c r="E219" s="3">
        <v>0.99999946786478</v>
      </c>
      <c r="F219" s="3" t="str">
        <f>"1/386"</f>
        <v>1/386</v>
      </c>
      <c r="G219" s="3" t="str">
        <f>"38/8106"</f>
        <v>38/8106</v>
      </c>
      <c r="H219" s="3">
        <v>0.84407439703215104</v>
      </c>
      <c r="I219" s="3">
        <v>0.87353754685556495</v>
      </c>
      <c r="J219" s="3" t="str">
        <f>"ADA"</f>
        <v>ADA</v>
      </c>
    </row>
    <row r="220" spans="1:10">
      <c r="A220" s="3" t="str">
        <f>"hsa05163"</f>
        <v>hsa05163</v>
      </c>
      <c r="B220" s="2" t="str">
        <f>"Human cytomegalovirus infection"</f>
        <v>Human cytomegalovirus infection</v>
      </c>
      <c r="C220" s="3">
        <v>8</v>
      </c>
      <c r="D220" s="3">
        <v>3.5555555555555597E-2</v>
      </c>
      <c r="E220" s="3">
        <v>0.99999946786478</v>
      </c>
      <c r="F220" s="3" t="str">
        <f>"8/386"</f>
        <v>8/386</v>
      </c>
      <c r="G220" s="3" t="str">
        <f>"225/8106"</f>
        <v>225/8106</v>
      </c>
      <c r="H220" s="3">
        <v>0.84749349104382199</v>
      </c>
      <c r="I220" s="3">
        <v>0.87353754685556495</v>
      </c>
      <c r="J220" s="3" t="str">
        <f>"CREB3L4, CXCL12, GNAO1, GNG4, PRKCA, PRKCB, PTGER2, RAC3"</f>
        <v>CREB3L4, CXCL12, GNAO1, GNG4, PRKCA, PRKCB, PTGER2, RAC3</v>
      </c>
    </row>
    <row r="221" spans="1:10">
      <c r="A221" s="3" t="str">
        <f>"hsa04920"</f>
        <v>hsa04920</v>
      </c>
      <c r="B221" s="2" t="str">
        <f>"Adipocytokine signaling pathway"</f>
        <v>Adipocytokine signaling pathway</v>
      </c>
      <c r="C221" s="3">
        <v>2</v>
      </c>
      <c r="D221" s="3">
        <v>2.8985507246376802E-2</v>
      </c>
      <c r="E221" s="3">
        <v>0.99999946786478</v>
      </c>
      <c r="F221" s="3" t="str">
        <f>"2/386"</f>
        <v>2/386</v>
      </c>
      <c r="G221" s="3" t="str">
        <f>"69/8106"</f>
        <v>69/8106</v>
      </c>
      <c r="H221" s="3">
        <v>0.84760906858288998</v>
      </c>
      <c r="I221" s="3">
        <v>0.87353754685556495</v>
      </c>
      <c r="J221" s="3" t="str">
        <f>"NPY, PPARGC1A"</f>
        <v>NPY, PPARGC1A</v>
      </c>
    </row>
    <row r="222" spans="1:10">
      <c r="A222" s="3" t="str">
        <f>"hsa05211"</f>
        <v>hsa05211</v>
      </c>
      <c r="B222" s="2" t="str">
        <f>"Renal cell carcinoma"</f>
        <v>Renal cell carcinoma</v>
      </c>
      <c r="C222" s="3">
        <v>2</v>
      </c>
      <c r="D222" s="3">
        <v>2.8985507246376802E-2</v>
      </c>
      <c r="E222" s="3">
        <v>0.99999946786478</v>
      </c>
      <c r="F222" s="3" t="str">
        <f>"2/386"</f>
        <v>2/386</v>
      </c>
      <c r="G222" s="3" t="str">
        <f>"69/8106"</f>
        <v>69/8106</v>
      </c>
      <c r="H222" s="3">
        <v>0.84760906858288998</v>
      </c>
      <c r="I222" s="3">
        <v>0.87353754685556495</v>
      </c>
      <c r="J222" s="3" t="str">
        <f>"PAK5, TGFB3"</f>
        <v>PAK5, TGFB3</v>
      </c>
    </row>
    <row r="223" spans="1:10">
      <c r="A223" s="3" t="str">
        <f>"hsa04917"</f>
        <v>hsa04917</v>
      </c>
      <c r="B223" s="2" t="str">
        <f>"Prolactin signaling pathway"</f>
        <v>Prolactin signaling pathway</v>
      </c>
      <c r="C223" s="3">
        <v>2</v>
      </c>
      <c r="D223" s="3">
        <v>2.8571428571428598E-2</v>
      </c>
      <c r="E223" s="3">
        <v>0.99999946786478</v>
      </c>
      <c r="F223" s="3" t="str">
        <f>"2/386"</f>
        <v>2/386</v>
      </c>
      <c r="G223" s="3" t="str">
        <f>"70/8106"</f>
        <v>70/8106</v>
      </c>
      <c r="H223" s="3">
        <v>0.85327988331935301</v>
      </c>
      <c r="I223" s="3">
        <v>0.87353754685556495</v>
      </c>
      <c r="J223" s="3" t="str">
        <f>"CCND2, GCK"</f>
        <v>CCND2, GCK</v>
      </c>
    </row>
    <row r="224" spans="1:10">
      <c r="A224" s="3" t="str">
        <f>"hsa04216"</f>
        <v>hsa04216</v>
      </c>
      <c r="B224" s="2" t="str">
        <f>"Ferroptosis"</f>
        <v>Ferroptosis</v>
      </c>
      <c r="C224" s="3">
        <v>1</v>
      </c>
      <c r="D224" s="3">
        <v>2.4390243902439001E-2</v>
      </c>
      <c r="E224" s="3">
        <v>0.99999946786478</v>
      </c>
      <c r="F224" s="3" t="str">
        <f>"1/386"</f>
        <v>1/386</v>
      </c>
      <c r="G224" s="3" t="str">
        <f>"41/8106"</f>
        <v>41/8106</v>
      </c>
      <c r="H224" s="3">
        <v>0.86540325541862795</v>
      </c>
      <c r="I224" s="3">
        <v>0.87353754685556495</v>
      </c>
      <c r="J224" s="3" t="str">
        <f>"SLC7A11"</f>
        <v>SLC7A11</v>
      </c>
    </row>
    <row r="225" spans="1:10">
      <c r="A225" s="3" t="str">
        <f>"hsa05219"</f>
        <v>hsa05219</v>
      </c>
      <c r="B225" s="2" t="str">
        <f>"Bladder cancer"</f>
        <v>Bladder cancer</v>
      </c>
      <c r="C225" s="3">
        <v>1</v>
      </c>
      <c r="D225" s="3">
        <v>2.4390243902439001E-2</v>
      </c>
      <c r="E225" s="3">
        <v>0.99999946786478</v>
      </c>
      <c r="F225" s="3" t="str">
        <f>"1/386"</f>
        <v>1/386</v>
      </c>
      <c r="G225" s="3" t="str">
        <f>"41/8106"</f>
        <v>41/8106</v>
      </c>
      <c r="H225" s="3">
        <v>0.86540325541862795</v>
      </c>
      <c r="I225" s="3">
        <v>0.87353754685556495</v>
      </c>
      <c r="J225" s="3" t="str">
        <f>"EGF"</f>
        <v>EGF</v>
      </c>
    </row>
    <row r="226" spans="1:10">
      <c r="A226" s="3" t="str">
        <f>"hsa00562"</f>
        <v>hsa00562</v>
      </c>
      <c r="B226" s="2" t="str">
        <f>"Inositol phosphate metabolism"</f>
        <v>Inositol phosphate metabolism</v>
      </c>
      <c r="C226" s="3">
        <v>2</v>
      </c>
      <c r="D226" s="3">
        <v>2.7397260273972601E-2</v>
      </c>
      <c r="E226" s="3">
        <v>0.99999946786478</v>
      </c>
      <c r="F226" s="3" t="str">
        <f>"2/386"</f>
        <v>2/386</v>
      </c>
      <c r="G226" s="3" t="str">
        <f>"73/8106"</f>
        <v>73/8106</v>
      </c>
      <c r="H226" s="3">
        <v>0.86915766715715703</v>
      </c>
      <c r="I226" s="3">
        <v>0.87353754685556495</v>
      </c>
      <c r="J226" s="3" t="str">
        <f>"INPP5B, INPP5D"</f>
        <v>INPP5B, INPP5D</v>
      </c>
    </row>
    <row r="227" spans="1:10">
      <c r="A227" s="3" t="str">
        <f>"hsa00380"</f>
        <v>hsa00380</v>
      </c>
      <c r="B227" s="2" t="str">
        <f>"Tryptophan metabolism"</f>
        <v>Tryptophan metabolism</v>
      </c>
      <c r="C227" s="3">
        <v>1</v>
      </c>
      <c r="D227" s="3">
        <v>2.3809523809523801E-2</v>
      </c>
      <c r="E227" s="3">
        <v>0.99999946786478</v>
      </c>
      <c r="F227" s="3" t="str">
        <f>"1/386"</f>
        <v>1/386</v>
      </c>
      <c r="G227" s="3" t="str">
        <f>"42/8106"</f>
        <v>42/8106</v>
      </c>
      <c r="H227" s="3">
        <v>0.87184520748414696</v>
      </c>
      <c r="I227" s="3">
        <v>0.87353754685556495</v>
      </c>
      <c r="J227" s="3" t="str">
        <f>"MAOB"</f>
        <v>MAOB</v>
      </c>
    </row>
    <row r="228" spans="1:10">
      <c r="A228" s="3" t="str">
        <f>"hsa05332"</f>
        <v>hsa05332</v>
      </c>
      <c r="B228" s="2" t="str">
        <f>"Graft-versus-host disease"</f>
        <v>Graft-versus-host disease</v>
      </c>
      <c r="C228" s="3">
        <v>1</v>
      </c>
      <c r="D228" s="3">
        <v>2.3809523809523801E-2</v>
      </c>
      <c r="E228" s="3">
        <v>0.99999946786478</v>
      </c>
      <c r="F228" s="3" t="str">
        <f>"1/386"</f>
        <v>1/386</v>
      </c>
      <c r="G228" s="3" t="str">
        <f>"42/8106"</f>
        <v>42/8106</v>
      </c>
      <c r="H228" s="3">
        <v>0.87184520748414696</v>
      </c>
      <c r="I228" s="3">
        <v>0.87353754685556495</v>
      </c>
      <c r="J228" s="3" t="str">
        <f>"HLA-DRB4"</f>
        <v>HLA-DRB4</v>
      </c>
    </row>
    <row r="229" spans="1:10">
      <c r="A229" s="3" t="str">
        <f>"hsa05160"</f>
        <v>hsa05160</v>
      </c>
      <c r="B229" s="2" t="str">
        <f>"Hepatitis C"</f>
        <v>Hepatitis C</v>
      </c>
      <c r="C229" s="3">
        <v>5</v>
      </c>
      <c r="D229" s="3">
        <v>3.1847133757961797E-2</v>
      </c>
      <c r="E229" s="3">
        <v>0.99999946786478</v>
      </c>
      <c r="F229" s="3" t="str">
        <f>"5/386"</f>
        <v>5/386</v>
      </c>
      <c r="G229" s="3" t="str">
        <f>"157/8106"</f>
        <v>157/8106</v>
      </c>
      <c r="H229" s="3">
        <v>0.87482799549730805</v>
      </c>
      <c r="I229" s="3">
        <v>0.87353754685556495</v>
      </c>
      <c r="J229" s="3" t="str">
        <f>"CLDN3, CLDN4, CLDN7, CLDN8, EGF"</f>
        <v>CLDN3, CLDN4, CLDN7, CLDN8, EGF</v>
      </c>
    </row>
    <row r="230" spans="1:10">
      <c r="A230" s="3" t="str">
        <f>"hsa00860"</f>
        <v>hsa00860</v>
      </c>
      <c r="B230" s="2" t="str">
        <f>"Porphyrin and chlorophyll metabolism"</f>
        <v>Porphyrin and chlorophyll metabolism</v>
      </c>
      <c r="C230" s="3">
        <v>1</v>
      </c>
      <c r="D230" s="3">
        <v>2.32558139534884E-2</v>
      </c>
      <c r="E230" s="3">
        <v>0.99999946786478</v>
      </c>
      <c r="F230" s="3" t="str">
        <f>"1/386"</f>
        <v>1/386</v>
      </c>
      <c r="G230" s="3" t="str">
        <f>"43/8106"</f>
        <v>43/8106</v>
      </c>
      <c r="H230" s="3">
        <v>0.87797960107431505</v>
      </c>
      <c r="I230" s="3">
        <v>0.87353754685556495</v>
      </c>
      <c r="J230" s="3" t="str">
        <f>"HEPH"</f>
        <v>HEPH</v>
      </c>
    </row>
    <row r="231" spans="1:10">
      <c r="A231" s="3" t="str">
        <f>"hsa04064"</f>
        <v>hsa04064</v>
      </c>
      <c r="B231" s="2" t="str">
        <f>"NF-kappa B signaling pathway"</f>
        <v>NF-kappa B signaling pathway</v>
      </c>
      <c r="C231" s="3">
        <v>3</v>
      </c>
      <c r="D231" s="3">
        <v>2.8846153846153799E-2</v>
      </c>
      <c r="E231" s="3">
        <v>0.99999946786478</v>
      </c>
      <c r="F231" s="3" t="str">
        <f>"3/386"</f>
        <v>3/386</v>
      </c>
      <c r="G231" s="3" t="str">
        <f>"104/8106"</f>
        <v>104/8106</v>
      </c>
      <c r="H231" s="3">
        <v>0.87905270103667299</v>
      </c>
      <c r="I231" s="3">
        <v>0.87353754685556495</v>
      </c>
      <c r="J231" s="3" t="str">
        <f>"CCL21, CXCL12, PRKCB"</f>
        <v>CCL21, CXCL12, PRKCB</v>
      </c>
    </row>
    <row r="232" spans="1:10">
      <c r="A232" s="3" t="str">
        <f>"hsa05206"</f>
        <v>hsa05206</v>
      </c>
      <c r="B232" s="2" t="str">
        <f>"MicroRNAs in cancer"</f>
        <v>MicroRNAs in cancer</v>
      </c>
      <c r="C232" s="3">
        <v>11</v>
      </c>
      <c r="D232" s="3">
        <v>3.5483870967741901E-2</v>
      </c>
      <c r="E232" s="3">
        <v>0.99999946786478</v>
      </c>
      <c r="F232" s="3" t="str">
        <f>"11/386"</f>
        <v>11/386</v>
      </c>
      <c r="G232" s="3" t="str">
        <f>"310/8106"</f>
        <v>310/8106</v>
      </c>
      <c r="H232" s="3">
        <v>0.88031077000691704</v>
      </c>
      <c r="I232" s="3">
        <v>0.87353754685556495</v>
      </c>
      <c r="J232" s="3" t="str">
        <f>"CCND2, ERBB3, HMGA2, HOXD10, MMP16, PRKCA, PRKCB, SLC45A3, ST14, TIMP3, ZEB2"</f>
        <v>CCND2, ERBB3, HMGA2, HOXD10, MMP16, PRKCA, PRKCB, SLC45A3, ST14, TIMP3, ZEB2</v>
      </c>
    </row>
    <row r="233" spans="1:10">
      <c r="A233" s="3" t="str">
        <f>"hsa05133"</f>
        <v>hsa05133</v>
      </c>
      <c r="B233" s="2" t="str">
        <f>"Pertussis"</f>
        <v>Pertussis</v>
      </c>
      <c r="C233" s="3">
        <v>2</v>
      </c>
      <c r="D233" s="3">
        <v>2.6315789473684199E-2</v>
      </c>
      <c r="E233" s="3">
        <v>0.99999946786478</v>
      </c>
      <c r="F233" s="3" t="str">
        <f>"2/386"</f>
        <v>2/386</v>
      </c>
      <c r="G233" s="3" t="str">
        <f>"76/8106"</f>
        <v>76/8106</v>
      </c>
      <c r="H233" s="3">
        <v>0.88344503498668403</v>
      </c>
      <c r="I233" s="3">
        <v>0.87353754685556495</v>
      </c>
      <c r="J233" s="3" t="str">
        <f>"C1S, CFL2"</f>
        <v>C1S, CFL2</v>
      </c>
    </row>
    <row r="234" spans="1:10">
      <c r="A234" s="3" t="str">
        <f>"hsa04962"</f>
        <v>hsa04962</v>
      </c>
      <c r="B234" s="2" t="str">
        <f>"Vasopressin-regulated water reabsorption"</f>
        <v>Vasopressin-regulated water reabsorption</v>
      </c>
      <c r="C234" s="3">
        <v>1</v>
      </c>
      <c r="D234" s="3">
        <v>2.27272727272727E-2</v>
      </c>
      <c r="E234" s="3">
        <v>0.99999946786478</v>
      </c>
      <c r="F234" s="3" t="str">
        <f>"1/386"</f>
        <v>1/386</v>
      </c>
      <c r="G234" s="3" t="str">
        <f>"44/8106"</f>
        <v>44/8106</v>
      </c>
      <c r="H234" s="3">
        <v>0.88382108364721801</v>
      </c>
      <c r="I234" s="3">
        <v>0.87353754685556495</v>
      </c>
      <c r="J234" s="3" t="str">
        <f>"CREB3L4"</f>
        <v>CREB3L4</v>
      </c>
    </row>
    <row r="235" spans="1:10">
      <c r="A235" s="3" t="str">
        <f>"hsa02010"</f>
        <v>hsa02010</v>
      </c>
      <c r="B235" s="2" t="str">
        <f>"ABC transporters"</f>
        <v>ABC transporters</v>
      </c>
      <c r="C235" s="3">
        <v>1</v>
      </c>
      <c r="D235" s="3">
        <v>2.2222222222222199E-2</v>
      </c>
      <c r="E235" s="3">
        <v>0.99999946786478</v>
      </c>
      <c r="F235" s="3" t="str">
        <f>"1/386"</f>
        <v>1/386</v>
      </c>
      <c r="G235" s="3" t="str">
        <f>"45/8106"</f>
        <v>45/8106</v>
      </c>
      <c r="H235" s="3">
        <v>0.88938360680675299</v>
      </c>
      <c r="I235" s="3">
        <v>0.87353754685556495</v>
      </c>
      <c r="J235" s="3" t="str">
        <f>"ABCC4"</f>
        <v>ABCC4</v>
      </c>
    </row>
    <row r="236" spans="1:10">
      <c r="A236" s="3" t="str">
        <f>"hsa04721"</f>
        <v>hsa04721</v>
      </c>
      <c r="B236" s="2" t="str">
        <f>"Synaptic vesicle cycle"</f>
        <v>Synaptic vesicle cycle</v>
      </c>
      <c r="C236" s="3">
        <v>2</v>
      </c>
      <c r="D236" s="3">
        <v>2.5641025641025599E-2</v>
      </c>
      <c r="E236" s="3">
        <v>0.99999946786478</v>
      </c>
      <c r="F236" s="3" t="str">
        <f>"2/386"</f>
        <v>2/386</v>
      </c>
      <c r="G236" s="3" t="str">
        <f>"78/8106"</f>
        <v>78/8106</v>
      </c>
      <c r="H236" s="3">
        <v>0.89215456838967699</v>
      </c>
      <c r="I236" s="3">
        <v>0.87353754685556495</v>
      </c>
      <c r="J236" s="3" t="str">
        <f>"CACNA1A, SYT1"</f>
        <v>CACNA1A, SYT1</v>
      </c>
    </row>
    <row r="237" spans="1:10">
      <c r="A237" s="3" t="str">
        <f>"hsa00600"</f>
        <v>hsa00600</v>
      </c>
      <c r="B237" s="2" t="str">
        <f>"Sphingolipid metabolism"</f>
        <v>Sphingolipid metabolism</v>
      </c>
      <c r="C237" s="3">
        <v>1</v>
      </c>
      <c r="D237" s="3">
        <v>2.04081632653061E-2</v>
      </c>
      <c r="E237" s="3">
        <v>0.99999946786478</v>
      </c>
      <c r="F237" s="3" t="str">
        <f>"1/386"</f>
        <v>1/386</v>
      </c>
      <c r="G237" s="3" t="str">
        <f>"49/8106"</f>
        <v>49/8106</v>
      </c>
      <c r="H237" s="3">
        <v>0.90910058606512101</v>
      </c>
      <c r="I237" s="3">
        <v>0.87353754685556495</v>
      </c>
      <c r="J237" s="3" t="str">
        <f>"B4GALT6"</f>
        <v>B4GALT6</v>
      </c>
    </row>
    <row r="238" spans="1:10">
      <c r="A238" s="3" t="str">
        <f>"hsa05110"</f>
        <v>hsa05110</v>
      </c>
      <c r="B238" s="2" t="str">
        <f>"Vibrio cholerae infection"</f>
        <v>Vibrio cholerae infection</v>
      </c>
      <c r="C238" s="3">
        <v>1</v>
      </c>
      <c r="D238" s="3">
        <v>0.02</v>
      </c>
      <c r="E238" s="3">
        <v>0.99999946786478</v>
      </c>
      <c r="F238" s="3" t="str">
        <f>"1/386"</f>
        <v>1/386</v>
      </c>
      <c r="G238" s="3" t="str">
        <f>"50/8106"</f>
        <v>50/8106</v>
      </c>
      <c r="H238" s="3">
        <v>0.913455454350943</v>
      </c>
      <c r="I238" s="3">
        <v>0.87353754685556495</v>
      </c>
      <c r="J238" s="3" t="str">
        <f>"PRKCA"</f>
        <v>PRKCA</v>
      </c>
    </row>
    <row r="239" spans="1:10">
      <c r="A239" s="3" t="str">
        <f>"hsa05320"</f>
        <v>hsa05320</v>
      </c>
      <c r="B239" s="2" t="str">
        <f>"Autoimmune thyroid disease"</f>
        <v>Autoimmune thyroid disease</v>
      </c>
      <c r="C239" s="3">
        <v>1</v>
      </c>
      <c r="D239" s="3">
        <v>1.88679245283019E-2</v>
      </c>
      <c r="E239" s="3">
        <v>0.99999946786478</v>
      </c>
      <c r="F239" s="3" t="str">
        <f>"1/386"</f>
        <v>1/386</v>
      </c>
      <c r="G239" s="3" t="str">
        <f>"53/8106"</f>
        <v>53/8106</v>
      </c>
      <c r="H239" s="3">
        <v>0.92531054669253499</v>
      </c>
      <c r="I239" s="3">
        <v>0.87353754685556495</v>
      </c>
      <c r="J239" s="3" t="str">
        <f>"HLA-DRB4"</f>
        <v>HLA-DRB4</v>
      </c>
    </row>
    <row r="240" spans="1:10">
      <c r="A240" s="3" t="str">
        <f>"hsa05415"</f>
        <v>hsa05415</v>
      </c>
      <c r="B240" s="2" t="str">
        <f>"Diabetic cardiomyopathy"</f>
        <v>Diabetic cardiomyopathy</v>
      </c>
      <c r="C240" s="3">
        <v>6</v>
      </c>
      <c r="D240" s="3">
        <v>2.95566502463054E-2</v>
      </c>
      <c r="E240" s="3">
        <v>0.99999946786478</v>
      </c>
      <c r="F240" s="3" t="str">
        <f>"6/386"</f>
        <v>6/386</v>
      </c>
      <c r="G240" s="3" t="str">
        <f>"203/8106"</f>
        <v>203/8106</v>
      </c>
      <c r="H240" s="3">
        <v>0.926720698149745</v>
      </c>
      <c r="I240" s="3">
        <v>0.87353754685556495</v>
      </c>
      <c r="J240" s="3" t="str">
        <f>"COL1A2, PLN, PRKCA, PRKCB, RYR2, TGFB3"</f>
        <v>COL1A2, PLN, PRKCA, PRKCB, RYR2, TGFB3</v>
      </c>
    </row>
    <row r="241" spans="1:10">
      <c r="A241" s="3" t="str">
        <f>"hsa05171"</f>
        <v>hsa05171</v>
      </c>
      <c r="B241" s="2" t="str">
        <f>"Coronavirus disease - COVID-19"</f>
        <v>Coronavirus disease - COVID-19</v>
      </c>
      <c r="C241" s="3">
        <v>7</v>
      </c>
      <c r="D241" s="3">
        <v>3.0172413793103401E-2</v>
      </c>
      <c r="E241" s="3">
        <v>0.99999946786478</v>
      </c>
      <c r="F241" s="3" t="str">
        <f>"7/386"</f>
        <v>7/386</v>
      </c>
      <c r="G241" s="3" t="str">
        <f>"232/8106"</f>
        <v>232/8106</v>
      </c>
      <c r="H241" s="3">
        <v>0.93100416804958097</v>
      </c>
      <c r="I241" s="3">
        <v>0.87353754685556495</v>
      </c>
      <c r="J241" s="3" t="str">
        <f>"C1S, C7, CFD, MASP1, PRKCA, PRKCB, TMPRSS2"</f>
        <v>C1S, C7, CFD, MASP1, PRKCA, PRKCB, TMPRSS2</v>
      </c>
    </row>
    <row r="242" spans="1:10">
      <c r="A242" s="3" t="str">
        <f>"hsa04145"</f>
        <v>hsa04145</v>
      </c>
      <c r="B242" s="2" t="str">
        <f>"Phagosome"</f>
        <v>Phagosome</v>
      </c>
      <c r="C242" s="3">
        <v>4</v>
      </c>
      <c r="D242" s="3">
        <v>2.6315789473684199E-2</v>
      </c>
      <c r="E242" s="3">
        <v>0.99999946786478</v>
      </c>
      <c r="F242" s="3" t="str">
        <f>"4/386"</f>
        <v>4/386</v>
      </c>
      <c r="G242" s="3" t="str">
        <f>"152/8106"</f>
        <v>152/8106</v>
      </c>
      <c r="H242" s="3">
        <v>0.93617501723084995</v>
      </c>
      <c r="I242" s="3">
        <v>0.87353754685556495</v>
      </c>
      <c r="J242" s="3" t="str">
        <f>"COLEC12, HLA-DRB4, NOS1, THBS4"</f>
        <v>COLEC12, HLA-DRB4, NOS1, THBS4</v>
      </c>
    </row>
    <row r="243" spans="1:10">
      <c r="A243" s="3" t="str">
        <f>"hsa04330"</f>
        <v>hsa04330</v>
      </c>
      <c r="B243" s="2" t="str">
        <f>"Notch signaling pathway"</f>
        <v>Notch signaling pathway</v>
      </c>
      <c r="C243" s="3">
        <v>1</v>
      </c>
      <c r="D243" s="3">
        <v>1.6949152542372899E-2</v>
      </c>
      <c r="E243" s="3">
        <v>0.99999946786478</v>
      </c>
      <c r="F243" s="3" t="str">
        <f>"1/386"</f>
        <v>1/386</v>
      </c>
      <c r="G243" s="3" t="str">
        <f>"59/8106"</f>
        <v>59/8106</v>
      </c>
      <c r="H243" s="3">
        <v>0.94438075108548303</v>
      </c>
      <c r="I243" s="3">
        <v>0.87353754685556495</v>
      </c>
      <c r="J243" s="3" t="str">
        <f>"HEY1"</f>
        <v>HEY1</v>
      </c>
    </row>
    <row r="244" spans="1:10">
      <c r="A244" s="3" t="str">
        <f>"hsa04142"</f>
        <v>hsa04142</v>
      </c>
      <c r="B244" s="2" t="str">
        <f>"Lysosome"</f>
        <v>Lysosome</v>
      </c>
      <c r="C244" s="3">
        <v>3</v>
      </c>
      <c r="D244" s="3">
        <v>2.34375E-2</v>
      </c>
      <c r="E244" s="3">
        <v>0.99999946786478</v>
      </c>
      <c r="F244" s="3" t="str">
        <f>"3/386"</f>
        <v>3/386</v>
      </c>
      <c r="G244" s="3" t="str">
        <f>"128/8106"</f>
        <v>128/8106</v>
      </c>
      <c r="H244" s="3">
        <v>0.94752864691755401</v>
      </c>
      <c r="I244" s="3">
        <v>0.87353754685556495</v>
      </c>
      <c r="J244" s="3" t="str">
        <f>"AP1M2, AP1S3, DNASE2B"</f>
        <v>AP1M2, AP1S3, DNASE2B</v>
      </c>
    </row>
    <row r="245" spans="1:10">
      <c r="A245" s="3" t="str">
        <f>"hsa04114"</f>
        <v>hsa04114</v>
      </c>
      <c r="B245" s="2" t="str">
        <f>"Oocyte meiosis"</f>
        <v>Oocyte meiosis</v>
      </c>
      <c r="C245" s="3">
        <v>3</v>
      </c>
      <c r="D245" s="3">
        <v>2.32558139534884E-2</v>
      </c>
      <c r="E245" s="3">
        <v>0.99999946786478</v>
      </c>
      <c r="F245" s="3" t="str">
        <f>"3/386"</f>
        <v>3/386</v>
      </c>
      <c r="G245" s="3" t="str">
        <f>"129/8106"</f>
        <v>129/8106</v>
      </c>
      <c r="H245" s="3">
        <v>0.94938792390481896</v>
      </c>
      <c r="I245" s="3">
        <v>0.87353754685556495</v>
      </c>
      <c r="J245" s="3" t="str">
        <f>"CPEB1, IGF1, PGR"</f>
        <v>CPEB1, IGF1, PGR</v>
      </c>
    </row>
    <row r="246" spans="1:10">
      <c r="A246" s="3" t="str">
        <f>"hsa01522"</f>
        <v>hsa01522</v>
      </c>
      <c r="B246" s="2" t="str">
        <f>"Endocrine resistance"</f>
        <v>Endocrine resistance</v>
      </c>
      <c r="C246" s="3">
        <v>2</v>
      </c>
      <c r="D246" s="3">
        <v>2.04081632653061E-2</v>
      </c>
      <c r="E246" s="3">
        <v>0.99999946786478</v>
      </c>
      <c r="F246" s="3" t="str">
        <f>"2/386"</f>
        <v>2/386</v>
      </c>
      <c r="G246" s="3" t="str">
        <f>"98/8106"</f>
        <v>98/8106</v>
      </c>
      <c r="H246" s="3">
        <v>0.95146801764869104</v>
      </c>
      <c r="I246" s="3">
        <v>0.87353754685556495</v>
      </c>
      <c r="J246" s="3" t="str">
        <f>"BIK, IGF1"</f>
        <v>BIK, IGF1</v>
      </c>
    </row>
    <row r="247" spans="1:10">
      <c r="A247" s="3" t="str">
        <f>"hsa04650"</f>
        <v>hsa04650</v>
      </c>
      <c r="B247" s="2" t="str">
        <f>"Natural killer cell mediated cytotoxicity"</f>
        <v>Natural killer cell mediated cytotoxicity</v>
      </c>
      <c r="C247" s="3">
        <v>3</v>
      </c>
      <c r="D247" s="3">
        <v>2.2900763358778602E-2</v>
      </c>
      <c r="E247" s="3">
        <v>0.99999946786478</v>
      </c>
      <c r="F247" s="3" t="str">
        <f>"3/386"</f>
        <v>3/386</v>
      </c>
      <c r="G247" s="3" t="str">
        <f>"131/8106"</f>
        <v>131/8106</v>
      </c>
      <c r="H247" s="3">
        <v>0.95292409744879703</v>
      </c>
      <c r="I247" s="3">
        <v>0.87353754685556495</v>
      </c>
      <c r="J247" s="3" t="str">
        <f>"PRKCA, PRKCB, RAC3"</f>
        <v>PRKCA, PRKCB, RAC3</v>
      </c>
    </row>
    <row r="248" spans="1:10">
      <c r="A248" s="3" t="str">
        <f>"hsa04630"</f>
        <v>hsa04630</v>
      </c>
      <c r="B248" s="2" t="str">
        <f>"JAK-STAT signaling pathway"</f>
        <v>JAK-STAT signaling pathway</v>
      </c>
      <c r="C248" s="3">
        <v>4</v>
      </c>
      <c r="D248" s="3">
        <v>2.4691358024691398E-2</v>
      </c>
      <c r="E248" s="3">
        <v>0.99999946786478</v>
      </c>
      <c r="F248" s="3" t="str">
        <f>"4/386"</f>
        <v>4/386</v>
      </c>
      <c r="G248" s="3" t="str">
        <f>"162/8106"</f>
        <v>162/8106</v>
      </c>
      <c r="H248" s="3">
        <v>0.95403835729872</v>
      </c>
      <c r="I248" s="3">
        <v>0.87353754685556495</v>
      </c>
      <c r="J248" s="3" t="str">
        <f>"CCND2, EGF, FHL1, TSLP"</f>
        <v>CCND2, EGF, FHL1, TSLP</v>
      </c>
    </row>
    <row r="249" spans="1:10">
      <c r="A249" s="3" t="str">
        <f>"hsa05161"</f>
        <v>hsa05161</v>
      </c>
      <c r="B249" s="2" t="str">
        <f>"Hepatitis B"</f>
        <v>Hepatitis B</v>
      </c>
      <c r="C249" s="3">
        <v>4</v>
      </c>
      <c r="D249" s="3">
        <v>2.4691358024691398E-2</v>
      </c>
      <c r="E249" s="3">
        <v>0.99999946786478</v>
      </c>
      <c r="F249" s="3" t="str">
        <f>"4/386"</f>
        <v>4/386</v>
      </c>
      <c r="G249" s="3" t="str">
        <f>"162/8106"</f>
        <v>162/8106</v>
      </c>
      <c r="H249" s="3">
        <v>0.95403835729872</v>
      </c>
      <c r="I249" s="3">
        <v>0.87353754685556495</v>
      </c>
      <c r="J249" s="3" t="str">
        <f>"CREB3L4, PRKCA, PRKCB, TGFB3"</f>
        <v>CREB3L4, PRKCA, PRKCB, TGFB3</v>
      </c>
    </row>
    <row r="250" spans="1:10">
      <c r="A250" s="3" t="str">
        <f>"hsa05132"</f>
        <v>hsa05132</v>
      </c>
      <c r="B250" s="2" t="str">
        <f>"Salmonella infection"</f>
        <v>Salmonella infection</v>
      </c>
      <c r="C250" s="3">
        <v>7</v>
      </c>
      <c r="D250" s="3">
        <v>2.81124497991968E-2</v>
      </c>
      <c r="E250" s="3">
        <v>0.99999946786478</v>
      </c>
      <c r="F250" s="3" t="str">
        <f>"7/386"</f>
        <v>7/386</v>
      </c>
      <c r="G250" s="3" t="str">
        <f>"249/8106"</f>
        <v>249/8106</v>
      </c>
      <c r="H250" s="3">
        <v>0.95656558451386298</v>
      </c>
      <c r="I250" s="3">
        <v>0.87353754685556495</v>
      </c>
      <c r="J250" s="3" t="str">
        <f>"AHNAK, AHNAK2, FLNB, FLNC, MYO6, RAB9B, RHOJ"</f>
        <v>AHNAK, AHNAK2, FLNB, FLNC, MYO6, RAB9B, RHOJ</v>
      </c>
    </row>
    <row r="251" spans="1:10">
      <c r="A251" s="3" t="str">
        <f>"hsa05142"</f>
        <v>hsa05142</v>
      </c>
      <c r="B251" s="2" t="str">
        <f>"Chagas disease"</f>
        <v>Chagas disease</v>
      </c>
      <c r="C251" s="3">
        <v>2</v>
      </c>
      <c r="D251" s="3">
        <v>1.9607843137254902E-2</v>
      </c>
      <c r="E251" s="3">
        <v>0.99999946786478</v>
      </c>
      <c r="F251" s="3" t="str">
        <f>"2/386"</f>
        <v>2/386</v>
      </c>
      <c r="G251" s="3" t="str">
        <f>"102/8106"</f>
        <v>102/8106</v>
      </c>
      <c r="H251" s="3">
        <v>0.95880066012864995</v>
      </c>
      <c r="I251" s="3">
        <v>0.87353754685556495</v>
      </c>
      <c r="J251" s="3" t="str">
        <f>"GNAO1, TGFB3"</f>
        <v>GNAO1, TGFB3</v>
      </c>
    </row>
    <row r="252" spans="1:10">
      <c r="A252" s="3" t="str">
        <f>"hsa05221"</f>
        <v>hsa05221</v>
      </c>
      <c r="B252" s="2" t="str">
        <f>"Acute myeloid leukemia"</f>
        <v>Acute myeloid leukemia</v>
      </c>
      <c r="C252" s="3">
        <v>1</v>
      </c>
      <c r="D252" s="3">
        <v>1.49253731343284E-2</v>
      </c>
      <c r="E252" s="3">
        <v>0.99999946786478</v>
      </c>
      <c r="F252" s="3" t="str">
        <f>"1/386"</f>
        <v>1/386</v>
      </c>
      <c r="G252" s="3" t="str">
        <f>"67/8106"</f>
        <v>67/8106</v>
      </c>
      <c r="H252" s="3">
        <v>0.96247155066411205</v>
      </c>
      <c r="I252" s="3">
        <v>0.87353754685556495</v>
      </c>
      <c r="J252" s="3" t="str">
        <f>"RUNX1T1"</f>
        <v>RUNX1T1</v>
      </c>
    </row>
    <row r="253" spans="1:10">
      <c r="A253" s="3" t="str">
        <f>"hsa04120"</f>
        <v>hsa04120</v>
      </c>
      <c r="B253" s="2" t="str">
        <f>"Ubiquitin mediated proteolysis"</f>
        <v>Ubiquitin mediated proteolysis</v>
      </c>
      <c r="C253" s="3">
        <v>3</v>
      </c>
      <c r="D253" s="3">
        <v>2.1428571428571401E-2</v>
      </c>
      <c r="E253" s="3">
        <v>0.99999946786478</v>
      </c>
      <c r="F253" s="3" t="str">
        <f>"3/386"</f>
        <v>3/386</v>
      </c>
      <c r="G253" s="3" t="str">
        <f>"140/8106"</f>
        <v>140/8106</v>
      </c>
      <c r="H253" s="3">
        <v>0.96616476638307802</v>
      </c>
      <c r="I253" s="3">
        <v>0.87353754685556495</v>
      </c>
      <c r="J253" s="3" t="str">
        <f>"CBLC, HERC4, NEDD4L"</f>
        <v>CBLC, HERC4, NEDD4L</v>
      </c>
    </row>
    <row r="254" spans="1:10">
      <c r="A254" s="3" t="str">
        <f>"hsa04659"</f>
        <v>hsa04659</v>
      </c>
      <c r="B254" s="2" t="str">
        <f>"Th17 cell differentiation"</f>
        <v>Th17 cell differentiation</v>
      </c>
      <c r="C254" s="3">
        <v>2</v>
      </c>
      <c r="D254" s="3">
        <v>1.86915887850467E-2</v>
      </c>
      <c r="E254" s="3">
        <v>0.99999946786478</v>
      </c>
      <c r="F254" s="3" t="str">
        <f>"2/386"</f>
        <v>2/386</v>
      </c>
      <c r="G254" s="3" t="str">
        <f>"107/8106"</f>
        <v>107/8106</v>
      </c>
      <c r="H254" s="3">
        <v>0.96648389472822005</v>
      </c>
      <c r="I254" s="3">
        <v>0.87353754685556495</v>
      </c>
      <c r="J254" s="3" t="str">
        <f>"HLA-DRB4, RORC"</f>
        <v>HLA-DRB4, RORC</v>
      </c>
    </row>
    <row r="255" spans="1:10">
      <c r="A255" s="3" t="str">
        <f>"hsa05164"</f>
        <v>hsa05164</v>
      </c>
      <c r="B255" s="2" t="str">
        <f>"Influenza A"</f>
        <v>Influenza A</v>
      </c>
      <c r="C255" s="3">
        <v>4</v>
      </c>
      <c r="D255" s="3">
        <v>2.32558139534884E-2</v>
      </c>
      <c r="E255" s="3">
        <v>0.99999946786478</v>
      </c>
      <c r="F255" s="3" t="str">
        <f>"4/386"</f>
        <v>4/386</v>
      </c>
      <c r="G255" s="3" t="str">
        <f>"172/8106"</f>
        <v>172/8106</v>
      </c>
      <c r="H255" s="3">
        <v>0.96719976946067399</v>
      </c>
      <c r="I255" s="3">
        <v>0.87353754685556495</v>
      </c>
      <c r="J255" s="3" t="str">
        <f>"HLA-DRB4, PRKCA, PRKCB, TMPRSS2"</f>
        <v>HLA-DRB4, PRKCA, PRKCB, TMPRSS2</v>
      </c>
    </row>
    <row r="256" spans="1:10">
      <c r="A256" s="3" t="str">
        <f>"hsa05120"</f>
        <v>hsa05120</v>
      </c>
      <c r="B256" s="2" t="str">
        <f>"Epithelial cell signaling in Helicobacter pylori infection"</f>
        <v>Epithelial cell signaling in Helicobacter pylori infection</v>
      </c>
      <c r="C256" s="3">
        <v>1</v>
      </c>
      <c r="D256" s="3">
        <v>1.4285714285714299E-2</v>
      </c>
      <c r="E256" s="3">
        <v>0.99999946786478</v>
      </c>
      <c r="F256" s="3" t="str">
        <f>"1/386"</f>
        <v>1/386</v>
      </c>
      <c r="G256" s="3" t="str">
        <f>"70/8106"</f>
        <v>70/8106</v>
      </c>
      <c r="H256" s="3">
        <v>0.96762263526510295</v>
      </c>
      <c r="I256" s="3">
        <v>0.87353754685556495</v>
      </c>
      <c r="J256" s="3" t="str">
        <f>"JAM3"</f>
        <v>JAM3</v>
      </c>
    </row>
    <row r="257" spans="1:10">
      <c r="A257" s="3" t="str">
        <f>"hsa04714"</f>
        <v>hsa04714</v>
      </c>
      <c r="B257" s="2" t="str">
        <f>"Thermogenesis"</f>
        <v>Thermogenesis</v>
      </c>
      <c r="C257" s="3">
        <v>6</v>
      </c>
      <c r="D257" s="3">
        <v>2.5862068965517199E-2</v>
      </c>
      <c r="E257" s="3">
        <v>0.99999946786478</v>
      </c>
      <c r="F257" s="3" t="str">
        <f>"6/386"</f>
        <v>6/386</v>
      </c>
      <c r="G257" s="3" t="str">
        <f>"232/8106"</f>
        <v>232/8106</v>
      </c>
      <c r="H257" s="3">
        <v>0.96844221029850097</v>
      </c>
      <c r="I257" s="3">
        <v>0.87353754685556495</v>
      </c>
      <c r="J257" s="3" t="str">
        <f>"ADRB3, CREB3L4, FGFR1, PPARG, PPARGC1A, PRKG1"</f>
        <v>ADRB3, CREB3L4, FGFR1, PPARG, PPARGC1A, PRKG1</v>
      </c>
    </row>
    <row r="258" spans="1:10">
      <c r="A258" s="3" t="str">
        <f>"hsa05022"</f>
        <v>hsa05022</v>
      </c>
      <c r="B258" s="2" t="str">
        <f>"Pathways of neurodegeneration - multiple diseases"</f>
        <v>Pathways of neurodegeneration - multiple diseases</v>
      </c>
      <c r="C258" s="3">
        <v>15</v>
      </c>
      <c r="D258" s="3">
        <v>3.1578947368421102E-2</v>
      </c>
      <c r="E258" s="3">
        <v>0.99999946786478</v>
      </c>
      <c r="F258" s="3" t="str">
        <f>"15/386"</f>
        <v>15/386</v>
      </c>
      <c r="G258" s="3" t="str">
        <f>"475/8106"</f>
        <v>475/8106</v>
      </c>
      <c r="H258" s="3">
        <v>0.97029779981511499</v>
      </c>
      <c r="I258" s="3">
        <v>0.87353754685556495</v>
      </c>
      <c r="J258" s="3" t="str">
        <f>"AXIN2, BDNF, CHRM3, DKK1, DNAH5, FZD7, GPX8, GRIA3, NOS1, PRKCA, PRKCB, RYR2, WNT11, WNT2, WNT2B"</f>
        <v>AXIN2, BDNF, CHRM3, DKK1, DNAH5, FZD7, GPX8, GRIA3, NOS1, PRKCA, PRKCB, RYR2, WNT11, WNT2, WNT2B</v>
      </c>
    </row>
    <row r="259" spans="1:10">
      <c r="A259" s="3" t="str">
        <f>"hsa01524"</f>
        <v>hsa01524</v>
      </c>
      <c r="B259" s="2" t="str">
        <f>"Platinum drug resistance"</f>
        <v>Platinum drug resistance</v>
      </c>
      <c r="C259" s="3">
        <v>1</v>
      </c>
      <c r="D259" s="3">
        <v>1.3698630136986301E-2</v>
      </c>
      <c r="E259" s="3">
        <v>0.99999946786478</v>
      </c>
      <c r="F259" s="3" t="str">
        <f>"1/386"</f>
        <v>1/386</v>
      </c>
      <c r="G259" s="3" t="str">
        <f>"73/8106"</f>
        <v>73/8106</v>
      </c>
      <c r="H259" s="3">
        <v>0.97206826992736906</v>
      </c>
      <c r="I259" s="3">
        <v>0.87353754685556495</v>
      </c>
      <c r="J259" s="3" t="str">
        <f>"GSTM5"</f>
        <v>GSTM5</v>
      </c>
    </row>
    <row r="260" spans="1:10">
      <c r="A260" s="3" t="str">
        <f>"hsa04668"</f>
        <v>hsa04668</v>
      </c>
      <c r="B260" s="2" t="str">
        <f>"TNF signaling pathway"</f>
        <v>TNF signaling pathway</v>
      </c>
      <c r="C260" s="3">
        <v>2</v>
      </c>
      <c r="D260" s="3">
        <v>1.7857142857142901E-2</v>
      </c>
      <c r="E260" s="3">
        <v>0.99999946786478</v>
      </c>
      <c r="F260" s="3" t="str">
        <f>"2/386"</f>
        <v>2/386</v>
      </c>
      <c r="G260" s="3" t="str">
        <f>"112/8106"</f>
        <v>112/8106</v>
      </c>
      <c r="H260" s="3">
        <v>0.97278081557715601</v>
      </c>
      <c r="I260" s="3">
        <v>0.87353754685556495</v>
      </c>
      <c r="J260" s="3" t="str">
        <f>"CREB3L4, MMP14"</f>
        <v>CREB3L4, MMP14</v>
      </c>
    </row>
    <row r="261" spans="1:10">
      <c r="A261" s="3" t="str">
        <f>"hsa05220"</f>
        <v>hsa05220</v>
      </c>
      <c r="B261" s="2" t="str">
        <f>"Chronic myeloid leukemia"</f>
        <v>Chronic myeloid leukemia</v>
      </c>
      <c r="C261" s="3">
        <v>1</v>
      </c>
      <c r="D261" s="3">
        <v>1.3157894736842099E-2</v>
      </c>
      <c r="E261" s="3">
        <v>0.99999946786478</v>
      </c>
      <c r="F261" s="3" t="str">
        <f>"1/386"</f>
        <v>1/386</v>
      </c>
      <c r="G261" s="3" t="str">
        <f>"76/8106"</f>
        <v>76/8106</v>
      </c>
      <c r="H261" s="3">
        <v>0.97590485093624302</v>
      </c>
      <c r="I261" s="3">
        <v>0.87353754685556495</v>
      </c>
      <c r="J261" s="3" t="str">
        <f>"TGFB3"</f>
        <v>TGFB3</v>
      </c>
    </row>
    <row r="262" spans="1:10">
      <c r="A262" s="3" t="str">
        <f>"hsa04612"</f>
        <v>hsa04612</v>
      </c>
      <c r="B262" s="2" t="str">
        <f>"Antigen processing and presentation"</f>
        <v>Antigen processing and presentation</v>
      </c>
      <c r="C262" s="3">
        <v>1</v>
      </c>
      <c r="D262" s="3">
        <v>1.2820512820512799E-2</v>
      </c>
      <c r="E262" s="3">
        <v>0.99999946786478</v>
      </c>
      <c r="F262" s="3" t="str">
        <f>"1/386"</f>
        <v>1/386</v>
      </c>
      <c r="G262" s="3" t="str">
        <f>"78/8106"</f>
        <v>78/8106</v>
      </c>
      <c r="H262" s="3">
        <v>0.97816580663299801</v>
      </c>
      <c r="I262" s="3">
        <v>0.87353754685556495</v>
      </c>
      <c r="J262" s="3" t="str">
        <f>"HLA-DRB4"</f>
        <v>HLA-DRB4</v>
      </c>
    </row>
    <row r="263" spans="1:10">
      <c r="A263" s="3" t="str">
        <f>"hsa01240"</f>
        <v>hsa01240</v>
      </c>
      <c r="B263" s="2" t="str">
        <f>"Biosynthesis of cofactors"</f>
        <v>Biosynthesis of cofactors</v>
      </c>
      <c r="C263" s="3">
        <v>3</v>
      </c>
      <c r="D263" s="3">
        <v>1.9230769230769201E-2</v>
      </c>
      <c r="E263" s="3">
        <v>0.99999946786478</v>
      </c>
      <c r="F263" s="3" t="str">
        <f>"3/386"</f>
        <v>3/386</v>
      </c>
      <c r="G263" s="3" t="str">
        <f>"156/8106"</f>
        <v>156/8106</v>
      </c>
      <c r="H263" s="3">
        <v>0.981486063843381</v>
      </c>
      <c r="I263" s="3">
        <v>0.87353754685556495</v>
      </c>
      <c r="J263" s="3" t="str">
        <f>"HPD, QPRT, RGN"</f>
        <v>HPD, QPRT, RGN</v>
      </c>
    </row>
    <row r="264" spans="1:10">
      <c r="A264" s="3" t="str">
        <f>"hsa04218"</f>
        <v>hsa04218</v>
      </c>
      <c r="B264" s="2" t="str">
        <f>"Cellular senescence"</f>
        <v>Cellular senescence</v>
      </c>
      <c r="C264" s="3">
        <v>3</v>
      </c>
      <c r="D264" s="3">
        <v>1.9230769230769201E-2</v>
      </c>
      <c r="E264" s="3">
        <v>0.99999946786478</v>
      </c>
      <c r="F264" s="3" t="str">
        <f>"3/386"</f>
        <v>3/386</v>
      </c>
      <c r="G264" s="3" t="str">
        <f>"156/8106"</f>
        <v>156/8106</v>
      </c>
      <c r="H264" s="3">
        <v>0.981486063843381</v>
      </c>
      <c r="I264" s="3">
        <v>0.87353754685556495</v>
      </c>
      <c r="J264" s="3" t="str">
        <f>"CCND2, HIPK4, TGFB3"</f>
        <v>CCND2, HIPK4, TGFB3</v>
      </c>
    </row>
    <row r="265" spans="1:10">
      <c r="A265" s="3" t="str">
        <f>"hsa04217"</f>
        <v>hsa04217</v>
      </c>
      <c r="B265" s="2" t="str">
        <f>"Necroptosis"</f>
        <v>Necroptosis</v>
      </c>
      <c r="C265" s="3">
        <v>3</v>
      </c>
      <c r="D265" s="3">
        <v>1.88679245283019E-2</v>
      </c>
      <c r="E265" s="3">
        <v>0.99999946786478</v>
      </c>
      <c r="F265" s="3" t="str">
        <f>"3/386"</f>
        <v>3/386</v>
      </c>
      <c r="G265" s="3" t="str">
        <f>"159/8106"</f>
        <v>159/8106</v>
      </c>
      <c r="H265" s="3">
        <v>0.98349903986207998</v>
      </c>
      <c r="I265" s="3">
        <v>0.87353754685556495</v>
      </c>
      <c r="J265" s="3" t="str">
        <f>"H2AC17, H2AC8, H2AW"</f>
        <v>H2AC17, H2AC8, H2AW</v>
      </c>
    </row>
    <row r="266" spans="1:10">
      <c r="A266" s="3" t="str">
        <f>"hsa04110"</f>
        <v>hsa04110</v>
      </c>
      <c r="B266" s="2" t="str">
        <f>"Cell cycle"</f>
        <v>Cell cycle</v>
      </c>
      <c r="C266" s="3">
        <v>2</v>
      </c>
      <c r="D266" s="3">
        <v>1.6129032258064498E-2</v>
      </c>
      <c r="E266" s="3">
        <v>0.99999946786478</v>
      </c>
      <c r="F266" s="3" t="str">
        <f>"2/386"</f>
        <v>2/386</v>
      </c>
      <c r="G266" s="3" t="str">
        <f>"124/8106"</f>
        <v>124/8106</v>
      </c>
      <c r="H266" s="3">
        <v>0.98358547202662505</v>
      </c>
      <c r="I266" s="3">
        <v>0.87353754685556495</v>
      </c>
      <c r="J266" s="3" t="str">
        <f>"CCND2, TGFB3"</f>
        <v>CCND2, TGFB3</v>
      </c>
    </row>
    <row r="267" spans="1:10">
      <c r="A267" s="3" t="str">
        <f>"hsa05235"</f>
        <v>hsa05235</v>
      </c>
      <c r="B267" s="2" t="str">
        <f>"PD-L1 expression and PD-1 checkpoint pathway in cancer"</f>
        <v>PD-L1 expression and PD-1 checkpoint pathway in cancer</v>
      </c>
      <c r="C267" s="3">
        <v>1</v>
      </c>
      <c r="D267" s="3">
        <v>1.1235955056179799E-2</v>
      </c>
      <c r="E267" s="3">
        <v>0.99999946786478</v>
      </c>
      <c r="F267" s="3" t="str">
        <f>"1/386"</f>
        <v>1/386</v>
      </c>
      <c r="G267" s="3" t="str">
        <f>"89/8106"</f>
        <v>89/8106</v>
      </c>
      <c r="H267" s="3">
        <v>0.987306450056609</v>
      </c>
      <c r="I267" s="3">
        <v>0.87353754685556495</v>
      </c>
      <c r="J267" s="3" t="str">
        <f>"EGF"</f>
        <v>EGF</v>
      </c>
    </row>
    <row r="268" spans="1:10">
      <c r="A268" s="3" t="str">
        <f>"hsa04658"</f>
        <v>hsa04658</v>
      </c>
      <c r="B268" s="2" t="str">
        <f>"Th1 and Th2 cell differentiation"</f>
        <v>Th1 and Th2 cell differentiation</v>
      </c>
      <c r="C268" s="3">
        <v>1</v>
      </c>
      <c r="D268" s="3">
        <v>1.0869565217391301E-2</v>
      </c>
      <c r="E268" s="3">
        <v>0.99999946786478</v>
      </c>
      <c r="F268" s="3" t="str">
        <f>"1/386"</f>
        <v>1/386</v>
      </c>
      <c r="G268" s="3" t="str">
        <f>"92/8106"</f>
        <v>92/8106</v>
      </c>
      <c r="H268" s="3">
        <v>0.98905329073639403</v>
      </c>
      <c r="I268" s="3">
        <v>0.87353754685556495</v>
      </c>
      <c r="J268" s="3" t="str">
        <f>"HLA-DRB4"</f>
        <v>HLA-DRB4</v>
      </c>
    </row>
    <row r="269" spans="1:10">
      <c r="A269" s="3" t="str">
        <f>"hsa05203"</f>
        <v>hsa05203</v>
      </c>
      <c r="B269" s="2" t="str">
        <f>"Viral carcinogenesis"</f>
        <v>Viral carcinogenesis</v>
      </c>
      <c r="C269" s="3">
        <v>4</v>
      </c>
      <c r="D269" s="3">
        <v>1.9607843137254902E-2</v>
      </c>
      <c r="E269" s="3">
        <v>0.99999946786478</v>
      </c>
      <c r="F269" s="3" t="str">
        <f>"4/386"</f>
        <v>4/386</v>
      </c>
      <c r="G269" s="3" t="str">
        <f>"204/8106"</f>
        <v>204/8106</v>
      </c>
      <c r="H269" s="3">
        <v>0.98942333303817798</v>
      </c>
      <c r="I269" s="3">
        <v>0.87353754685556495</v>
      </c>
      <c r="J269" s="3" t="str">
        <f>"CCND2, CREB3L4, HDAC9, HPN"</f>
        <v>CCND2, CREB3L4, HDAC9, HPN</v>
      </c>
    </row>
    <row r="270" spans="1:10">
      <c r="A270" s="3" t="str">
        <f>"hsa04210"</f>
        <v>hsa04210</v>
      </c>
      <c r="B270" s="2" t="str">
        <f>"Apoptosis"</f>
        <v>Apoptosis</v>
      </c>
      <c r="C270" s="3">
        <v>2</v>
      </c>
      <c r="D270" s="3">
        <v>1.4705882352941201E-2</v>
      </c>
      <c r="E270" s="3">
        <v>0.99999946786478</v>
      </c>
      <c r="F270" s="3" t="str">
        <f>"2/386"</f>
        <v>2/386</v>
      </c>
      <c r="G270" s="3" t="str">
        <f>"136/8106"</f>
        <v>136/8106</v>
      </c>
      <c r="H270" s="3">
        <v>0.99017889110997204</v>
      </c>
      <c r="I270" s="3">
        <v>0.87353754685556495</v>
      </c>
      <c r="J270" s="3" t="str">
        <f>"NTRK1, TP53AIP1"</f>
        <v>NTRK1, TP53AIP1</v>
      </c>
    </row>
    <row r="271" spans="1:10">
      <c r="A271" s="3" t="str">
        <f>"hsa05135"</f>
        <v>hsa05135</v>
      </c>
      <c r="B271" s="2" t="str">
        <f>"Yersinia infection"</f>
        <v>Yersinia infection</v>
      </c>
      <c r="C271" s="3">
        <v>2</v>
      </c>
      <c r="D271" s="3">
        <v>1.4598540145985399E-2</v>
      </c>
      <c r="E271" s="3">
        <v>0.99999946786478</v>
      </c>
      <c r="F271" s="3" t="str">
        <f>"2/386"</f>
        <v>2/386</v>
      </c>
      <c r="G271" s="3" t="str">
        <f>"137/8106"</f>
        <v>137/8106</v>
      </c>
      <c r="H271" s="3">
        <v>0.99059341731918804</v>
      </c>
      <c r="I271" s="3">
        <v>0.87353754685556495</v>
      </c>
      <c r="J271" s="3" t="str">
        <f>"ITGA4, RAC3"</f>
        <v>ITGA4, RAC3</v>
      </c>
    </row>
    <row r="272" spans="1:10">
      <c r="A272" s="3" t="str">
        <f>"hsa05162"</f>
        <v>hsa05162</v>
      </c>
      <c r="B272" s="2" t="str">
        <f>"Measles"</f>
        <v>Measles</v>
      </c>
      <c r="C272" s="3">
        <v>2</v>
      </c>
      <c r="D272" s="3">
        <v>1.4388489208633099E-2</v>
      </c>
      <c r="E272" s="3">
        <v>0.99999946786478</v>
      </c>
      <c r="F272" s="3" t="str">
        <f>"2/386"</f>
        <v>2/386</v>
      </c>
      <c r="G272" s="3" t="str">
        <f>"139/8106"</f>
        <v>139/8106</v>
      </c>
      <c r="H272" s="3">
        <v>0.99137192960294496</v>
      </c>
      <c r="I272" s="3">
        <v>0.87353754685556495</v>
      </c>
      <c r="J272" s="3" t="str">
        <f>"CCND2, RAB9B"</f>
        <v>CCND2, RAB9B</v>
      </c>
    </row>
    <row r="273" spans="1:10">
      <c r="A273" s="3" t="str">
        <f>"hsa05020"</f>
        <v>hsa05020</v>
      </c>
      <c r="B273" s="2" t="str">
        <f>"Prion disease"</f>
        <v>Prion disease</v>
      </c>
      <c r="C273" s="3">
        <v>6</v>
      </c>
      <c r="D273" s="3">
        <v>2.1978021978022001E-2</v>
      </c>
      <c r="E273" s="3">
        <v>0.99999946786478</v>
      </c>
      <c r="F273" s="3" t="str">
        <f>"6/386"</f>
        <v>6/386</v>
      </c>
      <c r="G273" s="3" t="str">
        <f>"273/8106"</f>
        <v>273/8106</v>
      </c>
      <c r="H273" s="3">
        <v>0.99140863705938398</v>
      </c>
      <c r="I273" s="3">
        <v>0.87353754685556495</v>
      </c>
      <c r="J273" s="3" t="str">
        <f>"C7, CAV1, CAV2, CREB3L4, NCAM1, RYR2"</f>
        <v>C7, CAV1, CAV2, CREB3L4, NCAM1, RYR2</v>
      </c>
    </row>
    <row r="274" spans="1:10">
      <c r="A274" s="3" t="str">
        <f>"hsa05016"</f>
        <v>hsa05016</v>
      </c>
      <c r="B274" s="2" t="str">
        <f>"Huntington disease"</f>
        <v>Huntington disease</v>
      </c>
      <c r="C274" s="3">
        <v>7</v>
      </c>
      <c r="D274" s="3">
        <v>2.2875816993464099E-2</v>
      </c>
      <c r="E274" s="3">
        <v>0.99999946786478</v>
      </c>
      <c r="F274" s="3" t="str">
        <f>"7/386"</f>
        <v>7/386</v>
      </c>
      <c r="G274" s="3" t="str">
        <f>"306/8106"</f>
        <v>306/8106</v>
      </c>
      <c r="H274" s="3">
        <v>0.99214402642293598</v>
      </c>
      <c r="I274" s="3">
        <v>0.87353754685556495</v>
      </c>
      <c r="J274" s="3" t="str">
        <f>"BDNF, CREB3L4, DNAH5, GPX8, GRIA3, PPARG, PPARGC1A"</f>
        <v>BDNF, CREB3L4, DNAH5, GPX8, GRIA3, PPARG, PPARGC1A</v>
      </c>
    </row>
    <row r="275" spans="1:10">
      <c r="A275" s="3" t="str">
        <f>"hsa04621"</f>
        <v>hsa04621</v>
      </c>
      <c r="B275" s="2" t="str">
        <f>"NOD-like receptor signaling pathway"</f>
        <v>NOD-like receptor signaling pathway</v>
      </c>
      <c r="C275" s="3">
        <v>3</v>
      </c>
      <c r="D275" s="3">
        <v>1.6574585635359101E-2</v>
      </c>
      <c r="E275" s="3">
        <v>0.99999946786478</v>
      </c>
      <c r="F275" s="3" t="str">
        <f>"3/386"</f>
        <v>3/386</v>
      </c>
      <c r="G275" s="3" t="str">
        <f>"181/8106"</f>
        <v>181/8106</v>
      </c>
      <c r="H275" s="3">
        <v>0.99302722381365405</v>
      </c>
      <c r="I275" s="3">
        <v>0.87353754685556495</v>
      </c>
      <c r="J275" s="3" t="str">
        <f>"ANTXR1, NLRP1, NLRP12"</f>
        <v>ANTXR1, NLRP1, NLRP12</v>
      </c>
    </row>
    <row r="276" spans="1:10">
      <c r="A276" s="3" t="str">
        <f>"hsa05166"</f>
        <v>hsa05166</v>
      </c>
      <c r="B276" s="2" t="str">
        <f>"Human T-cell leukemia virus 1 infection"</f>
        <v>Human T-cell leukemia virus 1 infection</v>
      </c>
      <c r="C276" s="3">
        <v>4</v>
      </c>
      <c r="D276" s="3">
        <v>1.8264840182648401E-2</v>
      </c>
      <c r="E276" s="3">
        <v>0.99999946786478</v>
      </c>
      <c r="F276" s="3" t="str">
        <f>"4/386"</f>
        <v>4/386</v>
      </c>
      <c r="G276" s="3" t="str">
        <f>"219/8106"</f>
        <v>219/8106</v>
      </c>
      <c r="H276" s="3">
        <v>0.99392207385597697</v>
      </c>
      <c r="I276" s="3">
        <v>0.87353754685556495</v>
      </c>
      <c r="J276" s="3" t="str">
        <f>"CCND2, CREB3L4, HLA-DRB4, TGFB3"</f>
        <v>CCND2, CREB3L4, HLA-DRB4, TGFB3</v>
      </c>
    </row>
    <row r="277" spans="1:10">
      <c r="A277" s="3" t="str">
        <f>"hsa04660"</f>
        <v>hsa04660</v>
      </c>
      <c r="B277" s="2" t="str">
        <f>"T cell receptor signaling pathway"</f>
        <v>T cell receptor signaling pathway</v>
      </c>
      <c r="C277" s="3">
        <v>1</v>
      </c>
      <c r="D277" s="3">
        <v>9.6153846153846194E-3</v>
      </c>
      <c r="E277" s="3">
        <v>0.99999946786478</v>
      </c>
      <c r="F277" s="3" t="str">
        <f>"1/386"</f>
        <v>1/386</v>
      </c>
      <c r="G277" s="3" t="str">
        <f>"104/8106"</f>
        <v>104/8106</v>
      </c>
      <c r="H277" s="3">
        <v>0.99394884091187596</v>
      </c>
      <c r="I277" s="3">
        <v>0.87353754685556495</v>
      </c>
      <c r="J277" s="3" t="str">
        <f>"PAK5"</f>
        <v>PAK5</v>
      </c>
    </row>
    <row r="278" spans="1:10">
      <c r="A278" s="3" t="str">
        <f>"hsa05169"</f>
        <v>hsa05169</v>
      </c>
      <c r="B278" s="2" t="str">
        <f>"Epstein-Barr virus infection"</f>
        <v>Epstein-Barr virus infection</v>
      </c>
      <c r="C278" s="3">
        <v>3</v>
      </c>
      <c r="D278" s="3">
        <v>1.4851485148514899E-2</v>
      </c>
      <c r="E278" s="3">
        <v>0.99999946786478</v>
      </c>
      <c r="F278" s="3" t="str">
        <f>"3/386"</f>
        <v>3/386</v>
      </c>
      <c r="G278" s="3" t="str">
        <f>"202/8106"</f>
        <v>202/8106</v>
      </c>
      <c r="H278" s="3">
        <v>0.99701104892056203</v>
      </c>
      <c r="I278" s="3">
        <v>0.87353754685556495</v>
      </c>
      <c r="J278" s="3" t="str">
        <f>"CCND2, ENTPD1, HLA-DRB4"</f>
        <v>CCND2, ENTPD1, HLA-DRB4</v>
      </c>
    </row>
    <row r="279" spans="1:10">
      <c r="A279" s="3" t="str">
        <f>"hsa05010"</f>
        <v>hsa05010</v>
      </c>
      <c r="B279" s="2" t="str">
        <f>"Alzheimer disease"</f>
        <v>Alzheimer disease</v>
      </c>
      <c r="C279" s="3">
        <v>8</v>
      </c>
      <c r="D279" s="3">
        <v>2.1680216802168001E-2</v>
      </c>
      <c r="E279" s="3">
        <v>0.99999946786478</v>
      </c>
      <c r="F279" s="3" t="str">
        <f>"8/386"</f>
        <v>8/386</v>
      </c>
      <c r="G279" s="3" t="str">
        <f>"369/8106"</f>
        <v>369/8106</v>
      </c>
      <c r="H279" s="3">
        <v>0.997267008872053</v>
      </c>
      <c r="I279" s="3">
        <v>0.87353754685556495</v>
      </c>
      <c r="J279" s="3" t="str">
        <f>"AXIN2, CHRM3, DKK1, FZD7, NOS1, WNT11, WNT2, WNT2B"</f>
        <v>AXIN2, CHRM3, DKK1, FZD7, NOS1, WNT11, WNT2, WNT2B</v>
      </c>
    </row>
    <row r="280" spans="1:10">
      <c r="A280" s="3" t="str">
        <f>"hsa04380"</f>
        <v>hsa04380</v>
      </c>
      <c r="B280" s="2" t="str">
        <f>"Osteoclast differentiation"</f>
        <v>Osteoclast differentiation</v>
      </c>
      <c r="C280" s="3">
        <v>1</v>
      </c>
      <c r="D280" s="3">
        <v>7.8125E-3</v>
      </c>
      <c r="E280" s="3">
        <v>0.99999946786478</v>
      </c>
      <c r="F280" s="3" t="str">
        <f>"1/386"</f>
        <v>1/386</v>
      </c>
      <c r="G280" s="3" t="str">
        <f>"128/8106"</f>
        <v>128/8106</v>
      </c>
      <c r="H280" s="3">
        <v>0.99815600743719002</v>
      </c>
      <c r="I280" s="3">
        <v>0.87353754685556495</v>
      </c>
      <c r="J280" s="3" t="str">
        <f>"PPARG"</f>
        <v>PPARG</v>
      </c>
    </row>
    <row r="281" spans="1:10">
      <c r="A281" s="3" t="str">
        <f>"hsa05152"</f>
        <v>hsa05152</v>
      </c>
      <c r="B281" s="2" t="str">
        <f>"Tuberculosis"</f>
        <v>Tuberculosis</v>
      </c>
      <c r="C281" s="3">
        <v>2</v>
      </c>
      <c r="D281" s="3">
        <v>1.1111111111111099E-2</v>
      </c>
      <c r="E281" s="3">
        <v>0.99999946786478</v>
      </c>
      <c r="F281" s="3" t="str">
        <f>"2/386"</f>
        <v>2/386</v>
      </c>
      <c r="G281" s="3" t="str">
        <f>"180/8106"</f>
        <v>180/8106</v>
      </c>
      <c r="H281" s="3">
        <v>0.99858327415050296</v>
      </c>
      <c r="I281" s="3">
        <v>0.87353754685556495</v>
      </c>
      <c r="J281" s="3" t="str">
        <f>"HLA-DRB4, TGFB3"</f>
        <v>HLA-DRB4, TGFB3</v>
      </c>
    </row>
    <row r="282" spans="1:10">
      <c r="A282" s="3" t="str">
        <f>"hsa05167"</f>
        <v>hsa05167</v>
      </c>
      <c r="B282" s="2" t="str">
        <f>"Kaposi sarcoma-associated herpesvirus infection"</f>
        <v>Kaposi sarcoma-associated herpesvirus infection</v>
      </c>
      <c r="C282" s="3">
        <v>2</v>
      </c>
      <c r="D282" s="3">
        <v>1.03626943005181E-2</v>
      </c>
      <c r="E282" s="3">
        <v>0.99999946786478</v>
      </c>
      <c r="F282" s="3" t="str">
        <f>"2/386"</f>
        <v>2/386</v>
      </c>
      <c r="G282" s="3" t="str">
        <f>"193/8106"</f>
        <v>193/8106</v>
      </c>
      <c r="H282" s="3">
        <v>0.99921062547136597</v>
      </c>
      <c r="I282" s="3">
        <v>0.87353754685556495</v>
      </c>
      <c r="J282" s="3" t="str">
        <f>"FGF2, GNG4"</f>
        <v>FGF2, GNG4</v>
      </c>
    </row>
    <row r="283" spans="1:10">
      <c r="A283" s="3" t="str">
        <f>"hsa05417"</f>
        <v>hsa05417</v>
      </c>
      <c r="B283" s="2" t="str">
        <f>"Lipid and atherosclerosis"</f>
        <v>Lipid and atherosclerosis</v>
      </c>
      <c r="C283" s="3">
        <v>2</v>
      </c>
      <c r="D283" s="3">
        <v>9.3023255813953504E-3</v>
      </c>
      <c r="E283" s="3">
        <v>0.99999946786478</v>
      </c>
      <c r="F283" s="3" t="str">
        <f>"2/386"</f>
        <v>2/386</v>
      </c>
      <c r="G283" s="3" t="str">
        <f>"215/8106"</f>
        <v>215/8106</v>
      </c>
      <c r="H283" s="3">
        <v>0.99970976008071</v>
      </c>
      <c r="I283" s="3">
        <v>0.87353754685556495</v>
      </c>
      <c r="J283" s="3" t="str">
        <f>"PPARG, PRKCA"</f>
        <v>PPARG, PRKCA</v>
      </c>
    </row>
    <row r="284" spans="1:10">
      <c r="A284" s="3" t="str">
        <f>"hsa04141"</f>
        <v>hsa04141</v>
      </c>
      <c r="B284" s="2" t="str">
        <f>"Protein processing in endoplasmic reticulum"</f>
        <v>Protein processing in endoplasmic reticulum</v>
      </c>
      <c r="C284" s="3">
        <v>1</v>
      </c>
      <c r="D284" s="3">
        <v>5.8479532163742704E-3</v>
      </c>
      <c r="E284" s="3">
        <v>0.99999946786478</v>
      </c>
      <c r="F284" s="3" t="str">
        <f>"1/386"</f>
        <v>1/386</v>
      </c>
      <c r="G284" s="3" t="str">
        <f>"171/8106"</f>
        <v>171/8106</v>
      </c>
      <c r="H284" s="3">
        <v>0.99978266784841496</v>
      </c>
      <c r="I284" s="3">
        <v>0.87353754685556495</v>
      </c>
      <c r="J284" s="3" t="str">
        <f>"CRYAB"</f>
        <v>CRYAB</v>
      </c>
    </row>
    <row r="285" spans="1:10">
      <c r="A285" s="3" t="str">
        <f>"hsa03013"</f>
        <v>hsa03013</v>
      </c>
      <c r="B285" s="2" t="str">
        <f>"RNA transport"</f>
        <v>RNA transport</v>
      </c>
      <c r="C285" s="3">
        <v>1</v>
      </c>
      <c r="D285" s="3">
        <v>5.3763440860215101E-3</v>
      </c>
      <c r="E285" s="3">
        <v>0.99999946786478</v>
      </c>
      <c r="F285" s="3" t="str">
        <f>"1/386"</f>
        <v>1/386</v>
      </c>
      <c r="G285" s="3" t="str">
        <f>"186/8106"</f>
        <v>186/8106</v>
      </c>
      <c r="H285" s="3">
        <v>0.999897206139441</v>
      </c>
      <c r="I285" s="3">
        <v>0.87353754685556495</v>
      </c>
      <c r="J285" s="3" t="str">
        <f>"EIF4EBP2"</f>
        <v>EIF4EBP2</v>
      </c>
    </row>
    <row r="286" spans="1:10">
      <c r="A286" s="3" t="str">
        <f>"hsa05014"</f>
        <v>hsa05014</v>
      </c>
      <c r="B286" s="2" t="str">
        <f>"Amyotrophic lateral sclerosis"</f>
        <v>Amyotrophic lateral sclerosis</v>
      </c>
      <c r="C286" s="3">
        <v>5</v>
      </c>
      <c r="D286" s="3">
        <v>1.37362637362637E-2</v>
      </c>
      <c r="E286" s="3">
        <v>0.99999946786478</v>
      </c>
      <c r="F286" s="3" t="str">
        <f>"5/386"</f>
        <v>5/386</v>
      </c>
      <c r="G286" s="3" t="str">
        <f>"364/8106"</f>
        <v>364/8106</v>
      </c>
      <c r="H286" s="3">
        <v>0.99991468775756098</v>
      </c>
      <c r="I286" s="3">
        <v>0.87353754685556495</v>
      </c>
      <c r="J286" s="3" t="str">
        <f>"DNAH5, GPX8, NOS1, NRG1, NRG2"</f>
        <v>DNAH5, GPX8, NOS1, NRG1, NRG2</v>
      </c>
    </row>
    <row r="287" spans="1:10">
      <c r="A287" s="3" t="str">
        <f>"hsa05168"</f>
        <v>hsa05168</v>
      </c>
      <c r="B287" s="2" t="str">
        <f>"Herpes simplex virus 1 infection"</f>
        <v>Herpes simplex virus 1 infection</v>
      </c>
      <c r="C287" s="3">
        <v>7</v>
      </c>
      <c r="D287" s="3">
        <v>1.40562248995984E-2</v>
      </c>
      <c r="E287" s="3">
        <v>0.99999946786478</v>
      </c>
      <c r="F287" s="3" t="str">
        <f>"7/386"</f>
        <v>7/386</v>
      </c>
      <c r="G287" s="3" t="str">
        <f>"498/8106"</f>
        <v>498/8106</v>
      </c>
      <c r="H287" s="3">
        <v>0.99999255258273301</v>
      </c>
      <c r="I287" s="3">
        <v>0.87353754685556495</v>
      </c>
      <c r="J287" s="3" t="str">
        <f>"BST2, HLA-DRB4, NECTIN2, ZNF471, ZNF577, ZNF613, ZNF765"</f>
        <v>BST2, HLA-DRB4, NECTIN2, ZNF471, ZNF577, ZNF613, ZNF765</v>
      </c>
    </row>
    <row r="288" spans="1:10">
      <c r="A288" s="3" t="str">
        <f>"hsa05131"</f>
        <v>hsa05131</v>
      </c>
      <c r="B288" s="2" t="str">
        <f>"Shigellosis"</f>
        <v>Shigellosis</v>
      </c>
      <c r="C288" s="3">
        <v>1</v>
      </c>
      <c r="D288" s="3">
        <v>4.0650406504065002E-3</v>
      </c>
      <c r="E288" s="3">
        <v>0.99999946786478</v>
      </c>
      <c r="F288" s="3" t="str">
        <f>"1/386"</f>
        <v>1/386</v>
      </c>
      <c r="G288" s="3" t="str">
        <f>"246/8106"</f>
        <v>246/8106</v>
      </c>
      <c r="H288" s="3">
        <v>0.99999493015338103</v>
      </c>
      <c r="I288" s="3">
        <v>0.87353754685556495</v>
      </c>
      <c r="J288" s="3" t="str">
        <f>"VCL"</f>
        <v>VCL</v>
      </c>
    </row>
    <row r="289" spans="1:10">
      <c r="A289" s="3" t="str">
        <f>"hsa05012"</f>
        <v>hsa05012</v>
      </c>
      <c r="B289" s="2" t="str">
        <f>"Parkinson disease"</f>
        <v>Parkinson disease</v>
      </c>
      <c r="C289" s="3">
        <v>1</v>
      </c>
      <c r="D289" s="3">
        <v>4.0160642570281103E-3</v>
      </c>
      <c r="E289" s="3">
        <v>0.99999946786478</v>
      </c>
      <c r="F289" s="3" t="str">
        <f>"1/386"</f>
        <v>1/386</v>
      </c>
      <c r="G289" s="3" t="str">
        <f>"249/8106"</f>
        <v>249/8106</v>
      </c>
      <c r="H289" s="3">
        <v>0.99999564109001804</v>
      </c>
      <c r="I289" s="3">
        <v>0.87353754685556495</v>
      </c>
      <c r="J289" s="3" t="str">
        <f>"MAOB"</f>
        <v>MAOB</v>
      </c>
    </row>
    <row r="290" spans="1:10">
      <c r="A290" s="3" t="str">
        <f>"hsa04740"</f>
        <v>hsa04740</v>
      </c>
      <c r="B290" s="2" t="str">
        <f>"Olfactory transduction"</f>
        <v>Olfactory transduction</v>
      </c>
      <c r="C290" s="3">
        <v>4</v>
      </c>
      <c r="D290" s="3">
        <v>9.0293453724604993E-3</v>
      </c>
      <c r="E290" s="3">
        <v>0.99999946786478</v>
      </c>
      <c r="F290" s="3" t="str">
        <f>"4/386"</f>
        <v>4/386</v>
      </c>
      <c r="G290" s="3" t="str">
        <f>"443/8106"</f>
        <v>443/8106</v>
      </c>
      <c r="H290" s="3">
        <v>0.99999946786478</v>
      </c>
      <c r="I290" s="3">
        <v>0.87353754685556495</v>
      </c>
      <c r="J290" s="3" t="str">
        <f>"OR51E2, PDE1C, PRKG1, SLC8A1"</f>
        <v>OR51E2, PDE1C, PRKG1, SLC8A1</v>
      </c>
    </row>
  </sheetData>
  <mergeCells count="1">
    <mergeCell ref="A1:H1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S3 Detailed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</dc:creator>
  <cp:lastModifiedBy>MDPI</cp:lastModifiedBy>
  <dcterms:created xsi:type="dcterms:W3CDTF">2021-05-12T14:56:24Z</dcterms:created>
  <dcterms:modified xsi:type="dcterms:W3CDTF">2022-05-08T09:09:06Z</dcterms:modified>
</cp:coreProperties>
</file>