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0508\skip pub\跳发\2\genes-1667281-supplementary\"/>
    </mc:Choice>
  </mc:AlternateContent>
  <xr:revisionPtr revIDLastSave="0" documentId="13_ncr:1_{155CB6A0-3561-46CB-BB4B-2C79806367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S1 Detailed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4" l="1"/>
  <c r="G2" i="4"/>
  <c r="F2" i="4"/>
  <c r="E2" i="4"/>
  <c r="D2" i="4"/>
  <c r="C2" i="4"/>
  <c r="B2" i="4"/>
  <c r="A2" i="4"/>
  <c r="H318" i="4"/>
  <c r="A318" i="4"/>
  <c r="H317" i="4"/>
  <c r="A317" i="4"/>
  <c r="H316" i="4"/>
  <c r="A316" i="4"/>
  <c r="H315" i="4"/>
  <c r="A315" i="4"/>
  <c r="H314" i="4"/>
  <c r="A314" i="4"/>
  <c r="H313" i="4"/>
  <c r="A313" i="4"/>
  <c r="H312" i="4"/>
  <c r="A312" i="4"/>
  <c r="H311" i="4"/>
  <c r="A311" i="4"/>
  <c r="H310" i="4"/>
  <c r="A310" i="4"/>
  <c r="H309" i="4"/>
  <c r="A309" i="4"/>
  <c r="H308" i="4"/>
  <c r="A308" i="4"/>
  <c r="H307" i="4"/>
  <c r="A307" i="4"/>
  <c r="H306" i="4"/>
  <c r="A306" i="4"/>
  <c r="H305" i="4"/>
  <c r="A305" i="4"/>
  <c r="H304" i="4"/>
  <c r="A304" i="4"/>
  <c r="H303" i="4"/>
  <c r="A303" i="4"/>
  <c r="H302" i="4"/>
  <c r="A302" i="4"/>
  <c r="H301" i="4"/>
  <c r="A301" i="4"/>
  <c r="H300" i="4"/>
  <c r="A300" i="4"/>
  <c r="H299" i="4"/>
  <c r="A299" i="4"/>
  <c r="H298" i="4"/>
  <c r="A298" i="4"/>
  <c r="H297" i="4"/>
  <c r="A297" i="4"/>
  <c r="H296" i="4"/>
  <c r="A296" i="4"/>
  <c r="H295" i="4"/>
  <c r="A295" i="4"/>
  <c r="H294" i="4"/>
  <c r="A294" i="4"/>
  <c r="H293" i="4"/>
  <c r="A293" i="4"/>
  <c r="H292" i="4"/>
  <c r="A292" i="4"/>
  <c r="H291" i="4"/>
  <c r="A291" i="4"/>
  <c r="H290" i="4"/>
  <c r="A290" i="4"/>
  <c r="H289" i="4"/>
  <c r="A289" i="4"/>
  <c r="H288" i="4"/>
  <c r="A288" i="4"/>
  <c r="H287" i="4"/>
  <c r="A287" i="4"/>
  <c r="H286" i="4"/>
  <c r="A286" i="4"/>
  <c r="H285" i="4"/>
  <c r="A285" i="4"/>
  <c r="H284" i="4"/>
  <c r="A284" i="4"/>
  <c r="H283" i="4"/>
  <c r="A283" i="4"/>
  <c r="H282" i="4"/>
  <c r="A282" i="4"/>
  <c r="H281" i="4"/>
  <c r="A281" i="4"/>
  <c r="H280" i="4"/>
  <c r="A280" i="4"/>
  <c r="H279" i="4"/>
  <c r="A279" i="4"/>
  <c r="H278" i="4"/>
  <c r="A278" i="4"/>
  <c r="H277" i="4"/>
  <c r="A277" i="4"/>
  <c r="H276" i="4"/>
  <c r="A276" i="4"/>
  <c r="H275" i="4"/>
  <c r="A275" i="4"/>
  <c r="H274" i="4"/>
  <c r="A274" i="4"/>
  <c r="H273" i="4"/>
  <c r="A273" i="4"/>
  <c r="H272" i="4"/>
  <c r="A272" i="4"/>
  <c r="H271" i="4"/>
  <c r="A271" i="4"/>
  <c r="H270" i="4"/>
  <c r="A270" i="4"/>
  <c r="H269" i="4"/>
  <c r="A269" i="4"/>
  <c r="H268" i="4"/>
  <c r="A268" i="4"/>
  <c r="H267" i="4"/>
  <c r="A267" i="4"/>
  <c r="H266" i="4"/>
  <c r="A266" i="4"/>
  <c r="H265" i="4"/>
  <c r="A265" i="4"/>
  <c r="H264" i="4"/>
  <c r="A264" i="4"/>
  <c r="H263" i="4"/>
  <c r="A263" i="4"/>
  <c r="H262" i="4"/>
  <c r="A262" i="4"/>
  <c r="H261" i="4"/>
  <c r="A261" i="4"/>
  <c r="H260" i="4"/>
  <c r="A260" i="4"/>
  <c r="H259" i="4"/>
  <c r="A259" i="4"/>
  <c r="H258" i="4"/>
  <c r="A258" i="4"/>
  <c r="H257" i="4"/>
  <c r="A257" i="4"/>
  <c r="H256" i="4"/>
  <c r="A256" i="4"/>
  <c r="H255" i="4"/>
  <c r="A255" i="4"/>
  <c r="H254" i="4"/>
  <c r="A254" i="4"/>
  <c r="H253" i="4"/>
  <c r="A253" i="4"/>
  <c r="H252" i="4"/>
  <c r="A252" i="4"/>
  <c r="H251" i="4"/>
  <c r="A251" i="4"/>
  <c r="H250" i="4"/>
  <c r="A250" i="4"/>
  <c r="H249" i="4"/>
  <c r="A249" i="4"/>
  <c r="H248" i="4"/>
  <c r="A248" i="4"/>
  <c r="H247" i="4"/>
  <c r="A247" i="4"/>
  <c r="H246" i="4"/>
  <c r="A246" i="4"/>
  <c r="H245" i="4"/>
  <c r="A245" i="4"/>
  <c r="H244" i="4"/>
  <c r="A244" i="4"/>
  <c r="H243" i="4"/>
  <c r="A243" i="4"/>
  <c r="H242" i="4"/>
  <c r="A242" i="4"/>
  <c r="H241" i="4"/>
  <c r="A241" i="4"/>
  <c r="H240" i="4"/>
  <c r="A240" i="4"/>
  <c r="H239" i="4"/>
  <c r="A239" i="4"/>
  <c r="H238" i="4"/>
  <c r="A238" i="4"/>
  <c r="H237" i="4"/>
  <c r="A237" i="4"/>
  <c r="H236" i="4"/>
  <c r="A236" i="4"/>
  <c r="H235" i="4"/>
  <c r="A235" i="4"/>
  <c r="H234" i="4"/>
  <c r="A234" i="4"/>
  <c r="H233" i="4"/>
  <c r="A233" i="4"/>
  <c r="H232" i="4"/>
  <c r="A232" i="4"/>
  <c r="H231" i="4"/>
  <c r="A231" i="4"/>
  <c r="H230" i="4"/>
  <c r="A230" i="4"/>
  <c r="H229" i="4"/>
  <c r="A229" i="4"/>
  <c r="H228" i="4"/>
  <c r="A228" i="4"/>
  <c r="H227" i="4"/>
  <c r="A227" i="4"/>
  <c r="H226" i="4"/>
  <c r="A226" i="4"/>
  <c r="H225" i="4"/>
  <c r="A225" i="4"/>
  <c r="H224" i="4"/>
  <c r="A224" i="4"/>
  <c r="H223" i="4"/>
  <c r="A223" i="4"/>
  <c r="H222" i="4"/>
  <c r="A222" i="4"/>
  <c r="H221" i="4"/>
  <c r="A221" i="4"/>
  <c r="H220" i="4"/>
  <c r="A220" i="4"/>
  <c r="H219" i="4"/>
  <c r="A219" i="4"/>
  <c r="H218" i="4"/>
  <c r="A218" i="4"/>
  <c r="H217" i="4"/>
  <c r="A217" i="4"/>
  <c r="H216" i="4"/>
  <c r="A216" i="4"/>
  <c r="H215" i="4"/>
  <c r="A215" i="4"/>
  <c r="H214" i="4"/>
  <c r="A214" i="4"/>
  <c r="H213" i="4"/>
  <c r="A213" i="4"/>
  <c r="H212" i="4"/>
  <c r="A212" i="4"/>
  <c r="H211" i="4"/>
  <c r="A211" i="4"/>
  <c r="H210" i="4"/>
  <c r="A210" i="4"/>
  <c r="H209" i="4"/>
  <c r="A209" i="4"/>
  <c r="H208" i="4"/>
  <c r="A208" i="4"/>
  <c r="H207" i="4"/>
  <c r="A207" i="4"/>
  <c r="H206" i="4"/>
  <c r="A206" i="4"/>
  <c r="H205" i="4"/>
  <c r="A205" i="4"/>
  <c r="H204" i="4"/>
  <c r="A204" i="4"/>
  <c r="H203" i="4"/>
  <c r="A203" i="4"/>
  <c r="H202" i="4"/>
  <c r="A202" i="4"/>
  <c r="H201" i="4"/>
  <c r="A201" i="4"/>
  <c r="H200" i="4"/>
  <c r="A200" i="4"/>
  <c r="H199" i="4"/>
  <c r="A199" i="4"/>
  <c r="H198" i="4"/>
  <c r="A198" i="4"/>
  <c r="H197" i="4"/>
  <c r="A197" i="4"/>
  <c r="H196" i="4"/>
  <c r="A196" i="4"/>
  <c r="H195" i="4"/>
  <c r="A195" i="4"/>
  <c r="H194" i="4"/>
  <c r="A194" i="4"/>
  <c r="H193" i="4"/>
  <c r="A193" i="4"/>
  <c r="H192" i="4"/>
  <c r="A192" i="4"/>
  <c r="H191" i="4"/>
  <c r="A191" i="4"/>
  <c r="H190" i="4"/>
  <c r="A190" i="4"/>
  <c r="H189" i="4"/>
  <c r="A189" i="4"/>
  <c r="H188" i="4"/>
  <c r="A188" i="4"/>
  <c r="H187" i="4"/>
  <c r="A187" i="4"/>
  <c r="H186" i="4"/>
  <c r="A186" i="4"/>
  <c r="H185" i="4"/>
  <c r="A185" i="4"/>
  <c r="H184" i="4"/>
  <c r="A184" i="4"/>
  <c r="H183" i="4"/>
  <c r="A183" i="4"/>
  <c r="H182" i="4"/>
  <c r="A182" i="4"/>
  <c r="H181" i="4"/>
  <c r="A181" i="4"/>
  <c r="H180" i="4"/>
  <c r="A180" i="4"/>
  <c r="H179" i="4"/>
  <c r="A179" i="4"/>
  <c r="H178" i="4"/>
  <c r="A178" i="4"/>
  <c r="H177" i="4"/>
  <c r="A177" i="4"/>
  <c r="H176" i="4"/>
  <c r="A176" i="4"/>
  <c r="H175" i="4"/>
  <c r="A175" i="4"/>
  <c r="H174" i="4"/>
  <c r="A174" i="4"/>
  <c r="H173" i="4"/>
  <c r="A173" i="4"/>
  <c r="H172" i="4"/>
  <c r="A172" i="4"/>
  <c r="H171" i="4"/>
  <c r="A171" i="4"/>
  <c r="H170" i="4"/>
  <c r="A170" i="4"/>
  <c r="H169" i="4"/>
  <c r="A169" i="4"/>
  <c r="H168" i="4"/>
  <c r="A168" i="4"/>
  <c r="H167" i="4"/>
  <c r="A167" i="4"/>
  <c r="H166" i="4"/>
  <c r="A166" i="4"/>
  <c r="H165" i="4"/>
  <c r="A165" i="4"/>
  <c r="H164" i="4"/>
  <c r="A164" i="4"/>
  <c r="H163" i="4"/>
  <c r="A163" i="4"/>
  <c r="H162" i="4"/>
  <c r="A162" i="4"/>
  <c r="H161" i="4"/>
  <c r="A161" i="4"/>
  <c r="H160" i="4"/>
  <c r="A160" i="4"/>
  <c r="H159" i="4"/>
  <c r="A159" i="4"/>
  <c r="H158" i="4"/>
  <c r="A158" i="4"/>
  <c r="H157" i="4"/>
  <c r="A157" i="4"/>
  <c r="H156" i="4"/>
  <c r="A156" i="4"/>
  <c r="H155" i="4"/>
  <c r="A155" i="4"/>
  <c r="H154" i="4"/>
  <c r="A154" i="4"/>
  <c r="H153" i="4"/>
  <c r="A153" i="4"/>
  <c r="H152" i="4"/>
  <c r="A152" i="4"/>
  <c r="H151" i="4"/>
  <c r="A151" i="4"/>
  <c r="H150" i="4"/>
  <c r="A150" i="4"/>
  <c r="H149" i="4"/>
  <c r="A149" i="4"/>
  <c r="H148" i="4"/>
  <c r="A148" i="4"/>
  <c r="H147" i="4"/>
  <c r="A147" i="4"/>
  <c r="H146" i="4"/>
  <c r="A146" i="4"/>
  <c r="H145" i="4"/>
  <c r="A145" i="4"/>
  <c r="H144" i="4"/>
  <c r="A144" i="4"/>
  <c r="H143" i="4"/>
  <c r="A143" i="4"/>
  <c r="H142" i="4"/>
  <c r="A142" i="4"/>
  <c r="H141" i="4"/>
  <c r="A141" i="4"/>
  <c r="H140" i="4"/>
  <c r="A140" i="4"/>
  <c r="H139" i="4"/>
  <c r="A139" i="4"/>
  <c r="H138" i="4"/>
  <c r="A138" i="4"/>
  <c r="H137" i="4"/>
  <c r="A137" i="4"/>
  <c r="H136" i="4"/>
  <c r="A136" i="4"/>
  <c r="H135" i="4"/>
  <c r="A135" i="4"/>
  <c r="H134" i="4"/>
  <c r="A134" i="4"/>
  <c r="H133" i="4"/>
  <c r="A133" i="4"/>
  <c r="H132" i="4"/>
  <c r="A132" i="4"/>
  <c r="H131" i="4"/>
  <c r="A131" i="4"/>
  <c r="H130" i="4"/>
  <c r="A130" i="4"/>
  <c r="H129" i="4"/>
  <c r="A129" i="4"/>
  <c r="H128" i="4"/>
  <c r="A128" i="4"/>
  <c r="H127" i="4"/>
  <c r="A127" i="4"/>
  <c r="H126" i="4"/>
  <c r="A126" i="4"/>
  <c r="H125" i="4"/>
  <c r="A125" i="4"/>
  <c r="H124" i="4"/>
  <c r="A124" i="4"/>
  <c r="H123" i="4"/>
  <c r="A123" i="4"/>
  <c r="H122" i="4"/>
  <c r="A122" i="4"/>
  <c r="H121" i="4"/>
  <c r="A121" i="4"/>
  <c r="H120" i="4"/>
  <c r="A120" i="4"/>
  <c r="H119" i="4"/>
  <c r="A119" i="4"/>
  <c r="H118" i="4"/>
  <c r="A118" i="4"/>
  <c r="H117" i="4"/>
  <c r="A117" i="4"/>
  <c r="H116" i="4"/>
  <c r="A116" i="4"/>
  <c r="H115" i="4"/>
  <c r="A115" i="4"/>
  <c r="H114" i="4"/>
  <c r="A114" i="4"/>
  <c r="H113" i="4"/>
  <c r="A113" i="4"/>
  <c r="H112" i="4"/>
  <c r="A112" i="4"/>
  <c r="H111" i="4"/>
  <c r="A111" i="4"/>
  <c r="H110" i="4"/>
  <c r="A110" i="4"/>
  <c r="H109" i="4"/>
  <c r="A109" i="4"/>
  <c r="H108" i="4"/>
  <c r="A108" i="4"/>
  <c r="H107" i="4"/>
  <c r="A107" i="4"/>
  <c r="H106" i="4"/>
  <c r="A106" i="4"/>
  <c r="H105" i="4"/>
  <c r="A105" i="4"/>
  <c r="H104" i="4"/>
  <c r="A104" i="4"/>
  <c r="H103" i="4"/>
  <c r="A103" i="4"/>
  <c r="H102" i="4"/>
  <c r="A102" i="4"/>
  <c r="H101" i="4"/>
  <c r="A101" i="4"/>
  <c r="H100" i="4"/>
  <c r="A100" i="4"/>
  <c r="H99" i="4"/>
  <c r="A99" i="4"/>
  <c r="H98" i="4"/>
  <c r="A98" i="4"/>
  <c r="H97" i="4"/>
  <c r="A97" i="4"/>
  <c r="H96" i="4"/>
  <c r="A96" i="4"/>
  <c r="H95" i="4"/>
  <c r="A95" i="4"/>
  <c r="H94" i="4"/>
  <c r="A94" i="4"/>
  <c r="H93" i="4"/>
  <c r="A93" i="4"/>
  <c r="H92" i="4"/>
  <c r="A92" i="4"/>
  <c r="H91" i="4"/>
  <c r="A91" i="4"/>
  <c r="H90" i="4"/>
  <c r="A90" i="4"/>
  <c r="H89" i="4"/>
  <c r="A89" i="4"/>
  <c r="H88" i="4"/>
  <c r="A88" i="4"/>
  <c r="H87" i="4"/>
  <c r="A87" i="4"/>
  <c r="H86" i="4"/>
  <c r="A86" i="4"/>
  <c r="H85" i="4"/>
  <c r="A85" i="4"/>
  <c r="H84" i="4"/>
  <c r="A84" i="4"/>
  <c r="H83" i="4"/>
  <c r="A83" i="4"/>
  <c r="H82" i="4"/>
  <c r="A82" i="4"/>
  <c r="H81" i="4"/>
  <c r="A81" i="4"/>
  <c r="H80" i="4"/>
  <c r="A80" i="4"/>
  <c r="H79" i="4"/>
  <c r="A79" i="4"/>
  <c r="H78" i="4"/>
  <c r="A78" i="4"/>
  <c r="H77" i="4"/>
  <c r="A77" i="4"/>
  <c r="H76" i="4"/>
  <c r="A76" i="4"/>
  <c r="H75" i="4"/>
  <c r="A75" i="4"/>
  <c r="H74" i="4"/>
  <c r="A74" i="4"/>
  <c r="H73" i="4"/>
  <c r="A73" i="4"/>
  <c r="H72" i="4"/>
  <c r="A72" i="4"/>
  <c r="H71" i="4"/>
  <c r="A71" i="4"/>
  <c r="H70" i="4"/>
  <c r="A70" i="4"/>
  <c r="H69" i="4"/>
  <c r="A69" i="4"/>
  <c r="H68" i="4"/>
  <c r="A68" i="4"/>
  <c r="H67" i="4"/>
  <c r="A67" i="4"/>
  <c r="H66" i="4"/>
  <c r="A66" i="4"/>
  <c r="H65" i="4"/>
  <c r="A65" i="4"/>
  <c r="H64" i="4"/>
  <c r="A64" i="4"/>
  <c r="H63" i="4"/>
  <c r="A63" i="4"/>
  <c r="H62" i="4"/>
  <c r="A62" i="4"/>
  <c r="H61" i="4"/>
  <c r="A61" i="4"/>
  <c r="H60" i="4"/>
  <c r="A60" i="4"/>
  <c r="H59" i="4"/>
  <c r="A59" i="4"/>
  <c r="H58" i="4"/>
  <c r="A58" i="4"/>
  <c r="H57" i="4"/>
  <c r="A57" i="4"/>
  <c r="H56" i="4"/>
  <c r="A56" i="4"/>
  <c r="H55" i="4"/>
  <c r="A55" i="4"/>
  <c r="H54" i="4"/>
  <c r="A54" i="4"/>
  <c r="H53" i="4"/>
  <c r="A53" i="4"/>
  <c r="H52" i="4"/>
  <c r="A52" i="4"/>
  <c r="H51" i="4"/>
  <c r="A51" i="4"/>
  <c r="H50" i="4"/>
  <c r="A50" i="4"/>
  <c r="H49" i="4"/>
  <c r="A49" i="4"/>
  <c r="H48" i="4"/>
  <c r="A48" i="4"/>
  <c r="H47" i="4"/>
  <c r="A47" i="4"/>
  <c r="H46" i="4"/>
  <c r="A46" i="4"/>
  <c r="H45" i="4"/>
  <c r="A45" i="4"/>
  <c r="H44" i="4"/>
  <c r="A44" i="4"/>
  <c r="H43" i="4"/>
  <c r="A43" i="4"/>
  <c r="H42" i="4"/>
  <c r="A42" i="4"/>
  <c r="H41" i="4"/>
  <c r="A41" i="4"/>
  <c r="H40" i="4"/>
  <c r="A40" i="4"/>
  <c r="H39" i="4"/>
  <c r="A39" i="4"/>
  <c r="H38" i="4"/>
  <c r="A38" i="4"/>
  <c r="H37" i="4"/>
  <c r="A37" i="4"/>
  <c r="H36" i="4"/>
  <c r="A36" i="4"/>
  <c r="H35" i="4"/>
  <c r="A35" i="4"/>
  <c r="H34" i="4"/>
  <c r="A34" i="4"/>
  <c r="H33" i="4"/>
  <c r="A33" i="4"/>
  <c r="H32" i="4"/>
  <c r="A32" i="4"/>
  <c r="H31" i="4"/>
  <c r="A31" i="4"/>
  <c r="H30" i="4"/>
  <c r="A30" i="4"/>
  <c r="H29" i="4"/>
  <c r="A29" i="4"/>
  <c r="H28" i="4"/>
  <c r="A28" i="4"/>
  <c r="H27" i="4"/>
  <c r="A27" i="4"/>
  <c r="H26" i="4"/>
  <c r="A26" i="4"/>
  <c r="H25" i="4"/>
  <c r="A25" i="4"/>
  <c r="H24" i="4"/>
  <c r="A24" i="4"/>
  <c r="H23" i="4"/>
  <c r="A23" i="4"/>
  <c r="H22" i="4"/>
  <c r="A22" i="4"/>
  <c r="H21" i="4"/>
  <c r="A21" i="4"/>
  <c r="H20" i="4"/>
  <c r="A20" i="4"/>
  <c r="H19" i="4"/>
  <c r="A19" i="4"/>
  <c r="H18" i="4"/>
  <c r="A18" i="4"/>
  <c r="H17" i="4"/>
  <c r="A17" i="4"/>
  <c r="H16" i="4"/>
  <c r="A16" i="4"/>
  <c r="H15" i="4"/>
  <c r="A15" i="4"/>
  <c r="H14" i="4"/>
  <c r="A14" i="4"/>
  <c r="H13" i="4"/>
  <c r="A13" i="4"/>
  <c r="H12" i="4"/>
  <c r="A12" i="4"/>
  <c r="H11" i="4"/>
  <c r="A11" i="4"/>
  <c r="H10" i="4"/>
  <c r="A10" i="4"/>
  <c r="H9" i="4"/>
  <c r="A9" i="4"/>
  <c r="H8" i="4"/>
  <c r="A8" i="4"/>
  <c r="H7" i="4"/>
  <c r="A7" i="4"/>
  <c r="H6" i="4"/>
  <c r="A6" i="4"/>
  <c r="H5" i="4"/>
  <c r="A5" i="4"/>
  <c r="H4" i="4"/>
  <c r="A4" i="4"/>
  <c r="H3" i="4"/>
  <c r="A3" i="4"/>
</calcChain>
</file>

<file path=xl/sharedStrings.xml><?xml version="1.0" encoding="utf-8"?>
<sst xmlns="http://schemas.openxmlformats.org/spreadsheetml/2006/main" count="1" uniqueCount="1">
  <si>
    <r>
      <rPr>
        <b/>
        <sz val="11"/>
        <color theme="1"/>
        <rFont val="Calibri"/>
        <family val="2"/>
        <scheme val="minor"/>
      </rPr>
      <t>Supplementary Table S1.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Detailed information of up-regulated DEGs (adj.P.Value &lt; 0.05 &amp; log Fold Change &gt; 1.5)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</si>
</sst>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>
      <alignment vertical="center"/>
    </xf>
  </cellStyleXfs>
  <cellXfs count="5">
    <xf numFmtId="0" fontId="0" fillId="0" borderId="0" xfId="0"/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0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42EDE126-E8FC-48EC-A8C0-165BBD79670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9FC13-97E7-44EE-BB13-0CEC02F041CE}">
  <dimension ref="A1:K318"/>
  <sheetViews>
    <sheetView tabSelected="1" zoomScale="85" zoomScaleNormal="85" workbookViewId="0">
      <selection activeCell="L37" sqref="L37"/>
    </sheetView>
  </sheetViews>
  <sheetFormatPr defaultColWidth="8.85546875" defaultRowHeight="15"/>
  <cols>
    <col min="1" max="1" width="12.42578125" style="2" customWidth="1"/>
    <col min="2" max="2" width="13.85546875" style="2" customWidth="1"/>
    <col min="3" max="3" width="13.42578125" style="2" customWidth="1"/>
    <col min="4" max="4" width="14.140625" style="2" customWidth="1"/>
    <col min="5" max="5" width="11.5703125" style="2" customWidth="1"/>
    <col min="6" max="6" width="13.5703125" style="2" customWidth="1"/>
    <col min="7" max="7" width="13.140625" style="2" customWidth="1"/>
    <col min="8" max="8" width="13.7109375" style="1" customWidth="1"/>
    <col min="9" max="16384" width="8.85546875" style="2"/>
  </cols>
  <sheetData>
    <row r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1" t="str">
        <f>"probe"</f>
        <v>probe</v>
      </c>
      <c r="B2" s="1" t="str">
        <f>"logFC"</f>
        <v>logFC</v>
      </c>
      <c r="C2" s="1" t="str">
        <f>"AveExpr"</f>
        <v>AveExpr</v>
      </c>
      <c r="D2" s="1" t="str">
        <f>"t"</f>
        <v>t</v>
      </c>
      <c r="E2" s="1" t="str">
        <f>"P.Value"</f>
        <v>P.Value</v>
      </c>
      <c r="F2" s="1" t="str">
        <f>"adj.P.Val"</f>
        <v>adj.P.Val</v>
      </c>
      <c r="G2" s="1" t="str">
        <f>"B"</f>
        <v>B</v>
      </c>
      <c r="H2" s="1" t="str">
        <f>"geneSymbol"</f>
        <v>geneSymbol</v>
      </c>
    </row>
    <row r="3" spans="1:11">
      <c r="A3" s="2" t="str">
        <f>"232482_at"</f>
        <v>232482_at</v>
      </c>
      <c r="B3" s="2">
        <v>4.2444118579663099</v>
      </c>
      <c r="C3" s="2">
        <v>9.5448662646078208</v>
      </c>
      <c r="D3" s="2">
        <v>5.2193421830431701</v>
      </c>
      <c r="E3" s="3">
        <v>1.6712534026653599E-5</v>
      </c>
      <c r="F3" s="2">
        <v>4.7615610484827301E-4</v>
      </c>
      <c r="G3" s="2">
        <v>4.6521580816297599</v>
      </c>
      <c r="H3" s="1" t="str">
        <f>"OR51E2"</f>
        <v>OR51E2</v>
      </c>
    </row>
    <row r="4" spans="1:11">
      <c r="A4" s="2" t="str">
        <f>"242138_at"</f>
        <v>242138_at</v>
      </c>
      <c r="B4" s="2">
        <v>3.8980459698588499</v>
      </c>
      <c r="C4" s="2">
        <v>6.7215699994382998</v>
      </c>
      <c r="D4" s="2">
        <v>6.2796801482692901</v>
      </c>
      <c r="E4" s="3">
        <v>9.9858466871859091E-7</v>
      </c>
      <c r="F4" s="3">
        <v>5.6637652102537103E-5</v>
      </c>
      <c r="G4" s="2">
        <v>7.3274885612658496</v>
      </c>
      <c r="H4" s="1" t="str">
        <f>"DLX1"</f>
        <v>DLX1</v>
      </c>
    </row>
    <row r="5" spans="1:11">
      <c r="A5" s="2" t="str">
        <f>"219521_at"</f>
        <v>219521_at</v>
      </c>
      <c r="B5" s="2">
        <v>3.8837680287993699</v>
      </c>
      <c r="C5" s="2">
        <v>6.9871536986060203</v>
      </c>
      <c r="D5" s="2">
        <v>9.0707260672356806</v>
      </c>
      <c r="E5" s="3">
        <v>1.0640593564101399E-9</v>
      </c>
      <c r="F5" s="3">
        <v>4.6953593757297399E-7</v>
      </c>
      <c r="G5" s="2">
        <v>13.733963073753801</v>
      </c>
      <c r="H5" s="1" t="str">
        <f>"B3GAT1"</f>
        <v>B3GAT1</v>
      </c>
    </row>
    <row r="6" spans="1:11">
      <c r="A6" s="2" t="str">
        <f>"239319_at"</f>
        <v>239319_at</v>
      </c>
      <c r="B6" s="2">
        <v>3.5569975447447502</v>
      </c>
      <c r="C6" s="2">
        <v>6.0024943059545501</v>
      </c>
      <c r="D6" s="2">
        <v>6.7497110984822797</v>
      </c>
      <c r="E6" s="3">
        <v>2.9524881148809599E-7</v>
      </c>
      <c r="F6" s="3">
        <v>2.398622402394E-5</v>
      </c>
      <c r="G6" s="2">
        <v>8.4805987090636705</v>
      </c>
      <c r="H6" s="1" t="str">
        <f>"LINC00992"</f>
        <v>LINC00992</v>
      </c>
    </row>
    <row r="7" spans="1:11">
      <c r="A7" s="2" t="str">
        <f>"210165_at"</f>
        <v>210165_at</v>
      </c>
      <c r="B7" s="2">
        <v>3.4357943297493398</v>
      </c>
      <c r="C7" s="2">
        <v>5.2438299783320002</v>
      </c>
      <c r="D7" s="2">
        <v>9.0561257559552892</v>
      </c>
      <c r="E7" s="3">
        <v>1.0999743520216199E-9</v>
      </c>
      <c r="F7" s="3">
        <v>4.7731029918081004E-7</v>
      </c>
      <c r="G7" s="2">
        <v>13.703422560022901</v>
      </c>
      <c r="H7" s="1" t="str">
        <f>"DNASE1"</f>
        <v>DNASE1</v>
      </c>
    </row>
    <row r="8" spans="1:11">
      <c r="A8" s="2" t="str">
        <f>"221345_at"</f>
        <v>221345_at</v>
      </c>
      <c r="B8" s="2">
        <v>3.33230441612191</v>
      </c>
      <c r="C8" s="2">
        <v>6.7137668363378804</v>
      </c>
      <c r="D8" s="2">
        <v>8.2688108007050705</v>
      </c>
      <c r="E8" s="3">
        <v>6.8693459528637096E-9</v>
      </c>
      <c r="F8" s="3">
        <v>1.6742584774419901E-6</v>
      </c>
      <c r="G8" s="2">
        <v>12.0085663665146</v>
      </c>
      <c r="H8" s="1" t="str">
        <f>"FFAR2"</f>
        <v>FFAR2</v>
      </c>
    </row>
    <row r="9" spans="1:11">
      <c r="A9" s="2" t="str">
        <f>"211303_x_at"</f>
        <v>211303_x_at</v>
      </c>
      <c r="B9" s="2">
        <v>3.2775451294437699</v>
      </c>
      <c r="C9" s="2">
        <v>10.001950742589999</v>
      </c>
      <c r="D9" s="2">
        <v>6.0361320284747304</v>
      </c>
      <c r="E9" s="3">
        <v>1.8935412519667401E-6</v>
      </c>
      <c r="F9" s="3">
        <v>9.0114574838873494E-5</v>
      </c>
      <c r="G9" s="2">
        <v>6.7207078356499199</v>
      </c>
      <c r="H9" s="1" t="str">
        <f>"FOLH1B"</f>
        <v>FOLH1B</v>
      </c>
    </row>
    <row r="10" spans="1:11">
      <c r="A10" s="2" t="str">
        <f>"203953_s_at"</f>
        <v>203953_s_at</v>
      </c>
      <c r="B10" s="2">
        <v>3.0579034801842</v>
      </c>
      <c r="C10" s="2">
        <v>10.8052630077896</v>
      </c>
      <c r="D10" s="2">
        <v>7.9804543876372396</v>
      </c>
      <c r="E10" s="3">
        <v>1.3714104917610799E-8</v>
      </c>
      <c r="F10" s="3">
        <v>2.7566863469499E-6</v>
      </c>
      <c r="G10" s="2">
        <v>11.364390361025</v>
      </c>
      <c r="H10" s="1" t="str">
        <f>"CLDN3"</f>
        <v>CLDN3</v>
      </c>
    </row>
    <row r="11" spans="1:11">
      <c r="A11" s="2" t="str">
        <f>"204934_s_at"</f>
        <v>204934_s_at</v>
      </c>
      <c r="B11" s="2">
        <v>3.0547916958648602</v>
      </c>
      <c r="C11" s="2">
        <v>9.9427617733956595</v>
      </c>
      <c r="D11" s="2">
        <v>10.7814620417664</v>
      </c>
      <c r="E11" s="3">
        <v>2.63340338685414E-11</v>
      </c>
      <c r="F11" s="3">
        <v>3.3427337608212997E-8</v>
      </c>
      <c r="G11" s="2">
        <v>17.0915009724289</v>
      </c>
      <c r="H11" s="1" t="str">
        <f>"HPN"</f>
        <v>HPN</v>
      </c>
    </row>
    <row r="12" spans="1:11">
      <c r="A12" s="2" t="str">
        <f>"219360_s_at"</f>
        <v>219360_s_at</v>
      </c>
      <c r="B12" s="2">
        <v>3.0143024792681401</v>
      </c>
      <c r="C12" s="2">
        <v>11.252902543665201</v>
      </c>
      <c r="D12" s="2">
        <v>10.698633381737499</v>
      </c>
      <c r="E12" s="3">
        <v>3.1232944925257103E-11</v>
      </c>
      <c r="F12" s="3">
        <v>3.7948028084187398E-8</v>
      </c>
      <c r="G12" s="2">
        <v>16.938817570848801</v>
      </c>
      <c r="H12" s="1" t="str">
        <f>"TRPM4"</f>
        <v>TRPM4</v>
      </c>
    </row>
    <row r="13" spans="1:11">
      <c r="A13" s="2" t="str">
        <f>"232575_at"</f>
        <v>232575_at</v>
      </c>
      <c r="B13" s="2">
        <v>2.9799435664347098</v>
      </c>
      <c r="C13" s="2">
        <v>7.9491850746865396</v>
      </c>
      <c r="D13" s="2">
        <v>3.92769718710246</v>
      </c>
      <c r="E13" s="2">
        <v>5.3285964347618195E-4</v>
      </c>
      <c r="F13" s="2">
        <v>6.6364694776902596E-3</v>
      </c>
      <c r="G13" s="2">
        <v>1.3732888799756</v>
      </c>
      <c r="H13" s="1" t="str">
        <f>"PCA3"</f>
        <v>PCA3</v>
      </c>
    </row>
    <row r="14" spans="1:11">
      <c r="A14" s="2" t="str">
        <f>"206858_s_at"</f>
        <v>206858_s_at</v>
      </c>
      <c r="B14" s="2">
        <v>2.90807594219581</v>
      </c>
      <c r="C14" s="2">
        <v>9.4169436053674396</v>
      </c>
      <c r="D14" s="2">
        <v>4.6853466691878403</v>
      </c>
      <c r="E14" s="3">
        <v>7.0348208675720297E-5</v>
      </c>
      <c r="F14" s="2">
        <v>1.4229701477414E-3</v>
      </c>
      <c r="G14" s="2">
        <v>3.2873286766074501</v>
      </c>
      <c r="H14" s="1" t="str">
        <f>"HOXC6"</f>
        <v>HOXC6</v>
      </c>
    </row>
    <row r="15" spans="1:11">
      <c r="A15" s="2" t="str">
        <f>"237350_at"</f>
        <v>237350_at</v>
      </c>
      <c r="B15" s="2">
        <v>2.8595159780666801</v>
      </c>
      <c r="C15" s="2">
        <v>5.8597787728247104</v>
      </c>
      <c r="D15" s="2">
        <v>7.0453231771330502</v>
      </c>
      <c r="E15" s="3">
        <v>1.3890490712662099E-7</v>
      </c>
      <c r="F15" s="3">
        <v>1.39095710570477E-5</v>
      </c>
      <c r="G15" s="2">
        <v>9.1921436772987803</v>
      </c>
      <c r="H15" s="1" t="str">
        <f>"TTC36"</f>
        <v>TTC36</v>
      </c>
    </row>
    <row r="16" spans="1:11">
      <c r="A16" s="2" t="str">
        <f>"223484_at"</f>
        <v>223484_at</v>
      </c>
      <c r="B16" s="2">
        <v>2.8183625084664699</v>
      </c>
      <c r="C16" s="2">
        <v>10.3315480537286</v>
      </c>
      <c r="D16" s="2">
        <v>7.7103367419195896</v>
      </c>
      <c r="E16" s="3">
        <v>2.6466459012124199E-8</v>
      </c>
      <c r="F16" s="3">
        <v>4.5079552850090101E-6</v>
      </c>
      <c r="G16" s="2">
        <v>10.749770543637</v>
      </c>
      <c r="H16" s="1" t="str">
        <f>"C15orf48"</f>
        <v>C15orf48</v>
      </c>
    </row>
    <row r="17" spans="1:8">
      <c r="A17" s="2" t="str">
        <f>"205309_at"</f>
        <v>205309_at</v>
      </c>
      <c r="B17" s="2">
        <v>2.8109472765785499</v>
      </c>
      <c r="C17" s="2">
        <v>6.8190641555827698</v>
      </c>
      <c r="D17" s="2">
        <v>7.4415520501625796</v>
      </c>
      <c r="E17" s="3">
        <v>5.1385703359030303E-8</v>
      </c>
      <c r="F17" s="3">
        <v>7.11073704718215E-6</v>
      </c>
      <c r="G17" s="2">
        <v>10.127668225146801</v>
      </c>
      <c r="H17" s="1" t="str">
        <f>"SMPDL3B"</f>
        <v>SMPDL3B</v>
      </c>
    </row>
    <row r="18" spans="1:8">
      <c r="A18" s="2" t="str">
        <f>"216074_x_at"</f>
        <v>216074_x_at</v>
      </c>
      <c r="B18" s="2">
        <v>2.7600028875832998</v>
      </c>
      <c r="C18" s="2">
        <v>7.4616992209462198</v>
      </c>
      <c r="D18" s="2">
        <v>4.6733246522890903</v>
      </c>
      <c r="E18" s="3">
        <v>7.2661485344797895E-5</v>
      </c>
      <c r="F18" s="2">
        <v>1.4589668421692301E-3</v>
      </c>
      <c r="G18" s="2">
        <v>3.25664117379787</v>
      </c>
      <c r="H18" s="1" t="str">
        <f>"WWC1"</f>
        <v>WWC1</v>
      </c>
    </row>
    <row r="19" spans="1:8">
      <c r="A19" s="2" t="str">
        <f>"207147_at"</f>
        <v>207147_at</v>
      </c>
      <c r="B19" s="2">
        <v>2.7506214699367399</v>
      </c>
      <c r="C19" s="2">
        <v>5.2837424520542102</v>
      </c>
      <c r="D19" s="2">
        <v>4.0636845057775499</v>
      </c>
      <c r="E19" s="2">
        <v>3.71700565350299E-4</v>
      </c>
      <c r="F19" s="2">
        <v>5.0478709415120804E-3</v>
      </c>
      <c r="G19" s="2">
        <v>1.7125001988428401</v>
      </c>
      <c r="H19" s="1" t="str">
        <f>"DLX2"</f>
        <v>DLX2</v>
      </c>
    </row>
    <row r="20" spans="1:8">
      <c r="A20" s="2" t="str">
        <f>"214614_at"</f>
        <v>214614_at</v>
      </c>
      <c r="B20" s="2">
        <v>2.7268774907989801</v>
      </c>
      <c r="C20" s="2">
        <v>6.5294696543940702</v>
      </c>
      <c r="D20" s="2">
        <v>4.391833870048</v>
      </c>
      <c r="E20" s="2">
        <v>1.54794354806829E-4</v>
      </c>
      <c r="F20" s="2">
        <v>2.6051155810766801E-3</v>
      </c>
      <c r="G20" s="2">
        <v>2.5400586935290499</v>
      </c>
      <c r="H20" s="1" t="str">
        <f>"MNX1"</f>
        <v>MNX1</v>
      </c>
    </row>
    <row r="21" spans="1:8">
      <c r="A21" s="2" t="str">
        <f>"205244_s_at"</f>
        <v>205244_s_at</v>
      </c>
      <c r="B21" s="2">
        <v>2.7146157180772001</v>
      </c>
      <c r="C21" s="2">
        <v>7.5325278014478796</v>
      </c>
      <c r="D21" s="2">
        <v>6.3308162214454899</v>
      </c>
      <c r="E21" s="3">
        <v>8.7365567161460999E-7</v>
      </c>
      <c r="F21" s="3">
        <v>5.18081603530681E-5</v>
      </c>
      <c r="G21" s="2">
        <v>7.4541335939440998</v>
      </c>
      <c r="H21" s="1" t="str">
        <f>"SLC13A3"</f>
        <v>SLC13A3</v>
      </c>
    </row>
    <row r="22" spans="1:8">
      <c r="A22" s="2" t="str">
        <f>"215323_at"</f>
        <v>215323_at</v>
      </c>
      <c r="B22" s="2">
        <v>2.6986751041814001</v>
      </c>
      <c r="C22" s="2">
        <v>7.00693767905826</v>
      </c>
      <c r="D22" s="2">
        <v>5.29029920934543</v>
      </c>
      <c r="E22" s="3">
        <v>1.3812341038994001E-5</v>
      </c>
      <c r="F22" s="2">
        <v>4.1446905615612E-4</v>
      </c>
      <c r="G22" s="2">
        <v>4.8332730205817898</v>
      </c>
      <c r="H22" s="1" t="str">
        <f>"LUZP2"</f>
        <v>LUZP2</v>
      </c>
    </row>
    <row r="23" spans="1:8">
      <c r="A23" s="2" t="str">
        <f>"221577_x_at"</f>
        <v>221577_x_at</v>
      </c>
      <c r="B23" s="2">
        <v>2.6805103876340399</v>
      </c>
      <c r="C23" s="2">
        <v>11.641866259418601</v>
      </c>
      <c r="D23" s="2">
        <v>6.0699729085300396</v>
      </c>
      <c r="E23" s="3">
        <v>1.73191165942548E-6</v>
      </c>
      <c r="F23" s="3">
        <v>8.4622225182384204E-5</v>
      </c>
      <c r="G23" s="2">
        <v>6.8053595977348103</v>
      </c>
      <c r="H23" s="1" t="str">
        <f>"GDF15"</f>
        <v>GDF15</v>
      </c>
    </row>
    <row r="24" spans="1:8">
      <c r="A24" s="2" t="str">
        <f>"220584_at"</f>
        <v>220584_at</v>
      </c>
      <c r="B24" s="2">
        <v>2.6453674219241399</v>
      </c>
      <c r="C24" s="2">
        <v>6.0062004431608003</v>
      </c>
      <c r="D24" s="2">
        <v>5.1805572474174504</v>
      </c>
      <c r="E24" s="3">
        <v>1.85488594990585E-5</v>
      </c>
      <c r="F24" s="2">
        <v>5.1584887747254597E-4</v>
      </c>
      <c r="G24" s="2">
        <v>4.5530999715815303</v>
      </c>
      <c r="H24" s="1" t="str">
        <f>"PRR36"</f>
        <v>PRR36</v>
      </c>
    </row>
    <row r="25" spans="1:8">
      <c r="A25" s="2" t="str">
        <f>"206004_at"</f>
        <v>206004_at</v>
      </c>
      <c r="B25" s="2">
        <v>2.6343577849374502</v>
      </c>
      <c r="C25" s="2">
        <v>7.2508286086592202</v>
      </c>
      <c r="D25" s="2">
        <v>5.3323669159542897</v>
      </c>
      <c r="E25" s="3">
        <v>1.23376139935607E-5</v>
      </c>
      <c r="F25" s="2">
        <v>3.8110680514007498E-4</v>
      </c>
      <c r="G25" s="2">
        <v>4.9405693093718597</v>
      </c>
      <c r="H25" s="1" t="str">
        <f>"TGM3"</f>
        <v>TGM3</v>
      </c>
    </row>
    <row r="26" spans="1:8">
      <c r="A26" s="2" t="str">
        <f>"207260_at"</f>
        <v>207260_at</v>
      </c>
      <c r="B26" s="2">
        <v>2.62034792421953</v>
      </c>
      <c r="C26" s="2">
        <v>8.62049083916272</v>
      </c>
      <c r="D26" s="2">
        <v>6.8501190225594897</v>
      </c>
      <c r="E26" s="3">
        <v>2.2828262596754601E-7</v>
      </c>
      <c r="F26" s="3">
        <v>1.9874765246457899E-5</v>
      </c>
      <c r="G26" s="2">
        <v>8.7235318007258407</v>
      </c>
      <c r="H26" s="1" t="str">
        <f>"FEV"</f>
        <v>FEV</v>
      </c>
    </row>
    <row r="27" spans="1:8">
      <c r="A27" s="2" t="str">
        <f>"1557598_at"</f>
        <v>1557598_at</v>
      </c>
      <c r="B27" s="2">
        <v>2.6196196781291401</v>
      </c>
      <c r="C27" s="2">
        <v>6.3284558938368498</v>
      </c>
      <c r="D27" s="2">
        <v>6.01335427774357</v>
      </c>
      <c r="E27" s="3">
        <v>2.0108503963357098E-6</v>
      </c>
      <c r="F27" s="3">
        <v>9.3968585828765102E-5</v>
      </c>
      <c r="G27" s="2">
        <v>6.6636715314275499</v>
      </c>
      <c r="H27" s="1" t="str">
        <f>"LOC101927870"</f>
        <v>LOC101927870</v>
      </c>
    </row>
    <row r="28" spans="1:8">
      <c r="A28" s="2" t="str">
        <f>"205937_at"</f>
        <v>205937_at</v>
      </c>
      <c r="B28" s="2">
        <v>2.6061770521476699</v>
      </c>
      <c r="C28" s="2">
        <v>6.8816028572650696</v>
      </c>
      <c r="D28" s="2">
        <v>7.1203842916030498</v>
      </c>
      <c r="E28" s="3">
        <v>1.14886774402624E-7</v>
      </c>
      <c r="F28" s="3">
        <v>1.22445114823849E-5</v>
      </c>
      <c r="G28" s="2">
        <v>9.3710078451884105</v>
      </c>
      <c r="H28" s="1" t="str">
        <f>"CGREF1"</f>
        <v>CGREF1</v>
      </c>
    </row>
    <row r="29" spans="1:8">
      <c r="A29" s="2" t="str">
        <f>"211708_s_at"</f>
        <v>211708_s_at</v>
      </c>
      <c r="B29" s="2">
        <v>2.5752727318940498</v>
      </c>
      <c r="C29" s="2">
        <v>6.1190495395099198</v>
      </c>
      <c r="D29" s="2">
        <v>4.4717176183734102</v>
      </c>
      <c r="E29" s="2">
        <v>1.2493433713259199E-4</v>
      </c>
      <c r="F29" s="2">
        <v>2.2192283569605199E-3</v>
      </c>
      <c r="G29" s="2">
        <v>2.7429548441663498</v>
      </c>
      <c r="H29" s="1" t="str">
        <f>"SCD"</f>
        <v>SCD</v>
      </c>
    </row>
    <row r="30" spans="1:8">
      <c r="A30" s="2" t="str">
        <f>"215047_at"</f>
        <v>215047_at</v>
      </c>
      <c r="B30" s="2">
        <v>2.5653423488429699</v>
      </c>
      <c r="C30" s="2">
        <v>6.37829782314315</v>
      </c>
      <c r="D30" s="2">
        <v>6.5375031480596801</v>
      </c>
      <c r="E30" s="3">
        <v>5.1035789362829098E-7</v>
      </c>
      <c r="F30" s="3">
        <v>3.5143347398144599E-5</v>
      </c>
      <c r="G30" s="2">
        <v>7.9631284923565699</v>
      </c>
      <c r="H30" s="1" t="str">
        <f>"TRIM58"</f>
        <v>TRIM58</v>
      </c>
    </row>
    <row r="31" spans="1:8">
      <c r="A31" s="2" t="str">
        <f>"217483_at"</f>
        <v>217483_at</v>
      </c>
      <c r="B31" s="2">
        <v>2.5522688476209598</v>
      </c>
      <c r="C31" s="2">
        <v>6.5699379724348503</v>
      </c>
      <c r="D31" s="2">
        <v>4.8639960678367702</v>
      </c>
      <c r="E31" s="3">
        <v>4.3486217616271103E-5</v>
      </c>
      <c r="F31" s="2">
        <v>9.8574168663748997E-4</v>
      </c>
      <c r="G31" s="2">
        <v>3.7437970356857999</v>
      </c>
      <c r="H31" s="1" t="str">
        <f>"FOLH1"</f>
        <v>FOLH1</v>
      </c>
    </row>
    <row r="32" spans="1:8">
      <c r="A32" s="2" t="str">
        <f>"223642_at"</f>
        <v>223642_at</v>
      </c>
      <c r="B32" s="2">
        <v>2.52333757680239</v>
      </c>
      <c r="C32" s="2">
        <v>5.1329722524190702</v>
      </c>
      <c r="D32" s="2">
        <v>3.7452874949739501</v>
      </c>
      <c r="E32" s="2">
        <v>8.6076361452965705E-4</v>
      </c>
      <c r="F32" s="2">
        <v>9.6025812333011603E-3</v>
      </c>
      <c r="G32" s="2">
        <v>0.92284432191559496</v>
      </c>
      <c r="H32" s="1" t="str">
        <f>"ZIC2"</f>
        <v>ZIC2</v>
      </c>
    </row>
    <row r="33" spans="1:8">
      <c r="A33" s="2" t="str">
        <f>"221582_at"</f>
        <v>221582_at</v>
      </c>
      <c r="B33" s="2">
        <v>2.51346084176549</v>
      </c>
      <c r="C33" s="2">
        <v>10.0225233199324</v>
      </c>
      <c r="D33" s="2">
        <v>9.3120177111548603</v>
      </c>
      <c r="E33" s="3">
        <v>6.1726588744803901E-10</v>
      </c>
      <c r="F33" s="3">
        <v>3.40899115113349E-7</v>
      </c>
      <c r="G33" s="2">
        <v>14.2340033354289</v>
      </c>
      <c r="H33" s="1" t="str">
        <f>"H2AW"</f>
        <v>H2AW</v>
      </c>
    </row>
    <row r="34" spans="1:8">
      <c r="A34" s="2" t="str">
        <f>"1564339_a_at"</f>
        <v>1564339_a_at</v>
      </c>
      <c r="B34" s="2">
        <v>2.5126919436328201</v>
      </c>
      <c r="C34" s="2">
        <v>5.3622866680672896</v>
      </c>
      <c r="D34" s="2">
        <v>3.8836439273079502</v>
      </c>
      <c r="E34" s="2">
        <v>5.9853093748659595E-4</v>
      </c>
      <c r="F34" s="2">
        <v>7.2656924971313602E-3</v>
      </c>
      <c r="G34" s="2">
        <v>1.2639894755688299</v>
      </c>
      <c r="H34" s="1" t="str">
        <f>"CHRM3"</f>
        <v>CHRM3</v>
      </c>
    </row>
    <row r="35" spans="1:8">
      <c r="A35" s="2" t="str">
        <f>"220638_s_at"</f>
        <v>220638_s_at</v>
      </c>
      <c r="B35" s="2">
        <v>2.4915127920156301</v>
      </c>
      <c r="C35" s="2">
        <v>7.9655533992238903</v>
      </c>
      <c r="D35" s="2">
        <v>7.1339558509282703</v>
      </c>
      <c r="E35" s="3">
        <v>1.11018174458241E-7</v>
      </c>
      <c r="F35" s="3">
        <v>1.1992034580319E-5</v>
      </c>
      <c r="G35" s="2">
        <v>9.4032673442948607</v>
      </c>
      <c r="H35" s="1" t="str">
        <f>"CBLC"</f>
        <v>CBLC</v>
      </c>
    </row>
    <row r="36" spans="1:8">
      <c r="A36" s="2" t="str">
        <f>"231123_at"</f>
        <v>231123_at</v>
      </c>
      <c r="B36" s="2">
        <v>2.4721509109045301</v>
      </c>
      <c r="C36" s="2">
        <v>7.6371131395904204</v>
      </c>
      <c r="D36" s="2">
        <v>4.8285063168710503</v>
      </c>
      <c r="E36" s="3">
        <v>4.78475423713765E-5</v>
      </c>
      <c r="F36" s="2">
        <v>1.06125139873797E-3</v>
      </c>
      <c r="G36" s="2">
        <v>3.6530669502084501</v>
      </c>
      <c r="H36" s="1" t="str">
        <f>"TRIM36"</f>
        <v>TRIM36</v>
      </c>
    </row>
    <row r="37" spans="1:8">
      <c r="A37" s="2" t="str">
        <f>"214598_at"</f>
        <v>214598_at</v>
      </c>
      <c r="B37" s="2">
        <v>2.4527370117656502</v>
      </c>
      <c r="C37" s="2">
        <v>9.5070896213445</v>
      </c>
      <c r="D37" s="2">
        <v>6.2207825932682796</v>
      </c>
      <c r="E37" s="3">
        <v>1.1651265123736001E-6</v>
      </c>
      <c r="F37" s="3">
        <v>6.36590201851957E-5</v>
      </c>
      <c r="G37" s="2">
        <v>7.1812856403738996</v>
      </c>
      <c r="H37" s="1" t="str">
        <f>"CLDN8"</f>
        <v>CLDN8</v>
      </c>
    </row>
    <row r="38" spans="1:8">
      <c r="A38" s="2" t="str">
        <f>"230896_at"</f>
        <v>230896_at</v>
      </c>
      <c r="B38" s="2">
        <v>2.45003690230442</v>
      </c>
      <c r="C38" s="2">
        <v>9.2478874055867895</v>
      </c>
      <c r="D38" s="2">
        <v>5.3496354780223498</v>
      </c>
      <c r="E38" s="3">
        <v>1.1779071890574199E-5</v>
      </c>
      <c r="F38" s="2">
        <v>3.68643821188979E-4</v>
      </c>
      <c r="G38" s="2">
        <v>4.9845945596559602</v>
      </c>
      <c r="H38" s="1" t="str">
        <f>"BEND4"</f>
        <v>BEND4</v>
      </c>
    </row>
    <row r="39" spans="1:8">
      <c r="A39" s="2" t="str">
        <f>"1555203_s_at"</f>
        <v>1555203_s_at</v>
      </c>
      <c r="B39" s="2">
        <v>2.3816786543138302</v>
      </c>
      <c r="C39" s="2">
        <v>9.4860946918428493</v>
      </c>
      <c r="D39" s="2">
        <v>4.3917888161340901</v>
      </c>
      <c r="E39" s="2">
        <v>1.5481305164657201E-4</v>
      </c>
      <c r="F39" s="2">
        <v>2.6051155810766801E-3</v>
      </c>
      <c r="G39" s="2">
        <v>2.5399443892798699</v>
      </c>
      <c r="H39" s="1" t="str">
        <f>"SLC44A4"</f>
        <v>SLC44A4</v>
      </c>
    </row>
    <row r="40" spans="1:8">
      <c r="A40" s="2" t="str">
        <f>"217771_at"</f>
        <v>217771_at</v>
      </c>
      <c r="B40" s="2">
        <v>2.3696874656728601</v>
      </c>
      <c r="C40" s="2">
        <v>12.489281180587801</v>
      </c>
      <c r="D40" s="2">
        <v>6.6332409895784101</v>
      </c>
      <c r="E40" s="3">
        <v>3.9845710049757701E-7</v>
      </c>
      <c r="F40" s="3">
        <v>2.95201461638945E-5</v>
      </c>
      <c r="G40" s="2">
        <v>8.1972504999040705</v>
      </c>
      <c r="H40" s="1" t="str">
        <f>"GOLM1"</f>
        <v>GOLM1</v>
      </c>
    </row>
    <row r="41" spans="1:8">
      <c r="A41" s="2" t="str">
        <f>"204941_s_at"</f>
        <v>204941_s_at</v>
      </c>
      <c r="B41" s="2">
        <v>2.36083553450307</v>
      </c>
      <c r="C41" s="2">
        <v>5.0540870857363904</v>
      </c>
      <c r="D41" s="2">
        <v>4.1914804434693904</v>
      </c>
      <c r="E41" s="2">
        <v>2.6452418408657799E-4</v>
      </c>
      <c r="F41" s="2">
        <v>3.86914386434822E-3</v>
      </c>
      <c r="G41" s="2">
        <v>2.0334662992738801</v>
      </c>
      <c r="H41" s="1" t="str">
        <f>"ALDH3B2"</f>
        <v>ALDH3B2</v>
      </c>
    </row>
    <row r="42" spans="1:8">
      <c r="A42" s="2" t="str">
        <f>"209114_at"</f>
        <v>209114_at</v>
      </c>
      <c r="B42" s="2">
        <v>2.3299563989771301</v>
      </c>
      <c r="C42" s="2">
        <v>12.9947154740507</v>
      </c>
      <c r="D42" s="2">
        <v>6.88039515570203</v>
      </c>
      <c r="E42" s="3">
        <v>2.1129255817363799E-7</v>
      </c>
      <c r="F42" s="3">
        <v>1.8800093464595099E-5</v>
      </c>
      <c r="G42" s="2">
        <v>8.7965349642137305</v>
      </c>
      <c r="H42" s="1" t="str">
        <f>"TSPAN1"</f>
        <v>TSPAN1</v>
      </c>
    </row>
    <row r="43" spans="1:8">
      <c r="A43" s="2" t="str">
        <f>"206558_at"</f>
        <v>206558_at</v>
      </c>
      <c r="B43" s="2">
        <v>2.3268762910731802</v>
      </c>
      <c r="C43" s="2">
        <v>9.2729726588333801</v>
      </c>
      <c r="D43" s="2">
        <v>5.3248340254336197</v>
      </c>
      <c r="E43" s="3">
        <v>1.25895334691131E-5</v>
      </c>
      <c r="F43" s="2">
        <v>3.8757474235571901E-4</v>
      </c>
      <c r="G43" s="2">
        <v>4.9213610033637298</v>
      </c>
      <c r="H43" s="1" t="str">
        <f>"SIM2"</f>
        <v>SIM2</v>
      </c>
    </row>
    <row r="44" spans="1:8">
      <c r="A44" s="2" t="str">
        <f>"201428_at"</f>
        <v>201428_at</v>
      </c>
      <c r="B44" s="2">
        <v>2.3196932588423702</v>
      </c>
      <c r="C44" s="2">
        <v>9.2723257169197293</v>
      </c>
      <c r="D44" s="2">
        <v>5.3115484099373598</v>
      </c>
      <c r="E44" s="3">
        <v>1.30465128669457E-5</v>
      </c>
      <c r="F44" s="2">
        <v>3.9872447792076903E-4</v>
      </c>
      <c r="G44" s="2">
        <v>4.8874784887146498</v>
      </c>
      <c r="H44" s="1" t="str">
        <f>"CLDN4"</f>
        <v>CLDN4</v>
      </c>
    </row>
    <row r="45" spans="1:8">
      <c r="A45" s="2" t="str">
        <f>"206482_at"</f>
        <v>206482_at</v>
      </c>
      <c r="B45" s="2">
        <v>2.3181498913122498</v>
      </c>
      <c r="C45" s="2">
        <v>6.9143690691362103</v>
      </c>
      <c r="D45" s="2">
        <v>4.3159508617334801</v>
      </c>
      <c r="E45" s="2">
        <v>1.8968314751284201E-4</v>
      </c>
      <c r="F45" s="2">
        <v>3.03332146541815E-3</v>
      </c>
      <c r="G45" s="2">
        <v>2.3477664610133901</v>
      </c>
      <c r="H45" s="1" t="str">
        <f>"PTK6"</f>
        <v>PTK6</v>
      </c>
    </row>
    <row r="46" spans="1:8">
      <c r="A46" s="2" t="str">
        <f>"203649_s_at"</f>
        <v>203649_s_at</v>
      </c>
      <c r="B46" s="2">
        <v>2.3138412398271901</v>
      </c>
      <c r="C46" s="2">
        <v>13.260717116646299</v>
      </c>
      <c r="D46" s="2">
        <v>6.4909788117916696</v>
      </c>
      <c r="E46" s="3">
        <v>5.7578803239301096E-7</v>
      </c>
      <c r="F46" s="3">
        <v>3.8251774812986499E-5</v>
      </c>
      <c r="G46" s="2">
        <v>7.8489720361726896</v>
      </c>
      <c r="H46" s="1" t="str">
        <f>"PLA2G2A"</f>
        <v>PLA2G2A</v>
      </c>
    </row>
    <row r="47" spans="1:8">
      <c r="A47" s="2" t="str">
        <f>"236448_at"</f>
        <v>236448_at</v>
      </c>
      <c r="B47" s="2">
        <v>2.27532996569047</v>
      </c>
      <c r="C47" s="2">
        <v>5.5023675752174297</v>
      </c>
      <c r="D47" s="2">
        <v>3.9953375436708098</v>
      </c>
      <c r="E47" s="2">
        <v>4.4557352595017198E-4</v>
      </c>
      <c r="F47" s="2">
        <v>5.7841727714921798E-3</v>
      </c>
      <c r="G47" s="2">
        <v>1.54168615714334</v>
      </c>
      <c r="H47" s="1" t="str">
        <f>"UNC5A"</f>
        <v>UNC5A</v>
      </c>
    </row>
    <row r="48" spans="1:8">
      <c r="A48" s="2" t="str">
        <f>"217111_at"</f>
        <v>217111_at</v>
      </c>
      <c r="B48" s="2">
        <v>2.27257234739686</v>
      </c>
      <c r="C48" s="2">
        <v>6.7250771724097698</v>
      </c>
      <c r="D48" s="2">
        <v>3.4887604321353001</v>
      </c>
      <c r="E48" s="2">
        <v>1.6749925447922199E-3</v>
      </c>
      <c r="F48" s="2">
        <v>1.5968651680299002E-2</v>
      </c>
      <c r="G48" s="2">
        <v>0.30035943682989402</v>
      </c>
      <c r="H48" s="1" t="str">
        <f>"AMACR"</f>
        <v>AMACR</v>
      </c>
    </row>
    <row r="49" spans="1:8">
      <c r="A49" s="2" t="str">
        <f>"204776_at"</f>
        <v>204776_at</v>
      </c>
      <c r="B49" s="2">
        <v>2.2486122795759602</v>
      </c>
      <c r="C49" s="2">
        <v>9.1146864311843192</v>
      </c>
      <c r="D49" s="2">
        <v>6.5841535123769397</v>
      </c>
      <c r="E49" s="3">
        <v>4.5231781473148201E-7</v>
      </c>
      <c r="F49" s="3">
        <v>3.2034296010937501E-5</v>
      </c>
      <c r="G49" s="2">
        <v>8.0773437038548508</v>
      </c>
      <c r="H49" s="1" t="str">
        <f>"THBS4"</f>
        <v>THBS4</v>
      </c>
    </row>
    <row r="50" spans="1:8">
      <c r="A50" s="2" t="str">
        <f>"233477_at"</f>
        <v>233477_at</v>
      </c>
      <c r="B50" s="2">
        <v>2.2455334973910799</v>
      </c>
      <c r="C50" s="2">
        <v>7.3601359492167102</v>
      </c>
      <c r="D50" s="2">
        <v>6.1721033467122197</v>
      </c>
      <c r="E50" s="3">
        <v>1.32386811145273E-6</v>
      </c>
      <c r="F50" s="3">
        <v>6.9799892954366306E-5</v>
      </c>
      <c r="G50" s="2">
        <v>7.06018368138366</v>
      </c>
      <c r="H50" s="1" t="str">
        <f>"KLK15"</f>
        <v>KLK15</v>
      </c>
    </row>
    <row r="51" spans="1:8">
      <c r="A51" s="2" t="str">
        <f>"1558654_at"</f>
        <v>1558654_at</v>
      </c>
      <c r="B51" s="2">
        <v>2.2423723270375699</v>
      </c>
      <c r="C51" s="2">
        <v>5.3768702488781903</v>
      </c>
      <c r="D51" s="2">
        <v>5.9558627130506601</v>
      </c>
      <c r="E51" s="3">
        <v>2.3407341142856798E-6</v>
      </c>
      <c r="F51" s="2">
        <v>1.0647224434157201E-4</v>
      </c>
      <c r="G51" s="2">
        <v>6.5195062043691303</v>
      </c>
      <c r="H51" s="1" t="str">
        <f>"PPM1H"</f>
        <v>PPM1H</v>
      </c>
    </row>
    <row r="52" spans="1:8">
      <c r="A52" s="2" t="str">
        <f>"240614_at"</f>
        <v>240614_at</v>
      </c>
      <c r="B52" s="2">
        <v>2.2411028160513902</v>
      </c>
      <c r="C52" s="2">
        <v>5.3761977373229799</v>
      </c>
      <c r="D52" s="2">
        <v>3.5834049488364701</v>
      </c>
      <c r="E52" s="2">
        <v>1.31195312074766E-3</v>
      </c>
      <c r="F52" s="2">
        <v>1.3239394034122999E-2</v>
      </c>
      <c r="G52" s="2">
        <v>0.52834507929679697</v>
      </c>
      <c r="H52" s="1" t="str">
        <f>"KCNC2"</f>
        <v>KCNC2</v>
      </c>
    </row>
    <row r="53" spans="1:8">
      <c r="A53" s="2" t="str">
        <f>"217678_at"</f>
        <v>217678_at</v>
      </c>
      <c r="B53" s="2">
        <v>2.2317378671428401</v>
      </c>
      <c r="C53" s="2">
        <v>6.8646874027377596</v>
      </c>
      <c r="D53" s="2">
        <v>5.5652565979610804</v>
      </c>
      <c r="E53" s="3">
        <v>6.6129812485143097E-6</v>
      </c>
      <c r="F53" s="2">
        <v>2.3599201280287001E-4</v>
      </c>
      <c r="G53" s="2">
        <v>5.5331590807522097</v>
      </c>
      <c r="H53" s="1" t="str">
        <f>"SLC7A11"</f>
        <v>SLC7A11</v>
      </c>
    </row>
    <row r="54" spans="1:8">
      <c r="A54" s="2" t="str">
        <f>"219555_s_at"</f>
        <v>219555_s_at</v>
      </c>
      <c r="B54" s="2">
        <v>2.2207434891010598</v>
      </c>
      <c r="C54" s="2">
        <v>8.4888704189678794</v>
      </c>
      <c r="D54" s="2">
        <v>4.3645732343692796</v>
      </c>
      <c r="E54" s="2">
        <v>1.66526694883441E-4</v>
      </c>
      <c r="F54" s="2">
        <v>2.7490480201546302E-3</v>
      </c>
      <c r="G54" s="2">
        <v>2.4709253177272101</v>
      </c>
      <c r="H54" s="1" t="str">
        <f>"CENPN"</f>
        <v>CENPN</v>
      </c>
    </row>
    <row r="55" spans="1:8">
      <c r="A55" s="2" t="str">
        <f>"1555952_at"</f>
        <v>1555952_at</v>
      </c>
      <c r="B55" s="2">
        <v>2.2202164398860602</v>
      </c>
      <c r="C55" s="2">
        <v>6.4613878595212997</v>
      </c>
      <c r="D55" s="2">
        <v>8.0411771573295994</v>
      </c>
      <c r="E55" s="3">
        <v>1.18453141319644E-8</v>
      </c>
      <c r="F55" s="3">
        <v>2.52908078946077E-6</v>
      </c>
      <c r="G55" s="2">
        <v>11.5010746435931</v>
      </c>
      <c r="H55" s="1" t="str">
        <f>"SLC19A1"</f>
        <v>SLC19A1</v>
      </c>
    </row>
    <row r="56" spans="1:8">
      <c r="A56" s="2" t="str">
        <f>"209844_at"</f>
        <v>209844_at</v>
      </c>
      <c r="B56" s="2">
        <v>2.2191632314664198</v>
      </c>
      <c r="C56" s="2">
        <v>11.7592001164455</v>
      </c>
      <c r="D56" s="2">
        <v>8.4686793827122795</v>
      </c>
      <c r="E56" s="3">
        <v>4.2814347297184802E-9</v>
      </c>
      <c r="F56" s="3">
        <v>1.23227775018797E-6</v>
      </c>
      <c r="G56" s="2">
        <v>12.4477307695122</v>
      </c>
      <c r="H56" s="1" t="str">
        <f>"HOXB13"</f>
        <v>HOXB13</v>
      </c>
    </row>
    <row r="57" spans="1:8">
      <c r="A57" s="2" t="str">
        <f>"211273_s_at"</f>
        <v>211273_s_at</v>
      </c>
      <c r="B57" s="2">
        <v>2.2131202461476001</v>
      </c>
      <c r="C57" s="2">
        <v>6.0327161931424298</v>
      </c>
      <c r="D57" s="2">
        <v>4.08120687629504</v>
      </c>
      <c r="E57" s="2">
        <v>3.5479429947943801E-4</v>
      </c>
      <c r="F57" s="2">
        <v>4.8627400959424701E-3</v>
      </c>
      <c r="G57" s="2">
        <v>1.7563919198943501</v>
      </c>
      <c r="H57" s="1" t="str">
        <f>"TBX1"</f>
        <v>TBX1</v>
      </c>
    </row>
    <row r="58" spans="1:8">
      <c r="A58" s="2" t="str">
        <f>"243483_at"</f>
        <v>243483_at</v>
      </c>
      <c r="B58" s="2">
        <v>2.20854479551432</v>
      </c>
      <c r="C58" s="2">
        <v>12.1191099875899</v>
      </c>
      <c r="D58" s="2">
        <v>5.5378777488787101</v>
      </c>
      <c r="E58" s="3">
        <v>7.1149851748162504E-6</v>
      </c>
      <c r="F58" s="2">
        <v>2.49206799764945E-4</v>
      </c>
      <c r="G58" s="2">
        <v>5.4636372983821904</v>
      </c>
      <c r="H58" s="1" t="str">
        <f>"TRPM8"</f>
        <v>TRPM8</v>
      </c>
    </row>
    <row r="59" spans="1:8">
      <c r="A59" s="2" t="str">
        <f>"220392_at"</f>
        <v>220392_at</v>
      </c>
      <c r="B59" s="2">
        <v>2.1944064185964902</v>
      </c>
      <c r="C59" s="2">
        <v>5.92298090339869</v>
      </c>
      <c r="D59" s="2">
        <v>4.0677237145624998</v>
      </c>
      <c r="E59" s="2">
        <v>3.6773427512425599E-4</v>
      </c>
      <c r="F59" s="2">
        <v>5.0076890392076398E-3</v>
      </c>
      <c r="G59" s="2">
        <v>1.7226145147327101</v>
      </c>
      <c r="H59" s="1" t="str">
        <f>"EBF2"</f>
        <v>EBF2</v>
      </c>
    </row>
    <row r="60" spans="1:8">
      <c r="A60" s="2" t="str">
        <f>"244409_at"</f>
        <v>244409_at</v>
      </c>
      <c r="B60" s="2">
        <v>2.1914775416158201</v>
      </c>
      <c r="C60" s="2">
        <v>6.2121128069989799</v>
      </c>
      <c r="D60" s="2">
        <v>4.8469632526746302</v>
      </c>
      <c r="E60" s="3">
        <v>4.5527412896149501E-5</v>
      </c>
      <c r="F60" s="2">
        <v>1.02226336759629E-3</v>
      </c>
      <c r="G60" s="2">
        <v>3.7002503400253901</v>
      </c>
      <c r="H60" s="1" t="str">
        <f>"CCDC154"</f>
        <v>CCDC154</v>
      </c>
    </row>
    <row r="61" spans="1:8">
      <c r="A61" s="2" t="str">
        <f>"220380_at"</f>
        <v>220380_at</v>
      </c>
      <c r="B61" s="2">
        <v>2.1912288667529598</v>
      </c>
      <c r="C61" s="2">
        <v>6.8077771024490898</v>
      </c>
      <c r="D61" s="2">
        <v>3.7466110921243301</v>
      </c>
      <c r="E61" s="2">
        <v>8.57787890143642E-4</v>
      </c>
      <c r="F61" s="2">
        <v>9.5772009176237696E-3</v>
      </c>
      <c r="G61" s="2">
        <v>0.92609154754664502</v>
      </c>
      <c r="H61" s="1" t="str">
        <f>"DNASE2B"</f>
        <v>DNASE2B</v>
      </c>
    </row>
    <row r="62" spans="1:8">
      <c r="A62" s="2" t="str">
        <f>"206001_at"</f>
        <v>206001_at</v>
      </c>
      <c r="B62" s="2">
        <v>2.1844250890380201</v>
      </c>
      <c r="C62" s="2">
        <v>13.085937818903099</v>
      </c>
      <c r="D62" s="2">
        <v>4.0454720501146202</v>
      </c>
      <c r="E62" s="2">
        <v>3.9011438622547201E-4</v>
      </c>
      <c r="F62" s="2">
        <v>5.2368043375589602E-3</v>
      </c>
      <c r="G62" s="2">
        <v>1.6669219399620101</v>
      </c>
      <c r="H62" s="1" t="str">
        <f>"NPY"</f>
        <v>NPY</v>
      </c>
    </row>
    <row r="63" spans="1:8">
      <c r="A63" s="2" t="str">
        <f>"1555173_at"</f>
        <v>1555173_at</v>
      </c>
      <c r="B63" s="2">
        <v>2.18113719783699</v>
      </c>
      <c r="C63" s="2">
        <v>7.0625347989197298</v>
      </c>
      <c r="D63" s="2">
        <v>5.29396971498418</v>
      </c>
      <c r="E63" s="3">
        <v>1.367689744327E-5</v>
      </c>
      <c r="F63" s="2">
        <v>4.1154890903180298E-4</v>
      </c>
      <c r="G63" s="2">
        <v>4.8426374040335602</v>
      </c>
      <c r="H63" s="1" t="str">
        <f>"STX19"</f>
        <v>STX19</v>
      </c>
    </row>
    <row r="64" spans="1:8">
      <c r="A64" s="2" t="str">
        <f>"203196_at"</f>
        <v>203196_at</v>
      </c>
      <c r="B64" s="2">
        <v>2.16438449825857</v>
      </c>
      <c r="C64" s="2">
        <v>11.4197145226789</v>
      </c>
      <c r="D64" s="2">
        <v>5.2616050684669098</v>
      </c>
      <c r="E64" s="3">
        <v>1.4918710077081E-5</v>
      </c>
      <c r="F64" s="2">
        <v>4.3759682052811502E-4</v>
      </c>
      <c r="G64" s="2">
        <v>4.7600513920056304</v>
      </c>
      <c r="H64" s="1" t="str">
        <f>"ABCC4"</f>
        <v>ABCC4</v>
      </c>
    </row>
    <row r="65" spans="1:8">
      <c r="A65" s="2" t="str">
        <f>"211238_at"</f>
        <v>211238_at</v>
      </c>
      <c r="B65" s="2">
        <v>2.1542226896799899</v>
      </c>
      <c r="C65" s="2">
        <v>4.8356785827226103</v>
      </c>
      <c r="D65" s="2">
        <v>3.40847501202586</v>
      </c>
      <c r="E65" s="2">
        <v>2.0578775377766401E-3</v>
      </c>
      <c r="F65" s="2">
        <v>1.8601607196546601E-2</v>
      </c>
      <c r="G65" s="2">
        <v>0.108672242629135</v>
      </c>
      <c r="H65" s="1" t="str">
        <f>"ADAM7"</f>
        <v>ADAM7</v>
      </c>
    </row>
    <row r="66" spans="1:8">
      <c r="A66" s="2" t="str">
        <f>"209173_at"</f>
        <v>209173_at</v>
      </c>
      <c r="B66" s="2">
        <v>2.15242697298654</v>
      </c>
      <c r="C66" s="2">
        <v>11.977095517274501</v>
      </c>
      <c r="D66" s="2">
        <v>3.92852930226254</v>
      </c>
      <c r="E66" s="2">
        <v>5.3168994450778298E-4</v>
      </c>
      <c r="F66" s="2">
        <v>6.6279406557143298E-3</v>
      </c>
      <c r="G66" s="2">
        <v>1.3753563477874899</v>
      </c>
      <c r="H66" s="1" t="str">
        <f>"AGR2"</f>
        <v>AGR2</v>
      </c>
    </row>
    <row r="67" spans="1:8">
      <c r="A67" s="2" t="str">
        <f>"227196_at"</f>
        <v>227196_at</v>
      </c>
      <c r="B67" s="2">
        <v>2.14710039322431</v>
      </c>
      <c r="C67" s="2">
        <v>11.621151941534499</v>
      </c>
      <c r="D67" s="2">
        <v>6.52126664428555</v>
      </c>
      <c r="E67" s="3">
        <v>5.3228784498908304E-7</v>
      </c>
      <c r="F67" s="3">
        <v>3.6152593695376602E-5</v>
      </c>
      <c r="G67" s="2">
        <v>7.92331721908063</v>
      </c>
      <c r="H67" s="1" t="str">
        <f>"RHPN2"</f>
        <v>RHPN2</v>
      </c>
    </row>
    <row r="68" spans="1:8">
      <c r="A68" s="2" t="str">
        <f>"237168_at"</f>
        <v>237168_at</v>
      </c>
      <c r="B68" s="2">
        <v>2.1465720944304101</v>
      </c>
      <c r="C68" s="2">
        <v>6.1244978740183802</v>
      </c>
      <c r="D68" s="2">
        <v>3.9797617739791402</v>
      </c>
      <c r="E68" s="2">
        <v>4.6433364175997799E-4</v>
      </c>
      <c r="F68" s="2">
        <v>5.9760017689067602E-3</v>
      </c>
      <c r="G68" s="2">
        <v>1.5028492998622101</v>
      </c>
      <c r="H68" s="1" t="str">
        <f>"NEK5"</f>
        <v>NEK5</v>
      </c>
    </row>
    <row r="69" spans="1:8">
      <c r="A69" s="2" t="str">
        <f>"203716_s_at"</f>
        <v>203716_s_at</v>
      </c>
      <c r="B69" s="2">
        <v>2.1431996034370302</v>
      </c>
      <c r="C69" s="2">
        <v>8.9353287027138997</v>
      </c>
      <c r="D69" s="2">
        <v>3.7262052686585698</v>
      </c>
      <c r="E69" s="2">
        <v>9.0480313962140204E-4</v>
      </c>
      <c r="F69" s="2">
        <v>9.9517424378998496E-3</v>
      </c>
      <c r="G69" s="2">
        <v>0.87606643318878796</v>
      </c>
      <c r="H69" s="1" t="str">
        <f>"DPP4"</f>
        <v>DPP4</v>
      </c>
    </row>
    <row r="70" spans="1:8">
      <c r="A70" s="2" t="str">
        <f>"232191_at"</f>
        <v>232191_at</v>
      </c>
      <c r="B70" s="2">
        <v>2.1418823952454602</v>
      </c>
      <c r="C70" s="2">
        <v>5.2518700815372599</v>
      </c>
      <c r="D70" s="2">
        <v>2.9703074264800899</v>
      </c>
      <c r="E70" s="2">
        <v>6.1641403812929497E-3</v>
      </c>
      <c r="F70" s="2">
        <v>4.2699148023209399E-2</v>
      </c>
      <c r="G70" s="2">
        <v>-0.90443179823103803</v>
      </c>
      <c r="H70" s="1" t="str">
        <f>"ERVH48-1"</f>
        <v>ERVH48-1</v>
      </c>
    </row>
    <row r="71" spans="1:8">
      <c r="A71" s="2" t="str">
        <f>"205757_at"</f>
        <v>205757_at</v>
      </c>
      <c r="B71" s="2">
        <v>2.1417471325871098</v>
      </c>
      <c r="C71" s="2">
        <v>11.0048163602359</v>
      </c>
      <c r="D71" s="2">
        <v>7.3438870506514702</v>
      </c>
      <c r="E71" s="3">
        <v>6.5541898046103004E-8</v>
      </c>
      <c r="F71" s="3">
        <v>8.4518641965746098E-6</v>
      </c>
      <c r="G71" s="2">
        <v>9.8990816705019906</v>
      </c>
      <c r="H71" s="1" t="str">
        <f>"ENTPD5"</f>
        <v>ENTPD5</v>
      </c>
    </row>
    <row r="72" spans="1:8">
      <c r="A72" s="2" t="str">
        <f>"206254_at"</f>
        <v>206254_at</v>
      </c>
      <c r="B72" s="2">
        <v>2.13841034988079</v>
      </c>
      <c r="C72" s="2">
        <v>7.2646501931851999</v>
      </c>
      <c r="D72" s="2">
        <v>7.0850775873882696</v>
      </c>
      <c r="E72" s="3">
        <v>1.25607306674807E-7</v>
      </c>
      <c r="F72" s="3">
        <v>1.29089840083554E-5</v>
      </c>
      <c r="G72" s="2">
        <v>9.2869684853736896</v>
      </c>
      <c r="H72" s="1" t="str">
        <f>"EGF"</f>
        <v>EGF</v>
      </c>
    </row>
    <row r="73" spans="1:8">
      <c r="A73" s="2" t="str">
        <f>"212445_s_at"</f>
        <v>212445_s_at</v>
      </c>
      <c r="B73" s="2">
        <v>2.13679470287502</v>
      </c>
      <c r="C73" s="2">
        <v>11.0774966869359</v>
      </c>
      <c r="D73" s="2">
        <v>6.8306959166307797</v>
      </c>
      <c r="E73" s="3">
        <v>2.3990807635232901E-7</v>
      </c>
      <c r="F73" s="3">
        <v>2.0624173073213199E-5</v>
      </c>
      <c r="G73" s="2">
        <v>8.6766368273558196</v>
      </c>
      <c r="H73" s="1" t="str">
        <f>"NEDD4L"</f>
        <v>NEDD4L</v>
      </c>
    </row>
    <row r="74" spans="1:8">
      <c r="A74" s="2" t="str">
        <f>"223423_at"</f>
        <v>223423_at</v>
      </c>
      <c r="B74" s="2">
        <v>2.1357474622206798</v>
      </c>
      <c r="C74" s="2">
        <v>10.762638629606901</v>
      </c>
      <c r="D74" s="2">
        <v>6.9708582799133199</v>
      </c>
      <c r="E74" s="3">
        <v>1.6780141619234999E-7</v>
      </c>
      <c r="F74" s="3">
        <v>1.6028327802756202E-5</v>
      </c>
      <c r="G74" s="2">
        <v>9.0139643457396694</v>
      </c>
      <c r="H74" s="1" t="str">
        <f>"GPR160"</f>
        <v>GPR160</v>
      </c>
    </row>
    <row r="75" spans="1:8">
      <c r="A75" s="2" t="str">
        <f>"213492_at"</f>
        <v>213492_at</v>
      </c>
      <c r="B75" s="2">
        <v>2.12510466550901</v>
      </c>
      <c r="C75" s="2">
        <v>7.0331306052466598</v>
      </c>
      <c r="D75" s="2">
        <v>3.30031399061123</v>
      </c>
      <c r="E75" s="2">
        <v>2.7097685835651701E-3</v>
      </c>
      <c r="F75" s="2">
        <v>2.2879148286153599E-2</v>
      </c>
      <c r="G75" s="2">
        <v>-0.146871274008432</v>
      </c>
      <c r="H75" s="1" t="str">
        <f>"COL2A1"</f>
        <v>COL2A1</v>
      </c>
    </row>
    <row r="76" spans="1:8">
      <c r="A76" s="2" t="str">
        <f>"229302_at"</f>
        <v>229302_at</v>
      </c>
      <c r="B76" s="2">
        <v>2.10842524509756</v>
      </c>
      <c r="C76" s="2">
        <v>10.3628799345024</v>
      </c>
      <c r="D76" s="2">
        <v>4.7626687669632704</v>
      </c>
      <c r="E76" s="3">
        <v>5.7128715272737001E-5</v>
      </c>
      <c r="F76" s="2">
        <v>1.2144294352787301E-3</v>
      </c>
      <c r="G76" s="2">
        <v>3.4848071286192899</v>
      </c>
      <c r="H76" s="1" t="str">
        <f>"TMEM178A"</f>
        <v>TMEM178A</v>
      </c>
    </row>
    <row r="77" spans="1:8">
      <c r="A77" s="2" t="str">
        <f>"224483_s_at"</f>
        <v>224483_s_at</v>
      </c>
      <c r="B77" s="2">
        <v>2.09729983544347</v>
      </c>
      <c r="C77" s="2">
        <v>4.5653834167738001</v>
      </c>
      <c r="D77" s="2">
        <v>5.2849857286279498</v>
      </c>
      <c r="E77" s="3">
        <v>1.4010803617711401E-5</v>
      </c>
      <c r="F77" s="2">
        <v>4.1905945722011599E-4</v>
      </c>
      <c r="G77" s="2">
        <v>4.8197161720213897</v>
      </c>
      <c r="H77" s="1" t="str">
        <f>"MFSD9"</f>
        <v>MFSD9</v>
      </c>
    </row>
    <row r="78" spans="1:8">
      <c r="A78" s="2" t="str">
        <f>"239594_at"</f>
        <v>239594_at</v>
      </c>
      <c r="B78" s="2">
        <v>2.0853315161279</v>
      </c>
      <c r="C78" s="2">
        <v>9.0004562036095095</v>
      </c>
      <c r="D78" s="2">
        <v>4.19663892127822</v>
      </c>
      <c r="E78" s="2">
        <v>2.6090923251415499E-4</v>
      </c>
      <c r="F78" s="2">
        <v>3.8275321405182201E-3</v>
      </c>
      <c r="G78" s="2">
        <v>2.0464612026243501</v>
      </c>
      <c r="H78" s="1" t="str">
        <f>"DRAIC"</f>
        <v>DRAIC</v>
      </c>
    </row>
    <row r="79" spans="1:8">
      <c r="A79" s="2" t="str">
        <f>"214898_x_at"</f>
        <v>214898_x_at</v>
      </c>
      <c r="B79" s="2">
        <v>2.0753976609303599</v>
      </c>
      <c r="C79" s="2">
        <v>9.8197339554715306</v>
      </c>
      <c r="D79" s="2">
        <v>6.4170603414185203</v>
      </c>
      <c r="E79" s="3">
        <v>6.9774268885637504E-7</v>
      </c>
      <c r="F79" s="3">
        <v>4.3799175101288502E-5</v>
      </c>
      <c r="G79" s="2">
        <v>7.6670960386927502</v>
      </c>
      <c r="H79" s="1" t="str">
        <f>"MUC3B"</f>
        <v>MUC3B</v>
      </c>
    </row>
    <row r="80" spans="1:8">
      <c r="A80" s="2" t="str">
        <f>"1563742_at"</f>
        <v>1563742_at</v>
      </c>
      <c r="B80" s="2">
        <v>2.0719019373952099</v>
      </c>
      <c r="C80" s="2">
        <v>5.23317197127745</v>
      </c>
      <c r="D80" s="2">
        <v>5.8663046700886596</v>
      </c>
      <c r="E80" s="3">
        <v>2.9672149970291602E-6</v>
      </c>
      <c r="F80" s="2">
        <v>1.2798820102222599E-4</v>
      </c>
      <c r="G80" s="2">
        <v>6.2943708107635796</v>
      </c>
      <c r="H80" s="1" t="str">
        <f>"LINC00842"</f>
        <v>LINC00842</v>
      </c>
    </row>
    <row r="81" spans="1:8">
      <c r="A81" s="2" t="str">
        <f>"214240_at"</f>
        <v>214240_at</v>
      </c>
      <c r="B81" s="2">
        <v>2.0695082215666099</v>
      </c>
      <c r="C81" s="2">
        <v>6.6853626632437102</v>
      </c>
      <c r="D81" s="2">
        <v>5.99863114723302</v>
      </c>
      <c r="E81" s="3">
        <v>2.0905643596409299E-6</v>
      </c>
      <c r="F81" s="3">
        <v>9.7112664709743195E-5</v>
      </c>
      <c r="G81" s="2">
        <v>6.6267795957203104</v>
      </c>
      <c r="H81" s="1" t="str">
        <f>"GAL"</f>
        <v>GAL</v>
      </c>
    </row>
    <row r="82" spans="1:8">
      <c r="A82" s="2" t="str">
        <f>"219926_at"</f>
        <v>219926_at</v>
      </c>
      <c r="B82" s="2">
        <v>2.0659964975285301</v>
      </c>
      <c r="C82" s="2">
        <v>5.6345666661115503</v>
      </c>
      <c r="D82" s="2">
        <v>4.7265649056193197</v>
      </c>
      <c r="E82" s="3">
        <v>6.2960606423113596E-5</v>
      </c>
      <c r="F82" s="2">
        <v>1.3067057168655099E-3</v>
      </c>
      <c r="G82" s="2">
        <v>3.3925778958510402</v>
      </c>
      <c r="H82" s="1" t="str">
        <f>"POPDC3"</f>
        <v>POPDC3</v>
      </c>
    </row>
    <row r="83" spans="1:8">
      <c r="A83" s="2" t="str">
        <f>"239913_at"</f>
        <v>239913_at</v>
      </c>
      <c r="B83" s="2">
        <v>2.0626385127793201</v>
      </c>
      <c r="C83" s="2">
        <v>3.7083739066163899</v>
      </c>
      <c r="D83" s="2">
        <v>3.7710437349987198</v>
      </c>
      <c r="E83" s="2">
        <v>8.0463164078806301E-4</v>
      </c>
      <c r="F83" s="2">
        <v>9.0989110568950107E-3</v>
      </c>
      <c r="G83" s="2">
        <v>0.98609211288540199</v>
      </c>
      <c r="H83" s="1" t="str">
        <f>"SLC10A4"</f>
        <v>SLC10A4</v>
      </c>
    </row>
    <row r="84" spans="1:8">
      <c r="A84" s="2" t="str">
        <f>"210130_s_at"</f>
        <v>210130_s_at</v>
      </c>
      <c r="B84" s="2">
        <v>2.0575770630732002</v>
      </c>
      <c r="C84" s="2">
        <v>10.6756781185334</v>
      </c>
      <c r="D84" s="2">
        <v>8.1213618987196696</v>
      </c>
      <c r="E84" s="3">
        <v>9.7691228355730105E-9</v>
      </c>
      <c r="F84" s="3">
        <v>2.1923427985211601E-6</v>
      </c>
      <c r="G84" s="2">
        <v>11.6807254160752</v>
      </c>
      <c r="H84" s="1" t="str">
        <f>"TM7SF2"</f>
        <v>TM7SF2</v>
      </c>
    </row>
    <row r="85" spans="1:8">
      <c r="A85" s="2" t="str">
        <f>"223278_at"</f>
        <v>223278_at</v>
      </c>
      <c r="B85" s="2">
        <v>2.0536024548557701</v>
      </c>
      <c r="C85" s="2">
        <v>6.5592687062569404</v>
      </c>
      <c r="D85" s="2">
        <v>5.7745308032547698</v>
      </c>
      <c r="E85" s="3">
        <v>3.7858816427037901E-6</v>
      </c>
      <c r="F85" s="2">
        <v>1.5485943343860901E-4</v>
      </c>
      <c r="G85" s="2">
        <v>6.0629993253554897</v>
      </c>
      <c r="H85" s="1" t="str">
        <f>"GJB2"</f>
        <v>GJB2</v>
      </c>
    </row>
    <row r="86" spans="1:8">
      <c r="A86" s="2" t="str">
        <f>"232195_at"</f>
        <v>232195_at</v>
      </c>
      <c r="B86" s="2">
        <v>2.0514718557594001</v>
      </c>
      <c r="C86" s="2">
        <v>6.38586114732826</v>
      </c>
      <c r="D86" s="2">
        <v>4.7151544534477301</v>
      </c>
      <c r="E86" s="3">
        <v>6.4924550504170004E-5</v>
      </c>
      <c r="F86" s="2">
        <v>1.33667548652485E-3</v>
      </c>
      <c r="G86" s="2">
        <v>3.36343658914224</v>
      </c>
      <c r="H86" s="1" t="str">
        <f>"GPR158"</f>
        <v>GPR158</v>
      </c>
    </row>
    <row r="87" spans="1:8">
      <c r="A87" s="2" t="str">
        <f>"221648_s_at"</f>
        <v>221648_s_at</v>
      </c>
      <c r="B87" s="2">
        <v>2.0502842462258299</v>
      </c>
      <c r="C87" s="2">
        <v>7.8800250546149</v>
      </c>
      <c r="D87" s="2">
        <v>6.2321451796913996</v>
      </c>
      <c r="E87" s="3">
        <v>1.13093767345252E-6</v>
      </c>
      <c r="F87" s="3">
        <v>6.2458603329309503E-5</v>
      </c>
      <c r="G87" s="2">
        <v>7.20951880890967</v>
      </c>
      <c r="H87" s="1" t="str">
        <f>"AGMAT"</f>
        <v>AGMAT</v>
      </c>
    </row>
    <row r="88" spans="1:8">
      <c r="A88" s="2" t="str">
        <f>"230641_at"</f>
        <v>230641_at</v>
      </c>
      <c r="B88" s="2">
        <v>2.0500220941938401</v>
      </c>
      <c r="C88" s="2">
        <v>9.9872302011300498</v>
      </c>
      <c r="D88" s="2">
        <v>7.7251761324774604</v>
      </c>
      <c r="E88" s="3">
        <v>2.5521356062555598E-8</v>
      </c>
      <c r="F88" s="3">
        <v>4.3742324223204602E-6</v>
      </c>
      <c r="G88" s="2">
        <v>10.783813189937201</v>
      </c>
      <c r="H88" s="1" t="str">
        <f>"LOC100505938"</f>
        <v>LOC100505938</v>
      </c>
    </row>
    <row r="89" spans="1:8">
      <c r="A89" s="2" t="str">
        <f>"226973_at"</f>
        <v>226973_at</v>
      </c>
      <c r="B89" s="2">
        <v>2.0472809529974301</v>
      </c>
      <c r="C89" s="2">
        <v>9.34045928469369</v>
      </c>
      <c r="D89" s="2">
        <v>5.3329255503826101</v>
      </c>
      <c r="E89" s="3">
        <v>1.23191349673192E-5</v>
      </c>
      <c r="F89" s="2">
        <v>3.8096646172973799E-4</v>
      </c>
      <c r="G89" s="2">
        <v>4.9419936989546098</v>
      </c>
      <c r="H89" s="1" t="str">
        <f>"VSTM2L"</f>
        <v>VSTM2L</v>
      </c>
    </row>
    <row r="90" spans="1:8">
      <c r="A90" s="2" t="str">
        <f>"229964_at"</f>
        <v>229964_at</v>
      </c>
      <c r="B90" s="2">
        <v>2.0401826551284898</v>
      </c>
      <c r="C90" s="2">
        <v>10.911051092436001</v>
      </c>
      <c r="D90" s="2">
        <v>7.8822821000318504</v>
      </c>
      <c r="E90" s="3">
        <v>1.7396678178981801E-8</v>
      </c>
      <c r="F90" s="3">
        <v>3.2242826421553502E-6</v>
      </c>
      <c r="G90" s="2">
        <v>11.1422526438958</v>
      </c>
      <c r="H90" s="1" t="str">
        <f>"C9orf152"</f>
        <v>C9orf152</v>
      </c>
    </row>
    <row r="91" spans="1:8">
      <c r="A91" s="2" t="str">
        <f>"210262_at"</f>
        <v>210262_at</v>
      </c>
      <c r="B91" s="2">
        <v>2.0355390969149898</v>
      </c>
      <c r="C91" s="2">
        <v>5.8541075340721802</v>
      </c>
      <c r="D91" s="2">
        <v>2.9087388236706002</v>
      </c>
      <c r="E91" s="2">
        <v>7.1615312169231301E-3</v>
      </c>
      <c r="F91" s="2">
        <v>4.7744996864439997E-2</v>
      </c>
      <c r="G91" s="2">
        <v>-1.0415811131786501</v>
      </c>
      <c r="H91" s="1" t="str">
        <f>"CRISP2"</f>
        <v>CRISP2</v>
      </c>
    </row>
    <row r="92" spans="1:8">
      <c r="A92" s="2" t="str">
        <f>"212218_s_at"</f>
        <v>212218_s_at</v>
      </c>
      <c r="B92" s="2">
        <v>2.0339744408331302</v>
      </c>
      <c r="C92" s="2">
        <v>11.3349731896012</v>
      </c>
      <c r="D92" s="2">
        <v>8.7895614782587703</v>
      </c>
      <c r="E92" s="3">
        <v>2.02648264905401E-9</v>
      </c>
      <c r="F92" s="3">
        <v>7.4930972586476102E-7</v>
      </c>
      <c r="G92" s="2">
        <v>13.1401324387559</v>
      </c>
      <c r="H92" s="1" t="str">
        <f>"FASN"</f>
        <v>FASN</v>
      </c>
    </row>
    <row r="93" spans="1:8">
      <c r="A93" s="2" t="str">
        <f>"239761_at"</f>
        <v>239761_at</v>
      </c>
      <c r="B93" s="2">
        <v>2.0276249288385801</v>
      </c>
      <c r="C93" s="2">
        <v>7.97439717442629</v>
      </c>
      <c r="D93" s="2">
        <v>5.1435609591564102</v>
      </c>
      <c r="E93" s="3">
        <v>2.0489042838857099E-5</v>
      </c>
      <c r="F93" s="2">
        <v>5.5650194595852499E-4</v>
      </c>
      <c r="G93" s="2">
        <v>4.4585766266911504</v>
      </c>
      <c r="H93" s="1" t="str">
        <f>"GCNT1"</f>
        <v>GCNT1</v>
      </c>
    </row>
    <row r="94" spans="1:8">
      <c r="A94" s="2" t="str">
        <f>"225667_s_at"</f>
        <v>225667_s_at</v>
      </c>
      <c r="B94" s="2">
        <v>2.0239972645585098</v>
      </c>
      <c r="C94" s="2">
        <v>11.7783925186412</v>
      </c>
      <c r="D94" s="2">
        <v>6.6556777491687003</v>
      </c>
      <c r="E94" s="3">
        <v>3.7605493450435601E-7</v>
      </c>
      <c r="F94" s="3">
        <v>2.8281710514478201E-5</v>
      </c>
      <c r="G94" s="2">
        <v>8.2519619311409897</v>
      </c>
      <c r="H94" s="1" t="str">
        <f>"LRATD1"</f>
        <v>LRATD1</v>
      </c>
    </row>
    <row r="95" spans="1:8">
      <c r="A95" s="2" t="str">
        <f>"231416_at"</f>
        <v>231416_at</v>
      </c>
      <c r="B95" s="2">
        <v>2.0159611822154502</v>
      </c>
      <c r="C95" s="2">
        <v>8.1151504105743193</v>
      </c>
      <c r="D95" s="2">
        <v>4.83471996159453</v>
      </c>
      <c r="E95" s="3">
        <v>4.7053550566066599E-5</v>
      </c>
      <c r="F95" s="2">
        <v>1.0479237789000799E-3</v>
      </c>
      <c r="G95" s="2">
        <v>3.6689509981946502</v>
      </c>
      <c r="H95" s="1" t="str">
        <f>"DHDH"</f>
        <v>DHDH</v>
      </c>
    </row>
    <row r="96" spans="1:8">
      <c r="A96" s="2" t="str">
        <f>"205925_s_at"</f>
        <v>205925_s_at</v>
      </c>
      <c r="B96" s="2">
        <v>2.0138812873592098</v>
      </c>
      <c r="C96" s="2">
        <v>8.9216448490838705</v>
      </c>
      <c r="D96" s="2">
        <v>4.9002272900472397</v>
      </c>
      <c r="E96" s="3">
        <v>3.9443570656197503E-5</v>
      </c>
      <c r="F96" s="2">
        <v>9.1496700281187902E-4</v>
      </c>
      <c r="G96" s="2">
        <v>3.8364368468650798</v>
      </c>
      <c r="H96" s="1" t="str">
        <f>"RAB3B"</f>
        <v>RAB3B</v>
      </c>
    </row>
    <row r="97" spans="1:8">
      <c r="A97" s="2" t="str">
        <f>"1553545_at"</f>
        <v>1553545_at</v>
      </c>
      <c r="B97" s="2">
        <v>2.0108893251183302</v>
      </c>
      <c r="C97" s="2">
        <v>5.2790265727149102</v>
      </c>
      <c r="D97" s="2">
        <v>4.248716699639</v>
      </c>
      <c r="E97" s="2">
        <v>2.2704319682592599E-4</v>
      </c>
      <c r="F97" s="2">
        <v>3.46572424592666E-3</v>
      </c>
      <c r="G97" s="2">
        <v>2.1778066515342398</v>
      </c>
      <c r="H97" s="1" t="str">
        <f>"ILDR1"</f>
        <v>ILDR1</v>
      </c>
    </row>
    <row r="98" spans="1:8">
      <c r="A98" s="2" t="str">
        <f>"227804_at"</f>
        <v>227804_at</v>
      </c>
      <c r="B98" s="2">
        <v>2.0065403397900101</v>
      </c>
      <c r="C98" s="2">
        <v>9.1182201599663593</v>
      </c>
      <c r="D98" s="2">
        <v>8.8866105947226508</v>
      </c>
      <c r="E98" s="3">
        <v>1.62054135797088E-9</v>
      </c>
      <c r="F98" s="3">
        <v>6.50302606562908E-7</v>
      </c>
      <c r="G98" s="2">
        <v>13.3464629203211</v>
      </c>
      <c r="H98" s="1" t="str">
        <f>"TLCD1"</f>
        <v>TLCD1</v>
      </c>
    </row>
    <row r="99" spans="1:8">
      <c r="A99" s="2" t="str">
        <f>"238103_at"</f>
        <v>238103_at</v>
      </c>
      <c r="B99" s="2">
        <v>1.9974778193071001</v>
      </c>
      <c r="C99" s="2">
        <v>8.9664034529913206</v>
      </c>
      <c r="D99" s="2">
        <v>3.35124433247069</v>
      </c>
      <c r="E99" s="2">
        <v>2.3812011199959098E-3</v>
      </c>
      <c r="F99" s="2">
        <v>2.0721338729233801E-2</v>
      </c>
      <c r="G99" s="2">
        <v>-2.6943524550217601E-2</v>
      </c>
      <c r="H99" s="1" t="str">
        <f>"SMIM31"</f>
        <v>SMIM31</v>
      </c>
    </row>
    <row r="100" spans="1:8">
      <c r="A100" s="2" t="str">
        <f>"1553808_a_at"</f>
        <v>1553808_a_at</v>
      </c>
      <c r="B100" s="2">
        <v>1.99033508273238</v>
      </c>
      <c r="C100" s="2">
        <v>4.67845560876804</v>
      </c>
      <c r="D100" s="2">
        <v>2.9489194968032102</v>
      </c>
      <c r="E100" s="2">
        <v>6.4946443693318099E-3</v>
      </c>
      <c r="F100" s="2">
        <v>4.4447951044338102E-2</v>
      </c>
      <c r="G100" s="2">
        <v>-0.95223739416445596</v>
      </c>
      <c r="H100" s="1" t="str">
        <f>"NKX2-3"</f>
        <v>NKX2-3</v>
      </c>
    </row>
    <row r="101" spans="1:8">
      <c r="A101" s="2" t="str">
        <f>"204667_at"</f>
        <v>204667_at</v>
      </c>
      <c r="B101" s="2">
        <v>1.9887205069352301</v>
      </c>
      <c r="C101" s="2">
        <v>10.6052244295019</v>
      </c>
      <c r="D101" s="2">
        <v>7.9417589743576604</v>
      </c>
      <c r="E101" s="3">
        <v>1.50597787898541E-8</v>
      </c>
      <c r="F101" s="3">
        <v>2.91983477069245E-6</v>
      </c>
      <c r="G101" s="2">
        <v>11.2770031736822</v>
      </c>
      <c r="H101" s="1" t="str">
        <f>"FOXA1"</f>
        <v>FOXA1</v>
      </c>
    </row>
    <row r="102" spans="1:8">
      <c r="A102" s="2" t="str">
        <f>"220187_at"</f>
        <v>220187_at</v>
      </c>
      <c r="B102" s="2">
        <v>1.9865624141185401</v>
      </c>
      <c r="C102" s="2">
        <v>8.5707814546896</v>
      </c>
      <c r="D102" s="2">
        <v>4.7263668416299902</v>
      </c>
      <c r="E102" s="3">
        <v>6.2994185915389502E-5</v>
      </c>
      <c r="F102" s="2">
        <v>1.3067057168655099E-3</v>
      </c>
      <c r="G102" s="2">
        <v>3.3920720259476198</v>
      </c>
      <c r="H102" s="1" t="str">
        <f>"STEAP4"</f>
        <v>STEAP4</v>
      </c>
    </row>
    <row r="103" spans="1:8">
      <c r="A103" s="2" t="str">
        <f>"232397_at"</f>
        <v>232397_at</v>
      </c>
      <c r="B103" s="2">
        <v>1.9862216845399201</v>
      </c>
      <c r="C103" s="2">
        <v>8.4671379859991394</v>
      </c>
      <c r="D103" s="2">
        <v>5.2940132869607197</v>
      </c>
      <c r="E103" s="3">
        <v>1.3675297658794099E-5</v>
      </c>
      <c r="F103" s="2">
        <v>4.1154890903180298E-4</v>
      </c>
      <c r="G103" s="2">
        <v>4.8427485642987804</v>
      </c>
      <c r="H103" s="1" t="str">
        <f>"HECW2-AS1"</f>
        <v>HECW2-AS1</v>
      </c>
    </row>
    <row r="104" spans="1:8">
      <c r="A104" s="2" t="str">
        <f>"231278_at"</f>
        <v>231278_at</v>
      </c>
      <c r="B104" s="2">
        <v>1.97686552165415</v>
      </c>
      <c r="C104" s="2">
        <v>5.8225416786532902</v>
      </c>
      <c r="D104" s="2">
        <v>4.9283014035980797</v>
      </c>
      <c r="E104" s="3">
        <v>3.6571466723155301E-5</v>
      </c>
      <c r="F104" s="2">
        <v>8.6823488627377904E-4</v>
      </c>
      <c r="G104" s="2">
        <v>3.9082259648492599</v>
      </c>
      <c r="H104" s="1" t="str">
        <f>"LINC02688"</f>
        <v>LINC02688</v>
      </c>
    </row>
    <row r="105" spans="1:8">
      <c r="A105" s="2" t="str">
        <f>"1558692_at"</f>
        <v>1558692_at</v>
      </c>
      <c r="B105" s="2">
        <v>1.96813069333586</v>
      </c>
      <c r="C105" s="2">
        <v>11.7448204114382</v>
      </c>
      <c r="D105" s="2">
        <v>8.0971561940270593</v>
      </c>
      <c r="E105" s="3">
        <v>1.0353357316822101E-8</v>
      </c>
      <c r="F105" s="3">
        <v>2.2753098200736399E-6</v>
      </c>
      <c r="G105" s="2">
        <v>11.626594627794701</v>
      </c>
      <c r="H105" s="1" t="str">
        <f>"GLMP"</f>
        <v>GLMP</v>
      </c>
    </row>
    <row r="106" spans="1:8">
      <c r="A106" s="2" t="str">
        <f>"206067_s_at"</f>
        <v>206067_s_at</v>
      </c>
      <c r="B106" s="2">
        <v>1.96737562685337</v>
      </c>
      <c r="C106" s="2">
        <v>5.3307773448306497</v>
      </c>
      <c r="D106" s="2">
        <v>3.1159925188631901</v>
      </c>
      <c r="E106" s="2">
        <v>4.3036884751118396E-3</v>
      </c>
      <c r="F106" s="2">
        <v>3.2536527568686302E-2</v>
      </c>
      <c r="G106" s="2">
        <v>-0.57442665710324403</v>
      </c>
      <c r="H106" s="1" t="str">
        <f>"WT1"</f>
        <v>WT1</v>
      </c>
    </row>
    <row r="107" spans="1:8">
      <c r="A107" s="2" t="str">
        <f>"213622_at"</f>
        <v>213622_at</v>
      </c>
      <c r="B107" s="2">
        <v>1.9665208692662399</v>
      </c>
      <c r="C107" s="2">
        <v>9.5898548243639894</v>
      </c>
      <c r="D107" s="2">
        <v>5.4047933814594096</v>
      </c>
      <c r="E107" s="3">
        <v>1.0159735331695799E-5</v>
      </c>
      <c r="F107" s="2">
        <v>3.2907792017800101E-4</v>
      </c>
      <c r="G107" s="2">
        <v>5.1251344741719898</v>
      </c>
      <c r="H107" s="1" t="str">
        <f>"COL9A2"</f>
        <v>COL9A2</v>
      </c>
    </row>
    <row r="108" spans="1:8">
      <c r="A108" s="2" t="str">
        <f>"231232_at"</f>
        <v>231232_at</v>
      </c>
      <c r="B108" s="2">
        <v>1.9633738966171901</v>
      </c>
      <c r="C108" s="2">
        <v>5.3131839907301899</v>
      </c>
      <c r="D108" s="2">
        <v>4.8720121479804304</v>
      </c>
      <c r="E108" s="3">
        <v>4.2557500440214902E-5</v>
      </c>
      <c r="F108" s="2">
        <v>9.6830267855544999E-4</v>
      </c>
      <c r="G108" s="2">
        <v>3.76429236014192</v>
      </c>
      <c r="H108" s="1" t="str">
        <f>"ADCY6-DT"</f>
        <v>ADCY6-DT</v>
      </c>
    </row>
    <row r="109" spans="1:8">
      <c r="A109" s="2" t="str">
        <f>"214404_x_at"</f>
        <v>214404_x_at</v>
      </c>
      <c r="B109" s="2">
        <v>1.9633391266628499</v>
      </c>
      <c r="C109" s="2">
        <v>12.330453260723299</v>
      </c>
      <c r="D109" s="2">
        <v>8.8416892858228504</v>
      </c>
      <c r="E109" s="3">
        <v>1.79692423385021E-9</v>
      </c>
      <c r="F109" s="3">
        <v>6.8704078661370796E-7</v>
      </c>
      <c r="G109" s="2">
        <v>13.2511364558213</v>
      </c>
      <c r="H109" s="1" t="str">
        <f>"SPDEF"</f>
        <v>SPDEF</v>
      </c>
    </row>
    <row r="110" spans="1:8">
      <c r="A110" s="2" t="str">
        <f>"204607_at"</f>
        <v>204607_at</v>
      </c>
      <c r="B110" s="2">
        <v>1.9602508655163799</v>
      </c>
      <c r="C110" s="2">
        <v>9.9038661508441308</v>
      </c>
      <c r="D110" s="2">
        <v>3.4517749328720799</v>
      </c>
      <c r="E110" s="2">
        <v>1.8419192144172099E-3</v>
      </c>
      <c r="F110" s="2">
        <v>1.71299426855351E-2</v>
      </c>
      <c r="G110" s="2">
        <v>0.21185113228531699</v>
      </c>
      <c r="H110" s="1" t="str">
        <f>"HMGCS2"</f>
        <v>HMGCS2</v>
      </c>
    </row>
    <row r="111" spans="1:8">
      <c r="A111" s="2" t="str">
        <f>"206529_x_at"</f>
        <v>206529_x_at</v>
      </c>
      <c r="B111" s="2">
        <v>1.9585545785185601</v>
      </c>
      <c r="C111" s="2">
        <v>9.1172002283749904</v>
      </c>
      <c r="D111" s="2">
        <v>3.3840781520085099</v>
      </c>
      <c r="E111" s="2">
        <v>2.1901491904495001E-3</v>
      </c>
      <c r="F111" s="2">
        <v>1.94519829414922E-2</v>
      </c>
      <c r="G111" s="2">
        <v>5.0752917898484497E-2</v>
      </c>
      <c r="H111" s="1" t="str">
        <f>"SLC26A4"</f>
        <v>SLC26A4</v>
      </c>
    </row>
    <row r="112" spans="1:8">
      <c r="A112" s="2" t="str">
        <f>"229116_at"</f>
        <v>229116_at</v>
      </c>
      <c r="B112" s="2">
        <v>1.95795188879619</v>
      </c>
      <c r="C112" s="2">
        <v>6.7226284080094603</v>
      </c>
      <c r="D112" s="2">
        <v>4.6246168275900796</v>
      </c>
      <c r="E112" s="3">
        <v>8.2836074063054996E-5</v>
      </c>
      <c r="F112" s="2">
        <v>1.61694478736077E-3</v>
      </c>
      <c r="G112" s="2">
        <v>3.1323632541098201</v>
      </c>
      <c r="H112" s="1" t="str">
        <f>"CNKSR2"</f>
        <v>CNKSR2</v>
      </c>
    </row>
    <row r="113" spans="1:8">
      <c r="A113" s="2" t="str">
        <f>"213143_at"</f>
        <v>213143_at</v>
      </c>
      <c r="B113" s="2">
        <v>1.9498126636811199</v>
      </c>
      <c r="C113" s="2">
        <v>8.4235891838949701</v>
      </c>
      <c r="D113" s="2">
        <v>7.0063658870511798</v>
      </c>
      <c r="E113" s="3">
        <v>1.5332839213343501E-7</v>
      </c>
      <c r="F113" s="3">
        <v>1.4943368698566001E-5</v>
      </c>
      <c r="G113" s="2">
        <v>9.0990175328135798</v>
      </c>
      <c r="H113" s="1" t="str">
        <f>"C2orf72"</f>
        <v>C2orf72</v>
      </c>
    </row>
    <row r="114" spans="1:8">
      <c r="A114" s="2" t="str">
        <f>"228051_at"</f>
        <v>228051_at</v>
      </c>
      <c r="B114" s="2">
        <v>1.94399114261919</v>
      </c>
      <c r="C114" s="2">
        <v>10.864680786691199</v>
      </c>
      <c r="D114" s="2">
        <v>5.8998971523084496</v>
      </c>
      <c r="E114" s="3">
        <v>2.7144633506831802E-6</v>
      </c>
      <c r="F114" s="2">
        <v>1.19978402343252E-4</v>
      </c>
      <c r="G114" s="2">
        <v>6.3788950194365404</v>
      </c>
      <c r="H114" s="1" t="str">
        <f>"ARFGEF3"</f>
        <v>ARFGEF3</v>
      </c>
    </row>
    <row r="115" spans="1:8">
      <c r="A115" s="2" t="str">
        <f>"219795_at"</f>
        <v>219795_at</v>
      </c>
      <c r="B115" s="2">
        <v>1.94392849348456</v>
      </c>
      <c r="C115" s="2">
        <v>7.1590632662538498</v>
      </c>
      <c r="D115" s="2">
        <v>4.4207071340722504</v>
      </c>
      <c r="E115" s="2">
        <v>1.4326180897143199E-4</v>
      </c>
      <c r="F115" s="2">
        <v>2.4616088640832898E-3</v>
      </c>
      <c r="G115" s="2">
        <v>2.61334246203258</v>
      </c>
      <c r="H115" s="1" t="str">
        <f>"SLC6A14"</f>
        <v>SLC6A14</v>
      </c>
    </row>
    <row r="116" spans="1:8">
      <c r="A116" s="2" t="str">
        <f>"236302_at"</f>
        <v>236302_at</v>
      </c>
      <c r="B116" s="2">
        <v>1.9371426456776599</v>
      </c>
      <c r="C116" s="2">
        <v>8.63346060503339</v>
      </c>
      <c r="D116" s="2">
        <v>4.5462291494462397</v>
      </c>
      <c r="E116" s="2">
        <v>1.02272076989872E-4</v>
      </c>
      <c r="F116" s="2">
        <v>1.90065459191749E-3</v>
      </c>
      <c r="G116" s="2">
        <v>2.9325706796449</v>
      </c>
      <c r="H116" s="1" t="str">
        <f>"PPM1E"</f>
        <v>PPM1E</v>
      </c>
    </row>
    <row r="117" spans="1:8">
      <c r="A117" s="2" t="str">
        <f>"205833_s_at"</f>
        <v>205833_s_at</v>
      </c>
      <c r="B117" s="2">
        <v>1.9284548564881501</v>
      </c>
      <c r="C117" s="2">
        <v>10.102583349679801</v>
      </c>
      <c r="D117" s="2">
        <v>6.7461053289326296</v>
      </c>
      <c r="E117" s="3">
        <v>2.9799507606832102E-7</v>
      </c>
      <c r="F117" s="3">
        <v>2.4137601161534001E-5</v>
      </c>
      <c r="G117" s="2">
        <v>8.4718513830614199</v>
      </c>
      <c r="H117" s="1" t="str">
        <f>"PART1"</f>
        <v>PART1</v>
      </c>
    </row>
    <row r="118" spans="1:8">
      <c r="A118" s="2" t="str">
        <f>"210480_s_at"</f>
        <v>210480_s_at</v>
      </c>
      <c r="B118" s="2">
        <v>1.92844990413763</v>
      </c>
      <c r="C118" s="2">
        <v>7.7217448596432696</v>
      </c>
      <c r="D118" s="2">
        <v>2.9159644768417001</v>
      </c>
      <c r="E118" s="2">
        <v>7.0370061250402604E-3</v>
      </c>
      <c r="F118" s="2">
        <v>4.7121654609500997E-2</v>
      </c>
      <c r="G118" s="2">
        <v>-1.02556001300082</v>
      </c>
      <c r="H118" s="1" t="str">
        <f>"MYO6"</f>
        <v>MYO6</v>
      </c>
    </row>
    <row r="119" spans="1:8">
      <c r="A119" s="2" t="str">
        <f>"224393_s_at"</f>
        <v>224393_s_at</v>
      </c>
      <c r="B119" s="2">
        <v>1.92826678651114</v>
      </c>
      <c r="C119" s="2">
        <v>8.8577646382035695</v>
      </c>
      <c r="D119" s="2">
        <v>3.9932797999957401</v>
      </c>
      <c r="E119" s="2">
        <v>4.4800851788292102E-4</v>
      </c>
      <c r="F119" s="2">
        <v>5.8072227869247796E-3</v>
      </c>
      <c r="G119" s="2">
        <v>1.5365533649863701</v>
      </c>
      <c r="H119" s="1" t="str">
        <f>"TMEM121B"</f>
        <v>TMEM121B</v>
      </c>
    </row>
    <row r="120" spans="1:8">
      <c r="A120" s="2" t="str">
        <f>"220724_at"</f>
        <v>220724_at</v>
      </c>
      <c r="B120" s="2">
        <v>1.92540091164909</v>
      </c>
      <c r="C120" s="2">
        <v>8.0745717762734692</v>
      </c>
      <c r="D120" s="2">
        <v>2.9602239167383502</v>
      </c>
      <c r="E120" s="2">
        <v>6.31791747247682E-3</v>
      </c>
      <c r="F120" s="2">
        <v>4.3538207437316602E-2</v>
      </c>
      <c r="G120" s="2">
        <v>-0.92699137949278598</v>
      </c>
      <c r="H120" s="1" t="str">
        <f>"CWH43"</f>
        <v>CWH43</v>
      </c>
    </row>
    <row r="121" spans="1:8">
      <c r="A121" s="2" t="str">
        <f>"222904_s_at"</f>
        <v>222904_s_at</v>
      </c>
      <c r="B121" s="2">
        <v>1.9230043061988</v>
      </c>
      <c r="C121" s="2">
        <v>9.1286800097707808</v>
      </c>
      <c r="D121" s="2">
        <v>6.0340054079845604</v>
      </c>
      <c r="E121" s="3">
        <v>1.9041941916044901E-6</v>
      </c>
      <c r="F121" s="3">
        <v>9.0374841515603496E-5</v>
      </c>
      <c r="G121" s="2">
        <v>6.7153846808196898</v>
      </c>
      <c r="H121" s="1" t="str">
        <f>"TMC5"</f>
        <v>TMC5</v>
      </c>
    </row>
    <row r="122" spans="1:8">
      <c r="A122" s="2" t="str">
        <f>"202148_s_at"</f>
        <v>202148_s_at</v>
      </c>
      <c r="B122" s="2">
        <v>1.92095538163109</v>
      </c>
      <c r="C122" s="2">
        <v>10.4608010243469</v>
      </c>
      <c r="D122" s="2">
        <v>9.6106409115974607</v>
      </c>
      <c r="E122" s="3">
        <v>3.17957149687992E-10</v>
      </c>
      <c r="F122" s="3">
        <v>2.13569851158292E-7</v>
      </c>
      <c r="G122" s="2">
        <v>14.840658456639799</v>
      </c>
      <c r="H122" s="1" t="str">
        <f>"PYCR1"</f>
        <v>PYCR1</v>
      </c>
    </row>
    <row r="123" spans="1:8">
      <c r="A123" s="2" t="str">
        <f>"202005_at"</f>
        <v>202005_at</v>
      </c>
      <c r="B123" s="2">
        <v>1.91599306074329</v>
      </c>
      <c r="C123" s="2">
        <v>10.454381350839901</v>
      </c>
      <c r="D123" s="2">
        <v>7.3438773139323104</v>
      </c>
      <c r="E123" s="3">
        <v>6.5543491894789897E-8</v>
      </c>
      <c r="F123" s="3">
        <v>8.4518641965746098E-6</v>
      </c>
      <c r="G123" s="2">
        <v>9.8990588150717098</v>
      </c>
      <c r="H123" s="1" t="str">
        <f>"ST14"</f>
        <v>ST14</v>
      </c>
    </row>
    <row r="124" spans="1:8">
      <c r="A124" s="2" t="str">
        <f>"224355_s_at"</f>
        <v>224355_s_at</v>
      </c>
      <c r="B124" s="2">
        <v>1.91573705052135</v>
      </c>
      <c r="C124" s="2">
        <v>7.5682901438063999</v>
      </c>
      <c r="D124" s="2">
        <v>5.4272252601463702</v>
      </c>
      <c r="E124" s="3">
        <v>9.5670656916675598E-6</v>
      </c>
      <c r="F124" s="2">
        <v>3.1340881767041601E-4</v>
      </c>
      <c r="G124" s="2">
        <v>5.1822516796267202</v>
      </c>
      <c r="H124" s="1" t="str">
        <f>"MS4A8"</f>
        <v>MS4A8</v>
      </c>
    </row>
    <row r="125" spans="1:8">
      <c r="A125" s="2" t="str">
        <f>"238742_x_at"</f>
        <v>238742_x_at</v>
      </c>
      <c r="B125" s="2">
        <v>1.91477238653793</v>
      </c>
      <c r="C125" s="2">
        <v>8.4369163819585502</v>
      </c>
      <c r="D125" s="2">
        <v>5.4607488662191397</v>
      </c>
      <c r="E125" s="3">
        <v>8.7455568042618604E-6</v>
      </c>
      <c r="F125" s="2">
        <v>2.9335172900185098E-4</v>
      </c>
      <c r="G125" s="2">
        <v>5.2675669655957202</v>
      </c>
      <c r="H125" s="1" t="str">
        <f>"SPINT1-AS1"</f>
        <v>SPINT1-AS1</v>
      </c>
    </row>
    <row r="126" spans="1:8">
      <c r="A126" s="2" t="str">
        <f>"1557263_s_at"</f>
        <v>1557263_s_at</v>
      </c>
      <c r="B126" s="2">
        <v>1.9120253650727399</v>
      </c>
      <c r="C126" s="2">
        <v>7.2461370149650097</v>
      </c>
      <c r="D126" s="2">
        <v>4.28132436251994</v>
      </c>
      <c r="E126" s="2">
        <v>2.0809308568187001E-4</v>
      </c>
      <c r="F126" s="2">
        <v>3.2488547857385001E-3</v>
      </c>
      <c r="G126" s="2">
        <v>2.2601827878085698</v>
      </c>
      <c r="H126" s="1" t="str">
        <f>"LOC102724814"</f>
        <v>LOC102724814</v>
      </c>
    </row>
    <row r="127" spans="1:8">
      <c r="A127" s="2" t="str">
        <f>"213997_at"</f>
        <v>213997_at</v>
      </c>
      <c r="B127" s="2">
        <v>1.9108913803230401</v>
      </c>
      <c r="C127" s="2">
        <v>5.9135400001089202</v>
      </c>
      <c r="D127" s="2">
        <v>3.88456334973927</v>
      </c>
      <c r="E127" s="2">
        <v>5.9708237760427204E-4</v>
      </c>
      <c r="F127" s="2">
        <v>7.25616336864049E-3</v>
      </c>
      <c r="G127" s="2">
        <v>1.2662674661683899</v>
      </c>
      <c r="H127" s="1" t="str">
        <f>"FAM189A1"</f>
        <v>FAM189A1</v>
      </c>
    </row>
    <row r="128" spans="1:8">
      <c r="A128" s="2" t="str">
        <f>"238499_at"</f>
        <v>238499_at</v>
      </c>
      <c r="B128" s="2">
        <v>1.9070253207660099</v>
      </c>
      <c r="C128" s="2">
        <v>10.861451246456699</v>
      </c>
      <c r="D128" s="2">
        <v>4.8484044968353697</v>
      </c>
      <c r="E128" s="3">
        <v>4.5351047299382103E-5</v>
      </c>
      <c r="F128" s="2">
        <v>1.01955942067998E-3</v>
      </c>
      <c r="G128" s="2">
        <v>3.70393493841524</v>
      </c>
      <c r="H128" s="1" t="str">
        <f>"SLC45A3"</f>
        <v>SLC45A3</v>
      </c>
    </row>
    <row r="129" spans="1:8">
      <c r="A129" s="2" t="str">
        <f>"1555236_a_at"</f>
        <v>1555236_a_at</v>
      </c>
      <c r="B129" s="2">
        <v>1.9065889128651099</v>
      </c>
      <c r="C129" s="2">
        <v>7.5215299077762898</v>
      </c>
      <c r="D129" s="2">
        <v>3.56139360941037</v>
      </c>
      <c r="E129" s="2">
        <v>1.3888543334664399E-3</v>
      </c>
      <c r="F129" s="2">
        <v>1.38039648577127E-2</v>
      </c>
      <c r="G129" s="2">
        <v>0.47513722415123899</v>
      </c>
      <c r="H129" s="1" t="str">
        <f>"PGC"</f>
        <v>PGC</v>
      </c>
    </row>
    <row r="130" spans="1:8">
      <c r="A130" s="2" t="str">
        <f>"217013_at"</f>
        <v>217013_at</v>
      </c>
      <c r="B130" s="2">
        <v>1.9000457276935301</v>
      </c>
      <c r="C130" s="2">
        <v>8.4256807761472103</v>
      </c>
      <c r="D130" s="2">
        <v>4.83709372244937</v>
      </c>
      <c r="E130" s="3">
        <v>4.67537151810904E-5</v>
      </c>
      <c r="F130" s="2">
        <v>1.0437972141797099E-3</v>
      </c>
      <c r="G130" s="2">
        <v>3.6750192330919398</v>
      </c>
      <c r="H130" s="1" t="str">
        <f>"AZGP1P1"</f>
        <v>AZGP1P1</v>
      </c>
    </row>
    <row r="131" spans="1:8">
      <c r="A131" s="2" t="str">
        <f>"226455_at"</f>
        <v>226455_at</v>
      </c>
      <c r="B131" s="2">
        <v>1.89710234542085</v>
      </c>
      <c r="C131" s="2">
        <v>12.093030187069299</v>
      </c>
      <c r="D131" s="2">
        <v>7.3225842881883203</v>
      </c>
      <c r="E131" s="3">
        <v>6.9125369382275796E-8</v>
      </c>
      <c r="F131" s="3">
        <v>8.7284348283592392E-6</v>
      </c>
      <c r="G131" s="2">
        <v>9.8490452278839999</v>
      </c>
      <c r="H131" s="1" t="str">
        <f>"CREB3L4"</f>
        <v>CREB3L4</v>
      </c>
    </row>
    <row r="132" spans="1:8">
      <c r="A132" s="2" t="str">
        <f>"226654_at"</f>
        <v>226654_at</v>
      </c>
      <c r="B132" s="2">
        <v>1.8959758741345101</v>
      </c>
      <c r="C132" s="2">
        <v>7.6316574636357402</v>
      </c>
      <c r="D132" s="2">
        <v>3.0760616977414501</v>
      </c>
      <c r="E132" s="2">
        <v>4.7518667738859601E-3</v>
      </c>
      <c r="F132" s="2">
        <v>3.5066819060921302E-2</v>
      </c>
      <c r="G132" s="2">
        <v>-0.66561374854435995</v>
      </c>
      <c r="H132" s="1" t="str">
        <f>"MUC12"</f>
        <v>MUC12</v>
      </c>
    </row>
    <row r="133" spans="1:8">
      <c r="A133" s="2" t="str">
        <f>"204973_at"</f>
        <v>204973_at</v>
      </c>
      <c r="B133" s="2">
        <v>1.89351225742449</v>
      </c>
      <c r="C133" s="2">
        <v>9.0698205256162492</v>
      </c>
      <c r="D133" s="2">
        <v>4.9713177635120998</v>
      </c>
      <c r="E133" s="3">
        <v>3.2571459797619301E-5</v>
      </c>
      <c r="F133" s="2">
        <v>7.9644211289572398E-4</v>
      </c>
      <c r="G133" s="2">
        <v>4.0182285711432604</v>
      </c>
      <c r="H133" s="1" t="str">
        <f>"GJB1"</f>
        <v>GJB1</v>
      </c>
    </row>
    <row r="134" spans="1:8">
      <c r="A134" s="2" t="str">
        <f>"218261_at"</f>
        <v>218261_at</v>
      </c>
      <c r="B134" s="2">
        <v>1.88534394176888</v>
      </c>
      <c r="C134" s="2">
        <v>10.4090047457103</v>
      </c>
      <c r="D134" s="2">
        <v>6.8183580518232203</v>
      </c>
      <c r="E134" s="3">
        <v>2.4760383793831998E-7</v>
      </c>
      <c r="F134" s="3">
        <v>2.10868221795602E-5</v>
      </c>
      <c r="G134" s="2">
        <v>8.6468237168641497</v>
      </c>
      <c r="H134" s="1" t="str">
        <f>"AP1M2"</f>
        <v>AP1M2</v>
      </c>
    </row>
    <row r="135" spans="1:8">
      <c r="A135" s="2" t="str">
        <f>"205542_at"</f>
        <v>205542_at</v>
      </c>
      <c r="B135" s="2">
        <v>1.8809545817203699</v>
      </c>
      <c r="C135" s="2">
        <v>11.8524301342174</v>
      </c>
      <c r="D135" s="2">
        <v>5.6126194615977196</v>
      </c>
      <c r="E135" s="3">
        <v>5.8273491702674002E-6</v>
      </c>
      <c r="F135" s="2">
        <v>2.1484175042776101E-4</v>
      </c>
      <c r="G135" s="2">
        <v>5.65332115364843</v>
      </c>
      <c r="H135" s="1" t="str">
        <f>"STEAP1"</f>
        <v>STEAP1</v>
      </c>
    </row>
    <row r="136" spans="1:8">
      <c r="A136" s="2" t="str">
        <f>"226248_s_at"</f>
        <v>226248_s_at</v>
      </c>
      <c r="B136" s="2">
        <v>1.8706920241235401</v>
      </c>
      <c r="C136" s="2">
        <v>12.8940523461245</v>
      </c>
      <c r="D136" s="2">
        <v>5.9857669086897998</v>
      </c>
      <c r="E136" s="3">
        <v>2.1628280226537799E-6</v>
      </c>
      <c r="F136" s="3">
        <v>9.9707101297297806E-5</v>
      </c>
      <c r="G136" s="2">
        <v>6.5945298172871603</v>
      </c>
      <c r="H136" s="1" t="str">
        <f>"KIAA1324"</f>
        <v>KIAA1324</v>
      </c>
    </row>
    <row r="137" spans="1:8">
      <c r="A137" s="2" t="str">
        <f>"232025_at"</f>
        <v>232025_at</v>
      </c>
      <c r="B137" s="2">
        <v>1.8691267965327101</v>
      </c>
      <c r="C137" s="2">
        <v>6.8576545443077297</v>
      </c>
      <c r="D137" s="2">
        <v>5.5366994406014403</v>
      </c>
      <c r="E137" s="3">
        <v>7.1374321036920197E-6</v>
      </c>
      <c r="F137" s="2">
        <v>2.49523731864456E-4</v>
      </c>
      <c r="G137" s="2">
        <v>5.4606443213061802</v>
      </c>
      <c r="H137" s="1" t="str">
        <f>"SYT7"</f>
        <v>SYT7</v>
      </c>
    </row>
    <row r="138" spans="1:8">
      <c r="A138" s="2" t="str">
        <f>"204698_at"</f>
        <v>204698_at</v>
      </c>
      <c r="B138" s="2">
        <v>1.8678164701561699</v>
      </c>
      <c r="C138" s="2">
        <v>8.2149996981083504</v>
      </c>
      <c r="D138" s="2">
        <v>4.3824039922780003</v>
      </c>
      <c r="E138" s="2">
        <v>1.58756901833747E-4</v>
      </c>
      <c r="F138" s="2">
        <v>2.6536330197982601E-3</v>
      </c>
      <c r="G138" s="2">
        <v>2.5161379182311299</v>
      </c>
      <c r="H138" s="1" t="str">
        <f>"ISG20"</f>
        <v>ISG20</v>
      </c>
    </row>
    <row r="139" spans="1:8">
      <c r="A139" s="2" t="str">
        <f>"224131_at"</f>
        <v>224131_at</v>
      </c>
      <c r="B139" s="2">
        <v>1.8661793951898999</v>
      </c>
      <c r="C139" s="2">
        <v>4.5419915746046904</v>
      </c>
      <c r="D139" s="2">
        <v>3.8642821473412701</v>
      </c>
      <c r="E139" s="2">
        <v>6.2984943835732205E-4</v>
      </c>
      <c r="F139" s="2">
        <v>7.5547887530653902E-3</v>
      </c>
      <c r="G139" s="2">
        <v>1.2160502358835501</v>
      </c>
      <c r="H139" s="1" t="str">
        <f>"HCAR1"</f>
        <v>HCAR1</v>
      </c>
    </row>
    <row r="140" spans="1:8">
      <c r="A140" s="2" t="str">
        <f>"228601_at"</f>
        <v>228601_at</v>
      </c>
      <c r="B140" s="2">
        <v>1.8659138844213199</v>
      </c>
      <c r="C140" s="2">
        <v>6.4924387983512499</v>
      </c>
      <c r="D140" s="2">
        <v>3.73364004459585</v>
      </c>
      <c r="E140" s="2">
        <v>8.8738860903958897E-4</v>
      </c>
      <c r="F140" s="2">
        <v>9.8163593721602195E-3</v>
      </c>
      <c r="G140" s="2">
        <v>0.89428362645080905</v>
      </c>
      <c r="H140" s="1" t="str">
        <f>"HAGLR"</f>
        <v>HAGLR</v>
      </c>
    </row>
    <row r="141" spans="1:8">
      <c r="A141" s="2" t="str">
        <f>"220845_at"</f>
        <v>220845_at</v>
      </c>
      <c r="B141" s="2">
        <v>1.8650601493689101</v>
      </c>
      <c r="C141" s="2">
        <v>4.6742315661064202</v>
      </c>
      <c r="D141" s="2">
        <v>4.27114353461109</v>
      </c>
      <c r="E141" s="2">
        <v>2.13835106465034E-4</v>
      </c>
      <c r="F141" s="2">
        <v>3.3183320319576598E-3</v>
      </c>
      <c r="G141" s="2">
        <v>2.2344523438066899</v>
      </c>
      <c r="H141" s="1" t="str">
        <f>"ACOXL"</f>
        <v>ACOXL</v>
      </c>
    </row>
    <row r="142" spans="1:8">
      <c r="A142" s="2" t="str">
        <f>"244667_at"</f>
        <v>244667_at</v>
      </c>
      <c r="B142" s="2">
        <v>1.8620580306440599</v>
      </c>
      <c r="C142" s="2">
        <v>6.8123511692639003</v>
      </c>
      <c r="D142" s="2">
        <v>3.3722255045827998</v>
      </c>
      <c r="E142" s="2">
        <v>2.2573422489862599E-3</v>
      </c>
      <c r="F142" s="2">
        <v>1.98680276019516E-2</v>
      </c>
      <c r="G142" s="2">
        <v>2.2671575800142601E-2</v>
      </c>
      <c r="H142" s="1" t="str">
        <f>"ARLNC1"</f>
        <v>ARLNC1</v>
      </c>
    </row>
    <row r="143" spans="1:8">
      <c r="A143" s="2" t="str">
        <f>"239359_at"</f>
        <v>239359_at</v>
      </c>
      <c r="B143" s="2">
        <v>1.85782408707443</v>
      </c>
      <c r="C143" s="2">
        <v>5.1974170821121204</v>
      </c>
      <c r="D143" s="2">
        <v>3.9947789607284299</v>
      </c>
      <c r="E143" s="2">
        <v>4.4623322326998099E-4</v>
      </c>
      <c r="F143" s="2">
        <v>5.7883277538045598E-3</v>
      </c>
      <c r="G143" s="2">
        <v>1.54029278038407</v>
      </c>
      <c r="H143" s="1" t="str">
        <f>"MARCHF11"</f>
        <v>MARCHF11</v>
      </c>
    </row>
    <row r="144" spans="1:8">
      <c r="A144" s="2" t="str">
        <f>"200862_at"</f>
        <v>200862_at</v>
      </c>
      <c r="B144" s="2">
        <v>1.85601422736781</v>
      </c>
      <c r="C144" s="2">
        <v>12.730310033221</v>
      </c>
      <c r="D144" s="2">
        <v>6.6042017122889396</v>
      </c>
      <c r="E144" s="3">
        <v>4.2947892445191603E-7</v>
      </c>
      <c r="F144" s="3">
        <v>3.1018536935007503E-5</v>
      </c>
      <c r="G144" s="2">
        <v>8.1263501266272797</v>
      </c>
      <c r="H144" s="1" t="str">
        <f>"DHCR24"</f>
        <v>DHCR24</v>
      </c>
    </row>
    <row r="145" spans="1:8">
      <c r="A145" s="2" t="str">
        <f>"230784_at"</f>
        <v>230784_at</v>
      </c>
      <c r="B145" s="2">
        <v>1.8509333682246301</v>
      </c>
      <c r="C145" s="2">
        <v>13.542476568597801</v>
      </c>
      <c r="D145" s="2">
        <v>8.7013625877778704</v>
      </c>
      <c r="E145" s="3">
        <v>2.4856598490589098E-9</v>
      </c>
      <c r="F145" s="3">
        <v>8.4412082141177398E-7</v>
      </c>
      <c r="G145" s="2">
        <v>12.951375276829999</v>
      </c>
      <c r="H145" s="1" t="str">
        <f>"PRAC1"</f>
        <v>PRAC1</v>
      </c>
    </row>
    <row r="146" spans="1:8">
      <c r="A146" s="2" t="str">
        <f>"243231_at"</f>
        <v>243231_at</v>
      </c>
      <c r="B146" s="2">
        <v>1.8496612587611601</v>
      </c>
      <c r="C146" s="2">
        <v>8.3869347944144792</v>
      </c>
      <c r="D146" s="2">
        <v>4.11752139293481</v>
      </c>
      <c r="E146" s="2">
        <v>3.2213490154772099E-4</v>
      </c>
      <c r="F146" s="2">
        <v>4.52885722348204E-3</v>
      </c>
      <c r="G146" s="2">
        <v>1.8474782009816499</v>
      </c>
      <c r="H146" s="1" t="str">
        <f>"SLC38A11"</f>
        <v>SLC38A11</v>
      </c>
    </row>
    <row r="147" spans="1:8">
      <c r="A147" s="2" t="str">
        <f>"224062_x_at"</f>
        <v>224062_x_at</v>
      </c>
      <c r="B147" s="2">
        <v>1.84883584953733</v>
      </c>
      <c r="C147" s="2">
        <v>11.8651548731094</v>
      </c>
      <c r="D147" s="2">
        <v>4.6148834279391604</v>
      </c>
      <c r="E147" s="3">
        <v>8.50334867548311E-5</v>
      </c>
      <c r="F147" s="2">
        <v>1.64457229866303E-3</v>
      </c>
      <c r="G147" s="2">
        <v>3.1075398012778499</v>
      </c>
      <c r="H147" s="1" t="str">
        <f>"KLK4"</f>
        <v>KLK4</v>
      </c>
    </row>
    <row r="148" spans="1:8">
      <c r="A148" s="2" t="str">
        <f>"242005_at"</f>
        <v>242005_at</v>
      </c>
      <c r="B148" s="2">
        <v>1.84425414482924</v>
      </c>
      <c r="C148" s="2">
        <v>3.1496762702080998</v>
      </c>
      <c r="D148" s="2">
        <v>3.3210551339147401</v>
      </c>
      <c r="E148" s="2">
        <v>2.5709980221957701E-3</v>
      </c>
      <c r="F148" s="2">
        <v>2.1946809814762502E-2</v>
      </c>
      <c r="G148" s="2">
        <v>-9.8119615701393506E-2</v>
      </c>
      <c r="H148" s="1" t="str">
        <f>"LINC00973"</f>
        <v>LINC00973</v>
      </c>
    </row>
    <row r="149" spans="1:8">
      <c r="A149" s="2" t="str">
        <f>"218865_at"</f>
        <v>218865_at</v>
      </c>
      <c r="B149" s="2">
        <v>1.84406840255337</v>
      </c>
      <c r="C149" s="2">
        <v>10.2263192537095</v>
      </c>
      <c r="D149" s="2">
        <v>6.3487492055423802</v>
      </c>
      <c r="E149" s="3">
        <v>8.3370141060549895E-7</v>
      </c>
      <c r="F149" s="3">
        <v>5.0090796291050198E-5</v>
      </c>
      <c r="G149" s="2">
        <v>7.4984815013463599</v>
      </c>
      <c r="H149" s="1" t="str">
        <f>"MARC1"</f>
        <v>MARC1</v>
      </c>
    </row>
    <row r="150" spans="1:8">
      <c r="A150" s="2" t="str">
        <f>"203242_s_at"</f>
        <v>203242_s_at</v>
      </c>
      <c r="B150" s="2">
        <v>1.8404855342317199</v>
      </c>
      <c r="C150" s="2">
        <v>10.7164580828849</v>
      </c>
      <c r="D150" s="2">
        <v>4.5542104724797996</v>
      </c>
      <c r="E150" s="2">
        <v>1.00101530249269E-4</v>
      </c>
      <c r="F150" s="2">
        <v>1.86547260002761E-3</v>
      </c>
      <c r="G150" s="2">
        <v>2.9528997045703802</v>
      </c>
      <c r="H150" s="1" t="str">
        <f>"PDLIM5"</f>
        <v>PDLIM5</v>
      </c>
    </row>
    <row r="151" spans="1:8">
      <c r="A151" s="2" t="str">
        <f>"1559276_at"</f>
        <v>1559276_at</v>
      </c>
      <c r="B151" s="2">
        <v>1.83698199523414</v>
      </c>
      <c r="C151" s="2">
        <v>8.3979262079936401</v>
      </c>
      <c r="D151" s="2">
        <v>4.0173992590882701</v>
      </c>
      <c r="E151" s="2">
        <v>4.2027218127498999E-4</v>
      </c>
      <c r="F151" s="2">
        <v>5.5276356774621302E-3</v>
      </c>
      <c r="G151" s="2">
        <v>1.59675376016767</v>
      </c>
      <c r="H151" s="1" t="str">
        <f>"PCAT18"</f>
        <v>PCAT18</v>
      </c>
    </row>
    <row r="152" spans="1:8">
      <c r="A152" s="2" t="str">
        <f>"228806_at"</f>
        <v>228806_at</v>
      </c>
      <c r="B152" s="2">
        <v>1.83231106294181</v>
      </c>
      <c r="C152" s="2">
        <v>9.8842202097553802</v>
      </c>
      <c r="D152" s="2">
        <v>8.3990988984555894</v>
      </c>
      <c r="E152" s="3">
        <v>5.0444036667780303E-9</v>
      </c>
      <c r="F152" s="3">
        <v>1.3695733824919599E-6</v>
      </c>
      <c r="G152" s="2">
        <v>12.295528832276499</v>
      </c>
      <c r="H152" s="1" t="str">
        <f>"RORC"</f>
        <v>RORC</v>
      </c>
    </row>
    <row r="153" spans="1:8">
      <c r="A153" s="2" t="str">
        <f>"237298_at"</f>
        <v>237298_at</v>
      </c>
      <c r="B153" s="2">
        <v>1.8323076861952601</v>
      </c>
      <c r="C153" s="2">
        <v>6.5223366778685499</v>
      </c>
      <c r="D153" s="2">
        <v>3.6572115000542298</v>
      </c>
      <c r="E153" s="2">
        <v>1.0831770952557901E-3</v>
      </c>
      <c r="F153" s="2">
        <v>1.14345345520987E-2</v>
      </c>
      <c r="G153" s="2">
        <v>0.70753494362555402</v>
      </c>
      <c r="H153" s="1" t="str">
        <f>"LOC400710"</f>
        <v>LOC400710</v>
      </c>
    </row>
    <row r="154" spans="1:8">
      <c r="A154" s="2" t="str">
        <f>"202790_at"</f>
        <v>202790_at</v>
      </c>
      <c r="B154" s="2">
        <v>1.8317201132810701</v>
      </c>
      <c r="C154" s="2">
        <v>10.4278894470448</v>
      </c>
      <c r="D154" s="2">
        <v>6.1818904632792497</v>
      </c>
      <c r="E154" s="3">
        <v>1.29028136384261E-6</v>
      </c>
      <c r="F154" s="3">
        <v>6.8424959813864707E-5</v>
      </c>
      <c r="G154" s="2">
        <v>7.0845504977403397</v>
      </c>
      <c r="H154" s="1" t="str">
        <f>"CLDN7"</f>
        <v>CLDN7</v>
      </c>
    </row>
    <row r="155" spans="1:8">
      <c r="A155" s="2" t="str">
        <f>"237450_at"</f>
        <v>237450_at</v>
      </c>
      <c r="B155" s="2">
        <v>1.8314892751746299</v>
      </c>
      <c r="C155" s="2">
        <v>6.3563884964098403</v>
      </c>
      <c r="D155" s="2">
        <v>3.43679377032809</v>
      </c>
      <c r="E155" s="2">
        <v>1.9140282823027501E-3</v>
      </c>
      <c r="F155" s="2">
        <v>1.76207267780608E-2</v>
      </c>
      <c r="G155" s="2">
        <v>0.17609814066110599</v>
      </c>
      <c r="H155" s="1" t="str">
        <f>"SMIM32"</f>
        <v>SMIM32</v>
      </c>
    </row>
    <row r="156" spans="1:8">
      <c r="A156" s="2" t="str">
        <f>"1557014_a_at"</f>
        <v>1557014_a_at</v>
      </c>
      <c r="B156" s="2">
        <v>1.8292607684503399</v>
      </c>
      <c r="C156" s="2">
        <v>6.4233732774193504</v>
      </c>
      <c r="D156" s="2">
        <v>3.8308572105993299</v>
      </c>
      <c r="E156" s="2">
        <v>6.8774145851729495E-4</v>
      </c>
      <c r="F156" s="2">
        <v>8.0819439241261205E-3</v>
      </c>
      <c r="G156" s="2">
        <v>1.13343842021261</v>
      </c>
      <c r="H156" s="1" t="str">
        <f>"FAM201A"</f>
        <v>FAM201A</v>
      </c>
    </row>
    <row r="157" spans="1:8">
      <c r="A157" s="2" t="str">
        <f>"211498_s_at"</f>
        <v>211498_s_at</v>
      </c>
      <c r="B157" s="2">
        <v>1.82595535000672</v>
      </c>
      <c r="C157" s="2">
        <v>7.7247525186511297</v>
      </c>
      <c r="D157" s="2">
        <v>3.5862867778335201</v>
      </c>
      <c r="E157" s="2">
        <v>1.302196922372E-3</v>
      </c>
      <c r="F157" s="2">
        <v>1.31579406266289E-2</v>
      </c>
      <c r="G157" s="2">
        <v>0.53531937628014004</v>
      </c>
      <c r="H157" s="1" t="str">
        <f>"NKX3-1"</f>
        <v>NKX3-1</v>
      </c>
    </row>
    <row r="158" spans="1:8">
      <c r="A158" s="2" t="str">
        <f>"1557998_at"</f>
        <v>1557998_at</v>
      </c>
      <c r="B158" s="2">
        <v>1.8229209629957299</v>
      </c>
      <c r="C158" s="2">
        <v>6.0916589354983302</v>
      </c>
      <c r="D158" s="2">
        <v>3.4594956241828299</v>
      </c>
      <c r="E158" s="2">
        <v>1.8057924326407E-3</v>
      </c>
      <c r="F158" s="2">
        <v>1.68743293889301E-2</v>
      </c>
      <c r="G158" s="2">
        <v>0.230298990795649</v>
      </c>
      <c r="H158" s="1" t="str">
        <f>"NAALADL2"</f>
        <v>NAALADL2</v>
      </c>
    </row>
    <row r="159" spans="1:8">
      <c r="A159" s="2" t="str">
        <f>"220116_at"</f>
        <v>220116_at</v>
      </c>
      <c r="B159" s="2">
        <v>1.81978013844099</v>
      </c>
      <c r="C159" s="2">
        <v>10.1568411693609</v>
      </c>
      <c r="D159" s="2">
        <v>4.28250191245038</v>
      </c>
      <c r="E159" s="2">
        <v>2.0743887605881699E-4</v>
      </c>
      <c r="F159" s="2">
        <v>3.2415323667393798E-3</v>
      </c>
      <c r="G159" s="2">
        <v>2.2631594812289402</v>
      </c>
      <c r="H159" s="1" t="str">
        <f>"KCNN2"</f>
        <v>KCNN2</v>
      </c>
    </row>
    <row r="160" spans="1:8">
      <c r="A160" s="2" t="str">
        <f>"203030_s_at"</f>
        <v>203030_s_at</v>
      </c>
      <c r="B160" s="2">
        <v>1.8182062341898599</v>
      </c>
      <c r="C160" s="2">
        <v>9.0548643105014097</v>
      </c>
      <c r="D160" s="2">
        <v>5.7263121936947803</v>
      </c>
      <c r="E160" s="3">
        <v>4.3039670476389197E-6</v>
      </c>
      <c r="F160" s="2">
        <v>1.70892809244487E-4</v>
      </c>
      <c r="G160" s="2">
        <v>5.9411824238380699</v>
      </c>
      <c r="H160" s="1" t="str">
        <f>"PTPRN2"</f>
        <v>PTPRN2</v>
      </c>
    </row>
    <row r="161" spans="1:8">
      <c r="A161" s="2" t="str">
        <f>"220334_at"</f>
        <v>220334_at</v>
      </c>
      <c r="B161" s="2">
        <v>1.8178369419654601</v>
      </c>
      <c r="C161" s="2">
        <v>7.7925579908339602</v>
      </c>
      <c r="D161" s="2">
        <v>3.9259561710232398</v>
      </c>
      <c r="E161" s="2">
        <v>5.3531516586226605E-4</v>
      </c>
      <c r="F161" s="2">
        <v>6.6604029654702603E-3</v>
      </c>
      <c r="G161" s="2">
        <v>1.3689635082246101</v>
      </c>
      <c r="H161" s="1" t="str">
        <f>"RGS17"</f>
        <v>RGS17</v>
      </c>
    </row>
    <row r="162" spans="1:8">
      <c r="A162" s="2" t="str">
        <f>"226150_at"</f>
        <v>226150_at</v>
      </c>
      <c r="B162" s="2">
        <v>1.8164553684106399</v>
      </c>
      <c r="C162" s="2">
        <v>12.6939980356634</v>
      </c>
      <c r="D162" s="2">
        <v>6.8370075693871399</v>
      </c>
      <c r="E162" s="3">
        <v>2.3606569615880801E-7</v>
      </c>
      <c r="F162" s="3">
        <v>2.0402491751467199E-5</v>
      </c>
      <c r="G162" s="2">
        <v>8.6918808456078303</v>
      </c>
      <c r="H162" s="1" t="str">
        <f>"PLPP5"</f>
        <v>PLPP5</v>
      </c>
    </row>
    <row r="163" spans="1:8">
      <c r="A163" s="2" t="str">
        <f>"227180_at"</f>
        <v>227180_at</v>
      </c>
      <c r="B163" s="2">
        <v>1.81641753177691</v>
      </c>
      <c r="C163" s="2">
        <v>10.168199101166699</v>
      </c>
      <c r="D163" s="2">
        <v>5.4042848847051301</v>
      </c>
      <c r="E163" s="3">
        <v>1.0173590271554E-5</v>
      </c>
      <c r="F163" s="2">
        <v>3.2933158561113899E-4</v>
      </c>
      <c r="G163" s="2">
        <v>5.1238394478959002</v>
      </c>
      <c r="H163" s="1" t="str">
        <f>"ELOVL7"</f>
        <v>ELOVL7</v>
      </c>
    </row>
    <row r="164" spans="1:8">
      <c r="A164" s="2" t="str">
        <f>"1558507_at"</f>
        <v>1558507_at</v>
      </c>
      <c r="B164" s="2">
        <v>1.8098395806916401</v>
      </c>
      <c r="C164" s="2">
        <v>4.4273950359732899</v>
      </c>
      <c r="D164" s="2">
        <v>3.9418051492203401</v>
      </c>
      <c r="E164" s="2">
        <v>5.13365936249313E-4</v>
      </c>
      <c r="F164" s="2">
        <v>6.4524787504439502E-3</v>
      </c>
      <c r="G164" s="2">
        <v>1.4083557708127701</v>
      </c>
      <c r="H164" s="1" t="str">
        <f>"C1orf53"</f>
        <v>C1orf53</v>
      </c>
    </row>
    <row r="165" spans="1:8">
      <c r="A165" s="2" t="str">
        <f>"239752_at"</f>
        <v>239752_at</v>
      </c>
      <c r="B165" s="2">
        <v>1.8081125384585499</v>
      </c>
      <c r="C165" s="2">
        <v>7.6444945385576597</v>
      </c>
      <c r="D165" s="2">
        <v>6.2804017602206601</v>
      </c>
      <c r="E165" s="3">
        <v>9.9670132558595491E-7</v>
      </c>
      <c r="F165" s="3">
        <v>5.6637652102537103E-5</v>
      </c>
      <c r="G165" s="2">
        <v>7.3292776272874702</v>
      </c>
      <c r="H165" s="1" t="str">
        <f>"CECR2"</f>
        <v>CECR2</v>
      </c>
    </row>
    <row r="166" spans="1:8">
      <c r="A166" s="2" t="str">
        <f>"1555788_a_at"</f>
        <v>1555788_a_at</v>
      </c>
      <c r="B166" s="2">
        <v>1.8036372872584401</v>
      </c>
      <c r="C166" s="2">
        <v>6.15023769832331</v>
      </c>
      <c r="D166" s="2">
        <v>4.6458106598047699</v>
      </c>
      <c r="E166" s="3">
        <v>7.8245146425444097E-5</v>
      </c>
      <c r="F166" s="2">
        <v>1.54777618697943E-3</v>
      </c>
      <c r="G166" s="2">
        <v>3.1864280995759899</v>
      </c>
      <c r="H166" s="1" t="str">
        <f>"TRIB3"</f>
        <v>TRIB3</v>
      </c>
    </row>
    <row r="167" spans="1:8">
      <c r="A167" s="2" t="str">
        <f>"219438_at"</f>
        <v>219438_at</v>
      </c>
      <c r="B167" s="2">
        <v>1.8034255371136201</v>
      </c>
      <c r="C167" s="2">
        <v>7.2722344737993199</v>
      </c>
      <c r="D167" s="2">
        <v>4.4107784383553703</v>
      </c>
      <c r="E167" s="2">
        <v>1.4712793211754801E-4</v>
      </c>
      <c r="F167" s="2">
        <v>2.5136035228865202E-3</v>
      </c>
      <c r="G167" s="2">
        <v>2.5881354258349099</v>
      </c>
      <c r="H167" s="1" t="str">
        <f>"NKAIN1"</f>
        <v>NKAIN1</v>
      </c>
    </row>
    <row r="168" spans="1:8">
      <c r="A168" s="2" t="str">
        <f>"206214_at"</f>
        <v>206214_at</v>
      </c>
      <c r="B168" s="2">
        <v>1.80287927894344</v>
      </c>
      <c r="C168" s="2">
        <v>9.4094389765292803</v>
      </c>
      <c r="D168" s="2">
        <v>3.6632591957284002</v>
      </c>
      <c r="E168" s="2">
        <v>1.0662593240560599E-3</v>
      </c>
      <c r="F168" s="2">
        <v>1.13137489915369E-2</v>
      </c>
      <c r="G168" s="2">
        <v>0.72226909669471195</v>
      </c>
      <c r="H168" s="1" t="str">
        <f>"PLA2G7"</f>
        <v>PLA2G7</v>
      </c>
    </row>
    <row r="169" spans="1:8">
      <c r="A169" s="2" t="str">
        <f>"206103_at"</f>
        <v>206103_at</v>
      </c>
      <c r="B169" s="2">
        <v>1.8017851319859699</v>
      </c>
      <c r="C169" s="2">
        <v>7.3381742064008604</v>
      </c>
      <c r="D169" s="2">
        <v>5.4296569059295603</v>
      </c>
      <c r="E169" s="3">
        <v>9.5049472113636699E-6</v>
      </c>
      <c r="F169" s="2">
        <v>3.1174744378002902E-4</v>
      </c>
      <c r="G169" s="2">
        <v>5.1884418623723496</v>
      </c>
      <c r="H169" s="1" t="str">
        <f>"RAC3"</f>
        <v>RAC3</v>
      </c>
    </row>
    <row r="170" spans="1:8">
      <c r="A170" s="2" t="str">
        <f>"237030_at"</f>
        <v>237030_at</v>
      </c>
      <c r="B170" s="2">
        <v>1.79796852646258</v>
      </c>
      <c r="C170" s="2">
        <v>9.4831950789679809</v>
      </c>
      <c r="D170" s="2">
        <v>5.2732497974599397</v>
      </c>
      <c r="E170" s="3">
        <v>1.44593665506989E-5</v>
      </c>
      <c r="F170" s="2">
        <v>4.2721566468417803E-4</v>
      </c>
      <c r="G170" s="2">
        <v>4.7897696609238398</v>
      </c>
      <c r="H170" s="1" t="str">
        <f>"ACPP"</f>
        <v>ACPP</v>
      </c>
    </row>
    <row r="171" spans="1:8">
      <c r="A171" s="2" t="str">
        <f>"215396_at"</f>
        <v>215396_at</v>
      </c>
      <c r="B171" s="2">
        <v>1.7919711426082101</v>
      </c>
      <c r="C171" s="2">
        <v>3.69662283622865</v>
      </c>
      <c r="D171" s="2">
        <v>3.8690526268819498</v>
      </c>
      <c r="E171" s="2">
        <v>6.2198684408391305E-4</v>
      </c>
      <c r="F171" s="2">
        <v>7.4917119714206504E-3</v>
      </c>
      <c r="G171" s="2">
        <v>1.2278560832710601</v>
      </c>
      <c r="H171" s="1" t="str">
        <f>"ADGRV1"</f>
        <v>ADGRV1</v>
      </c>
    </row>
    <row r="172" spans="1:8">
      <c r="A172" s="2" t="str">
        <f>"1553132_a_at"</f>
        <v>1553132_a_at</v>
      </c>
      <c r="B172" s="2">
        <v>1.7887254222472599</v>
      </c>
      <c r="C172" s="2">
        <v>8.2053397697613502</v>
      </c>
      <c r="D172" s="2">
        <v>3.52606372930261</v>
      </c>
      <c r="E172" s="2">
        <v>1.5215401840536001E-3</v>
      </c>
      <c r="F172" s="2">
        <v>1.48394951058028E-2</v>
      </c>
      <c r="G172" s="2">
        <v>0.38996692785617998</v>
      </c>
      <c r="H172" s="1" t="str">
        <f>"TC2N"</f>
        <v>TC2N</v>
      </c>
    </row>
    <row r="173" spans="1:8">
      <c r="A173" s="2" t="str">
        <f>"226817_at"</f>
        <v>226817_at</v>
      </c>
      <c r="B173" s="2">
        <v>1.7857797954885199</v>
      </c>
      <c r="C173" s="2">
        <v>11.1884836338185</v>
      </c>
      <c r="D173" s="2">
        <v>5.1531738945488303</v>
      </c>
      <c r="E173" s="3">
        <v>1.99661393297187E-5</v>
      </c>
      <c r="F173" s="2">
        <v>5.4664430037675005E-4</v>
      </c>
      <c r="G173" s="2">
        <v>4.4831399660220397</v>
      </c>
      <c r="H173" s="1" t="str">
        <f>"DSC2"</f>
        <v>DSC2</v>
      </c>
    </row>
    <row r="174" spans="1:8">
      <c r="A174" s="2" t="str">
        <f>"221019_s_at"</f>
        <v>221019_s_at</v>
      </c>
      <c r="B174" s="2">
        <v>1.78243179927091</v>
      </c>
      <c r="C174" s="2">
        <v>10.2278426464927</v>
      </c>
      <c r="D174" s="2">
        <v>7.9054228925337</v>
      </c>
      <c r="E174" s="3">
        <v>1.6446297372781701E-8</v>
      </c>
      <c r="F174" s="3">
        <v>3.1331056057729502E-6</v>
      </c>
      <c r="G174" s="2">
        <v>11.1947423977475</v>
      </c>
      <c r="H174" s="1" t="str">
        <f>"COLEC12"</f>
        <v>COLEC12</v>
      </c>
    </row>
    <row r="175" spans="1:8">
      <c r="A175" s="2" t="str">
        <f>"210041_s_at"</f>
        <v>210041_s_at</v>
      </c>
      <c r="B175" s="2">
        <v>1.7819745629833099</v>
      </c>
      <c r="C175" s="2">
        <v>8.8298067699787595</v>
      </c>
      <c r="D175" s="2">
        <v>3.2693014877514002</v>
      </c>
      <c r="E175" s="2">
        <v>2.93081304407197E-3</v>
      </c>
      <c r="F175" s="2">
        <v>2.4264415987982301E-2</v>
      </c>
      <c r="G175" s="2">
        <v>-0.21953389378492</v>
      </c>
      <c r="H175" s="1" t="str">
        <f>"PGM3"</f>
        <v>PGM3</v>
      </c>
    </row>
    <row r="176" spans="1:8">
      <c r="A176" s="2" t="str">
        <f>"217080_s_at"</f>
        <v>217080_s_at</v>
      </c>
      <c r="B176" s="2">
        <v>1.77486605725878</v>
      </c>
      <c r="C176" s="2">
        <v>10.105506628350501</v>
      </c>
      <c r="D176" s="2">
        <v>7.68912076389518</v>
      </c>
      <c r="E176" s="3">
        <v>2.7880154822276899E-8</v>
      </c>
      <c r="F176" s="3">
        <v>4.6897850383299004E-6</v>
      </c>
      <c r="G176" s="2">
        <v>10.701043982915399</v>
      </c>
      <c r="H176" s="1" t="str">
        <f>"HOMER2"</f>
        <v>HOMER2</v>
      </c>
    </row>
    <row r="177" spans="1:8">
      <c r="A177" s="2" t="str">
        <f>"203397_s_at"</f>
        <v>203397_s_at</v>
      </c>
      <c r="B177" s="2">
        <v>1.77372529950068</v>
      </c>
      <c r="C177" s="2">
        <v>10.921186478521401</v>
      </c>
      <c r="D177" s="2">
        <v>5.2180131577424902</v>
      </c>
      <c r="E177" s="3">
        <v>1.67723294949354E-5</v>
      </c>
      <c r="F177" s="2">
        <v>4.7687317479750102E-4</v>
      </c>
      <c r="G177" s="2">
        <v>4.6487643600175801</v>
      </c>
      <c r="H177" s="1" t="str">
        <f>"GALNT3"</f>
        <v>GALNT3</v>
      </c>
    </row>
    <row r="178" spans="1:8">
      <c r="A178" s="2" t="str">
        <f>"215469_at"</f>
        <v>215469_at</v>
      </c>
      <c r="B178" s="2">
        <v>1.77189199378496</v>
      </c>
      <c r="C178" s="2">
        <v>5.4426043364708896</v>
      </c>
      <c r="D178" s="2">
        <v>3.2050826874723999</v>
      </c>
      <c r="E178" s="2">
        <v>3.44502166309869E-3</v>
      </c>
      <c r="F178" s="2">
        <v>2.7325773890892299E-2</v>
      </c>
      <c r="G178" s="2">
        <v>-0.36908815432721598</v>
      </c>
      <c r="H178" s="1" t="str">
        <f>"SLITRK5"</f>
        <v>SLITRK5</v>
      </c>
    </row>
    <row r="179" spans="1:8">
      <c r="A179" s="2" t="str">
        <f>"233586_s_at"</f>
        <v>233586_s_at</v>
      </c>
      <c r="B179" s="2">
        <v>1.76986126173615</v>
      </c>
      <c r="C179" s="2">
        <v>6.3646318355038201</v>
      </c>
      <c r="D179" s="2">
        <v>3.5106844958435901</v>
      </c>
      <c r="E179" s="2">
        <v>1.5830748751439899E-3</v>
      </c>
      <c r="F179" s="2">
        <v>1.52954673118118E-2</v>
      </c>
      <c r="G179" s="2">
        <v>0.35298348981884897</v>
      </c>
      <c r="H179" s="1" t="str">
        <f>"KLK12"</f>
        <v>KLK12</v>
      </c>
    </row>
    <row r="180" spans="1:8">
      <c r="A180" s="2" t="str">
        <f>"206552_s_at"</f>
        <v>206552_s_at</v>
      </c>
      <c r="B180" s="2">
        <v>1.7642628420570099</v>
      </c>
      <c r="C180" s="2">
        <v>6.2975731518242899</v>
      </c>
      <c r="D180" s="2">
        <v>2.9398831893225101</v>
      </c>
      <c r="E180" s="2">
        <v>6.6392773633705496E-3</v>
      </c>
      <c r="F180" s="2">
        <v>4.5132722844993797E-2</v>
      </c>
      <c r="G180" s="2">
        <v>-0.972383549631609</v>
      </c>
      <c r="H180" s="1" t="str">
        <f>"TAC1"</f>
        <v>TAC1</v>
      </c>
    </row>
    <row r="181" spans="1:8">
      <c r="A181" s="2" t="str">
        <f>"219856_at"</f>
        <v>219856_at</v>
      </c>
      <c r="B181" s="2">
        <v>1.7603212085265501</v>
      </c>
      <c r="C181" s="2">
        <v>9.9353512713604992</v>
      </c>
      <c r="D181" s="2">
        <v>6.3907126064683997</v>
      </c>
      <c r="E181" s="3">
        <v>7.4729510563045695E-7</v>
      </c>
      <c r="F181" s="3">
        <v>4.6358825644898003E-5</v>
      </c>
      <c r="G181" s="2">
        <v>7.6021211880172102</v>
      </c>
      <c r="H181" s="1" t="str">
        <f>"C1orf116"</f>
        <v>C1orf116</v>
      </c>
    </row>
    <row r="182" spans="1:8">
      <c r="A182" s="2" t="str">
        <f>"207949_s_at"</f>
        <v>207949_s_at</v>
      </c>
      <c r="B182" s="2">
        <v>1.75770232781541</v>
      </c>
      <c r="C182" s="2">
        <v>8.8005807104551206</v>
      </c>
      <c r="D182" s="2">
        <v>7.3229616028845097</v>
      </c>
      <c r="E182" s="3">
        <v>6.9060191695881799E-8</v>
      </c>
      <c r="F182" s="3">
        <v>8.7284348283592392E-6</v>
      </c>
      <c r="G182" s="2">
        <v>9.8499320219865201</v>
      </c>
      <c r="H182" s="1" t="str">
        <f>"ICA1"</f>
        <v>ICA1</v>
      </c>
    </row>
    <row r="183" spans="1:8">
      <c r="A183" s="2" t="str">
        <f>"204623_at"</f>
        <v>204623_at</v>
      </c>
      <c r="B183" s="2">
        <v>1.75414365603237</v>
      </c>
      <c r="C183" s="2">
        <v>10.1174174087159</v>
      </c>
      <c r="D183" s="2">
        <v>3.18737907685342</v>
      </c>
      <c r="E183" s="2">
        <v>3.6013718671790199E-3</v>
      </c>
      <c r="F183" s="2">
        <v>2.82706398905977E-2</v>
      </c>
      <c r="G183" s="2">
        <v>-0.41009407727503799</v>
      </c>
      <c r="H183" s="1" t="str">
        <f>"TFF3"</f>
        <v>TFF3</v>
      </c>
    </row>
    <row r="184" spans="1:8">
      <c r="A184" s="2" t="str">
        <f>"205862_at"</f>
        <v>205862_at</v>
      </c>
      <c r="B184" s="2">
        <v>1.7533729375665501</v>
      </c>
      <c r="C184" s="2">
        <v>11.0135628182072</v>
      </c>
      <c r="D184" s="2">
        <v>5.3017524029703296</v>
      </c>
      <c r="E184" s="3">
        <v>1.3394112379978699E-5</v>
      </c>
      <c r="F184" s="2">
        <v>4.0616921485043498E-4</v>
      </c>
      <c r="G184" s="2">
        <v>4.8624914405553898</v>
      </c>
      <c r="H184" s="1" t="str">
        <f>"GREB1"</f>
        <v>GREB1</v>
      </c>
    </row>
    <row r="185" spans="1:8">
      <c r="A185" s="2" t="str">
        <f>"224650_at"</f>
        <v>224650_at</v>
      </c>
      <c r="B185" s="2">
        <v>1.7517209130542299</v>
      </c>
      <c r="C185" s="2">
        <v>10.660578264668599</v>
      </c>
      <c r="D185" s="2">
        <v>4.6302916130020897</v>
      </c>
      <c r="E185" s="3">
        <v>8.1581140557822004E-5</v>
      </c>
      <c r="F185" s="2">
        <v>1.59890561465394E-3</v>
      </c>
      <c r="G185" s="2">
        <v>3.1468376926880199</v>
      </c>
      <c r="H185" s="1" t="str">
        <f>"MAL2"</f>
        <v>MAL2</v>
      </c>
    </row>
    <row r="186" spans="1:8">
      <c r="A186" s="2" t="str">
        <f>"215942_s_at"</f>
        <v>215942_s_at</v>
      </c>
      <c r="B186" s="2">
        <v>1.7501240674902201</v>
      </c>
      <c r="C186" s="2">
        <v>5.2877836666487301</v>
      </c>
      <c r="D186" s="2">
        <v>4.7428300215823596</v>
      </c>
      <c r="E186" s="3">
        <v>6.0263147434540598E-5</v>
      </c>
      <c r="F186" s="2">
        <v>1.2639663301467301E-3</v>
      </c>
      <c r="G186" s="2">
        <v>3.4341238451489802</v>
      </c>
      <c r="H186" s="1" t="str">
        <f>"GTSE1"</f>
        <v>GTSE1</v>
      </c>
    </row>
    <row r="187" spans="1:8">
      <c r="A187" s="2" t="str">
        <f>"228066_at"</f>
        <v>228066_at</v>
      </c>
      <c r="B187" s="2">
        <v>1.75006617948398</v>
      </c>
      <c r="C187" s="2">
        <v>6.6737365762229599</v>
      </c>
      <c r="D187" s="2">
        <v>5.35279145891288</v>
      </c>
      <c r="E187" s="3">
        <v>1.1679776495982901E-5</v>
      </c>
      <c r="F187" s="2">
        <v>3.6679596778740198E-4</v>
      </c>
      <c r="G187" s="2">
        <v>4.9926392847217098</v>
      </c>
      <c r="H187" s="1" t="str">
        <f>"EPOP"</f>
        <v>EPOP</v>
      </c>
    </row>
    <row r="188" spans="1:8">
      <c r="A188" s="2" t="str">
        <f>"233177_s_at"</f>
        <v>233177_s_at</v>
      </c>
      <c r="B188" s="2">
        <v>1.7468680795889699</v>
      </c>
      <c r="C188" s="2">
        <v>10.9977188150723</v>
      </c>
      <c r="D188" s="2">
        <v>7.3373049295171704</v>
      </c>
      <c r="E188" s="3">
        <v>6.6628425574088094E-8</v>
      </c>
      <c r="F188" s="3">
        <v>8.5715509841488596E-6</v>
      </c>
      <c r="G188" s="2">
        <v>9.8836281582011996</v>
      </c>
      <c r="H188" s="1" t="str">
        <f>"PNKD"</f>
        <v>PNKD</v>
      </c>
    </row>
    <row r="189" spans="1:8">
      <c r="A189" s="2" t="str">
        <f>"229975_at"</f>
        <v>229975_at</v>
      </c>
      <c r="B189" s="2">
        <v>1.7451748741354101</v>
      </c>
      <c r="C189" s="2">
        <v>11.439614596284599</v>
      </c>
      <c r="D189" s="2">
        <v>4.6202463509794702</v>
      </c>
      <c r="E189" s="3">
        <v>8.3815665658402202E-5</v>
      </c>
      <c r="F189" s="2">
        <v>1.62908692494602E-3</v>
      </c>
      <c r="G189" s="2">
        <v>3.1212165707500001</v>
      </c>
      <c r="H189" s="1" t="str">
        <f>"BMPR1B"</f>
        <v>BMPR1B</v>
      </c>
    </row>
    <row r="190" spans="1:8">
      <c r="A190" s="2" t="str">
        <f>"219118_at"</f>
        <v>219118_at</v>
      </c>
      <c r="B190" s="2">
        <v>1.7399505234033901</v>
      </c>
      <c r="C190" s="2">
        <v>10.681008679881201</v>
      </c>
      <c r="D190" s="2">
        <v>6.5446982242570098</v>
      </c>
      <c r="E190" s="3">
        <v>5.00935365126874E-7</v>
      </c>
      <c r="F190" s="3">
        <v>3.46917770302408E-5</v>
      </c>
      <c r="G190" s="2">
        <v>7.9807608330054203</v>
      </c>
      <c r="H190" s="1" t="str">
        <f>"FKBP11"</f>
        <v>FKBP11</v>
      </c>
    </row>
    <row r="191" spans="1:8">
      <c r="A191" s="2" t="str">
        <f>"219087_at"</f>
        <v>219087_at</v>
      </c>
      <c r="B191" s="2">
        <v>1.73897918301263</v>
      </c>
      <c r="C191" s="2">
        <v>8.45944178632001</v>
      </c>
      <c r="D191" s="2">
        <v>5.4472823331108904</v>
      </c>
      <c r="E191" s="3">
        <v>9.0666635152889406E-6</v>
      </c>
      <c r="F191" s="2">
        <v>3.01077936816737E-4</v>
      </c>
      <c r="G191" s="2">
        <v>5.23330209528247</v>
      </c>
      <c r="H191" s="1" t="str">
        <f>"ASPN"</f>
        <v>ASPN</v>
      </c>
    </row>
    <row r="192" spans="1:8">
      <c r="A192" s="2" t="str">
        <f>"235515_at"</f>
        <v>235515_at</v>
      </c>
      <c r="B192" s="2">
        <v>1.7307946572056201</v>
      </c>
      <c r="C192" s="2">
        <v>9.9403470653768302</v>
      </c>
      <c r="D192" s="2">
        <v>9.2760039307306705</v>
      </c>
      <c r="E192" s="3">
        <v>6.69204947791832E-10</v>
      </c>
      <c r="F192" s="3">
        <v>3.58713534514887E-7</v>
      </c>
      <c r="G192" s="2">
        <v>14.159930772413601</v>
      </c>
      <c r="H192" s="1" t="str">
        <f>"SYNE4"</f>
        <v>SYNE4</v>
      </c>
    </row>
    <row r="193" spans="1:8">
      <c r="A193" s="2" t="str">
        <f>"241535_at"</f>
        <v>241535_at</v>
      </c>
      <c r="B193" s="2">
        <v>1.7298445757237699</v>
      </c>
      <c r="C193" s="2">
        <v>8.0828904082270707</v>
      </c>
      <c r="D193" s="2">
        <v>4.7689897115392403</v>
      </c>
      <c r="E193" s="3">
        <v>5.6164642774487397E-5</v>
      </c>
      <c r="F193" s="2">
        <v>1.1995319701934E-3</v>
      </c>
      <c r="G193" s="2">
        <v>3.5009576208945901</v>
      </c>
      <c r="H193" s="1" t="str">
        <f>"SNTG2-AS1"</f>
        <v>SNTG2-AS1</v>
      </c>
    </row>
    <row r="194" spans="1:8">
      <c r="A194" s="2" t="str">
        <f>"1558893_a_at"</f>
        <v>1558893_a_at</v>
      </c>
      <c r="B194" s="2">
        <v>1.7295097590581201</v>
      </c>
      <c r="C194" s="2">
        <v>3.57647615376642</v>
      </c>
      <c r="D194" s="2">
        <v>3.8673979017737499</v>
      </c>
      <c r="E194" s="2">
        <v>6.2470315176129504E-4</v>
      </c>
      <c r="F194" s="2">
        <v>7.5133402601295302E-3</v>
      </c>
      <c r="G194" s="2">
        <v>1.2237605894283601</v>
      </c>
      <c r="H194" s="1" t="str">
        <f>"DEUP1"</f>
        <v>DEUP1</v>
      </c>
    </row>
    <row r="195" spans="1:8">
      <c r="A195" s="2" t="str">
        <f>"222277_at"</f>
        <v>222277_at</v>
      </c>
      <c r="B195" s="2">
        <v>1.7271924347082499</v>
      </c>
      <c r="C195" s="2">
        <v>9.5955696872470693</v>
      </c>
      <c r="D195" s="2">
        <v>2.9820780357571799</v>
      </c>
      <c r="E195" s="2">
        <v>5.9891336236007099E-3</v>
      </c>
      <c r="F195" s="2">
        <v>4.17726598890635E-2</v>
      </c>
      <c r="G195" s="2">
        <v>-0.87805012243429204</v>
      </c>
      <c r="H195" s="1" t="str">
        <f>"PCOTH"</f>
        <v>PCOTH</v>
      </c>
    </row>
    <row r="196" spans="1:8">
      <c r="A196" s="2" t="str">
        <f>"226213_at"</f>
        <v>226213_at</v>
      </c>
      <c r="B196" s="2">
        <v>1.7253257862759599</v>
      </c>
      <c r="C196" s="2">
        <v>11.885439008690399</v>
      </c>
      <c r="D196" s="2">
        <v>6.2366423723677302</v>
      </c>
      <c r="E196" s="3">
        <v>1.1176885599368E-6</v>
      </c>
      <c r="F196" s="3">
        <v>6.1914510653033995E-5</v>
      </c>
      <c r="G196" s="2">
        <v>7.2206895920999603</v>
      </c>
      <c r="H196" s="1" t="str">
        <f>"ERBB3"</f>
        <v>ERBB3</v>
      </c>
    </row>
    <row r="197" spans="1:8">
      <c r="A197" s="2" t="str">
        <f>"235144_at"</f>
        <v>235144_at</v>
      </c>
      <c r="B197" s="2">
        <v>1.7247565904622999</v>
      </c>
      <c r="C197" s="2">
        <v>10.063291882101399</v>
      </c>
      <c r="D197" s="2">
        <v>5.5059848442328798</v>
      </c>
      <c r="E197" s="3">
        <v>7.7484109663710999E-6</v>
      </c>
      <c r="F197" s="2">
        <v>2.6627553085250801E-4</v>
      </c>
      <c r="G197" s="2">
        <v>5.3826002670179198</v>
      </c>
      <c r="H197" s="1" t="str">
        <f>"RASEF"</f>
        <v>RASEF</v>
      </c>
    </row>
    <row r="198" spans="1:8">
      <c r="A198" s="2" t="str">
        <f>"238112_at"</f>
        <v>238112_at</v>
      </c>
      <c r="B198" s="2">
        <v>1.72301978425465</v>
      </c>
      <c r="C198" s="2">
        <v>5.3702476077329999</v>
      </c>
      <c r="D198" s="2">
        <v>3.9285318093089399</v>
      </c>
      <c r="E198" s="2">
        <v>5.3168642418442399E-4</v>
      </c>
      <c r="F198" s="2">
        <v>6.6279406557143298E-3</v>
      </c>
      <c r="G198" s="2">
        <v>1.37536257693945</v>
      </c>
      <c r="H198" s="1" t="str">
        <f>"LOC283177"</f>
        <v>LOC283177</v>
      </c>
    </row>
    <row r="199" spans="1:8">
      <c r="A199" s="2" t="str">
        <f>"228494_at"</f>
        <v>228494_at</v>
      </c>
      <c r="B199" s="2">
        <v>1.7218891273599</v>
      </c>
      <c r="C199" s="2">
        <v>9.3094962261857592</v>
      </c>
      <c r="D199" s="2">
        <v>6.1024302174722198</v>
      </c>
      <c r="E199" s="3">
        <v>1.59001434941537E-6</v>
      </c>
      <c r="F199" s="3">
        <v>7.9174894858183306E-5</v>
      </c>
      <c r="G199" s="2">
        <v>6.8864508391595702</v>
      </c>
      <c r="H199" s="1" t="str">
        <f>"PPP1R9A"</f>
        <v>PPP1R9A</v>
      </c>
    </row>
    <row r="200" spans="1:8">
      <c r="A200" s="2" t="str">
        <f>"219517_at"</f>
        <v>219517_at</v>
      </c>
      <c r="B200" s="2">
        <v>1.7214557520560101</v>
      </c>
      <c r="C200" s="2">
        <v>8.5534231511408105</v>
      </c>
      <c r="D200" s="2">
        <v>6.5556846545608103</v>
      </c>
      <c r="E200" s="3">
        <v>4.8688737420654305E-7</v>
      </c>
      <c r="F200" s="3">
        <v>3.4056596326536301E-5</v>
      </c>
      <c r="G200" s="2">
        <v>8.0076727664848093</v>
      </c>
      <c r="H200" s="1" t="str">
        <f>"ELL3"</f>
        <v>ELL3</v>
      </c>
    </row>
    <row r="201" spans="1:8">
      <c r="A201" s="2" t="str">
        <f>"226482_s_at"</f>
        <v>226482_s_at</v>
      </c>
      <c r="B201" s="2">
        <v>1.7189024254699099</v>
      </c>
      <c r="C201" s="2">
        <v>12.256495863251301</v>
      </c>
      <c r="D201" s="2">
        <v>7.1393322627198996</v>
      </c>
      <c r="E201" s="3">
        <v>1.09522558244944E-7</v>
      </c>
      <c r="F201" s="3">
        <v>1.19523869701444E-5</v>
      </c>
      <c r="G201" s="2">
        <v>9.4160401908491806</v>
      </c>
      <c r="H201" s="1" t="str">
        <f>"TSTD1"</f>
        <v>TSTD1</v>
      </c>
    </row>
    <row r="202" spans="1:8">
      <c r="A202" s="2" t="str">
        <f>"218944_at"</f>
        <v>218944_at</v>
      </c>
      <c r="B202" s="2">
        <v>1.7160565387991999</v>
      </c>
      <c r="C202" s="2">
        <v>7.5889621529451103</v>
      </c>
      <c r="D202" s="2">
        <v>5.6831680734237198</v>
      </c>
      <c r="E202" s="3">
        <v>4.8279942312634197E-6</v>
      </c>
      <c r="F202" s="2">
        <v>1.8563332249952699E-4</v>
      </c>
      <c r="G202" s="2">
        <v>5.8320462791335199</v>
      </c>
      <c r="H202" s="1" t="str">
        <f>"PYCR3"</f>
        <v>PYCR3</v>
      </c>
    </row>
    <row r="203" spans="1:8">
      <c r="A203" s="2" t="str">
        <f>"220225_at"</f>
        <v>220225_at</v>
      </c>
      <c r="B203" s="2">
        <v>1.7138798844290399</v>
      </c>
      <c r="C203" s="2">
        <v>8.2552775158074994</v>
      </c>
      <c r="D203" s="2">
        <v>4.2845609916058001</v>
      </c>
      <c r="E203" s="2">
        <v>2.0629980830972201E-4</v>
      </c>
      <c r="F203" s="2">
        <v>3.2300807615504102E-3</v>
      </c>
      <c r="G203" s="2">
        <v>2.2683648731011701</v>
      </c>
      <c r="H203" s="1" t="str">
        <f>"IRX4"</f>
        <v>IRX4</v>
      </c>
    </row>
    <row r="204" spans="1:8">
      <c r="A204" s="2" t="str">
        <f>"222234_s_at"</f>
        <v>222234_s_at</v>
      </c>
      <c r="B204" s="2">
        <v>1.71367797456573</v>
      </c>
      <c r="C204" s="2">
        <v>8.0819103858403292</v>
      </c>
      <c r="D204" s="2">
        <v>7.2013159421621804</v>
      </c>
      <c r="E204" s="3">
        <v>9.3691912541160206E-8</v>
      </c>
      <c r="F204" s="3">
        <v>1.0622260820207199E-5</v>
      </c>
      <c r="G204" s="2">
        <v>9.5630140894570701</v>
      </c>
      <c r="H204" s="1" t="str">
        <f>"DBNDD1"</f>
        <v>DBNDD1</v>
      </c>
    </row>
    <row r="205" spans="1:8">
      <c r="A205" s="2" t="str">
        <f>"1556309_s_at"</f>
        <v>1556309_s_at</v>
      </c>
      <c r="B205" s="2">
        <v>1.7134538905177199</v>
      </c>
      <c r="C205" s="2">
        <v>5.1573021792423503</v>
      </c>
      <c r="D205" s="2">
        <v>3.77812332440848</v>
      </c>
      <c r="E205" s="2">
        <v>7.8984102582278196E-4</v>
      </c>
      <c r="F205" s="2">
        <v>8.9799455368809802E-3</v>
      </c>
      <c r="G205" s="2">
        <v>1.00349856282579</v>
      </c>
      <c r="H205" s="1" t="str">
        <f>"FAAP20"</f>
        <v>FAAP20</v>
      </c>
    </row>
    <row r="206" spans="1:8">
      <c r="A206" s="2" t="str">
        <f>"225666_at"</f>
        <v>225666_at</v>
      </c>
      <c r="B206" s="2">
        <v>1.70887185339421</v>
      </c>
      <c r="C206" s="2">
        <v>10.1531860059244</v>
      </c>
      <c r="D206" s="2">
        <v>5.9210397166605704</v>
      </c>
      <c r="E206" s="3">
        <v>2.5666592622058902E-6</v>
      </c>
      <c r="F206" s="2">
        <v>1.14838048413345E-4</v>
      </c>
      <c r="G206" s="2">
        <v>6.4320457364870398</v>
      </c>
      <c r="H206" s="1" t="str">
        <f>"TMTC4"</f>
        <v>TMTC4</v>
      </c>
    </row>
    <row r="207" spans="1:8">
      <c r="A207" s="2" t="str">
        <f>"213712_at"</f>
        <v>213712_at</v>
      </c>
      <c r="B207" s="2">
        <v>1.70861353744615</v>
      </c>
      <c r="C207" s="2">
        <v>8.4627083116200801</v>
      </c>
      <c r="D207" s="2">
        <v>6.1421488576886203</v>
      </c>
      <c r="E207" s="3">
        <v>1.4322712826839499E-6</v>
      </c>
      <c r="F207" s="3">
        <v>7.3241662158954904E-5</v>
      </c>
      <c r="G207" s="2">
        <v>6.9855482688411499</v>
      </c>
      <c r="H207" s="1" t="str">
        <f>"ELOVL2"</f>
        <v>ELOVL2</v>
      </c>
    </row>
    <row r="208" spans="1:8">
      <c r="A208" s="2" t="str">
        <f>"213106_at"</f>
        <v>213106_at</v>
      </c>
      <c r="B208" s="2">
        <v>1.7048867757408499</v>
      </c>
      <c r="C208" s="2">
        <v>10.1768948391677</v>
      </c>
      <c r="D208" s="2">
        <v>4.5925660550544301</v>
      </c>
      <c r="E208" s="3">
        <v>9.02935407196305E-5</v>
      </c>
      <c r="F208" s="2">
        <v>1.71894127397138E-3</v>
      </c>
      <c r="G208" s="2">
        <v>3.0506384843002898</v>
      </c>
      <c r="H208" s="1" t="str">
        <f>"ATP8A1"</f>
        <v>ATP8A1</v>
      </c>
    </row>
    <row r="209" spans="1:8">
      <c r="A209" s="2" t="str">
        <f>"228560_at"</f>
        <v>228560_at</v>
      </c>
      <c r="B209" s="2">
        <v>1.7030640549249001</v>
      </c>
      <c r="C209" s="2">
        <v>7.8326601031815697</v>
      </c>
      <c r="D209" s="2">
        <v>4.3053928175165099</v>
      </c>
      <c r="E209" s="2">
        <v>1.9511859965228099E-4</v>
      </c>
      <c r="F209" s="2">
        <v>3.09489684827052E-3</v>
      </c>
      <c r="G209" s="2">
        <v>2.3210497884530699</v>
      </c>
      <c r="H209" s="1" t="str">
        <f>"CHDH"</f>
        <v>CHDH</v>
      </c>
    </row>
    <row r="210" spans="1:8">
      <c r="A210" s="2" t="str">
        <f>"218313_s_at"</f>
        <v>218313_s_at</v>
      </c>
      <c r="B210" s="2">
        <v>1.6938864997063099</v>
      </c>
      <c r="C210" s="2">
        <v>12.2200316766626</v>
      </c>
      <c r="D210" s="2">
        <v>5.4471651906568104</v>
      </c>
      <c r="E210" s="3">
        <v>9.0695082201585001E-6</v>
      </c>
      <c r="F210" s="2">
        <v>3.01077936816737E-4</v>
      </c>
      <c r="G210" s="2">
        <v>5.2330039936411499</v>
      </c>
      <c r="H210" s="1" t="str">
        <f>"GALNT7"</f>
        <v>GALNT7</v>
      </c>
    </row>
    <row r="211" spans="1:8">
      <c r="A211" s="2" t="str">
        <f>"226086_at"</f>
        <v>226086_at</v>
      </c>
      <c r="B211" s="2">
        <v>1.6938776786604199</v>
      </c>
      <c r="C211" s="2">
        <v>7.99627535074739</v>
      </c>
      <c r="D211" s="2">
        <v>4.2988888668697101</v>
      </c>
      <c r="E211" s="2">
        <v>1.9854346661964199E-4</v>
      </c>
      <c r="F211" s="2">
        <v>3.13829547193666E-3</v>
      </c>
      <c r="G211" s="2">
        <v>2.3045967224862598</v>
      </c>
      <c r="H211" s="1" t="str">
        <f>"SYT13"</f>
        <v>SYT13</v>
      </c>
    </row>
    <row r="212" spans="1:8">
      <c r="A212" s="2" t="str">
        <f>"225727_at"</f>
        <v>225727_at</v>
      </c>
      <c r="B212" s="2">
        <v>1.6923059187854701</v>
      </c>
      <c r="C212" s="2">
        <v>9.4559298132221503</v>
      </c>
      <c r="D212" s="2">
        <v>6.4410240137612398</v>
      </c>
      <c r="E212" s="3">
        <v>6.5557267819679795E-7</v>
      </c>
      <c r="F212" s="3">
        <v>4.2020441008686899E-5</v>
      </c>
      <c r="G212" s="2">
        <v>7.7261253015251796</v>
      </c>
      <c r="H212" s="1" t="str">
        <f>"PLEKHH1"</f>
        <v>PLEKHH1</v>
      </c>
    </row>
    <row r="213" spans="1:8">
      <c r="A213" s="2" t="str">
        <f>"203824_at"</f>
        <v>203824_at</v>
      </c>
      <c r="B213" s="2">
        <v>1.6855995238700201</v>
      </c>
      <c r="C213" s="2">
        <v>12.191834577253401</v>
      </c>
      <c r="D213" s="2">
        <v>3.8622961903918802</v>
      </c>
      <c r="E213" s="2">
        <v>6.3315132423287502E-4</v>
      </c>
      <c r="F213" s="2">
        <v>7.5849142533813496E-3</v>
      </c>
      <c r="G213" s="2">
        <v>1.21113655974715</v>
      </c>
      <c r="H213" s="1" t="str">
        <f>"TSPAN8"</f>
        <v>TSPAN8</v>
      </c>
    </row>
    <row r="214" spans="1:8">
      <c r="A214" s="2" t="str">
        <f>"232079_s_at"</f>
        <v>232079_s_at</v>
      </c>
      <c r="B214" s="2">
        <v>1.68501227372999</v>
      </c>
      <c r="C214" s="2">
        <v>9.8985223973266496</v>
      </c>
      <c r="D214" s="2">
        <v>8.0119313785231494</v>
      </c>
      <c r="E214" s="3">
        <v>1.27104839594343E-8</v>
      </c>
      <c r="F214" s="3">
        <v>2.6027929231538201E-6</v>
      </c>
      <c r="G214" s="2">
        <v>11.4353121038253</v>
      </c>
      <c r="H214" s="1" t="str">
        <f>"NECTIN2"</f>
        <v>NECTIN2</v>
      </c>
    </row>
    <row r="215" spans="1:8">
      <c r="A215" s="2" t="str">
        <f>"210222_s_at"</f>
        <v>210222_s_at</v>
      </c>
      <c r="B215" s="2">
        <v>1.6844994522868499</v>
      </c>
      <c r="C215" s="2">
        <v>8.5334329872457104</v>
      </c>
      <c r="D215" s="2">
        <v>4.6742057664134604</v>
      </c>
      <c r="E215" s="3">
        <v>7.2489395087380594E-5</v>
      </c>
      <c r="F215" s="2">
        <v>1.45604617061078E-3</v>
      </c>
      <c r="G215" s="2">
        <v>3.2588901445230398</v>
      </c>
      <c r="H215" s="1" t="str">
        <f>"RTN1"</f>
        <v>RTN1</v>
      </c>
    </row>
    <row r="216" spans="1:8">
      <c r="A216" s="2" t="str">
        <f>"205768_s_at"</f>
        <v>205768_s_at</v>
      </c>
      <c r="B216" s="2">
        <v>1.6843740153763</v>
      </c>
      <c r="C216" s="2">
        <v>7.9394546490293303</v>
      </c>
      <c r="D216" s="2">
        <v>4.7079326684488301</v>
      </c>
      <c r="E216" s="3">
        <v>6.6199016393639397E-5</v>
      </c>
      <c r="F216" s="2">
        <v>1.3555922177236801E-3</v>
      </c>
      <c r="G216" s="2">
        <v>3.3449947454298101</v>
      </c>
      <c r="H216" s="1" t="str">
        <f>"SLC27A2"</f>
        <v>SLC27A2</v>
      </c>
    </row>
    <row r="217" spans="1:8">
      <c r="A217" s="2" t="str">
        <f>"229724_at"</f>
        <v>229724_at</v>
      </c>
      <c r="B217" s="2">
        <v>1.68324377871093</v>
      </c>
      <c r="C217" s="2">
        <v>9.6153607784363206</v>
      </c>
      <c r="D217" s="2">
        <v>3.66581424290192</v>
      </c>
      <c r="E217" s="2">
        <v>1.0591895885362101E-3</v>
      </c>
      <c r="F217" s="2">
        <v>1.12623863775218E-2</v>
      </c>
      <c r="G217" s="2">
        <v>0.72849629660288295</v>
      </c>
      <c r="H217" s="1" t="str">
        <f>"GABRB3"</f>
        <v>GABRB3</v>
      </c>
    </row>
    <row r="218" spans="1:8">
      <c r="A218" s="2" t="str">
        <f>"229599_at"</f>
        <v>229599_at</v>
      </c>
      <c r="B218" s="2">
        <v>1.68210224104824</v>
      </c>
      <c r="C218" s="2">
        <v>8.1747699889344698</v>
      </c>
      <c r="D218" s="2">
        <v>6.2260140281052596</v>
      </c>
      <c r="E218" s="3">
        <v>1.1492574310382499E-6</v>
      </c>
      <c r="F218" s="3">
        <v>6.3214939680096804E-5</v>
      </c>
      <c r="G218" s="2">
        <v>7.1942860599039902</v>
      </c>
      <c r="H218" s="1" t="str">
        <f>"SMIM22"</f>
        <v>SMIM22</v>
      </c>
    </row>
    <row r="219" spans="1:8">
      <c r="A219" s="2" t="str">
        <f>"201839_s_at"</f>
        <v>201839_s_at</v>
      </c>
      <c r="B219" s="2">
        <v>1.6815975460768899</v>
      </c>
      <c r="C219" s="2">
        <v>12.2395210707567</v>
      </c>
      <c r="D219" s="2">
        <v>4.1295341612411001</v>
      </c>
      <c r="E219" s="2">
        <v>3.1199872795574301E-4</v>
      </c>
      <c r="F219" s="2">
        <v>4.4158763787160897E-3</v>
      </c>
      <c r="G219" s="2">
        <v>1.8776445241084101</v>
      </c>
      <c r="H219" s="1" t="str">
        <f>"EPCAM"</f>
        <v>EPCAM</v>
      </c>
    </row>
    <row r="220" spans="1:8">
      <c r="A220" s="2" t="str">
        <f>"205830_at"</f>
        <v>205830_at</v>
      </c>
      <c r="B220" s="2">
        <v>1.6763559122221801</v>
      </c>
      <c r="C220" s="2">
        <v>9.9316613849360298</v>
      </c>
      <c r="D220" s="2">
        <v>5.4146640005768196</v>
      </c>
      <c r="E220" s="3">
        <v>9.8945224195366708E-6</v>
      </c>
      <c r="F220" s="2">
        <v>3.2201369838581398E-4</v>
      </c>
      <c r="G220" s="2">
        <v>5.1502703953782403</v>
      </c>
      <c r="H220" s="1" t="str">
        <f>"CLGN"</f>
        <v>CLGN</v>
      </c>
    </row>
    <row r="221" spans="1:8">
      <c r="A221" s="2" t="str">
        <f>"205780_at"</f>
        <v>205780_at</v>
      </c>
      <c r="B221" s="2">
        <v>1.67545280454658</v>
      </c>
      <c r="C221" s="2">
        <v>10.235415013837001</v>
      </c>
      <c r="D221" s="2">
        <v>6.8468733384832303</v>
      </c>
      <c r="E221" s="3">
        <v>2.3018464126039801E-7</v>
      </c>
      <c r="F221" s="3">
        <v>1.9978724104992602E-5</v>
      </c>
      <c r="G221" s="2">
        <v>8.7156987650172599</v>
      </c>
      <c r="H221" s="1" t="str">
        <f>"BIK"</f>
        <v>BIK</v>
      </c>
    </row>
    <row r="222" spans="1:8">
      <c r="A222" s="2" t="str">
        <f>"231372_at"</f>
        <v>231372_at</v>
      </c>
      <c r="B222" s="2">
        <v>1.6746861970606299</v>
      </c>
      <c r="C222" s="2">
        <v>6.0931916231047696</v>
      </c>
      <c r="D222" s="2">
        <v>4.20733012132923</v>
      </c>
      <c r="E222" s="2">
        <v>2.5357187667780399E-4</v>
      </c>
      <c r="F222" s="2">
        <v>3.75515773492929E-3</v>
      </c>
      <c r="G222" s="2">
        <v>2.0734027581071501</v>
      </c>
      <c r="H222" s="1" t="str">
        <f>"SLC25A48"</f>
        <v>SLC25A48</v>
      </c>
    </row>
    <row r="223" spans="1:8">
      <c r="A223" s="2" t="str">
        <f>"1564446_at"</f>
        <v>1564446_at</v>
      </c>
      <c r="B223" s="2">
        <v>1.6726874797083799</v>
      </c>
      <c r="C223" s="2">
        <v>4.9821291928773803</v>
      </c>
      <c r="D223" s="2">
        <v>3.6815539667376602</v>
      </c>
      <c r="E223" s="2">
        <v>1.0166365823271301E-3</v>
      </c>
      <c r="F223" s="2">
        <v>1.0903217955813199E-2</v>
      </c>
      <c r="G223" s="2">
        <v>0.76688694048819805</v>
      </c>
      <c r="H223" s="1" t="str">
        <f>"LOC284930"</f>
        <v>LOC284930</v>
      </c>
    </row>
    <row r="224" spans="1:8">
      <c r="A224" s="2" t="str">
        <f>"201689_s_at"</f>
        <v>201689_s_at</v>
      </c>
      <c r="B224" s="2">
        <v>1.6678202655738099</v>
      </c>
      <c r="C224" s="2">
        <v>11.7673899501872</v>
      </c>
      <c r="D224" s="2">
        <v>4.3375740017581403</v>
      </c>
      <c r="E224" s="2">
        <v>1.79015259674386E-4</v>
      </c>
      <c r="F224" s="2">
        <v>2.8957571960642201E-3</v>
      </c>
      <c r="G224" s="2">
        <v>2.4025128862642799</v>
      </c>
      <c r="H224" s="1" t="str">
        <f>"TPD52"</f>
        <v>TPD52</v>
      </c>
    </row>
    <row r="225" spans="1:8">
      <c r="A225" s="2" t="str">
        <f>"221732_at"</f>
        <v>221732_at</v>
      </c>
      <c r="B225" s="2">
        <v>1.66509349668822</v>
      </c>
      <c r="C225" s="2">
        <v>12.509198488846501</v>
      </c>
      <c r="D225" s="2">
        <v>10.066312168569199</v>
      </c>
      <c r="E225" s="3">
        <v>1.18139732110812E-10</v>
      </c>
      <c r="F225" s="3">
        <v>9.9373690048594599E-8</v>
      </c>
      <c r="G225" s="2">
        <v>15.740599096774</v>
      </c>
      <c r="H225" s="1" t="str">
        <f>"CANT1"</f>
        <v>CANT1</v>
      </c>
    </row>
    <row r="226" spans="1:8">
      <c r="A226" s="2" t="str">
        <f>"222315_at"</f>
        <v>222315_at</v>
      </c>
      <c r="B226" s="2">
        <v>1.6631213890207199</v>
      </c>
      <c r="C226" s="2">
        <v>8.6701785504307995</v>
      </c>
      <c r="D226" s="2">
        <v>4.3515707781741604</v>
      </c>
      <c r="E226" s="2">
        <v>1.7242927068521999E-4</v>
      </c>
      <c r="F226" s="2">
        <v>2.8192495139696201E-3</v>
      </c>
      <c r="G226" s="2">
        <v>2.43797144177061</v>
      </c>
      <c r="H226" s="1" t="str">
        <f>"LOC100996756"</f>
        <v>LOC100996756</v>
      </c>
    </row>
    <row r="227" spans="1:8">
      <c r="A227" s="2" t="str">
        <f>"209935_at"</f>
        <v>209935_at</v>
      </c>
      <c r="B227" s="2">
        <v>1.6624791449463101</v>
      </c>
      <c r="C227" s="2">
        <v>9.8348903096581104</v>
      </c>
      <c r="D227" s="2">
        <v>5.2372106243295704</v>
      </c>
      <c r="E227" s="3">
        <v>1.59290833269689E-5</v>
      </c>
      <c r="F227" s="2">
        <v>4.6129376636759801E-4</v>
      </c>
      <c r="G227" s="2">
        <v>4.6977810507745401</v>
      </c>
      <c r="H227" s="1" t="str">
        <f>"ATP2C1"</f>
        <v>ATP2C1</v>
      </c>
    </row>
    <row r="228" spans="1:8">
      <c r="A228" s="2" t="str">
        <f>"221561_at"</f>
        <v>221561_at</v>
      </c>
      <c r="B228" s="2">
        <v>1.6566046891697099</v>
      </c>
      <c r="C228" s="2">
        <v>10.233012822145399</v>
      </c>
      <c r="D228" s="2">
        <v>4.78880097262864</v>
      </c>
      <c r="E228" s="3">
        <v>5.32470346364039E-5</v>
      </c>
      <c r="F228" s="2">
        <v>1.1507041971325601E-3</v>
      </c>
      <c r="G228" s="2">
        <v>3.5515825921955999</v>
      </c>
      <c r="H228" s="1" t="str">
        <f>"SOAT1"</f>
        <v>SOAT1</v>
      </c>
    </row>
    <row r="229" spans="1:8">
      <c r="A229" s="2" t="str">
        <f>"232381_s_at"</f>
        <v>232381_s_at</v>
      </c>
      <c r="B229" s="2">
        <v>1.64826585677318</v>
      </c>
      <c r="C229" s="2">
        <v>8.2190909990704402</v>
      </c>
      <c r="D229" s="2">
        <v>5.4158633983415196</v>
      </c>
      <c r="E229" s="3">
        <v>9.8627743436742302E-6</v>
      </c>
      <c r="F229" s="2">
        <v>3.2136304364742998E-4</v>
      </c>
      <c r="G229" s="2">
        <v>5.1533244069651998</v>
      </c>
      <c r="H229" s="1" t="str">
        <f>"DNAH5"</f>
        <v>DNAH5</v>
      </c>
    </row>
    <row r="230" spans="1:8">
      <c r="A230" s="2" t="str">
        <f>"202525_at"</f>
        <v>202525_at</v>
      </c>
      <c r="B230" s="2">
        <v>1.64809351667931</v>
      </c>
      <c r="C230" s="2">
        <v>11.0514000524922</v>
      </c>
      <c r="D230" s="2">
        <v>7.8552343706548697</v>
      </c>
      <c r="E230" s="3">
        <v>1.8578983676158799E-8</v>
      </c>
      <c r="F230" s="3">
        <v>3.3860197749799398E-6</v>
      </c>
      <c r="G230" s="2">
        <v>11.0808008516833</v>
      </c>
      <c r="H230" s="1" t="str">
        <f>"PRSS8"</f>
        <v>PRSS8</v>
      </c>
    </row>
    <row r="231" spans="1:8">
      <c r="A231" s="2" t="str">
        <f>"214469_at"</f>
        <v>214469_at</v>
      </c>
      <c r="B231" s="2">
        <v>1.64670902202476</v>
      </c>
      <c r="C231" s="2">
        <v>9.7201675046988694</v>
      </c>
      <c r="D231" s="2">
        <v>5.7926881748549803</v>
      </c>
      <c r="E231" s="3">
        <v>3.60753039012038E-6</v>
      </c>
      <c r="F231" s="2">
        <v>1.4886167855081601E-4</v>
      </c>
      <c r="G231" s="2">
        <v>6.1088270222201198</v>
      </c>
      <c r="H231" s="1" t="str">
        <f>"H2AC8"</f>
        <v>H2AC8</v>
      </c>
    </row>
    <row r="232" spans="1:8">
      <c r="A232" s="2" t="str">
        <f>"219584_at"</f>
        <v>219584_at</v>
      </c>
      <c r="B232" s="2">
        <v>1.64403691592099</v>
      </c>
      <c r="C232" s="2">
        <v>8.7922165156696295</v>
      </c>
      <c r="D232" s="2">
        <v>3.7739619049445499</v>
      </c>
      <c r="E232" s="2">
        <v>7.9850246711636304E-4</v>
      </c>
      <c r="F232" s="2">
        <v>9.0467965892400606E-3</v>
      </c>
      <c r="G232" s="2">
        <v>0.99326584440778398</v>
      </c>
      <c r="H232" s="1" t="str">
        <f>"PLA1A"</f>
        <v>PLA1A</v>
      </c>
    </row>
    <row r="233" spans="1:8">
      <c r="A233" s="2" t="str">
        <f>"227676_at"</f>
        <v>227676_at</v>
      </c>
      <c r="B233" s="2">
        <v>1.63733416772241</v>
      </c>
      <c r="C233" s="2">
        <v>9.3142484564855099</v>
      </c>
      <c r="D233" s="2">
        <v>3.9240913537496498</v>
      </c>
      <c r="E233" s="2">
        <v>5.3795763186509002E-4</v>
      </c>
      <c r="F233" s="2">
        <v>6.6847348914144998E-3</v>
      </c>
      <c r="G233" s="2">
        <v>1.3643310845675201</v>
      </c>
      <c r="H233" s="1" t="str">
        <f>"FAM3D"</f>
        <v>FAM3D</v>
      </c>
    </row>
    <row r="234" spans="1:8">
      <c r="A234" s="2" t="str">
        <f>"203908_at"</f>
        <v>203908_at</v>
      </c>
      <c r="B234" s="2">
        <v>1.63625645034131</v>
      </c>
      <c r="C234" s="2">
        <v>11.686525734847001</v>
      </c>
      <c r="D234" s="2">
        <v>3.2937327491538602</v>
      </c>
      <c r="E234" s="2">
        <v>2.75529071082555E-3</v>
      </c>
      <c r="F234" s="2">
        <v>2.3170991028525899E-2</v>
      </c>
      <c r="G234" s="2">
        <v>-0.16231457460249599</v>
      </c>
      <c r="H234" s="1" t="str">
        <f>"SLC4A4"</f>
        <v>SLC4A4</v>
      </c>
    </row>
    <row r="235" spans="1:8">
      <c r="A235" s="2" t="str">
        <f>"1560305_x_at"</f>
        <v>1560305_x_at</v>
      </c>
      <c r="B235" s="2">
        <v>1.6357853123925701</v>
      </c>
      <c r="C235" s="2">
        <v>5.0234981318062699</v>
      </c>
      <c r="D235" s="2">
        <v>3.80288735283334</v>
      </c>
      <c r="E235" s="2">
        <v>7.4016875121509504E-4</v>
      </c>
      <c r="F235" s="2">
        <v>8.5449169072392903E-3</v>
      </c>
      <c r="G235" s="2">
        <v>1.0644571526620801</v>
      </c>
      <c r="H235" s="1" t="str">
        <f>"FKBP4"</f>
        <v>FKBP4</v>
      </c>
    </row>
    <row r="236" spans="1:8">
      <c r="A236" s="2" t="str">
        <f>"1554020_at"</f>
        <v>1554020_at</v>
      </c>
      <c r="B236" s="2">
        <v>1.6310158256719001</v>
      </c>
      <c r="C236" s="2">
        <v>7.4328650597449899</v>
      </c>
      <c r="D236" s="2">
        <v>4.6375389238915696</v>
      </c>
      <c r="E236" s="3">
        <v>8.0005966280411904E-5</v>
      </c>
      <c r="F236" s="2">
        <v>1.57349863538904E-3</v>
      </c>
      <c r="G236" s="2">
        <v>3.1653250091523</v>
      </c>
      <c r="H236" s="1" t="str">
        <f>"BICD1"</f>
        <v>BICD1</v>
      </c>
    </row>
    <row r="237" spans="1:8">
      <c r="A237" s="2" t="str">
        <f>"223847_s_at"</f>
        <v>223847_s_at</v>
      </c>
      <c r="B237" s="2">
        <v>1.6309154697172601</v>
      </c>
      <c r="C237" s="2">
        <v>10.8297764015774</v>
      </c>
      <c r="D237" s="2">
        <v>6.3130334737575602</v>
      </c>
      <c r="E237" s="3">
        <v>9.1519392858634197E-7</v>
      </c>
      <c r="F237" s="3">
        <v>5.3396339285621897E-5</v>
      </c>
      <c r="G237" s="2">
        <v>7.41012350180028</v>
      </c>
      <c r="H237" s="1" t="str">
        <f>"ERGIC1"</f>
        <v>ERGIC1</v>
      </c>
    </row>
    <row r="238" spans="1:8">
      <c r="A238" s="2" t="str">
        <f>"227296_at"</f>
        <v>227296_at</v>
      </c>
      <c r="B238" s="2">
        <v>1.6267927092894301</v>
      </c>
      <c r="C238" s="2">
        <v>7.9824367703486896</v>
      </c>
      <c r="D238" s="2">
        <v>7.6135029279211297</v>
      </c>
      <c r="E238" s="3">
        <v>3.3577367946855599E-8</v>
      </c>
      <c r="F238" s="3">
        <v>5.3241626910904903E-6</v>
      </c>
      <c r="G238" s="2">
        <v>10.526843215732599</v>
      </c>
      <c r="H238" s="1" t="str">
        <f>"MFSD3"</f>
        <v>MFSD3</v>
      </c>
    </row>
    <row r="239" spans="1:8">
      <c r="A239" s="2" t="str">
        <f>"239704_at"</f>
        <v>239704_at</v>
      </c>
      <c r="B239" s="2">
        <v>1.622159186228</v>
      </c>
      <c r="C239" s="2">
        <v>6.5698068573673103</v>
      </c>
      <c r="D239" s="2">
        <v>3.1352492531228702</v>
      </c>
      <c r="E239" s="2">
        <v>4.1022883832192601E-3</v>
      </c>
      <c r="F239" s="2">
        <v>3.1303924264132997E-2</v>
      </c>
      <c r="G239" s="2">
        <v>-0.53026076421408797</v>
      </c>
      <c r="H239" s="1" t="str">
        <f>"RNF144B"</f>
        <v>RNF144B</v>
      </c>
    </row>
    <row r="240" spans="1:8">
      <c r="A240" s="2" t="str">
        <f>"209618_at"</f>
        <v>209618_at</v>
      </c>
      <c r="B240" s="2">
        <v>1.62188151307182</v>
      </c>
      <c r="C240" s="2">
        <v>5.1174490986841104</v>
      </c>
      <c r="D240" s="2">
        <v>3.5455282452599199</v>
      </c>
      <c r="E240" s="2">
        <v>1.4469849291118401E-3</v>
      </c>
      <c r="F240" s="2">
        <v>1.4270184162913001E-2</v>
      </c>
      <c r="G240" s="2">
        <v>0.43685449493758099</v>
      </c>
      <c r="H240" s="1" t="str">
        <f>"CTNND2"</f>
        <v>CTNND2</v>
      </c>
    </row>
    <row r="241" spans="1:8">
      <c r="A241" s="2" t="str">
        <f>"209696_at"</f>
        <v>209696_at</v>
      </c>
      <c r="B241" s="2">
        <v>1.62000962005007</v>
      </c>
      <c r="C241" s="2">
        <v>10.2627245468873</v>
      </c>
      <c r="D241" s="2">
        <v>7.7289217857573602</v>
      </c>
      <c r="E241" s="3">
        <v>2.5288295464307601E-8</v>
      </c>
      <c r="F241" s="3">
        <v>4.3479168380849597E-6</v>
      </c>
      <c r="G241" s="2">
        <v>10.7924009301897</v>
      </c>
      <c r="H241" s="1" t="str">
        <f>"FBP1"</f>
        <v>FBP1</v>
      </c>
    </row>
    <row r="242" spans="1:8">
      <c r="A242" s="2" t="str">
        <f>"201196_s_at"</f>
        <v>201196_s_at</v>
      </c>
      <c r="B242" s="2">
        <v>1.61924236840546</v>
      </c>
      <c r="C242" s="2">
        <v>11.774369867643101</v>
      </c>
      <c r="D242" s="2">
        <v>4.2371937885895496</v>
      </c>
      <c r="E242" s="2">
        <v>2.34140365434559E-4</v>
      </c>
      <c r="F242" s="2">
        <v>3.5451743229395001E-3</v>
      </c>
      <c r="G242" s="2">
        <v>2.1487210698558399</v>
      </c>
      <c r="H242" s="1" t="str">
        <f>"AMD1"</f>
        <v>AMD1</v>
      </c>
    </row>
    <row r="243" spans="1:8">
      <c r="A243" s="2" t="str">
        <f>"228058_at"</f>
        <v>228058_at</v>
      </c>
      <c r="B243" s="2">
        <v>1.61905642351062</v>
      </c>
      <c r="C243" s="2">
        <v>11.7714053519021</v>
      </c>
      <c r="D243" s="2">
        <v>4.9349517606134699</v>
      </c>
      <c r="E243" s="3">
        <v>3.59223527061386E-5</v>
      </c>
      <c r="F243" s="2">
        <v>8.5617028518227098E-4</v>
      </c>
      <c r="G243" s="2">
        <v>3.9252322645303899</v>
      </c>
      <c r="H243" s="1" t="str">
        <f>"ZG16B"</f>
        <v>ZG16B</v>
      </c>
    </row>
    <row r="244" spans="1:8">
      <c r="A244" s="2" t="str">
        <f>"1568719_s_at"</f>
        <v>1568719_s_at</v>
      </c>
      <c r="B244" s="2">
        <v>1.6172790255310101</v>
      </c>
      <c r="C244" s="2">
        <v>5.6046276501936401</v>
      </c>
      <c r="D244" s="2">
        <v>3.3767582904745299</v>
      </c>
      <c r="E244" s="2">
        <v>2.2314136601799999E-3</v>
      </c>
      <c r="F244" s="2">
        <v>1.9706435449901701E-2</v>
      </c>
      <c r="G244" s="2">
        <v>3.34061967883734E-2</v>
      </c>
      <c r="H244" s="1" t="str">
        <f>"SLC22A23"</f>
        <v>SLC22A23</v>
      </c>
    </row>
    <row r="245" spans="1:8">
      <c r="A245" s="2" t="str">
        <f>"220245_at"</f>
        <v>220245_at</v>
      </c>
      <c r="B245" s="2">
        <v>1.6088623852675501</v>
      </c>
      <c r="C245" s="2">
        <v>6.0881391818630703</v>
      </c>
      <c r="D245" s="2">
        <v>2.9955810338642599</v>
      </c>
      <c r="E245" s="2">
        <v>5.7941888347423703E-3</v>
      </c>
      <c r="F245" s="2">
        <v>4.07132935323435E-2</v>
      </c>
      <c r="G245" s="2">
        <v>-0.84772299994573497</v>
      </c>
      <c r="H245" s="1" t="str">
        <f>"SLC45A2"</f>
        <v>SLC45A2</v>
      </c>
    </row>
    <row r="246" spans="1:8">
      <c r="A246" s="2" t="str">
        <f>"237159_x_at"</f>
        <v>237159_x_at</v>
      </c>
      <c r="B246" s="2">
        <v>1.6086778024899999</v>
      </c>
      <c r="C246" s="2">
        <v>6.2470149531990096</v>
      </c>
      <c r="D246" s="2">
        <v>4.0447018274345501</v>
      </c>
      <c r="E246" s="2">
        <v>3.9091263026857099E-4</v>
      </c>
      <c r="F246" s="2">
        <v>5.2410858410824202E-3</v>
      </c>
      <c r="G246" s="2">
        <v>1.6649953511195601</v>
      </c>
      <c r="H246" s="1" t="str">
        <f>"AP1S3"</f>
        <v>AP1S3</v>
      </c>
    </row>
    <row r="247" spans="1:8">
      <c r="A247" s="2" t="str">
        <f>"221880_s_at"</f>
        <v>221880_s_at</v>
      </c>
      <c r="B247" s="2">
        <v>1.6071098960122501</v>
      </c>
      <c r="C247" s="2">
        <v>10.536498711839901</v>
      </c>
      <c r="D247" s="2">
        <v>7.8832145737014097</v>
      </c>
      <c r="E247" s="3">
        <v>1.73573173944094E-8</v>
      </c>
      <c r="F247" s="3">
        <v>3.2242826421553502E-6</v>
      </c>
      <c r="G247" s="2">
        <v>11.144369280391601</v>
      </c>
      <c r="H247" s="1" t="str">
        <f>"FAM174B"</f>
        <v>FAM174B</v>
      </c>
    </row>
    <row r="248" spans="1:8">
      <c r="A248" s="2" t="str">
        <f>"1552671_a_at"</f>
        <v>1552671_a_at</v>
      </c>
      <c r="B248" s="2">
        <v>1.60692956813276</v>
      </c>
      <c r="C248" s="2">
        <v>6.3355925585181598</v>
      </c>
      <c r="D248" s="2">
        <v>3.8279746902002101</v>
      </c>
      <c r="E248" s="2">
        <v>6.9297167560533504E-4</v>
      </c>
      <c r="F248" s="2">
        <v>8.13750566231136E-3</v>
      </c>
      <c r="G248" s="2">
        <v>1.1263230243132201</v>
      </c>
      <c r="H248" s="1" t="str">
        <f>"SLC9A7"</f>
        <v>SLC9A7</v>
      </c>
    </row>
    <row r="249" spans="1:8">
      <c r="A249" s="2" t="str">
        <f>"214481_at"</f>
        <v>214481_at</v>
      </c>
      <c r="B249" s="2">
        <v>1.6061296141708199</v>
      </c>
      <c r="C249" s="2">
        <v>6.4966616430281103</v>
      </c>
      <c r="D249" s="2">
        <v>3.3556911934621301</v>
      </c>
      <c r="E249" s="2">
        <v>2.35441343178318E-3</v>
      </c>
      <c r="F249" s="2">
        <v>2.05176210364592E-2</v>
      </c>
      <c r="G249" s="2">
        <v>-1.6437905669174999E-2</v>
      </c>
      <c r="H249" s="1" t="str">
        <f>"H2AC17"</f>
        <v>H2AC17</v>
      </c>
    </row>
    <row r="250" spans="1:8">
      <c r="A250" s="2" t="str">
        <f>"218931_at"</f>
        <v>218931_at</v>
      </c>
      <c r="B250" s="2">
        <v>1.6032237568931</v>
      </c>
      <c r="C250" s="2">
        <v>8.6893345282739496</v>
      </c>
      <c r="D250" s="2">
        <v>8.0290513005534905</v>
      </c>
      <c r="E250" s="3">
        <v>1.21964788286267E-8</v>
      </c>
      <c r="F250" s="3">
        <v>2.5565613325275399E-6</v>
      </c>
      <c r="G250" s="2">
        <v>11.473823686861</v>
      </c>
      <c r="H250" s="1" t="str">
        <f>"RAB17"</f>
        <v>RAB17</v>
      </c>
    </row>
    <row r="251" spans="1:8">
      <c r="A251" s="2" t="str">
        <f>"222718_at"</f>
        <v>222718_at</v>
      </c>
      <c r="B251" s="2">
        <v>1.6022500684157699</v>
      </c>
      <c r="C251" s="2">
        <v>9.388230137991</v>
      </c>
      <c r="D251" s="2">
        <v>6.8326508392654697</v>
      </c>
      <c r="E251" s="3">
        <v>2.3871121363988602E-7</v>
      </c>
      <c r="F251" s="3">
        <v>2.0553599379150799E-5</v>
      </c>
      <c r="G251" s="2">
        <v>8.6813589284432506</v>
      </c>
      <c r="H251" s="1" t="str">
        <f>"PGAP6"</f>
        <v>PGAP6</v>
      </c>
    </row>
    <row r="252" spans="1:8">
      <c r="A252" s="2" t="str">
        <f>"1552623_at"</f>
        <v>1552623_at</v>
      </c>
      <c r="B252" s="2">
        <v>1.59317674135114</v>
      </c>
      <c r="C252" s="2">
        <v>6.3826177295328703</v>
      </c>
      <c r="D252" s="2">
        <v>4.1562330830225198</v>
      </c>
      <c r="E252" s="2">
        <v>2.9058481162767998E-4</v>
      </c>
      <c r="F252" s="2">
        <v>4.1590902030741901E-3</v>
      </c>
      <c r="G252" s="2">
        <v>1.94475091323649</v>
      </c>
      <c r="H252" s="1" t="str">
        <f>"HSH2D"</f>
        <v>HSH2D</v>
      </c>
    </row>
    <row r="253" spans="1:8">
      <c r="A253" s="2" t="str">
        <f>"219806_s_at"</f>
        <v>219806_s_at</v>
      </c>
      <c r="B253" s="2">
        <v>1.5919112950707599</v>
      </c>
      <c r="C253" s="2">
        <v>12.1159456543239</v>
      </c>
      <c r="D253" s="2">
        <v>8.1618240736696706</v>
      </c>
      <c r="E253" s="3">
        <v>8.8667200681216993E-9</v>
      </c>
      <c r="F253" s="3">
        <v>2.0455186486268099E-6</v>
      </c>
      <c r="G253" s="2">
        <v>11.7710145357297</v>
      </c>
      <c r="H253" s="1" t="str">
        <f>"SMCO4"</f>
        <v>SMCO4</v>
      </c>
    </row>
    <row r="254" spans="1:8">
      <c r="A254" s="2" t="str">
        <f>"225822_at"</f>
        <v>225822_at</v>
      </c>
      <c r="B254" s="2">
        <v>1.5889961855389401</v>
      </c>
      <c r="C254" s="2">
        <v>10.893650458036101</v>
      </c>
      <c r="D254" s="2">
        <v>8.01535389647389</v>
      </c>
      <c r="E254" s="3">
        <v>1.2605984518489501E-8</v>
      </c>
      <c r="F254" s="3">
        <v>2.5910985095805098E-6</v>
      </c>
      <c r="G254" s="2">
        <v>11.443014607562599</v>
      </c>
      <c r="H254" s="1" t="str">
        <f>"TMEM125"</f>
        <v>TMEM125</v>
      </c>
    </row>
    <row r="255" spans="1:8">
      <c r="A255" s="2" t="str">
        <f>"229309_at"</f>
        <v>229309_at</v>
      </c>
      <c r="B255" s="2">
        <v>1.58617596759035</v>
      </c>
      <c r="C255" s="2">
        <v>11.7764450422975</v>
      </c>
      <c r="D255" s="2">
        <v>7.0071410462362804</v>
      </c>
      <c r="E255" s="3">
        <v>1.5302701864831801E-7</v>
      </c>
      <c r="F255" s="3">
        <v>1.49406290082086E-5</v>
      </c>
      <c r="G255" s="2">
        <v>9.1008724717572402</v>
      </c>
      <c r="H255" s="1" t="str">
        <f>"ADRB1"</f>
        <v>ADRB1</v>
      </c>
    </row>
    <row r="256" spans="1:8">
      <c r="A256" s="2" t="str">
        <f>"209369_at"</f>
        <v>209369_at</v>
      </c>
      <c r="B256" s="2">
        <v>1.5861384219316801</v>
      </c>
      <c r="C256" s="2">
        <v>10.7795146434703</v>
      </c>
      <c r="D256" s="2">
        <v>5.0343685412906902</v>
      </c>
      <c r="E256" s="3">
        <v>2.7486439259264701E-5</v>
      </c>
      <c r="F256" s="2">
        <v>7.0010595898826902E-4</v>
      </c>
      <c r="G256" s="2">
        <v>4.1794560195755004</v>
      </c>
      <c r="H256" s="1" t="str">
        <f>"ANXA3"</f>
        <v>ANXA3</v>
      </c>
    </row>
    <row r="257" spans="1:8">
      <c r="A257" s="2" t="str">
        <f>"209398_at"</f>
        <v>209398_at</v>
      </c>
      <c r="B257" s="2">
        <v>1.58444325817345</v>
      </c>
      <c r="C257" s="2">
        <v>11.6222898392607</v>
      </c>
      <c r="D257" s="2">
        <v>5.54779937143946</v>
      </c>
      <c r="E257" s="3">
        <v>6.9287763792368597E-6</v>
      </c>
      <c r="F257" s="2">
        <v>2.4462748635358E-4</v>
      </c>
      <c r="G257" s="2">
        <v>5.48883573990034</v>
      </c>
      <c r="H257" s="1" t="str">
        <f>"H1-2"</f>
        <v>H1-2</v>
      </c>
    </row>
    <row r="258" spans="1:8">
      <c r="A258" s="2" t="str">
        <f>"223895_s_at"</f>
        <v>223895_s_at</v>
      </c>
      <c r="B258" s="2">
        <v>1.5823035556938601</v>
      </c>
      <c r="C258" s="2">
        <v>9.7216339894985992</v>
      </c>
      <c r="D258" s="2">
        <v>6.0984279457470203</v>
      </c>
      <c r="E258" s="3">
        <v>1.6068550365518599E-6</v>
      </c>
      <c r="F258" s="3">
        <v>7.9760376057228294E-5</v>
      </c>
      <c r="G258" s="2">
        <v>6.87645691233935</v>
      </c>
      <c r="H258" s="1" t="str">
        <f>"EPN3"</f>
        <v>EPN3</v>
      </c>
    </row>
    <row r="259" spans="1:8">
      <c r="A259" s="2" t="str">
        <f>"211706_s_at"</f>
        <v>211706_s_at</v>
      </c>
      <c r="B259" s="2">
        <v>1.58084918071421</v>
      </c>
      <c r="C259" s="2">
        <v>4.8434998621261398</v>
      </c>
      <c r="D259" s="2">
        <v>2.9462960099528401</v>
      </c>
      <c r="E259" s="2">
        <v>6.53632425555977E-3</v>
      </c>
      <c r="F259" s="2">
        <v>4.46493664008909E-2</v>
      </c>
      <c r="G259" s="2">
        <v>-0.95808954255793599</v>
      </c>
      <c r="H259" s="1" t="str">
        <f>"CDK19"</f>
        <v>CDK19</v>
      </c>
    </row>
    <row r="260" spans="1:8">
      <c r="A260" s="2" t="str">
        <f>"215843_s_at"</f>
        <v>215843_s_at</v>
      </c>
      <c r="B260" s="2">
        <v>1.5792004494926599</v>
      </c>
      <c r="C260" s="2">
        <v>5.8998907446100999</v>
      </c>
      <c r="D260" s="2">
        <v>3.30571775172261</v>
      </c>
      <c r="E260" s="2">
        <v>2.67293392622707E-3</v>
      </c>
      <c r="F260" s="2">
        <v>2.2636719705152599E-2</v>
      </c>
      <c r="G260" s="2">
        <v>-0.134181680982704</v>
      </c>
      <c r="H260" s="1" t="str">
        <f>"TLL2"</f>
        <v>TLL2</v>
      </c>
    </row>
    <row r="261" spans="1:8">
      <c r="A261" s="2" t="str">
        <f>"210339_s_at"</f>
        <v>210339_s_at</v>
      </c>
      <c r="B261" s="2">
        <v>1.57709756385137</v>
      </c>
      <c r="C261" s="2">
        <v>14.436648141550201</v>
      </c>
      <c r="D261" s="2">
        <v>5.7828303637049698</v>
      </c>
      <c r="E261" s="3">
        <v>3.7032796892530698E-6</v>
      </c>
      <c r="F261" s="2">
        <v>1.51895586654097E-4</v>
      </c>
      <c r="G261" s="2">
        <v>6.0839497743690103</v>
      </c>
      <c r="H261" s="1" t="str">
        <f>"KLK2"</f>
        <v>KLK2</v>
      </c>
    </row>
    <row r="262" spans="1:8">
      <c r="A262" s="2" t="str">
        <f>"204673_at"</f>
        <v>204673_at</v>
      </c>
      <c r="B262" s="2">
        <v>1.5763056061226699</v>
      </c>
      <c r="C262" s="2">
        <v>6.3367571682779902</v>
      </c>
      <c r="D262" s="2">
        <v>3.7201464306971301</v>
      </c>
      <c r="E262" s="2">
        <v>9.1924148716860602E-4</v>
      </c>
      <c r="F262" s="2">
        <v>1.00841750222599E-2</v>
      </c>
      <c r="G262" s="2">
        <v>0.86122856925582603</v>
      </c>
      <c r="H262" s="1" t="str">
        <f>"MUC2"</f>
        <v>MUC2</v>
      </c>
    </row>
    <row r="263" spans="1:8">
      <c r="A263" s="2" t="str">
        <f>"241144_at"</f>
        <v>241144_at</v>
      </c>
      <c r="B263" s="2">
        <v>1.5745162946620701</v>
      </c>
      <c r="C263" s="2">
        <v>4.3516950911017602</v>
      </c>
      <c r="D263" s="2">
        <v>4.1151653365068199</v>
      </c>
      <c r="E263" s="2">
        <v>3.2416069887230902E-4</v>
      </c>
      <c r="F263" s="2">
        <v>4.55382482292998E-3</v>
      </c>
      <c r="G263" s="2">
        <v>1.8415637170138099</v>
      </c>
      <c r="H263" s="1" t="str">
        <f>"LOC101927702"</f>
        <v>LOC101927702</v>
      </c>
    </row>
    <row r="264" spans="1:8">
      <c r="A264" s="2" t="str">
        <f>"211689_s_at"</f>
        <v>211689_s_at</v>
      </c>
      <c r="B264" s="2">
        <v>1.5715718740168501</v>
      </c>
      <c r="C264" s="2">
        <v>11.764012878479001</v>
      </c>
      <c r="D264" s="2">
        <v>2.98231797948793</v>
      </c>
      <c r="E264" s="2">
        <v>5.9856157233974198E-3</v>
      </c>
      <c r="F264" s="2">
        <v>4.1764106645833798E-2</v>
      </c>
      <c r="G264" s="2">
        <v>-0.87751180189599198</v>
      </c>
      <c r="H264" s="1" t="str">
        <f>"TMPRSS2"</f>
        <v>TMPRSS2</v>
      </c>
    </row>
    <row r="265" spans="1:8">
      <c r="A265" s="2" t="str">
        <f>"206722_s_at"</f>
        <v>206722_s_at</v>
      </c>
      <c r="B265" s="2">
        <v>1.56786936693934</v>
      </c>
      <c r="C265" s="2">
        <v>7.7436627430160101</v>
      </c>
      <c r="D265" s="2">
        <v>4.8878118760437497</v>
      </c>
      <c r="E265" s="3">
        <v>4.0784671918854602E-5</v>
      </c>
      <c r="F265" s="2">
        <v>9.3851091631455205E-4</v>
      </c>
      <c r="G265" s="2">
        <v>3.80469054595829</v>
      </c>
      <c r="H265" s="1" t="str">
        <f>"LPAR2"</f>
        <v>LPAR2</v>
      </c>
    </row>
    <row r="266" spans="1:8">
      <c r="A266" s="2" t="str">
        <f>"223944_at"</f>
        <v>223944_at</v>
      </c>
      <c r="B266" s="2">
        <v>1.5633417484694401</v>
      </c>
      <c r="C266" s="2">
        <v>7.0917435901049002</v>
      </c>
      <c r="D266" s="2">
        <v>4.0102974489309497</v>
      </c>
      <c r="E266" s="2">
        <v>4.2825843702816701E-4</v>
      </c>
      <c r="F266" s="2">
        <v>5.6057050621295202E-3</v>
      </c>
      <c r="G266" s="2">
        <v>1.5790197414063201</v>
      </c>
      <c r="H266" s="1" t="str">
        <f>"NLRP12"</f>
        <v>NLRP12</v>
      </c>
    </row>
    <row r="267" spans="1:8">
      <c r="A267" s="2" t="str">
        <f>"229782_at"</f>
        <v>229782_at</v>
      </c>
      <c r="B267" s="2">
        <v>1.5612656006835399</v>
      </c>
      <c r="C267" s="2">
        <v>8.0934344904644799</v>
      </c>
      <c r="D267" s="2">
        <v>3.07675752366724</v>
      </c>
      <c r="E267" s="2">
        <v>4.7436884166245103E-3</v>
      </c>
      <c r="F267" s="2">
        <v>3.5034602752795498E-2</v>
      </c>
      <c r="G267" s="2">
        <v>-0.66402937670974405</v>
      </c>
      <c r="H267" s="1" t="str">
        <f>"RMST"</f>
        <v>RMST</v>
      </c>
    </row>
    <row r="268" spans="1:8">
      <c r="A268" s="2" t="str">
        <f>"217551_at"</f>
        <v>217551_at</v>
      </c>
      <c r="B268" s="2">
        <v>1.55845158918273</v>
      </c>
      <c r="C268" s="2">
        <v>7.3435421725150896</v>
      </c>
      <c r="D268" s="2">
        <v>6.4532203290930701</v>
      </c>
      <c r="E268" s="3">
        <v>6.3511295349743296E-7</v>
      </c>
      <c r="F268" s="3">
        <v>4.0997403462186702E-5</v>
      </c>
      <c r="G268" s="2">
        <v>7.7561437750494804</v>
      </c>
      <c r="H268" s="1" t="str">
        <f>"OR7E14P"</f>
        <v>OR7E14P</v>
      </c>
    </row>
    <row r="269" spans="1:8">
      <c r="A269" s="2" t="str">
        <f>"219851_at"</f>
        <v>219851_at</v>
      </c>
      <c r="B269" s="2">
        <v>1.5584089094393501</v>
      </c>
      <c r="C269" s="2">
        <v>7.5370173863123098</v>
      </c>
      <c r="D269" s="2">
        <v>4.5583595952301303</v>
      </c>
      <c r="E269" s="3">
        <v>9.8991338213494498E-5</v>
      </c>
      <c r="F269" s="2">
        <v>1.8484806751444E-3</v>
      </c>
      <c r="G269" s="2">
        <v>2.9634691229807602</v>
      </c>
      <c r="H269" s="1" t="str">
        <f>"ZNF613"</f>
        <v>ZNF613</v>
      </c>
    </row>
    <row r="270" spans="1:8">
      <c r="A270" s="2" t="str">
        <f>"213912_at"</f>
        <v>213912_at</v>
      </c>
      <c r="B270" s="2">
        <v>1.5581866136121501</v>
      </c>
      <c r="C270" s="2">
        <v>7.55654656291932</v>
      </c>
      <c r="D270" s="2">
        <v>6.9887286490385101</v>
      </c>
      <c r="E270" s="3">
        <v>1.6035130877953899E-7</v>
      </c>
      <c r="F270" s="3">
        <v>1.55723051643362E-5</v>
      </c>
      <c r="G270" s="2">
        <v>9.0567907420486407</v>
      </c>
      <c r="H270" s="1" t="str">
        <f>"TBC1D30"</f>
        <v>TBC1D30</v>
      </c>
    </row>
    <row r="271" spans="1:8">
      <c r="A271" s="2" t="str">
        <f>"228546_at"</f>
        <v>228546_at</v>
      </c>
      <c r="B271" s="2">
        <v>1.5551920209427199</v>
      </c>
      <c r="C271" s="2">
        <v>4.9581334093410199</v>
      </c>
      <c r="D271" s="2">
        <v>3.0529158757202901</v>
      </c>
      <c r="E271" s="2">
        <v>5.0317117481289697E-3</v>
      </c>
      <c r="F271" s="2">
        <v>3.6656740816649103E-2</v>
      </c>
      <c r="G271" s="2">
        <v>-0.718220839010828</v>
      </c>
      <c r="H271" s="1" t="str">
        <f>"DPP6"</f>
        <v>DPP6</v>
      </c>
    </row>
    <row r="272" spans="1:8">
      <c r="A272" s="2" t="str">
        <f>"227372_s_at"</f>
        <v>227372_s_at</v>
      </c>
      <c r="B272" s="2">
        <v>1.55413257547073</v>
      </c>
      <c r="C272" s="2">
        <v>10.127726377619201</v>
      </c>
      <c r="D272" s="2">
        <v>5.5753619726972801</v>
      </c>
      <c r="E272" s="3">
        <v>6.4368499693268398E-6</v>
      </c>
      <c r="F272" s="2">
        <v>2.3199391698941699E-4</v>
      </c>
      <c r="G272" s="2">
        <v>5.5588082102096701</v>
      </c>
      <c r="H272" s="1" t="str">
        <f>"BAIAP2L1"</f>
        <v>BAIAP2L1</v>
      </c>
    </row>
    <row r="273" spans="1:8">
      <c r="A273" s="2" t="str">
        <f>"241247_at"</f>
        <v>241247_at</v>
      </c>
      <c r="B273" s="2">
        <v>1.54933840739958</v>
      </c>
      <c r="C273" s="2">
        <v>6.7919611817574896</v>
      </c>
      <c r="D273" s="2">
        <v>4.7481228077658502</v>
      </c>
      <c r="E273" s="3">
        <v>5.94104964196205E-5</v>
      </c>
      <c r="F273" s="2">
        <v>1.25248993270745E-3</v>
      </c>
      <c r="G273" s="2">
        <v>3.4476447012030902</v>
      </c>
      <c r="H273" s="1" t="str">
        <f>"LINC01213"</f>
        <v>LINC01213</v>
      </c>
    </row>
    <row r="274" spans="1:8">
      <c r="A274" s="2" t="str">
        <f>"231003_at"</f>
        <v>231003_at</v>
      </c>
      <c r="B274" s="2">
        <v>1.5492747293128499</v>
      </c>
      <c r="C274" s="2">
        <v>6.93605848796164</v>
      </c>
      <c r="D274" s="2">
        <v>3.1871538650609299</v>
      </c>
      <c r="E274" s="2">
        <v>3.6034040446937502E-3</v>
      </c>
      <c r="F274" s="2">
        <v>2.82744472950422E-2</v>
      </c>
      <c r="G274" s="2">
        <v>-0.41061508986003697</v>
      </c>
      <c r="H274" s="1" t="str">
        <f>"SLC35B3"</f>
        <v>SLC35B3</v>
      </c>
    </row>
    <row r="275" spans="1:8">
      <c r="A275" s="2" t="str">
        <f>"1553238_a_at"</f>
        <v>1553238_a_at</v>
      </c>
      <c r="B275" s="2">
        <v>1.5490453119021801</v>
      </c>
      <c r="C275" s="2">
        <v>6.7304462816930801</v>
      </c>
      <c r="D275" s="2">
        <v>5.2944214788981299</v>
      </c>
      <c r="E275" s="3">
        <v>1.3660319655845501E-5</v>
      </c>
      <c r="F275" s="2">
        <v>4.1150301773187599E-4</v>
      </c>
      <c r="G275" s="2">
        <v>4.8437899350961802</v>
      </c>
      <c r="H275" s="1" t="str">
        <f>"HIPK4"</f>
        <v>HIPK4</v>
      </c>
    </row>
    <row r="276" spans="1:8">
      <c r="A276" s="2" t="str">
        <f>"206827_s_at"</f>
        <v>206827_s_at</v>
      </c>
      <c r="B276" s="2">
        <v>1.5480055467368701</v>
      </c>
      <c r="C276" s="2">
        <v>9.8796334927038991</v>
      </c>
      <c r="D276" s="2">
        <v>4.2420343220117402</v>
      </c>
      <c r="E276" s="2">
        <v>2.3113263901977199E-4</v>
      </c>
      <c r="F276" s="2">
        <v>3.5103269551127899E-3</v>
      </c>
      <c r="G276" s="2">
        <v>2.1609377178640501</v>
      </c>
      <c r="H276" s="1" t="str">
        <f>"TRPV6"</f>
        <v>TRPV6</v>
      </c>
    </row>
    <row r="277" spans="1:8">
      <c r="A277" s="2" t="str">
        <f>"240509_s_at"</f>
        <v>240509_s_at</v>
      </c>
      <c r="B277" s="2">
        <v>1.5479252502798</v>
      </c>
      <c r="C277" s="2">
        <v>5.7910665267316501</v>
      </c>
      <c r="D277" s="2">
        <v>3.73950515106102</v>
      </c>
      <c r="E277" s="2">
        <v>8.7388237605933101E-4</v>
      </c>
      <c r="F277" s="2">
        <v>9.7073382590499597E-3</v>
      </c>
      <c r="G277" s="2">
        <v>0.90866220713304002</v>
      </c>
      <c r="H277" s="1" t="str">
        <f>"GREM2"</f>
        <v>GREM2</v>
      </c>
    </row>
    <row r="278" spans="1:8">
      <c r="A278" s="2" t="str">
        <f>"1562671_s_at"</f>
        <v>1562671_s_at</v>
      </c>
      <c r="B278" s="2">
        <v>1.5458845671072201</v>
      </c>
      <c r="C278" s="2">
        <v>5.2014193059730003</v>
      </c>
      <c r="D278" s="2">
        <v>3.6223828772494602</v>
      </c>
      <c r="E278" s="2">
        <v>1.1858236094527701E-3</v>
      </c>
      <c r="F278" s="2">
        <v>1.22584431550066E-2</v>
      </c>
      <c r="G278" s="2">
        <v>0.62283056224796496</v>
      </c>
      <c r="H278" s="1" t="str">
        <f>"LINC02833"</f>
        <v>LINC02833</v>
      </c>
    </row>
    <row r="279" spans="1:8">
      <c r="A279" s="2" t="str">
        <f>"232026_at"</f>
        <v>232026_at</v>
      </c>
      <c r="B279" s="2">
        <v>1.54564973631879</v>
      </c>
      <c r="C279" s="2">
        <v>6.3539538393096198</v>
      </c>
      <c r="D279" s="2">
        <v>4.0929344121508899</v>
      </c>
      <c r="E279" s="2">
        <v>3.4390513655673601E-4</v>
      </c>
      <c r="F279" s="2">
        <v>4.7596985471208102E-3</v>
      </c>
      <c r="G279" s="2">
        <v>1.7857898658985201</v>
      </c>
      <c r="H279" s="1" t="str">
        <f>"HERC4"</f>
        <v>HERC4</v>
      </c>
    </row>
    <row r="280" spans="1:8">
      <c r="A280" s="2" t="str">
        <f>"228462_at"</f>
        <v>228462_at</v>
      </c>
      <c r="B280" s="2">
        <v>1.54534307794879</v>
      </c>
      <c r="C280" s="2">
        <v>8.3403757909831295</v>
      </c>
      <c r="D280" s="2">
        <v>4.3773659779929197</v>
      </c>
      <c r="E280" s="2">
        <v>1.6091502230905901E-4</v>
      </c>
      <c r="F280" s="2">
        <v>2.6790587225176102E-3</v>
      </c>
      <c r="G280" s="2">
        <v>2.5033607640429398</v>
      </c>
      <c r="H280" s="1" t="str">
        <f>"IRX2"</f>
        <v>IRX2</v>
      </c>
    </row>
    <row r="281" spans="1:8">
      <c r="A281" s="2" t="str">
        <f>"1568286_at"</f>
        <v>1568286_at</v>
      </c>
      <c r="B281" s="2">
        <v>1.5452988127790901</v>
      </c>
      <c r="C281" s="2">
        <v>2.24144890886897</v>
      </c>
      <c r="D281" s="2">
        <v>3.3879156227041598</v>
      </c>
      <c r="E281" s="2">
        <v>2.1688119286099598E-3</v>
      </c>
      <c r="F281" s="2">
        <v>1.9311433948536801E-2</v>
      </c>
      <c r="G281" s="2">
        <v>5.9852763332654199E-2</v>
      </c>
      <c r="H281" s="1" t="str">
        <f>"HMGA2"</f>
        <v>HMGA2</v>
      </c>
    </row>
    <row r="282" spans="1:8">
      <c r="A282" s="2" t="str">
        <f>"208613_s_at"</f>
        <v>208613_s_at</v>
      </c>
      <c r="B282" s="2">
        <v>1.5449392855439501</v>
      </c>
      <c r="C282" s="2">
        <v>11.175093548311899</v>
      </c>
      <c r="D282" s="2">
        <v>6.9675119751255696</v>
      </c>
      <c r="E282" s="3">
        <v>1.6923518373147999E-7</v>
      </c>
      <c r="F282" s="3">
        <v>1.6092058557423699E-5</v>
      </c>
      <c r="G282" s="2">
        <v>9.0059402912224193</v>
      </c>
      <c r="H282" s="1" t="str">
        <f>"FLNB"</f>
        <v>FLNB</v>
      </c>
    </row>
    <row r="283" spans="1:8">
      <c r="A283" s="2" t="str">
        <f>"203474_at"</f>
        <v>203474_at</v>
      </c>
      <c r="B283" s="2">
        <v>1.54238785206782</v>
      </c>
      <c r="C283" s="2">
        <v>10.9635438814746</v>
      </c>
      <c r="D283" s="2">
        <v>5.2975401507667597</v>
      </c>
      <c r="E283" s="3">
        <v>1.35464275622555E-5</v>
      </c>
      <c r="F283" s="2">
        <v>4.0897345497864198E-4</v>
      </c>
      <c r="G283" s="2">
        <v>4.8517460336867</v>
      </c>
      <c r="H283" s="1" t="str">
        <f>"IQGAP2"</f>
        <v>IQGAP2</v>
      </c>
    </row>
    <row r="284" spans="1:8">
      <c r="A284" s="2" t="str">
        <f>"212812_at"</f>
        <v>212812_at</v>
      </c>
      <c r="B284" s="2">
        <v>1.54215657891499</v>
      </c>
      <c r="C284" s="2">
        <v>12.417592034867299</v>
      </c>
      <c r="D284" s="2">
        <v>6.18479807328902</v>
      </c>
      <c r="E284" s="3">
        <v>1.28047053870595E-6</v>
      </c>
      <c r="F284" s="3">
        <v>6.8169159399948906E-5</v>
      </c>
      <c r="G284" s="2">
        <v>7.0917877049290796</v>
      </c>
      <c r="H284" s="1" t="str">
        <f>"SERINC5"</f>
        <v>SERINC5</v>
      </c>
    </row>
    <row r="285" spans="1:8">
      <c r="A285" s="2" t="str">
        <f>"1554557_at"</f>
        <v>1554557_at</v>
      </c>
      <c r="B285" s="2">
        <v>1.54213581622485</v>
      </c>
      <c r="C285" s="2">
        <v>7.3518228073883902</v>
      </c>
      <c r="D285" s="2">
        <v>5.5243212904231296</v>
      </c>
      <c r="E285" s="3">
        <v>7.3775943089339101E-6</v>
      </c>
      <c r="F285" s="2">
        <v>2.5594541170111801E-4</v>
      </c>
      <c r="G285" s="2">
        <v>5.4291983665650596</v>
      </c>
      <c r="H285" s="1" t="str">
        <f>"ATP11B"</f>
        <v>ATP11B</v>
      </c>
    </row>
    <row r="286" spans="1:8">
      <c r="A286" s="2" t="str">
        <f>"239153_at"</f>
        <v>239153_at</v>
      </c>
      <c r="B286" s="2">
        <v>1.5416069212777399</v>
      </c>
      <c r="C286" s="2">
        <v>3.89593747662704</v>
      </c>
      <c r="D286" s="2">
        <v>3.0522921360519102</v>
      </c>
      <c r="E286" s="2">
        <v>5.0394664858409302E-3</v>
      </c>
      <c r="F286" s="2">
        <v>3.6698565545198798E-2</v>
      </c>
      <c r="G286" s="2">
        <v>-0.71963593677525295</v>
      </c>
      <c r="H286" s="1" t="str">
        <f>"HOTAIR"</f>
        <v>HOTAIR</v>
      </c>
    </row>
    <row r="287" spans="1:8">
      <c r="A287" s="2" t="str">
        <f>"239911_at"</f>
        <v>239911_at</v>
      </c>
      <c r="B287" s="2">
        <v>1.53942461938403</v>
      </c>
      <c r="C287" s="2">
        <v>5.8618807952334597</v>
      </c>
      <c r="D287" s="2">
        <v>2.9087680437573198</v>
      </c>
      <c r="E287" s="2">
        <v>7.1610234671271398E-3</v>
      </c>
      <c r="F287" s="2">
        <v>4.7744996864439997E-2</v>
      </c>
      <c r="G287" s="2">
        <v>-1.0415163654069199</v>
      </c>
      <c r="H287" s="1" t="str">
        <f>"ONECUT2"</f>
        <v>ONECUT2</v>
      </c>
    </row>
    <row r="288" spans="1:8">
      <c r="A288" s="2" t="str">
        <f>"205948_at"</f>
        <v>205948_at</v>
      </c>
      <c r="B288" s="2">
        <v>1.5394192136887701</v>
      </c>
      <c r="C288" s="2">
        <v>5.5864087180330904</v>
      </c>
      <c r="D288" s="2">
        <v>2.9617873029267399</v>
      </c>
      <c r="E288" s="2">
        <v>6.2938388953616697E-3</v>
      </c>
      <c r="F288" s="2">
        <v>4.3421532063583498E-2</v>
      </c>
      <c r="G288" s="2">
        <v>-0.92349613114283902</v>
      </c>
      <c r="H288" s="1" t="str">
        <f>"PTPRT"</f>
        <v>PTPRT</v>
      </c>
    </row>
    <row r="289" spans="1:8">
      <c r="A289" s="2" t="str">
        <f>"218928_s_at"</f>
        <v>218928_s_at</v>
      </c>
      <c r="B289" s="2">
        <v>1.53618395197554</v>
      </c>
      <c r="C289" s="2">
        <v>9.3902558479693194</v>
      </c>
      <c r="D289" s="2">
        <v>6.9841493703760102</v>
      </c>
      <c r="E289" s="3">
        <v>1.6222770013476499E-7</v>
      </c>
      <c r="F289" s="3">
        <v>1.5671023860191302E-5</v>
      </c>
      <c r="G289" s="2">
        <v>9.0458204553880002</v>
      </c>
      <c r="H289" s="1" t="str">
        <f>"SLC37A1"</f>
        <v>SLC37A1</v>
      </c>
    </row>
    <row r="290" spans="1:8">
      <c r="A290" s="2" t="str">
        <f>"206753_at"</f>
        <v>206753_at</v>
      </c>
      <c r="B290" s="2">
        <v>1.5350630663621301</v>
      </c>
      <c r="C290" s="2">
        <v>6.9592284770016004</v>
      </c>
      <c r="D290" s="2">
        <v>3.7798132019025199</v>
      </c>
      <c r="E290" s="2">
        <v>7.8635008979395396E-4</v>
      </c>
      <c r="F290" s="2">
        <v>8.9479839872277905E-3</v>
      </c>
      <c r="G290" s="2">
        <v>1.0076547917991601</v>
      </c>
      <c r="H290" s="1" t="str">
        <f>"RDH16"</f>
        <v>RDH16</v>
      </c>
    </row>
    <row r="291" spans="1:8">
      <c r="A291" s="2" t="str">
        <f>"223581_at"</f>
        <v>223581_at</v>
      </c>
      <c r="B291" s="2">
        <v>1.5323723476728199</v>
      </c>
      <c r="C291" s="2">
        <v>8.79498843544091</v>
      </c>
      <c r="D291" s="2">
        <v>4.1140402639270102</v>
      </c>
      <c r="E291" s="2">
        <v>3.2513249586164401E-4</v>
      </c>
      <c r="F291" s="2">
        <v>4.5616164257724799E-3</v>
      </c>
      <c r="G291" s="2">
        <v>1.8387396463951799</v>
      </c>
      <c r="H291" s="1" t="str">
        <f>"ZNF577"</f>
        <v>ZNF577</v>
      </c>
    </row>
    <row r="292" spans="1:8">
      <c r="A292" s="2" t="str">
        <f>"207262_at"</f>
        <v>207262_at</v>
      </c>
      <c r="B292" s="2">
        <v>1.5319719498012501</v>
      </c>
      <c r="C292" s="2">
        <v>6.0559787363572699</v>
      </c>
      <c r="D292" s="2">
        <v>5.0500448003776803</v>
      </c>
      <c r="E292" s="3">
        <v>2.63507956500608E-5</v>
      </c>
      <c r="F292" s="2">
        <v>6.79269095788343E-4</v>
      </c>
      <c r="G292" s="2">
        <v>4.2195376455101403</v>
      </c>
      <c r="H292" s="1" t="str">
        <f>"APOF"</f>
        <v>APOF</v>
      </c>
    </row>
    <row r="293" spans="1:8">
      <c r="A293" s="2" t="str">
        <f>"1559917_a_at"</f>
        <v>1559917_a_at</v>
      </c>
      <c r="B293" s="2">
        <v>1.5317359719383701</v>
      </c>
      <c r="C293" s="2">
        <v>8.9980235369588293</v>
      </c>
      <c r="D293" s="2">
        <v>5.2431148889575603</v>
      </c>
      <c r="E293" s="3">
        <v>1.5678403181493299E-5</v>
      </c>
      <c r="F293" s="2">
        <v>4.55481771492107E-4</v>
      </c>
      <c r="G293" s="2">
        <v>4.7128541987308603</v>
      </c>
      <c r="H293" s="1" t="str">
        <f>"CBR3-AS1"</f>
        <v>CBR3-AS1</v>
      </c>
    </row>
    <row r="294" spans="1:8">
      <c r="A294" s="2" t="str">
        <f>"1555867_at"</f>
        <v>1555867_at</v>
      </c>
      <c r="B294" s="2">
        <v>1.5305826298870899</v>
      </c>
      <c r="C294" s="2">
        <v>9.6261743814436596</v>
      </c>
      <c r="D294" s="2">
        <v>4.1966508006251297</v>
      </c>
      <c r="E294" s="2">
        <v>2.6090096435100102E-4</v>
      </c>
      <c r="F294" s="2">
        <v>3.8275321405182201E-3</v>
      </c>
      <c r="G294" s="2">
        <v>2.0464911315779899</v>
      </c>
      <c r="H294" s="1" t="str">
        <f>"GNG4"</f>
        <v>GNG4</v>
      </c>
    </row>
    <row r="295" spans="1:8">
      <c r="A295" s="2" t="str">
        <f>"223897_at"</f>
        <v>223897_at</v>
      </c>
      <c r="B295" s="2">
        <v>1.53040744269922</v>
      </c>
      <c r="C295" s="2">
        <v>7.5805989707952204</v>
      </c>
      <c r="D295" s="2">
        <v>5.2541316992027403</v>
      </c>
      <c r="E295" s="3">
        <v>1.52212055759829E-5</v>
      </c>
      <c r="F295" s="2">
        <v>4.44087201102917E-4</v>
      </c>
      <c r="G295" s="2">
        <v>4.7409764829139398</v>
      </c>
      <c r="H295" s="1" t="str">
        <f>"ZNF765"</f>
        <v>ZNF765</v>
      </c>
    </row>
    <row r="296" spans="1:8">
      <c r="A296" s="2" t="str">
        <f>"220438_at"</f>
        <v>220438_at</v>
      </c>
      <c r="B296" s="2">
        <v>1.52958663042035</v>
      </c>
      <c r="C296" s="2">
        <v>6.1469594171286204</v>
      </c>
      <c r="D296" s="2">
        <v>4.5031862845451904</v>
      </c>
      <c r="E296" s="2">
        <v>1.14810692714801E-4</v>
      </c>
      <c r="F296" s="2">
        <v>2.07787971671027E-3</v>
      </c>
      <c r="G296" s="2">
        <v>2.8229965943296902</v>
      </c>
      <c r="H296" s="1" t="str">
        <f>"QPCTL"</f>
        <v>QPCTL</v>
      </c>
    </row>
    <row r="297" spans="1:8">
      <c r="A297" s="2" t="str">
        <f>"229938_at"</f>
        <v>229938_at</v>
      </c>
      <c r="B297" s="2">
        <v>1.5293415077783701</v>
      </c>
      <c r="C297" s="2">
        <v>3.8068510433634901</v>
      </c>
      <c r="D297" s="2">
        <v>3.5159868626366002</v>
      </c>
      <c r="E297" s="2">
        <v>1.5615910781580601E-3</v>
      </c>
      <c r="F297" s="2">
        <v>1.5132930201753301E-2</v>
      </c>
      <c r="G297" s="2">
        <v>0.36572807499070298</v>
      </c>
      <c r="H297" s="1" t="str">
        <f>"TMEM238"</f>
        <v>TMEM238</v>
      </c>
    </row>
    <row r="298" spans="1:8">
      <c r="A298" s="2" t="str">
        <f>"1557107_at"</f>
        <v>1557107_at</v>
      </c>
      <c r="B298" s="2">
        <v>1.5280446201895099</v>
      </c>
      <c r="C298" s="2">
        <v>4.8883949247788498</v>
      </c>
      <c r="D298" s="2">
        <v>3.9029282729069501</v>
      </c>
      <c r="E298" s="2">
        <v>5.6885882024157398E-4</v>
      </c>
      <c r="F298" s="2">
        <v>6.9860757450485199E-3</v>
      </c>
      <c r="G298" s="2">
        <v>1.3117975302290801</v>
      </c>
      <c r="H298" s="1" t="str">
        <f>"SLC26A4-AS1"</f>
        <v>SLC26A4-AS1</v>
      </c>
    </row>
    <row r="299" spans="1:8">
      <c r="A299" s="2" t="str">
        <f>"220153_at"</f>
        <v>220153_at</v>
      </c>
      <c r="B299" s="2">
        <v>1.5264959480620499</v>
      </c>
      <c r="C299" s="2">
        <v>6.3683267574731302</v>
      </c>
      <c r="D299" s="2">
        <v>3.2725447755639001</v>
      </c>
      <c r="E299" s="2">
        <v>2.9069069556676898E-3</v>
      </c>
      <c r="F299" s="2">
        <v>2.41353491155556E-2</v>
      </c>
      <c r="G299" s="2">
        <v>-0.211948009925853</v>
      </c>
      <c r="H299" s="1" t="str">
        <f>"ENTPD7"</f>
        <v>ENTPD7</v>
      </c>
    </row>
    <row r="300" spans="1:8">
      <c r="A300" s="2" t="str">
        <f>"1555397_at"</f>
        <v>1555397_at</v>
      </c>
      <c r="B300" s="2">
        <v>1.52128244922319</v>
      </c>
      <c r="C300" s="2">
        <v>3.93023743759144</v>
      </c>
      <c r="D300" s="2">
        <v>3.4717669143962899</v>
      </c>
      <c r="E300" s="2">
        <v>1.7497819785793299E-3</v>
      </c>
      <c r="F300" s="2">
        <v>1.6457823787859101E-2</v>
      </c>
      <c r="G300" s="2">
        <v>0.259650820596313</v>
      </c>
      <c r="H300" s="1" t="str">
        <f>"MYO1D"</f>
        <v>MYO1D</v>
      </c>
    </row>
    <row r="301" spans="1:8">
      <c r="A301" s="2" t="str">
        <f>"239282_at"</f>
        <v>239282_at</v>
      </c>
      <c r="B301" s="2">
        <v>1.52106150203196</v>
      </c>
      <c r="C301" s="2">
        <v>5.2033367368077101</v>
      </c>
      <c r="D301" s="2">
        <v>4.3879967245778202</v>
      </c>
      <c r="E301" s="2">
        <v>1.5639478432311901E-4</v>
      </c>
      <c r="F301" s="2">
        <v>2.6253868077575999E-3</v>
      </c>
      <c r="G301" s="2">
        <v>2.5303241924768001</v>
      </c>
      <c r="H301" s="1" t="str">
        <f>"CEP83"</f>
        <v>CEP83</v>
      </c>
    </row>
    <row r="302" spans="1:8">
      <c r="A302" s="2" t="str">
        <f>"205751_at"</f>
        <v>205751_at</v>
      </c>
      <c r="B302" s="2">
        <v>1.5205247268252799</v>
      </c>
      <c r="C302" s="2">
        <v>7.0355494563015597</v>
      </c>
      <c r="D302" s="2">
        <v>5.0385833123618804</v>
      </c>
      <c r="E302" s="3">
        <v>2.7176370602888501E-5</v>
      </c>
      <c r="F302" s="2">
        <v>6.9563111550230796E-4</v>
      </c>
      <c r="G302" s="2">
        <v>4.1902327228485801</v>
      </c>
      <c r="H302" s="1" t="str">
        <f>"SH3GL2"</f>
        <v>SH3GL2</v>
      </c>
    </row>
    <row r="303" spans="1:8">
      <c r="A303" s="2" t="str">
        <f>"204401_at"</f>
        <v>204401_at</v>
      </c>
      <c r="B303" s="2">
        <v>1.51859181034887</v>
      </c>
      <c r="C303" s="2">
        <v>9.7604957558561107</v>
      </c>
      <c r="D303" s="2">
        <v>3.29998280444266</v>
      </c>
      <c r="E303" s="2">
        <v>2.7120419539768902E-3</v>
      </c>
      <c r="F303" s="2">
        <v>2.2889918776425801E-2</v>
      </c>
      <c r="G303" s="2">
        <v>-0.14764872186326999</v>
      </c>
      <c r="H303" s="1" t="str">
        <f>"KCNN4"</f>
        <v>KCNN4</v>
      </c>
    </row>
    <row r="304" spans="1:8">
      <c r="A304" s="2" t="str">
        <f>"201596_x_at"</f>
        <v>201596_x_at</v>
      </c>
      <c r="B304" s="2">
        <v>1.5167567496860499</v>
      </c>
      <c r="C304" s="2">
        <v>13.8942249917487</v>
      </c>
      <c r="D304" s="2">
        <v>7.0739869709410401</v>
      </c>
      <c r="E304" s="3">
        <v>1.2918105347376099E-7</v>
      </c>
      <c r="F304" s="3">
        <v>1.31604340716305E-5</v>
      </c>
      <c r="G304" s="2">
        <v>9.2605355320618301</v>
      </c>
      <c r="H304" s="1" t="str">
        <f>"KRT18"</f>
        <v>KRT18</v>
      </c>
    </row>
    <row r="305" spans="1:8">
      <c r="A305" s="2" t="str">
        <f>"239433_at"</f>
        <v>239433_at</v>
      </c>
      <c r="B305" s="2">
        <v>1.51461599474969</v>
      </c>
      <c r="C305" s="2">
        <v>8.2116333505469399</v>
      </c>
      <c r="D305" s="2">
        <v>7.5894402604288196</v>
      </c>
      <c r="E305" s="3">
        <v>3.5629456929441002E-8</v>
      </c>
      <c r="F305" s="3">
        <v>5.5029394282971397E-6</v>
      </c>
      <c r="G305" s="2">
        <v>10.471237180244</v>
      </c>
      <c r="H305" s="1" t="str">
        <f>"LRRC8E"</f>
        <v>LRRC8E</v>
      </c>
    </row>
    <row r="306" spans="1:8">
      <c r="A306" s="2" t="str">
        <f>"233499_at"</f>
        <v>233499_at</v>
      </c>
      <c r="B306" s="2">
        <v>1.51377490110598</v>
      </c>
      <c r="C306" s="2">
        <v>4.9772220940980203</v>
      </c>
      <c r="D306" s="2">
        <v>3.1720921187097302</v>
      </c>
      <c r="E306" s="2">
        <v>3.7418382898381699E-3</v>
      </c>
      <c r="F306" s="2">
        <v>2.91307145802224E-2</v>
      </c>
      <c r="G306" s="2">
        <v>-0.44542301391474198</v>
      </c>
      <c r="H306" s="1" t="str">
        <f>"LRRC7"</f>
        <v>LRRC7</v>
      </c>
    </row>
    <row r="307" spans="1:8">
      <c r="A307" s="2" t="str">
        <f>"201079_at"</f>
        <v>201079_at</v>
      </c>
      <c r="B307" s="2">
        <v>1.51257588693344</v>
      </c>
      <c r="C307" s="2">
        <v>12.724436225263</v>
      </c>
      <c r="D307" s="2">
        <v>9.1483648813316094</v>
      </c>
      <c r="E307" s="3">
        <v>8.9229450061387298E-10</v>
      </c>
      <c r="F307" s="3">
        <v>4.31736299301447E-7</v>
      </c>
      <c r="G307" s="2">
        <v>13.895821735809101</v>
      </c>
      <c r="H307" s="1" t="str">
        <f>"SYNGR2"</f>
        <v>SYNGR2</v>
      </c>
    </row>
    <row r="308" spans="1:8">
      <c r="A308" s="2" t="str">
        <f>"242601_at"</f>
        <v>242601_at</v>
      </c>
      <c r="B308" s="2">
        <v>1.5112733604136901</v>
      </c>
      <c r="C308" s="2">
        <v>5.9635116495960796</v>
      </c>
      <c r="D308" s="2">
        <v>2.92636528745625</v>
      </c>
      <c r="E308" s="2">
        <v>6.86135885487293E-3</v>
      </c>
      <c r="F308" s="2">
        <v>4.6268475011122003E-2</v>
      </c>
      <c r="G308" s="2">
        <v>-1.0024635756471001</v>
      </c>
      <c r="H308" s="1" t="str">
        <f>"HEPACAM2"</f>
        <v>HEPACAM2</v>
      </c>
    </row>
    <row r="309" spans="1:8">
      <c r="A309" s="2" t="str">
        <f>"224839_s_at"</f>
        <v>224839_s_at</v>
      </c>
      <c r="B309" s="2">
        <v>1.51062898368354</v>
      </c>
      <c r="C309" s="2">
        <v>9.3534477210264804</v>
      </c>
      <c r="D309" s="2">
        <v>6.3215540636012397</v>
      </c>
      <c r="E309" s="3">
        <v>8.9504666325787704E-7</v>
      </c>
      <c r="F309" s="3">
        <v>5.2450885652330602E-5</v>
      </c>
      <c r="G309" s="2">
        <v>7.4312150760450804</v>
      </c>
      <c r="H309" s="1" t="str">
        <f>"GPT2"</f>
        <v>GPT2</v>
      </c>
    </row>
    <row r="310" spans="1:8">
      <c r="A310" s="2" t="str">
        <f>"202286_s_at"</f>
        <v>202286_s_at</v>
      </c>
      <c r="B310" s="2">
        <v>1.5098869550988701</v>
      </c>
      <c r="C310" s="2">
        <v>14.242009765727399</v>
      </c>
      <c r="D310" s="2">
        <v>5.3736064828784098</v>
      </c>
      <c r="E310" s="3">
        <v>1.1045638956083E-5</v>
      </c>
      <c r="F310" s="2">
        <v>3.5050511313049101E-4</v>
      </c>
      <c r="G310" s="2">
        <v>5.0456874580579303</v>
      </c>
      <c r="H310" s="1" t="str">
        <f>"TACSTD2"</f>
        <v>TACSTD2</v>
      </c>
    </row>
    <row r="311" spans="1:8">
      <c r="A311" s="2" t="str">
        <f>"204875_s_at"</f>
        <v>204875_s_at</v>
      </c>
      <c r="B311" s="2">
        <v>1.5089072355336599</v>
      </c>
      <c r="C311" s="2">
        <v>10.1743324205249</v>
      </c>
      <c r="D311" s="2">
        <v>8.2675515939791904</v>
      </c>
      <c r="E311" s="3">
        <v>6.8899525820657803E-9</v>
      </c>
      <c r="F311" s="3">
        <v>1.6742584774419901E-6</v>
      </c>
      <c r="G311" s="2">
        <v>12.005780447967201</v>
      </c>
      <c r="H311" s="1" t="str">
        <f>"GMDS"</f>
        <v>GMDS</v>
      </c>
    </row>
    <row r="312" spans="1:8">
      <c r="A312" s="2" t="str">
        <f>"228230_at"</f>
        <v>228230_at</v>
      </c>
      <c r="B312" s="2">
        <v>1.50655227566034</v>
      </c>
      <c r="C312" s="2">
        <v>7.9145668879651501</v>
      </c>
      <c r="D312" s="2">
        <v>4.11791381498477</v>
      </c>
      <c r="E312" s="2">
        <v>3.2179870325599297E-4</v>
      </c>
      <c r="F312" s="2">
        <v>4.5252942645373998E-3</v>
      </c>
      <c r="G312" s="2">
        <v>1.8484633752653601</v>
      </c>
      <c r="H312" s="1" t="str">
        <f>"HELZ2"</f>
        <v>HELZ2</v>
      </c>
    </row>
    <row r="313" spans="1:8">
      <c r="A313" s="2" t="str">
        <f>"226129_at"</f>
        <v>226129_at</v>
      </c>
      <c r="B313" s="2">
        <v>1.50574579900622</v>
      </c>
      <c r="C313" s="2">
        <v>10.1834731926402</v>
      </c>
      <c r="D313" s="2">
        <v>6.6674974547674104</v>
      </c>
      <c r="E313" s="3">
        <v>3.6477253988619801E-7</v>
      </c>
      <c r="F313" s="3">
        <v>2.77770732845096E-5</v>
      </c>
      <c r="G313" s="2">
        <v>8.2807597281960597</v>
      </c>
      <c r="H313" s="1" t="str">
        <f>"FAM83H"</f>
        <v>FAM83H</v>
      </c>
    </row>
    <row r="314" spans="1:8">
      <c r="A314" s="2" t="str">
        <f>"238625_at"</f>
        <v>238625_at</v>
      </c>
      <c r="B314" s="2">
        <v>1.50377430212986</v>
      </c>
      <c r="C314" s="2">
        <v>7.5652993130782704</v>
      </c>
      <c r="D314" s="2">
        <v>3.7217906709769002</v>
      </c>
      <c r="E314" s="2">
        <v>9.1530110929984899E-4</v>
      </c>
      <c r="F314" s="2">
        <v>1.0045533752653799E-2</v>
      </c>
      <c r="G314" s="2">
        <v>0.86525454577020799</v>
      </c>
      <c r="H314" s="1" t="str">
        <f>"FYB2"</f>
        <v>FYB2</v>
      </c>
    </row>
    <row r="315" spans="1:8">
      <c r="A315" s="2" t="str">
        <f>"208190_s_at"</f>
        <v>208190_s_at</v>
      </c>
      <c r="B315" s="2">
        <v>1.50373129402205</v>
      </c>
      <c r="C315" s="2">
        <v>10.755273169607699</v>
      </c>
      <c r="D315" s="2">
        <v>7.4516304265649103</v>
      </c>
      <c r="E315" s="3">
        <v>5.0114861202801897E-8</v>
      </c>
      <c r="F315" s="3">
        <v>7.0077494533585503E-6</v>
      </c>
      <c r="G315" s="2">
        <v>10.151180556198801</v>
      </c>
      <c r="H315" s="1" t="str">
        <f>"LSR"</f>
        <v>LSR</v>
      </c>
    </row>
    <row r="316" spans="1:8">
      <c r="A316" s="2" t="str">
        <f>"236674_at"</f>
        <v>236674_at</v>
      </c>
      <c r="B316" s="2">
        <v>1.5023240883967299</v>
      </c>
      <c r="C316" s="2">
        <v>5.2861016793134397</v>
      </c>
      <c r="D316" s="2">
        <v>3.59093523489341</v>
      </c>
      <c r="E316" s="2">
        <v>1.2866086238297999E-3</v>
      </c>
      <c r="F316" s="2">
        <v>1.3046240079357301E-2</v>
      </c>
      <c r="G316" s="2">
        <v>0.54657298072361604</v>
      </c>
      <c r="H316" s="1" t="str">
        <f>"LOC388780"</f>
        <v>LOC388780</v>
      </c>
    </row>
    <row r="317" spans="1:8">
      <c r="A317" s="2" t="str">
        <f>"229289_at"</f>
        <v>229289_at</v>
      </c>
      <c r="B317" s="2">
        <v>1.5007209928092899</v>
      </c>
      <c r="C317" s="2">
        <v>6.0130321529998598</v>
      </c>
      <c r="D317" s="2">
        <v>3.70506779367452</v>
      </c>
      <c r="E317" s="2">
        <v>9.5615882582430903E-4</v>
      </c>
      <c r="F317" s="2">
        <v>1.03911714971068E-2</v>
      </c>
      <c r="G317" s="2">
        <v>0.82433271832948196</v>
      </c>
      <c r="H317" s="1" t="str">
        <f>"FAM71E1"</f>
        <v>FAM71E1</v>
      </c>
    </row>
    <row r="318" spans="1:8">
      <c r="A318" s="2" t="str">
        <f>"217979_at"</f>
        <v>217979_at</v>
      </c>
      <c r="B318" s="2">
        <v>1.5003995446657701</v>
      </c>
      <c r="C318" s="2">
        <v>13.0578396323926</v>
      </c>
      <c r="D318" s="2">
        <v>4.3174934151559503</v>
      </c>
      <c r="E318" s="2">
        <v>1.88901681670202E-4</v>
      </c>
      <c r="F318" s="2">
        <v>3.02347758937889E-3</v>
      </c>
      <c r="G318" s="2">
        <v>2.3516706403014398</v>
      </c>
      <c r="H318" s="1" t="str">
        <f>"TSPAN13"</f>
        <v>TSPAN13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S1 Detailed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Arash</dc:creator>
  <cp:lastModifiedBy>MDPI</cp:lastModifiedBy>
  <dcterms:created xsi:type="dcterms:W3CDTF">2021-05-12T12:50:42Z</dcterms:created>
  <dcterms:modified xsi:type="dcterms:W3CDTF">2022-05-08T09:08:45Z</dcterms:modified>
</cp:coreProperties>
</file>