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20508\skip pub\跳发\2\genes-1667281-supplementary\"/>
    </mc:Choice>
  </mc:AlternateContent>
  <xr:revisionPtr revIDLastSave="0" documentId="13_ncr:1_{D93896AF-A5FC-44BE-85DB-C4CEB00320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pplementary Table S2 Detailed" sheetId="3" r:id="rId1"/>
  </sheets>
  <calcPr calcId="191029"/>
</workbook>
</file>

<file path=xl/calcChain.xml><?xml version="1.0" encoding="utf-8"?>
<calcChain xmlns="http://schemas.openxmlformats.org/spreadsheetml/2006/main">
  <c r="H676" i="3" l="1"/>
  <c r="A676" i="3"/>
  <c r="H675" i="3"/>
  <c r="A675" i="3"/>
  <c r="H674" i="3"/>
  <c r="A674" i="3"/>
  <c r="H673" i="3"/>
  <c r="A673" i="3"/>
  <c r="H672" i="3"/>
  <c r="A672" i="3"/>
  <c r="H671" i="3"/>
  <c r="A671" i="3"/>
  <c r="H670" i="3"/>
  <c r="A670" i="3"/>
  <c r="H669" i="3"/>
  <c r="A669" i="3"/>
  <c r="H668" i="3"/>
  <c r="A668" i="3"/>
  <c r="H667" i="3"/>
  <c r="A667" i="3"/>
  <c r="H666" i="3"/>
  <c r="A666" i="3"/>
  <c r="H665" i="3"/>
  <c r="A665" i="3"/>
  <c r="H664" i="3"/>
  <c r="A664" i="3"/>
  <c r="H663" i="3"/>
  <c r="A663" i="3"/>
  <c r="H662" i="3"/>
  <c r="A662" i="3"/>
  <c r="H661" i="3"/>
  <c r="A661" i="3"/>
  <c r="H660" i="3"/>
  <c r="A660" i="3"/>
  <c r="H659" i="3"/>
  <c r="A659" i="3"/>
  <c r="H658" i="3"/>
  <c r="A658" i="3"/>
  <c r="H657" i="3"/>
  <c r="A657" i="3"/>
  <c r="H656" i="3"/>
  <c r="A656" i="3"/>
  <c r="H655" i="3"/>
  <c r="A655" i="3"/>
  <c r="H654" i="3"/>
  <c r="A654" i="3"/>
  <c r="H653" i="3"/>
  <c r="A653" i="3"/>
  <c r="H652" i="3"/>
  <c r="A652" i="3"/>
  <c r="H651" i="3"/>
  <c r="A651" i="3"/>
  <c r="H650" i="3"/>
  <c r="A650" i="3"/>
  <c r="H649" i="3"/>
  <c r="A649" i="3"/>
  <c r="H648" i="3"/>
  <c r="A648" i="3"/>
  <c r="H647" i="3"/>
  <c r="A647" i="3"/>
  <c r="H646" i="3"/>
  <c r="A646" i="3"/>
  <c r="H645" i="3"/>
  <c r="A645" i="3"/>
  <c r="H644" i="3"/>
  <c r="A644" i="3"/>
  <c r="H643" i="3"/>
  <c r="A643" i="3"/>
  <c r="H642" i="3"/>
  <c r="A642" i="3"/>
  <c r="H641" i="3"/>
  <c r="A641" i="3"/>
  <c r="H640" i="3"/>
  <c r="A640" i="3"/>
  <c r="H639" i="3"/>
  <c r="A639" i="3"/>
  <c r="H638" i="3"/>
  <c r="A638" i="3"/>
  <c r="H637" i="3"/>
  <c r="A637" i="3"/>
  <c r="H636" i="3"/>
  <c r="A636" i="3"/>
  <c r="H635" i="3"/>
  <c r="A635" i="3"/>
  <c r="H634" i="3"/>
  <c r="A634" i="3"/>
  <c r="H633" i="3"/>
  <c r="A633" i="3"/>
  <c r="H632" i="3"/>
  <c r="A632" i="3"/>
  <c r="H631" i="3"/>
  <c r="A631" i="3"/>
  <c r="H630" i="3"/>
  <c r="A630" i="3"/>
  <c r="H629" i="3"/>
  <c r="A629" i="3"/>
  <c r="H628" i="3"/>
  <c r="A628" i="3"/>
  <c r="H627" i="3"/>
  <c r="A627" i="3"/>
  <c r="H626" i="3"/>
  <c r="A626" i="3"/>
  <c r="H625" i="3"/>
  <c r="A625" i="3"/>
  <c r="H624" i="3"/>
  <c r="A624" i="3"/>
  <c r="H623" i="3"/>
  <c r="A623" i="3"/>
  <c r="H622" i="3"/>
  <c r="A622" i="3"/>
  <c r="H621" i="3"/>
  <c r="A621" i="3"/>
  <c r="H620" i="3"/>
  <c r="A620" i="3"/>
  <c r="H619" i="3"/>
  <c r="A619" i="3"/>
  <c r="H618" i="3"/>
  <c r="A618" i="3"/>
  <c r="H617" i="3"/>
  <c r="A617" i="3"/>
  <c r="H616" i="3"/>
  <c r="A616" i="3"/>
  <c r="H615" i="3"/>
  <c r="A615" i="3"/>
  <c r="H614" i="3"/>
  <c r="A614" i="3"/>
  <c r="H613" i="3"/>
  <c r="A613" i="3"/>
  <c r="H612" i="3"/>
  <c r="A612" i="3"/>
  <c r="H611" i="3"/>
  <c r="A611" i="3"/>
  <c r="H610" i="3"/>
  <c r="A610" i="3"/>
  <c r="H609" i="3"/>
  <c r="A609" i="3"/>
  <c r="H608" i="3"/>
  <c r="A608" i="3"/>
  <c r="H607" i="3"/>
  <c r="A607" i="3"/>
  <c r="H606" i="3"/>
  <c r="A606" i="3"/>
  <c r="H605" i="3"/>
  <c r="A605" i="3"/>
  <c r="H604" i="3"/>
  <c r="A604" i="3"/>
  <c r="H603" i="3"/>
  <c r="A603" i="3"/>
  <c r="H602" i="3"/>
  <c r="A602" i="3"/>
  <c r="H601" i="3"/>
  <c r="A601" i="3"/>
  <c r="H600" i="3"/>
  <c r="A600" i="3"/>
  <c r="H599" i="3"/>
  <c r="A599" i="3"/>
  <c r="H598" i="3"/>
  <c r="A598" i="3"/>
  <c r="H597" i="3"/>
  <c r="A597" i="3"/>
  <c r="H596" i="3"/>
  <c r="A596" i="3"/>
  <c r="H595" i="3"/>
  <c r="A595" i="3"/>
  <c r="H594" i="3"/>
  <c r="A594" i="3"/>
  <c r="H593" i="3"/>
  <c r="A593" i="3"/>
  <c r="H592" i="3"/>
  <c r="A592" i="3"/>
  <c r="H591" i="3"/>
  <c r="A591" i="3"/>
  <c r="H590" i="3"/>
  <c r="A590" i="3"/>
  <c r="H589" i="3"/>
  <c r="A589" i="3"/>
  <c r="H588" i="3"/>
  <c r="A588" i="3"/>
  <c r="H587" i="3"/>
  <c r="A587" i="3"/>
  <c r="H586" i="3"/>
  <c r="A586" i="3"/>
  <c r="H585" i="3"/>
  <c r="A585" i="3"/>
  <c r="H584" i="3"/>
  <c r="A584" i="3"/>
  <c r="H583" i="3"/>
  <c r="A583" i="3"/>
  <c r="H582" i="3"/>
  <c r="A582" i="3"/>
  <c r="H581" i="3"/>
  <c r="A581" i="3"/>
  <c r="H580" i="3"/>
  <c r="A580" i="3"/>
  <c r="H579" i="3"/>
  <c r="A579" i="3"/>
  <c r="H578" i="3"/>
  <c r="A578" i="3"/>
  <c r="H577" i="3"/>
  <c r="A577" i="3"/>
  <c r="H576" i="3"/>
  <c r="A576" i="3"/>
  <c r="H575" i="3"/>
  <c r="A575" i="3"/>
  <c r="H574" i="3"/>
  <c r="A574" i="3"/>
  <c r="H573" i="3"/>
  <c r="A573" i="3"/>
  <c r="H572" i="3"/>
  <c r="A572" i="3"/>
  <c r="H571" i="3"/>
  <c r="A571" i="3"/>
  <c r="H570" i="3"/>
  <c r="A570" i="3"/>
  <c r="H569" i="3"/>
  <c r="A569" i="3"/>
  <c r="H568" i="3"/>
  <c r="A568" i="3"/>
  <c r="H567" i="3"/>
  <c r="A567" i="3"/>
  <c r="H566" i="3"/>
  <c r="A566" i="3"/>
  <c r="H565" i="3"/>
  <c r="A565" i="3"/>
  <c r="H564" i="3"/>
  <c r="A564" i="3"/>
  <c r="H563" i="3"/>
  <c r="A563" i="3"/>
  <c r="H562" i="3"/>
  <c r="A562" i="3"/>
  <c r="H561" i="3"/>
  <c r="A561" i="3"/>
  <c r="H560" i="3"/>
  <c r="A560" i="3"/>
  <c r="H559" i="3"/>
  <c r="A559" i="3"/>
  <c r="H558" i="3"/>
  <c r="A558" i="3"/>
  <c r="H557" i="3"/>
  <c r="A557" i="3"/>
  <c r="H556" i="3"/>
  <c r="A556" i="3"/>
  <c r="H555" i="3"/>
  <c r="A555" i="3"/>
  <c r="H554" i="3"/>
  <c r="A554" i="3"/>
  <c r="H553" i="3"/>
  <c r="A553" i="3"/>
  <c r="H552" i="3"/>
  <c r="A552" i="3"/>
  <c r="H551" i="3"/>
  <c r="A551" i="3"/>
  <c r="H550" i="3"/>
  <c r="A550" i="3"/>
  <c r="H549" i="3"/>
  <c r="A549" i="3"/>
  <c r="H548" i="3"/>
  <c r="A548" i="3"/>
  <c r="H547" i="3"/>
  <c r="A547" i="3"/>
  <c r="H546" i="3"/>
  <c r="A546" i="3"/>
  <c r="H545" i="3"/>
  <c r="A545" i="3"/>
  <c r="H544" i="3"/>
  <c r="A544" i="3"/>
  <c r="H543" i="3"/>
  <c r="A543" i="3"/>
  <c r="H542" i="3"/>
  <c r="A542" i="3"/>
  <c r="H541" i="3"/>
  <c r="A541" i="3"/>
  <c r="H540" i="3"/>
  <c r="A540" i="3"/>
  <c r="H539" i="3"/>
  <c r="A539" i="3"/>
  <c r="H538" i="3"/>
  <c r="A538" i="3"/>
  <c r="H537" i="3"/>
  <c r="A537" i="3"/>
  <c r="H536" i="3"/>
  <c r="A536" i="3"/>
  <c r="H535" i="3"/>
  <c r="A535" i="3"/>
  <c r="H534" i="3"/>
  <c r="A534" i="3"/>
  <c r="H533" i="3"/>
  <c r="A533" i="3"/>
  <c r="H532" i="3"/>
  <c r="A532" i="3"/>
  <c r="H531" i="3"/>
  <c r="A531" i="3"/>
  <c r="H530" i="3"/>
  <c r="A530" i="3"/>
  <c r="H529" i="3"/>
  <c r="A529" i="3"/>
  <c r="H528" i="3"/>
  <c r="A528" i="3"/>
  <c r="H527" i="3"/>
  <c r="A527" i="3"/>
  <c r="H526" i="3"/>
  <c r="A526" i="3"/>
  <c r="H525" i="3"/>
  <c r="A525" i="3"/>
  <c r="H524" i="3"/>
  <c r="A524" i="3"/>
  <c r="H523" i="3"/>
  <c r="A523" i="3"/>
  <c r="H522" i="3"/>
  <c r="A522" i="3"/>
  <c r="H521" i="3"/>
  <c r="A521" i="3"/>
  <c r="H520" i="3"/>
  <c r="A520" i="3"/>
  <c r="H519" i="3"/>
  <c r="A519" i="3"/>
  <c r="H518" i="3"/>
  <c r="A518" i="3"/>
  <c r="H517" i="3"/>
  <c r="A517" i="3"/>
  <c r="H516" i="3"/>
  <c r="A516" i="3"/>
  <c r="H515" i="3"/>
  <c r="A515" i="3"/>
  <c r="H514" i="3"/>
  <c r="A514" i="3"/>
  <c r="H513" i="3"/>
  <c r="A513" i="3"/>
  <c r="H512" i="3"/>
  <c r="A512" i="3"/>
  <c r="H511" i="3"/>
  <c r="A511" i="3"/>
  <c r="H510" i="3"/>
  <c r="A510" i="3"/>
  <c r="H509" i="3"/>
  <c r="A509" i="3"/>
  <c r="H508" i="3"/>
  <c r="A508" i="3"/>
  <c r="H507" i="3"/>
  <c r="A507" i="3"/>
  <c r="H506" i="3"/>
  <c r="A506" i="3"/>
  <c r="H505" i="3"/>
  <c r="A505" i="3"/>
  <c r="H504" i="3"/>
  <c r="A504" i="3"/>
  <c r="H503" i="3"/>
  <c r="A503" i="3"/>
  <c r="H502" i="3"/>
  <c r="A502" i="3"/>
  <c r="H501" i="3"/>
  <c r="A501" i="3"/>
  <c r="H500" i="3"/>
  <c r="A500" i="3"/>
  <c r="H499" i="3"/>
  <c r="A499" i="3"/>
  <c r="H498" i="3"/>
  <c r="A498" i="3"/>
  <c r="H497" i="3"/>
  <c r="A497" i="3"/>
  <c r="H496" i="3"/>
  <c r="A496" i="3"/>
  <c r="H495" i="3"/>
  <c r="A495" i="3"/>
  <c r="H494" i="3"/>
  <c r="A494" i="3"/>
  <c r="H493" i="3"/>
  <c r="A493" i="3"/>
  <c r="H492" i="3"/>
  <c r="A492" i="3"/>
  <c r="H491" i="3"/>
  <c r="A491" i="3"/>
  <c r="H490" i="3"/>
  <c r="A490" i="3"/>
  <c r="H489" i="3"/>
  <c r="A489" i="3"/>
  <c r="H488" i="3"/>
  <c r="A488" i="3"/>
  <c r="H487" i="3"/>
  <c r="A487" i="3"/>
  <c r="H486" i="3"/>
  <c r="A486" i="3"/>
  <c r="H485" i="3"/>
  <c r="A485" i="3"/>
  <c r="H484" i="3"/>
  <c r="A484" i="3"/>
  <c r="H483" i="3"/>
  <c r="A483" i="3"/>
  <c r="H482" i="3"/>
  <c r="A482" i="3"/>
  <c r="H481" i="3"/>
  <c r="A481" i="3"/>
  <c r="H480" i="3"/>
  <c r="A480" i="3"/>
  <c r="H479" i="3"/>
  <c r="A479" i="3"/>
  <c r="H478" i="3"/>
  <c r="A478" i="3"/>
  <c r="H477" i="3"/>
  <c r="A477" i="3"/>
  <c r="H476" i="3"/>
  <c r="A476" i="3"/>
  <c r="H475" i="3"/>
  <c r="A475" i="3"/>
  <c r="H474" i="3"/>
  <c r="A474" i="3"/>
  <c r="H473" i="3"/>
  <c r="A473" i="3"/>
  <c r="H472" i="3"/>
  <c r="A472" i="3"/>
  <c r="H471" i="3"/>
  <c r="A471" i="3"/>
  <c r="H470" i="3"/>
  <c r="A470" i="3"/>
  <c r="H469" i="3"/>
  <c r="A469" i="3"/>
  <c r="H468" i="3"/>
  <c r="A468" i="3"/>
  <c r="H467" i="3"/>
  <c r="A467" i="3"/>
  <c r="H466" i="3"/>
  <c r="A466" i="3"/>
  <c r="H465" i="3"/>
  <c r="A465" i="3"/>
  <c r="H464" i="3"/>
  <c r="A464" i="3"/>
  <c r="H463" i="3"/>
  <c r="A463" i="3"/>
  <c r="H462" i="3"/>
  <c r="A462" i="3"/>
  <c r="H461" i="3"/>
  <c r="A461" i="3"/>
  <c r="H460" i="3"/>
  <c r="A460" i="3"/>
  <c r="H459" i="3"/>
  <c r="A459" i="3"/>
  <c r="H458" i="3"/>
  <c r="A458" i="3"/>
  <c r="H457" i="3"/>
  <c r="A457" i="3"/>
  <c r="H456" i="3"/>
  <c r="A456" i="3"/>
  <c r="H455" i="3"/>
  <c r="A455" i="3"/>
  <c r="H454" i="3"/>
  <c r="A454" i="3"/>
  <c r="H453" i="3"/>
  <c r="A453" i="3"/>
  <c r="H452" i="3"/>
  <c r="A452" i="3"/>
  <c r="H451" i="3"/>
  <c r="A451" i="3"/>
  <c r="H450" i="3"/>
  <c r="A450" i="3"/>
  <c r="H449" i="3"/>
  <c r="A449" i="3"/>
  <c r="H448" i="3"/>
  <c r="A448" i="3"/>
  <c r="H447" i="3"/>
  <c r="A447" i="3"/>
  <c r="H446" i="3"/>
  <c r="A446" i="3"/>
  <c r="H445" i="3"/>
  <c r="A445" i="3"/>
  <c r="H444" i="3"/>
  <c r="A444" i="3"/>
  <c r="H443" i="3"/>
  <c r="A443" i="3"/>
  <c r="H442" i="3"/>
  <c r="A442" i="3"/>
  <c r="H441" i="3"/>
  <c r="A441" i="3"/>
  <c r="H440" i="3"/>
  <c r="A440" i="3"/>
  <c r="H439" i="3"/>
  <c r="A439" i="3"/>
  <c r="H438" i="3"/>
  <c r="A438" i="3"/>
  <c r="H437" i="3"/>
  <c r="A437" i="3"/>
  <c r="H436" i="3"/>
  <c r="A436" i="3"/>
  <c r="H435" i="3"/>
  <c r="A435" i="3"/>
  <c r="H434" i="3"/>
  <c r="A434" i="3"/>
  <c r="H433" i="3"/>
  <c r="A433" i="3"/>
  <c r="H432" i="3"/>
  <c r="A432" i="3"/>
  <c r="H431" i="3"/>
  <c r="A431" i="3"/>
  <c r="H430" i="3"/>
  <c r="A430" i="3"/>
  <c r="H429" i="3"/>
  <c r="A429" i="3"/>
  <c r="H428" i="3"/>
  <c r="A428" i="3"/>
  <c r="H427" i="3"/>
  <c r="A427" i="3"/>
  <c r="H426" i="3"/>
  <c r="A426" i="3"/>
  <c r="H425" i="3"/>
  <c r="A425" i="3"/>
  <c r="H424" i="3"/>
  <c r="A424" i="3"/>
  <c r="H423" i="3"/>
  <c r="A423" i="3"/>
  <c r="H422" i="3"/>
  <c r="A422" i="3"/>
  <c r="H421" i="3"/>
  <c r="A421" i="3"/>
  <c r="H420" i="3"/>
  <c r="A420" i="3"/>
  <c r="H419" i="3"/>
  <c r="A419" i="3"/>
  <c r="H418" i="3"/>
  <c r="A418" i="3"/>
  <c r="H417" i="3"/>
  <c r="A417" i="3"/>
  <c r="H416" i="3"/>
  <c r="A416" i="3"/>
  <c r="H415" i="3"/>
  <c r="A415" i="3"/>
  <c r="H414" i="3"/>
  <c r="A414" i="3"/>
  <c r="H413" i="3"/>
  <c r="A413" i="3"/>
  <c r="H412" i="3"/>
  <c r="A412" i="3"/>
  <c r="H411" i="3"/>
  <c r="A411" i="3"/>
  <c r="H410" i="3"/>
  <c r="A410" i="3"/>
  <c r="H409" i="3"/>
  <c r="A409" i="3"/>
  <c r="H408" i="3"/>
  <c r="A408" i="3"/>
  <c r="H407" i="3"/>
  <c r="A407" i="3"/>
  <c r="H406" i="3"/>
  <c r="A406" i="3"/>
  <c r="H405" i="3"/>
  <c r="A405" i="3"/>
  <c r="H404" i="3"/>
  <c r="A404" i="3"/>
  <c r="H403" i="3"/>
  <c r="A403" i="3"/>
  <c r="H402" i="3"/>
  <c r="A402" i="3"/>
  <c r="H401" i="3"/>
  <c r="A401" i="3"/>
  <c r="H400" i="3"/>
  <c r="A400" i="3"/>
  <c r="H399" i="3"/>
  <c r="A399" i="3"/>
  <c r="H398" i="3"/>
  <c r="A398" i="3"/>
  <c r="H397" i="3"/>
  <c r="A397" i="3"/>
  <c r="H396" i="3"/>
  <c r="A396" i="3"/>
  <c r="H395" i="3"/>
  <c r="A395" i="3"/>
  <c r="H394" i="3"/>
  <c r="A394" i="3"/>
  <c r="H393" i="3"/>
  <c r="A393" i="3"/>
  <c r="H392" i="3"/>
  <c r="A392" i="3"/>
  <c r="H391" i="3"/>
  <c r="A391" i="3"/>
  <c r="H390" i="3"/>
  <c r="A390" i="3"/>
  <c r="H389" i="3"/>
  <c r="A389" i="3"/>
  <c r="H388" i="3"/>
  <c r="A388" i="3"/>
  <c r="H387" i="3"/>
  <c r="A387" i="3"/>
  <c r="H386" i="3"/>
  <c r="A386" i="3"/>
  <c r="H385" i="3"/>
  <c r="A385" i="3"/>
  <c r="H384" i="3"/>
  <c r="A384" i="3"/>
  <c r="H383" i="3"/>
  <c r="A383" i="3"/>
  <c r="H382" i="3"/>
  <c r="A382" i="3"/>
  <c r="H381" i="3"/>
  <c r="A381" i="3"/>
  <c r="H380" i="3"/>
  <c r="A380" i="3"/>
  <c r="H379" i="3"/>
  <c r="A379" i="3"/>
  <c r="H378" i="3"/>
  <c r="A378" i="3"/>
  <c r="H377" i="3"/>
  <c r="A377" i="3"/>
  <c r="H376" i="3"/>
  <c r="A376" i="3"/>
  <c r="H375" i="3"/>
  <c r="A375" i="3"/>
  <c r="H374" i="3"/>
  <c r="A374" i="3"/>
  <c r="H373" i="3"/>
  <c r="A373" i="3"/>
  <c r="H372" i="3"/>
  <c r="A372" i="3"/>
  <c r="H371" i="3"/>
  <c r="A371" i="3"/>
  <c r="H370" i="3"/>
  <c r="A370" i="3"/>
  <c r="H369" i="3"/>
  <c r="A369" i="3"/>
  <c r="H368" i="3"/>
  <c r="A368" i="3"/>
  <c r="H367" i="3"/>
  <c r="A367" i="3"/>
  <c r="H366" i="3"/>
  <c r="A366" i="3"/>
  <c r="H365" i="3"/>
  <c r="A365" i="3"/>
  <c r="H364" i="3"/>
  <c r="A364" i="3"/>
  <c r="H363" i="3"/>
  <c r="A363" i="3"/>
  <c r="H362" i="3"/>
  <c r="A362" i="3"/>
  <c r="H361" i="3"/>
  <c r="A361" i="3"/>
  <c r="H360" i="3"/>
  <c r="A360" i="3"/>
  <c r="H359" i="3"/>
  <c r="A359" i="3"/>
  <c r="H358" i="3"/>
  <c r="A358" i="3"/>
  <c r="H357" i="3"/>
  <c r="A357" i="3"/>
  <c r="H356" i="3"/>
  <c r="A356" i="3"/>
  <c r="H355" i="3"/>
  <c r="A355" i="3"/>
  <c r="H354" i="3"/>
  <c r="A354" i="3"/>
  <c r="H353" i="3"/>
  <c r="A353" i="3"/>
  <c r="H352" i="3"/>
  <c r="A352" i="3"/>
  <c r="H351" i="3"/>
  <c r="A351" i="3"/>
  <c r="H350" i="3"/>
  <c r="A350" i="3"/>
  <c r="H349" i="3"/>
  <c r="A349" i="3"/>
  <c r="H348" i="3"/>
  <c r="A348" i="3"/>
  <c r="H347" i="3"/>
  <c r="A347" i="3"/>
  <c r="H346" i="3"/>
  <c r="A346" i="3"/>
  <c r="H345" i="3"/>
  <c r="A345" i="3"/>
  <c r="H344" i="3"/>
  <c r="A344" i="3"/>
  <c r="H343" i="3"/>
  <c r="A343" i="3"/>
  <c r="H342" i="3"/>
  <c r="A342" i="3"/>
  <c r="H341" i="3"/>
  <c r="A341" i="3"/>
  <c r="H340" i="3"/>
  <c r="A340" i="3"/>
  <c r="H339" i="3"/>
  <c r="A339" i="3"/>
  <c r="H338" i="3"/>
  <c r="A338" i="3"/>
  <c r="H337" i="3"/>
  <c r="A337" i="3"/>
  <c r="H336" i="3"/>
  <c r="A336" i="3"/>
  <c r="H335" i="3"/>
  <c r="A335" i="3"/>
  <c r="H334" i="3"/>
  <c r="A334" i="3"/>
  <c r="H333" i="3"/>
  <c r="A333" i="3"/>
  <c r="H332" i="3"/>
  <c r="A332" i="3"/>
  <c r="H331" i="3"/>
  <c r="A331" i="3"/>
  <c r="H330" i="3"/>
  <c r="A330" i="3"/>
  <c r="H329" i="3"/>
  <c r="A329" i="3"/>
  <c r="H328" i="3"/>
  <c r="A328" i="3"/>
  <c r="H327" i="3"/>
  <c r="A327" i="3"/>
  <c r="H326" i="3"/>
  <c r="A326" i="3"/>
  <c r="H325" i="3"/>
  <c r="A325" i="3"/>
  <c r="H324" i="3"/>
  <c r="A324" i="3"/>
  <c r="H323" i="3"/>
  <c r="A323" i="3"/>
  <c r="H322" i="3"/>
  <c r="A322" i="3"/>
  <c r="H321" i="3"/>
  <c r="A321" i="3"/>
  <c r="H320" i="3"/>
  <c r="A320" i="3"/>
  <c r="H319" i="3"/>
  <c r="A319" i="3"/>
  <c r="H318" i="3"/>
  <c r="A318" i="3"/>
  <c r="H317" i="3"/>
  <c r="A317" i="3"/>
  <c r="H316" i="3"/>
  <c r="A316" i="3"/>
  <c r="H315" i="3"/>
  <c r="A315" i="3"/>
  <c r="H314" i="3"/>
  <c r="A314" i="3"/>
  <c r="H313" i="3"/>
  <c r="A313" i="3"/>
  <c r="H312" i="3"/>
  <c r="A312" i="3"/>
  <c r="H311" i="3"/>
  <c r="A311" i="3"/>
  <c r="H310" i="3"/>
  <c r="A310" i="3"/>
  <c r="H309" i="3"/>
  <c r="A309" i="3"/>
  <c r="H308" i="3"/>
  <c r="A308" i="3"/>
  <c r="H307" i="3"/>
  <c r="A307" i="3"/>
  <c r="H306" i="3"/>
  <c r="A306" i="3"/>
  <c r="H305" i="3"/>
  <c r="A305" i="3"/>
  <c r="H304" i="3"/>
  <c r="A304" i="3"/>
  <c r="H303" i="3"/>
  <c r="A303" i="3"/>
  <c r="H302" i="3"/>
  <c r="A302" i="3"/>
  <c r="H301" i="3"/>
  <c r="A301" i="3"/>
  <c r="H300" i="3"/>
  <c r="A300" i="3"/>
  <c r="H299" i="3"/>
  <c r="A299" i="3"/>
  <c r="H298" i="3"/>
  <c r="A298" i="3"/>
  <c r="H297" i="3"/>
  <c r="A297" i="3"/>
  <c r="H296" i="3"/>
  <c r="A296" i="3"/>
  <c r="H295" i="3"/>
  <c r="A295" i="3"/>
  <c r="H294" i="3"/>
  <c r="A294" i="3"/>
  <c r="H293" i="3"/>
  <c r="A293" i="3"/>
  <c r="H292" i="3"/>
  <c r="A292" i="3"/>
  <c r="H291" i="3"/>
  <c r="A291" i="3"/>
  <c r="H290" i="3"/>
  <c r="A290" i="3"/>
  <c r="H289" i="3"/>
  <c r="A289" i="3"/>
  <c r="H288" i="3"/>
  <c r="A288" i="3"/>
  <c r="H287" i="3"/>
  <c r="A287" i="3"/>
  <c r="H286" i="3"/>
  <c r="A286" i="3"/>
  <c r="H285" i="3"/>
  <c r="A285" i="3"/>
  <c r="H284" i="3"/>
  <c r="A284" i="3"/>
  <c r="H283" i="3"/>
  <c r="A283" i="3"/>
  <c r="H282" i="3"/>
  <c r="A282" i="3"/>
  <c r="H281" i="3"/>
  <c r="A281" i="3"/>
  <c r="H280" i="3"/>
  <c r="A280" i="3"/>
  <c r="H279" i="3"/>
  <c r="A279" i="3"/>
  <c r="H278" i="3"/>
  <c r="A278" i="3"/>
  <c r="H277" i="3"/>
  <c r="A277" i="3"/>
  <c r="H276" i="3"/>
  <c r="A276" i="3"/>
  <c r="H275" i="3"/>
  <c r="A275" i="3"/>
  <c r="H274" i="3"/>
  <c r="A274" i="3"/>
  <c r="H273" i="3"/>
  <c r="A273" i="3"/>
  <c r="H272" i="3"/>
  <c r="A272" i="3"/>
  <c r="H271" i="3"/>
  <c r="A271" i="3"/>
  <c r="H270" i="3"/>
  <c r="A270" i="3"/>
  <c r="H269" i="3"/>
  <c r="A269" i="3"/>
  <c r="H268" i="3"/>
  <c r="A268" i="3"/>
  <c r="H267" i="3"/>
  <c r="A267" i="3"/>
  <c r="H266" i="3"/>
  <c r="A266" i="3"/>
  <c r="H265" i="3"/>
  <c r="A265" i="3"/>
  <c r="H264" i="3"/>
  <c r="A264" i="3"/>
  <c r="H263" i="3"/>
  <c r="A263" i="3"/>
  <c r="H262" i="3"/>
  <c r="A262" i="3"/>
  <c r="H261" i="3"/>
  <c r="A261" i="3"/>
  <c r="H260" i="3"/>
  <c r="A260" i="3"/>
  <c r="H259" i="3"/>
  <c r="A259" i="3"/>
  <c r="H258" i="3"/>
  <c r="A258" i="3"/>
  <c r="H257" i="3"/>
  <c r="A257" i="3"/>
  <c r="H256" i="3"/>
  <c r="A256" i="3"/>
  <c r="H255" i="3"/>
  <c r="A255" i="3"/>
  <c r="H254" i="3"/>
  <c r="A254" i="3"/>
  <c r="H253" i="3"/>
  <c r="A253" i="3"/>
  <c r="H252" i="3"/>
  <c r="A252" i="3"/>
  <c r="H251" i="3"/>
  <c r="A251" i="3"/>
  <c r="H250" i="3"/>
  <c r="A250" i="3"/>
  <c r="H249" i="3"/>
  <c r="A249" i="3"/>
  <c r="H248" i="3"/>
  <c r="A248" i="3"/>
  <c r="H247" i="3"/>
  <c r="A247" i="3"/>
  <c r="H246" i="3"/>
  <c r="A246" i="3"/>
  <c r="H245" i="3"/>
  <c r="A245" i="3"/>
  <c r="H244" i="3"/>
  <c r="A244" i="3"/>
  <c r="H243" i="3"/>
  <c r="A243" i="3"/>
  <c r="H242" i="3"/>
  <c r="A242" i="3"/>
  <c r="H241" i="3"/>
  <c r="A241" i="3"/>
  <c r="H240" i="3"/>
  <c r="A240" i="3"/>
  <c r="H239" i="3"/>
  <c r="A239" i="3"/>
  <c r="H238" i="3"/>
  <c r="A238" i="3"/>
  <c r="H237" i="3"/>
  <c r="A237" i="3"/>
  <c r="H236" i="3"/>
  <c r="A236" i="3"/>
  <c r="H235" i="3"/>
  <c r="A235" i="3"/>
  <c r="H234" i="3"/>
  <c r="A234" i="3"/>
  <c r="H233" i="3"/>
  <c r="A233" i="3"/>
  <c r="H232" i="3"/>
  <c r="A232" i="3"/>
  <c r="H231" i="3"/>
  <c r="A231" i="3"/>
  <c r="H230" i="3"/>
  <c r="A230" i="3"/>
  <c r="H229" i="3"/>
  <c r="A229" i="3"/>
  <c r="H228" i="3"/>
  <c r="A228" i="3"/>
  <c r="H227" i="3"/>
  <c r="A227" i="3"/>
  <c r="H226" i="3"/>
  <c r="A226" i="3"/>
  <c r="H225" i="3"/>
  <c r="A225" i="3"/>
  <c r="H224" i="3"/>
  <c r="A224" i="3"/>
  <c r="H223" i="3"/>
  <c r="A223" i="3"/>
  <c r="H222" i="3"/>
  <c r="A222" i="3"/>
  <c r="H221" i="3"/>
  <c r="A221" i="3"/>
  <c r="H220" i="3"/>
  <c r="A220" i="3"/>
  <c r="H219" i="3"/>
  <c r="A219" i="3"/>
  <c r="H218" i="3"/>
  <c r="A218" i="3"/>
  <c r="H217" i="3"/>
  <c r="A217" i="3"/>
  <c r="H216" i="3"/>
  <c r="A216" i="3"/>
  <c r="H215" i="3"/>
  <c r="A215" i="3"/>
  <c r="H214" i="3"/>
  <c r="A214" i="3"/>
  <c r="H213" i="3"/>
  <c r="A213" i="3"/>
  <c r="H212" i="3"/>
  <c r="A212" i="3"/>
  <c r="H211" i="3"/>
  <c r="A211" i="3"/>
  <c r="H210" i="3"/>
  <c r="A210" i="3"/>
  <c r="H209" i="3"/>
  <c r="A209" i="3"/>
  <c r="H208" i="3"/>
  <c r="A208" i="3"/>
  <c r="H207" i="3"/>
  <c r="A207" i="3"/>
  <c r="H206" i="3"/>
  <c r="A206" i="3"/>
  <c r="H205" i="3"/>
  <c r="A205" i="3"/>
  <c r="H204" i="3"/>
  <c r="A204" i="3"/>
  <c r="H203" i="3"/>
  <c r="A203" i="3"/>
  <c r="H202" i="3"/>
  <c r="A202" i="3"/>
  <c r="H201" i="3"/>
  <c r="A201" i="3"/>
  <c r="H200" i="3"/>
  <c r="A200" i="3"/>
  <c r="H199" i="3"/>
  <c r="A199" i="3"/>
  <c r="H198" i="3"/>
  <c r="A198" i="3"/>
  <c r="H197" i="3"/>
  <c r="A197" i="3"/>
  <c r="H196" i="3"/>
  <c r="A196" i="3"/>
  <c r="H195" i="3"/>
  <c r="A195" i="3"/>
  <c r="H194" i="3"/>
  <c r="A194" i="3"/>
  <c r="H193" i="3"/>
  <c r="A193" i="3"/>
  <c r="H192" i="3"/>
  <c r="A192" i="3"/>
  <c r="H191" i="3"/>
  <c r="A191" i="3"/>
  <c r="H190" i="3"/>
  <c r="A190" i="3"/>
  <c r="H189" i="3"/>
  <c r="A189" i="3"/>
  <c r="H188" i="3"/>
  <c r="A188" i="3"/>
  <c r="H187" i="3"/>
  <c r="A187" i="3"/>
  <c r="H186" i="3"/>
  <c r="A186" i="3"/>
  <c r="H185" i="3"/>
  <c r="A185" i="3"/>
  <c r="H184" i="3"/>
  <c r="A184" i="3"/>
  <c r="H183" i="3"/>
  <c r="A183" i="3"/>
  <c r="H182" i="3"/>
  <c r="A182" i="3"/>
  <c r="H181" i="3"/>
  <c r="A181" i="3"/>
  <c r="H180" i="3"/>
  <c r="A180" i="3"/>
  <c r="H179" i="3"/>
  <c r="A179" i="3"/>
  <c r="H178" i="3"/>
  <c r="A178" i="3"/>
  <c r="H177" i="3"/>
  <c r="A177" i="3"/>
  <c r="H176" i="3"/>
  <c r="A176" i="3"/>
  <c r="H175" i="3"/>
  <c r="A175" i="3"/>
  <c r="H174" i="3"/>
  <c r="A174" i="3"/>
  <c r="H173" i="3"/>
  <c r="A173" i="3"/>
  <c r="H172" i="3"/>
  <c r="A172" i="3"/>
  <c r="H171" i="3"/>
  <c r="A171" i="3"/>
  <c r="H170" i="3"/>
  <c r="A170" i="3"/>
  <c r="H169" i="3"/>
  <c r="A169" i="3"/>
  <c r="H168" i="3"/>
  <c r="A168" i="3"/>
  <c r="H167" i="3"/>
  <c r="A167" i="3"/>
  <c r="H166" i="3"/>
  <c r="A166" i="3"/>
  <c r="H165" i="3"/>
  <c r="A165" i="3"/>
  <c r="H164" i="3"/>
  <c r="A164" i="3"/>
  <c r="H163" i="3"/>
  <c r="A163" i="3"/>
  <c r="H162" i="3"/>
  <c r="A162" i="3"/>
  <c r="H161" i="3"/>
  <c r="A161" i="3"/>
  <c r="H160" i="3"/>
  <c r="A160" i="3"/>
  <c r="H159" i="3"/>
  <c r="A159" i="3"/>
  <c r="H158" i="3"/>
  <c r="A158" i="3"/>
  <c r="H157" i="3"/>
  <c r="A157" i="3"/>
  <c r="H156" i="3"/>
  <c r="A156" i="3"/>
  <c r="H155" i="3"/>
  <c r="A155" i="3"/>
  <c r="H154" i="3"/>
  <c r="A154" i="3"/>
  <c r="H153" i="3"/>
  <c r="A153" i="3"/>
  <c r="H152" i="3"/>
  <c r="A152" i="3"/>
  <c r="H151" i="3"/>
  <c r="A151" i="3"/>
  <c r="H150" i="3"/>
  <c r="A150" i="3"/>
  <c r="H149" i="3"/>
  <c r="A149" i="3"/>
  <c r="H148" i="3"/>
  <c r="A148" i="3"/>
  <c r="H147" i="3"/>
  <c r="A147" i="3"/>
  <c r="H146" i="3"/>
  <c r="A146" i="3"/>
  <c r="H145" i="3"/>
  <c r="A145" i="3"/>
  <c r="H144" i="3"/>
  <c r="A144" i="3"/>
  <c r="H143" i="3"/>
  <c r="A143" i="3"/>
  <c r="H142" i="3"/>
  <c r="A142" i="3"/>
  <c r="H141" i="3"/>
  <c r="A141" i="3"/>
  <c r="H140" i="3"/>
  <c r="A140" i="3"/>
  <c r="H139" i="3"/>
  <c r="A139" i="3"/>
  <c r="H138" i="3"/>
  <c r="A138" i="3"/>
  <c r="H137" i="3"/>
  <c r="A137" i="3"/>
  <c r="H136" i="3"/>
  <c r="A136" i="3"/>
  <c r="H135" i="3"/>
  <c r="A135" i="3"/>
  <c r="H134" i="3"/>
  <c r="A134" i="3"/>
  <c r="H133" i="3"/>
  <c r="A133" i="3"/>
  <c r="H132" i="3"/>
  <c r="A132" i="3"/>
  <c r="H131" i="3"/>
  <c r="A131" i="3"/>
  <c r="H130" i="3"/>
  <c r="A130" i="3"/>
  <c r="H129" i="3"/>
  <c r="A129" i="3"/>
  <c r="H128" i="3"/>
  <c r="A128" i="3"/>
  <c r="H127" i="3"/>
  <c r="A127" i="3"/>
  <c r="H126" i="3"/>
  <c r="A126" i="3"/>
  <c r="H125" i="3"/>
  <c r="A125" i="3"/>
  <c r="H124" i="3"/>
  <c r="A124" i="3"/>
  <c r="H123" i="3"/>
  <c r="A123" i="3"/>
  <c r="H122" i="3"/>
  <c r="A122" i="3"/>
  <c r="H121" i="3"/>
  <c r="A121" i="3"/>
  <c r="H120" i="3"/>
  <c r="A120" i="3"/>
  <c r="H119" i="3"/>
  <c r="A119" i="3"/>
  <c r="H118" i="3"/>
  <c r="A118" i="3"/>
  <c r="H117" i="3"/>
  <c r="A117" i="3"/>
  <c r="H116" i="3"/>
  <c r="A116" i="3"/>
  <c r="H115" i="3"/>
  <c r="A115" i="3"/>
  <c r="H114" i="3"/>
  <c r="A114" i="3"/>
  <c r="H113" i="3"/>
  <c r="A113" i="3"/>
  <c r="H112" i="3"/>
  <c r="A112" i="3"/>
  <c r="H111" i="3"/>
  <c r="A111" i="3"/>
  <c r="H110" i="3"/>
  <c r="A110" i="3"/>
  <c r="H109" i="3"/>
  <c r="A109" i="3"/>
  <c r="H108" i="3"/>
  <c r="A108" i="3"/>
  <c r="H107" i="3"/>
  <c r="A107" i="3"/>
  <c r="H106" i="3"/>
  <c r="A106" i="3"/>
  <c r="H105" i="3"/>
  <c r="A105" i="3"/>
  <c r="H104" i="3"/>
  <c r="A104" i="3"/>
  <c r="H103" i="3"/>
  <c r="A103" i="3"/>
  <c r="H102" i="3"/>
  <c r="A102" i="3"/>
  <c r="H101" i="3"/>
  <c r="A101" i="3"/>
  <c r="H100" i="3"/>
  <c r="A100" i="3"/>
  <c r="H99" i="3"/>
  <c r="A99" i="3"/>
  <c r="H98" i="3"/>
  <c r="A98" i="3"/>
  <c r="H97" i="3"/>
  <c r="A97" i="3"/>
  <c r="H96" i="3"/>
  <c r="A96" i="3"/>
  <c r="H95" i="3"/>
  <c r="A95" i="3"/>
  <c r="H94" i="3"/>
  <c r="A94" i="3"/>
  <c r="H93" i="3"/>
  <c r="A93" i="3"/>
  <c r="H92" i="3"/>
  <c r="A92" i="3"/>
  <c r="H91" i="3"/>
  <c r="A91" i="3"/>
  <c r="H90" i="3"/>
  <c r="A90" i="3"/>
  <c r="H89" i="3"/>
  <c r="A89" i="3"/>
  <c r="H88" i="3"/>
  <c r="A88" i="3"/>
  <c r="H87" i="3"/>
  <c r="A87" i="3"/>
  <c r="H86" i="3"/>
  <c r="A86" i="3"/>
  <c r="H85" i="3"/>
  <c r="A85" i="3"/>
  <c r="H84" i="3"/>
  <c r="A84" i="3"/>
  <c r="H83" i="3"/>
  <c r="A83" i="3"/>
  <c r="H82" i="3"/>
  <c r="A82" i="3"/>
  <c r="H81" i="3"/>
  <c r="A81" i="3"/>
  <c r="H80" i="3"/>
  <c r="A80" i="3"/>
  <c r="H79" i="3"/>
  <c r="A79" i="3"/>
  <c r="H78" i="3"/>
  <c r="A78" i="3"/>
  <c r="H77" i="3"/>
  <c r="A77" i="3"/>
  <c r="H76" i="3"/>
  <c r="A76" i="3"/>
  <c r="H75" i="3"/>
  <c r="A75" i="3"/>
  <c r="H74" i="3"/>
  <c r="A74" i="3"/>
  <c r="H73" i="3"/>
  <c r="A73" i="3"/>
  <c r="H72" i="3"/>
  <c r="A72" i="3"/>
  <c r="H71" i="3"/>
  <c r="A71" i="3"/>
  <c r="H70" i="3"/>
  <c r="A70" i="3"/>
  <c r="H69" i="3"/>
  <c r="A69" i="3"/>
  <c r="H68" i="3"/>
  <c r="A68" i="3"/>
  <c r="H67" i="3"/>
  <c r="A67" i="3"/>
  <c r="H66" i="3"/>
  <c r="A66" i="3"/>
  <c r="H65" i="3"/>
  <c r="A65" i="3"/>
  <c r="H64" i="3"/>
  <c r="A64" i="3"/>
  <c r="H63" i="3"/>
  <c r="A63" i="3"/>
  <c r="H62" i="3"/>
  <c r="A62" i="3"/>
  <c r="H61" i="3"/>
  <c r="A61" i="3"/>
  <c r="H60" i="3"/>
  <c r="A60" i="3"/>
  <c r="H59" i="3"/>
  <c r="A59" i="3"/>
  <c r="H58" i="3"/>
  <c r="A58" i="3"/>
  <c r="H57" i="3"/>
  <c r="A57" i="3"/>
  <c r="H56" i="3"/>
  <c r="A56" i="3"/>
  <c r="H55" i="3"/>
  <c r="A55" i="3"/>
  <c r="H54" i="3"/>
  <c r="A54" i="3"/>
  <c r="H53" i="3"/>
  <c r="A53" i="3"/>
  <c r="H52" i="3"/>
  <c r="A52" i="3"/>
  <c r="H51" i="3"/>
  <c r="A51" i="3"/>
  <c r="H50" i="3"/>
  <c r="A50" i="3"/>
  <c r="H49" i="3"/>
  <c r="A49" i="3"/>
  <c r="H48" i="3"/>
  <c r="A48" i="3"/>
  <c r="H47" i="3"/>
  <c r="A47" i="3"/>
  <c r="H46" i="3"/>
  <c r="A46" i="3"/>
  <c r="H45" i="3"/>
  <c r="A45" i="3"/>
  <c r="H44" i="3"/>
  <c r="A44" i="3"/>
  <c r="H43" i="3"/>
  <c r="A43" i="3"/>
  <c r="H42" i="3"/>
  <c r="A42" i="3"/>
  <c r="H41" i="3"/>
  <c r="A41" i="3"/>
  <c r="H40" i="3"/>
  <c r="A40" i="3"/>
  <c r="H39" i="3"/>
  <c r="A39" i="3"/>
  <c r="H38" i="3"/>
  <c r="A38" i="3"/>
  <c r="H37" i="3"/>
  <c r="A37" i="3"/>
  <c r="H36" i="3"/>
  <c r="A36" i="3"/>
  <c r="H35" i="3"/>
  <c r="A35" i="3"/>
  <c r="H34" i="3"/>
  <c r="A34" i="3"/>
  <c r="H33" i="3"/>
  <c r="A33" i="3"/>
  <c r="H32" i="3"/>
  <c r="A32" i="3"/>
  <c r="H31" i="3"/>
  <c r="A31" i="3"/>
  <c r="H30" i="3"/>
  <c r="A30" i="3"/>
  <c r="H29" i="3"/>
  <c r="A29" i="3"/>
  <c r="H28" i="3"/>
  <c r="A28" i="3"/>
  <c r="H27" i="3"/>
  <c r="A27" i="3"/>
  <c r="H26" i="3"/>
  <c r="A26" i="3"/>
  <c r="H25" i="3"/>
  <c r="A25" i="3"/>
  <c r="H24" i="3"/>
  <c r="A24" i="3"/>
  <c r="H23" i="3"/>
  <c r="A23" i="3"/>
  <c r="H22" i="3"/>
  <c r="A22" i="3"/>
  <c r="H21" i="3"/>
  <c r="A21" i="3"/>
  <c r="H20" i="3"/>
  <c r="A20" i="3"/>
  <c r="H19" i="3"/>
  <c r="A19" i="3"/>
  <c r="H18" i="3"/>
  <c r="A18" i="3"/>
  <c r="H17" i="3"/>
  <c r="A17" i="3"/>
  <c r="H16" i="3"/>
  <c r="A16" i="3"/>
  <c r="H15" i="3"/>
  <c r="A15" i="3"/>
  <c r="H14" i="3"/>
  <c r="A14" i="3"/>
  <c r="H13" i="3"/>
  <c r="A13" i="3"/>
  <c r="H12" i="3"/>
  <c r="A12" i="3"/>
  <c r="H11" i="3"/>
  <c r="A11" i="3"/>
  <c r="H10" i="3"/>
  <c r="A10" i="3"/>
  <c r="H9" i="3"/>
  <c r="A9" i="3"/>
  <c r="H8" i="3"/>
  <c r="A8" i="3"/>
  <c r="H7" i="3"/>
  <c r="A7" i="3"/>
  <c r="H6" i="3"/>
  <c r="A6" i="3"/>
  <c r="H5" i="3"/>
  <c r="A5" i="3"/>
  <c r="H4" i="3"/>
  <c r="A4" i="3"/>
  <c r="H3" i="3"/>
  <c r="A3" i="3"/>
  <c r="H2" i="3"/>
  <c r="G2" i="3"/>
  <c r="F2" i="3"/>
  <c r="E2" i="3"/>
  <c r="D2" i="3"/>
  <c r="C2" i="3"/>
  <c r="B2" i="3"/>
  <c r="A2" i="3"/>
</calcChain>
</file>

<file path=xl/sharedStrings.xml><?xml version="1.0" encoding="utf-8"?>
<sst xmlns="http://schemas.openxmlformats.org/spreadsheetml/2006/main" count="1" uniqueCount="1">
  <si>
    <r>
      <t>Supplementary Table S2.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Detailed information of down-regulated DEGs (adj.P.Value &lt; 0.05 &amp; log Fold Change &lt; -1.5)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</si>
</sst>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>
      <alignment vertical="center"/>
    </xf>
  </cellStyleXfs>
  <cellXfs count="6">
    <xf numFmtId="0" fontId="0" fillId="0" borderId="0" xfId="0"/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11" fontId="0" fillId="0" borderId="0" xfId="0" applyNumberFormat="1" applyAlignment="1">
      <alignment horizontal="left"/>
    </xf>
    <xf numFmtId="0" fontId="20" fillId="0" borderId="0" xfId="42" applyFont="1" applyAlignment="1">
      <alignment horizontal="left" vertical="center"/>
    </xf>
    <xf numFmtId="0" fontId="18" fillId="0" borderId="0" xfId="42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42EDE126-E8FC-48EC-A8C0-165BBD796703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03473-3430-4C9C-B661-B6A04DEED36E}">
  <dimension ref="A1:H676"/>
  <sheetViews>
    <sheetView tabSelected="1" zoomScaleNormal="100" workbookViewId="0">
      <selection activeCell="M24" sqref="M24"/>
    </sheetView>
  </sheetViews>
  <sheetFormatPr defaultColWidth="8.85546875" defaultRowHeight="15"/>
  <cols>
    <col min="1" max="1" width="13.28515625" style="2" customWidth="1"/>
    <col min="2" max="2" width="14.28515625" style="2" customWidth="1"/>
    <col min="3" max="3" width="13.42578125" style="2" customWidth="1"/>
    <col min="4" max="4" width="14.5703125" style="2" customWidth="1"/>
    <col min="5" max="5" width="13.85546875" style="2" customWidth="1"/>
    <col min="6" max="6" width="13.28515625" style="2" customWidth="1"/>
    <col min="7" max="7" width="12.7109375" style="2" customWidth="1"/>
    <col min="8" max="8" width="14.5703125" style="1" customWidth="1"/>
    <col min="9" max="16384" width="8.85546875" style="2"/>
  </cols>
  <sheetData>
    <row r="1" spans="1:8">
      <c r="A1" s="4" t="s">
        <v>0</v>
      </c>
      <c r="B1" s="5"/>
      <c r="C1" s="5"/>
      <c r="D1" s="5"/>
      <c r="E1" s="5"/>
      <c r="F1" s="5"/>
      <c r="G1" s="5"/>
      <c r="H1" s="5"/>
    </row>
    <row r="2" spans="1:8">
      <c r="A2" s="1" t="str">
        <f>"probe"</f>
        <v>probe</v>
      </c>
      <c r="B2" s="1" t="str">
        <f>"logFC"</f>
        <v>logFC</v>
      </c>
      <c r="C2" s="1" t="str">
        <f>"AveExpr"</f>
        <v>AveExpr</v>
      </c>
      <c r="D2" s="1" t="str">
        <f>"t"</f>
        <v>t</v>
      </c>
      <c r="E2" s="1" t="str">
        <f>"P.Value"</f>
        <v>P.Value</v>
      </c>
      <c r="F2" s="1" t="str">
        <f>"adj.P.Val"</f>
        <v>adj.P.Val</v>
      </c>
      <c r="G2" s="1" t="str">
        <f>"B"</f>
        <v>B</v>
      </c>
      <c r="H2" s="1" t="str">
        <f>"geneSymbol"</f>
        <v>geneSymbol</v>
      </c>
    </row>
    <row r="3" spans="1:8">
      <c r="A3" s="2" t="str">
        <f>"205242_at"</f>
        <v>205242_at</v>
      </c>
      <c r="B3" s="2">
        <v>-6.3668429368397899</v>
      </c>
      <c r="C3" s="2">
        <v>8.2192362246216106</v>
      </c>
      <c r="D3" s="2">
        <v>-12.444567088640399</v>
      </c>
      <c r="E3" s="3">
        <v>1.01511311660338E-12</v>
      </c>
      <c r="F3" s="3">
        <v>3.9788153228996502E-9</v>
      </c>
      <c r="G3" s="2">
        <v>19.957812233910701</v>
      </c>
      <c r="H3" s="1" t="str">
        <f>"CXCL13"</f>
        <v>CXCL13</v>
      </c>
    </row>
    <row r="4" spans="1:8">
      <c r="A4" s="2" t="str">
        <f>"229730_at"</f>
        <v>229730_at</v>
      </c>
      <c r="B4" s="2">
        <v>-4.8530433535884798</v>
      </c>
      <c r="C4" s="2">
        <v>6.4065714337607798</v>
      </c>
      <c r="D4" s="2">
        <v>-13.317036283816901</v>
      </c>
      <c r="E4" s="3">
        <v>2.0760076741468501E-13</v>
      </c>
      <c r="F4" s="3">
        <v>1.41882149479974E-9</v>
      </c>
      <c r="G4" s="2">
        <v>21.3188043115643</v>
      </c>
      <c r="H4" s="1" t="str">
        <f>"SMTNL2"</f>
        <v>SMTNL2</v>
      </c>
    </row>
    <row r="5" spans="1:8">
      <c r="A5" s="2" t="str">
        <f>"207441_at"</f>
        <v>207441_at</v>
      </c>
      <c r="B5" s="2">
        <v>-4.66651423359502</v>
      </c>
      <c r="C5" s="2">
        <v>4.8947620075103604</v>
      </c>
      <c r="D5" s="2">
        <v>-5.9448820879786997</v>
      </c>
      <c r="E5" s="3">
        <v>2.4097152543789401E-6</v>
      </c>
      <c r="F5" s="2">
        <v>1.0887026970679E-4</v>
      </c>
      <c r="G5" s="2">
        <v>6.4919386789653997</v>
      </c>
      <c r="H5" s="1" t="str">
        <f>"SMR3B"</f>
        <v>SMR3B</v>
      </c>
    </row>
    <row r="6" spans="1:8">
      <c r="A6" s="2" t="str">
        <f>"1553500_at"</f>
        <v>1553500_at</v>
      </c>
      <c r="B6" s="2">
        <v>-4.0787715223871697</v>
      </c>
      <c r="C6" s="2">
        <v>4.8677513343037697</v>
      </c>
      <c r="D6" s="2">
        <v>-8.6819070258768694</v>
      </c>
      <c r="E6" s="3">
        <v>2.6005650544923099E-9</v>
      </c>
      <c r="F6" s="3">
        <v>8.5871612853285105E-7</v>
      </c>
      <c r="G6" s="2">
        <v>12.9095785906666</v>
      </c>
      <c r="H6" s="1" t="str">
        <f>"FBXL21P"</f>
        <v>FBXL21P</v>
      </c>
    </row>
    <row r="7" spans="1:8">
      <c r="A7" s="2" t="str">
        <f>"203413_at"</f>
        <v>203413_at</v>
      </c>
      <c r="B7" s="2">
        <v>-3.99192361147449</v>
      </c>
      <c r="C7" s="2">
        <v>10.1291832444896</v>
      </c>
      <c r="D7" s="2">
        <v>-19.782679946516801</v>
      </c>
      <c r="E7" s="3">
        <v>1.21990864584099E-17</v>
      </c>
      <c r="F7" s="3">
        <v>6.6698505211355899E-13</v>
      </c>
      <c r="G7" s="2">
        <v>28.999831730163201</v>
      </c>
      <c r="H7" s="1" t="str">
        <f>"NELL2"</f>
        <v>NELL2</v>
      </c>
    </row>
    <row r="8" spans="1:8">
      <c r="A8" s="2" t="str">
        <f>"209443_at"</f>
        <v>209443_at</v>
      </c>
      <c r="B8" s="2">
        <v>-3.5683665182371</v>
      </c>
      <c r="C8" s="2">
        <v>7.0191963596740097</v>
      </c>
      <c r="D8" s="2">
        <v>-9.5949576159445495</v>
      </c>
      <c r="E8" s="3">
        <v>3.2913499579171798E-10</v>
      </c>
      <c r="F8" s="3">
        <v>2.1681272162544801E-7</v>
      </c>
      <c r="G8" s="2">
        <v>14.809131991666</v>
      </c>
      <c r="H8" s="1" t="str">
        <f>"SERPINA5"</f>
        <v>SERPINA5</v>
      </c>
    </row>
    <row r="9" spans="1:8">
      <c r="A9" s="2" t="str">
        <f>"205431_s_at"</f>
        <v>205431_s_at</v>
      </c>
      <c r="B9" s="2">
        <v>-3.52422519219652</v>
      </c>
      <c r="C9" s="2">
        <v>7.4020054591373103</v>
      </c>
      <c r="D9" s="2">
        <v>-14.0743552060271</v>
      </c>
      <c r="E9" s="3">
        <v>5.5670569191423002E-14</v>
      </c>
      <c r="F9" s="3">
        <v>6.4688827223073496E-10</v>
      </c>
      <c r="G9" s="2">
        <v>22.427193139542201</v>
      </c>
      <c r="H9" s="1" t="str">
        <f>"BMP5"</f>
        <v>BMP5</v>
      </c>
    </row>
    <row r="10" spans="1:8">
      <c r="A10" s="2" t="str">
        <f>"219140_s_at"</f>
        <v>219140_s_at</v>
      </c>
      <c r="B10" s="2">
        <v>-3.51650968283003</v>
      </c>
      <c r="C10" s="2">
        <v>8.1611237108760992</v>
      </c>
      <c r="D10" s="2">
        <v>-7.5904559402704201</v>
      </c>
      <c r="E10" s="3">
        <v>3.5540303001487099E-8</v>
      </c>
      <c r="F10" s="3">
        <v>5.5029394282971397E-6</v>
      </c>
      <c r="G10" s="2">
        <v>10.473585980051601</v>
      </c>
      <c r="H10" s="1" t="str">
        <f>"RBP4"</f>
        <v>RBP4</v>
      </c>
    </row>
    <row r="11" spans="1:8">
      <c r="A11" s="2" t="str">
        <f>"206377_at"</f>
        <v>206377_at</v>
      </c>
      <c r="B11" s="2">
        <v>-3.4978333910733701</v>
      </c>
      <c r="C11" s="2">
        <v>9.5720123505542194</v>
      </c>
      <c r="D11" s="2">
        <v>-13.8302521347069</v>
      </c>
      <c r="E11" s="3">
        <v>8.4579361295349295E-14</v>
      </c>
      <c r="F11" s="3">
        <v>6.60625225546175E-10</v>
      </c>
      <c r="G11" s="2">
        <v>22.077057835917099</v>
      </c>
      <c r="H11" s="1" t="str">
        <f>"FOXF2"</f>
        <v>FOXF2</v>
      </c>
    </row>
    <row r="12" spans="1:8">
      <c r="A12" s="2" t="str">
        <f>"204865_at"</f>
        <v>204865_at</v>
      </c>
      <c r="B12" s="2">
        <v>-3.3356415289494001</v>
      </c>
      <c r="C12" s="2">
        <v>6.5890383174094698</v>
      </c>
      <c r="D12" s="2">
        <v>-11.1619771466458</v>
      </c>
      <c r="E12" s="3">
        <v>1.21546035202425E-11</v>
      </c>
      <c r="F12" s="3">
        <v>2.15483403581445E-8</v>
      </c>
      <c r="G12" s="2">
        <v>17.780476337231502</v>
      </c>
      <c r="H12" s="1" t="str">
        <f>"CA3"</f>
        <v>CA3</v>
      </c>
    </row>
    <row r="13" spans="1:8">
      <c r="A13" s="2" t="str">
        <f>"223786_at"</f>
        <v>223786_at</v>
      </c>
      <c r="B13" s="2">
        <v>-3.31859336914812</v>
      </c>
      <c r="C13" s="2">
        <v>4.4223211544984604</v>
      </c>
      <c r="D13" s="2">
        <v>-9.1232691394475101</v>
      </c>
      <c r="E13" s="3">
        <v>9.444619437798221E-10</v>
      </c>
      <c r="F13" s="3">
        <v>4.41354331420186E-7</v>
      </c>
      <c r="G13" s="2">
        <v>13.843603155700499</v>
      </c>
      <c r="H13" s="1" t="str">
        <f>"CHST6"</f>
        <v>CHST6</v>
      </c>
    </row>
    <row r="14" spans="1:8">
      <c r="A14" s="2" t="str">
        <f>"205128_x_at"</f>
        <v>205128_x_at</v>
      </c>
      <c r="B14" s="2">
        <v>-3.2890739931818</v>
      </c>
      <c r="C14" s="2">
        <v>9.6412507480967093</v>
      </c>
      <c r="D14" s="2">
        <v>-9.0960735581735008</v>
      </c>
      <c r="E14" s="3">
        <v>1.00453736370576E-9</v>
      </c>
      <c r="F14" s="3">
        <v>4.5390975504638498E-7</v>
      </c>
      <c r="G14" s="2">
        <v>13.786907297884801</v>
      </c>
      <c r="H14" s="1" t="str">
        <f>"PTGS1"</f>
        <v>PTGS1</v>
      </c>
    </row>
    <row r="15" spans="1:8">
      <c r="A15" s="2" t="str">
        <f>"235737_at"</f>
        <v>235737_at</v>
      </c>
      <c r="B15" s="2">
        <v>-3.2586536406038999</v>
      </c>
      <c r="C15" s="2">
        <v>8.6829250257022892</v>
      </c>
      <c r="D15" s="2">
        <v>-11.7984197814589</v>
      </c>
      <c r="E15" s="3">
        <v>3.4645360805814099E-12</v>
      </c>
      <c r="F15" s="3">
        <v>1.0523528344766E-8</v>
      </c>
      <c r="G15" s="2">
        <v>18.888197017198699</v>
      </c>
      <c r="H15" s="1" t="str">
        <f>"TSLP"</f>
        <v>TSLP</v>
      </c>
    </row>
    <row r="16" spans="1:8">
      <c r="A16" s="2" t="str">
        <f>"213395_at"</f>
        <v>213395_at</v>
      </c>
      <c r="B16" s="2">
        <v>-3.1987721254421602</v>
      </c>
      <c r="C16" s="2">
        <v>6.1734351339545004</v>
      </c>
      <c r="D16" s="2">
        <v>-6.4686562730817396</v>
      </c>
      <c r="E16" s="3">
        <v>6.1014478253195301E-7</v>
      </c>
      <c r="F16" s="3">
        <v>3.9822248908971097E-5</v>
      </c>
      <c r="G16" s="2">
        <v>7.7941120263449299</v>
      </c>
      <c r="H16" s="1" t="str">
        <f>"MLC1"</f>
        <v>MLC1</v>
      </c>
    </row>
    <row r="17" spans="1:8">
      <c r="A17" s="2" t="str">
        <f>"238095_at"</f>
        <v>238095_at</v>
      </c>
      <c r="B17" s="2">
        <v>-3.1972885338532202</v>
      </c>
      <c r="C17" s="2">
        <v>5.7214652558646097</v>
      </c>
      <c r="D17" s="2">
        <v>-8.6389307840448595</v>
      </c>
      <c r="E17" s="3">
        <v>2.8740718388678198E-9</v>
      </c>
      <c r="F17" s="3">
        <v>9.24352222294696E-7</v>
      </c>
      <c r="G17" s="2">
        <v>12.8170481613219</v>
      </c>
      <c r="H17" s="1" t="str">
        <f>"GATA5"</f>
        <v>GATA5</v>
      </c>
    </row>
    <row r="18" spans="1:8">
      <c r="A18" s="2" t="str">
        <f>"215161_at"</f>
        <v>215161_at</v>
      </c>
      <c r="B18" s="2">
        <v>-3.1888169607968999</v>
      </c>
      <c r="C18" s="2">
        <v>5.5307083379411104</v>
      </c>
      <c r="D18" s="2">
        <v>-8.7536920493210406</v>
      </c>
      <c r="E18" s="3">
        <v>2.2017180093018601E-9</v>
      </c>
      <c r="F18" s="3">
        <v>7.9196665893802003E-7</v>
      </c>
      <c r="G18" s="2">
        <v>13.0635098997108</v>
      </c>
      <c r="H18" s="1" t="str">
        <f>"CAMK1G"</f>
        <v>CAMK1G</v>
      </c>
    </row>
    <row r="19" spans="1:8">
      <c r="A19" s="2" t="str">
        <f>"204712_at"</f>
        <v>204712_at</v>
      </c>
      <c r="B19" s="2">
        <v>-3.11569656794246</v>
      </c>
      <c r="C19" s="2">
        <v>9.7207919624477892</v>
      </c>
      <c r="D19" s="2">
        <v>-7.7084999634118896</v>
      </c>
      <c r="E19" s="3">
        <v>2.6585901667812901E-8</v>
      </c>
      <c r="F19" s="3">
        <v>4.51423656424742E-6</v>
      </c>
      <c r="G19" s="2">
        <v>10.7455546135539</v>
      </c>
      <c r="H19" s="1" t="str">
        <f>"WIF1"</f>
        <v>WIF1</v>
      </c>
    </row>
    <row r="20" spans="1:8">
      <c r="A20" s="2" t="str">
        <f>"220634_at"</f>
        <v>220634_at</v>
      </c>
      <c r="B20" s="2">
        <v>-3.1067735836196699</v>
      </c>
      <c r="C20" s="2">
        <v>5.4989483490006803</v>
      </c>
      <c r="D20" s="2">
        <v>-6.6716941758075796</v>
      </c>
      <c r="E20" s="3">
        <v>3.6084987379124701E-7</v>
      </c>
      <c r="F20" s="3">
        <v>2.7555121298235199E-5</v>
      </c>
      <c r="G20" s="2">
        <v>8.2909806747418404</v>
      </c>
      <c r="H20" s="1" t="str">
        <f>"TBX4"</f>
        <v>TBX4</v>
      </c>
    </row>
    <row r="21" spans="1:8">
      <c r="A21" s="2" t="str">
        <f>"206375_s_at"</f>
        <v>206375_s_at</v>
      </c>
      <c r="B21" s="2">
        <v>-3.0628650456722499</v>
      </c>
      <c r="C21" s="2">
        <v>6.79096687051684</v>
      </c>
      <c r="D21" s="2">
        <v>-5.6470570980100296</v>
      </c>
      <c r="E21" s="3">
        <v>5.3158279205116897E-6</v>
      </c>
      <c r="F21" s="2">
        <v>1.9989194742364301E-4</v>
      </c>
      <c r="G21" s="2">
        <v>5.7406043569310699</v>
      </c>
      <c r="H21" s="1" t="str">
        <f>"HSPB3"</f>
        <v>HSPB3</v>
      </c>
    </row>
    <row r="22" spans="1:8">
      <c r="A22" s="2" t="str">
        <f>"227190_at"</f>
        <v>227190_at</v>
      </c>
      <c r="B22" s="2">
        <v>-3.0345964173862798</v>
      </c>
      <c r="C22" s="2">
        <v>7.3041014616706903</v>
      </c>
      <c r="D22" s="2">
        <v>-7.4805913148162801</v>
      </c>
      <c r="E22" s="3">
        <v>4.6638545177662099E-8</v>
      </c>
      <c r="F22" s="3">
        <v>6.6405272333038402E-6</v>
      </c>
      <c r="G22" s="2">
        <v>10.2186649162743</v>
      </c>
      <c r="H22" s="1" t="str">
        <f>"TMEM37"</f>
        <v>TMEM37</v>
      </c>
    </row>
    <row r="23" spans="1:8">
      <c r="A23" s="2" t="str">
        <f>"232267_at"</f>
        <v>232267_at</v>
      </c>
      <c r="B23" s="2">
        <v>-3.0297408331009201</v>
      </c>
      <c r="C23" s="2">
        <v>8.6869132303599894</v>
      </c>
      <c r="D23" s="2">
        <v>-9.8336296337778695</v>
      </c>
      <c r="E23" s="3">
        <v>1.95213808041432E-10</v>
      </c>
      <c r="F23" s="3">
        <v>1.4423398587385601E-7</v>
      </c>
      <c r="G23" s="2">
        <v>15.284921410896001</v>
      </c>
      <c r="H23" s="1" t="str">
        <f>"ADGRD1"</f>
        <v>ADGRD1</v>
      </c>
    </row>
    <row r="24" spans="1:8">
      <c r="A24" s="2" t="str">
        <f>"228035_at"</f>
        <v>228035_at</v>
      </c>
      <c r="B24" s="2">
        <v>-3.0265392003432101</v>
      </c>
      <c r="C24" s="2">
        <v>5.7322204685062301</v>
      </c>
      <c r="D24" s="2">
        <v>-6.8945745805436198</v>
      </c>
      <c r="E24" s="3">
        <v>2.03783502110615E-7</v>
      </c>
      <c r="F24" s="3">
        <v>1.83739096014222E-5</v>
      </c>
      <c r="G24" s="2">
        <v>8.8306849091425406</v>
      </c>
      <c r="H24" s="1" t="str">
        <f>"STK33"</f>
        <v>STK33</v>
      </c>
    </row>
    <row r="25" spans="1:8">
      <c r="A25" s="2" t="str">
        <f>"229290_at"</f>
        <v>229290_at</v>
      </c>
      <c r="B25" s="2">
        <v>-3.0165310251744302</v>
      </c>
      <c r="C25" s="2">
        <v>7.3180886959754403</v>
      </c>
      <c r="D25" s="2">
        <v>-5.6002785611148598</v>
      </c>
      <c r="E25" s="3">
        <v>6.0225040640388804E-6</v>
      </c>
      <c r="F25" s="2">
        <v>2.2054950415360101E-4</v>
      </c>
      <c r="G25" s="2">
        <v>5.6220247107968602</v>
      </c>
      <c r="H25" s="1" t="str">
        <f>"DAPL1"</f>
        <v>DAPL1</v>
      </c>
    </row>
    <row r="26" spans="1:8">
      <c r="A26" s="2" t="str">
        <f>"227419_x_at"</f>
        <v>227419_x_at</v>
      </c>
      <c r="B26" s="2">
        <v>-2.98043888209344</v>
      </c>
      <c r="C26" s="2">
        <v>9.0812894529589592</v>
      </c>
      <c r="D26" s="2">
        <v>-8.6909725908067301</v>
      </c>
      <c r="E26" s="3">
        <v>2.5463612749864002E-9</v>
      </c>
      <c r="F26" s="3">
        <v>8.5412455650233896E-7</v>
      </c>
      <c r="G26" s="2">
        <v>12.9290614440803</v>
      </c>
      <c r="H26" s="1" t="str">
        <f>"PLAC9"</f>
        <v>PLAC9</v>
      </c>
    </row>
    <row r="27" spans="1:8">
      <c r="A27" s="2" t="str">
        <f>"213482_at"</f>
        <v>213482_at</v>
      </c>
      <c r="B27" s="2">
        <v>-2.9797707309635602</v>
      </c>
      <c r="C27" s="2">
        <v>5.4194284683808398</v>
      </c>
      <c r="D27" s="2">
        <v>-5.8563256562376598</v>
      </c>
      <c r="E27" s="3">
        <v>3.0467867525000201E-6</v>
      </c>
      <c r="F27" s="2">
        <v>1.3044875935234001E-4</v>
      </c>
      <c r="G27" s="2">
        <v>6.2692444459038796</v>
      </c>
      <c r="H27" s="1" t="str">
        <f>"DOCK3"</f>
        <v>DOCK3</v>
      </c>
    </row>
    <row r="28" spans="1:8">
      <c r="A28" s="2" t="str">
        <f>"236308_at"</f>
        <v>236308_at</v>
      </c>
      <c r="B28" s="2">
        <v>-2.9206901706956101</v>
      </c>
      <c r="C28" s="2">
        <v>5.8979297413639902</v>
      </c>
      <c r="D28" s="2">
        <v>-3.8868891444627498</v>
      </c>
      <c r="E28" s="2">
        <v>5.9343341090461999E-4</v>
      </c>
      <c r="F28" s="2">
        <v>7.22144930808148E-3</v>
      </c>
      <c r="G28" s="2">
        <v>1.27203054210327</v>
      </c>
      <c r="H28" s="1" t="str">
        <f>"VSTM2A"</f>
        <v>VSTM2A</v>
      </c>
    </row>
    <row r="29" spans="1:8">
      <c r="A29" s="2" t="str">
        <f>"206030_at"</f>
        <v>206030_at</v>
      </c>
      <c r="B29" s="2">
        <v>-2.91870645737129</v>
      </c>
      <c r="C29" s="2">
        <v>7.72900196522051</v>
      </c>
      <c r="D29" s="2">
        <v>-9.1061914493868805</v>
      </c>
      <c r="E29" s="3">
        <v>9.8174177161229991E-10</v>
      </c>
      <c r="F29" s="3">
        <v>4.4911772486851502E-7</v>
      </c>
      <c r="G29" s="2">
        <v>13.8080136461439</v>
      </c>
      <c r="H29" s="1" t="str">
        <f>"ASPA"</f>
        <v>ASPA</v>
      </c>
    </row>
    <row r="30" spans="1:8">
      <c r="A30" s="2" t="str">
        <f>"205382_s_at"</f>
        <v>205382_s_at</v>
      </c>
      <c r="B30" s="2">
        <v>-2.9160262257308802</v>
      </c>
      <c r="C30" s="2">
        <v>11.7264698343073</v>
      </c>
      <c r="D30" s="2">
        <v>-8.8209800371290807</v>
      </c>
      <c r="E30" s="3">
        <v>1.8847520378659201E-9</v>
      </c>
      <c r="F30" s="3">
        <v>7.15616789377215E-7</v>
      </c>
      <c r="G30" s="2">
        <v>13.207086455179899</v>
      </c>
      <c r="H30" s="1" t="str">
        <f>"CFD"</f>
        <v>CFD</v>
      </c>
    </row>
    <row r="31" spans="1:8">
      <c r="A31" s="2" t="str">
        <f>"227612_at"</f>
        <v>227612_at</v>
      </c>
      <c r="B31" s="2">
        <v>-2.89481456197317</v>
      </c>
      <c r="C31" s="2">
        <v>6.1780153323231897</v>
      </c>
      <c r="D31" s="2">
        <v>-6.5343915906766101</v>
      </c>
      <c r="E31" s="3">
        <v>5.1448829199961597E-7</v>
      </c>
      <c r="F31" s="3">
        <v>3.5338752971204701E-5</v>
      </c>
      <c r="G31" s="2">
        <v>7.95550142325098</v>
      </c>
      <c r="H31" s="1" t="str">
        <f>"ELAVL3"</f>
        <v>ELAVL3</v>
      </c>
    </row>
    <row r="32" spans="1:8">
      <c r="A32" s="2" t="str">
        <f>"209470_s_at"</f>
        <v>209470_s_at</v>
      </c>
      <c r="B32" s="2">
        <v>-2.8941303230286399</v>
      </c>
      <c r="C32" s="2">
        <v>8.0474731126281895</v>
      </c>
      <c r="D32" s="2">
        <v>-8.0290423888621696</v>
      </c>
      <c r="E32" s="3">
        <v>1.21967407883739E-8</v>
      </c>
      <c r="F32" s="3">
        <v>2.5565613325275399E-6</v>
      </c>
      <c r="G32" s="2">
        <v>11.4738036511877</v>
      </c>
      <c r="H32" s="1" t="str">
        <f>"GPM6A"</f>
        <v>GPM6A</v>
      </c>
    </row>
    <row r="33" spans="1:8">
      <c r="A33" s="2" t="str">
        <f>"232313_at"</f>
        <v>232313_at</v>
      </c>
      <c r="B33" s="2">
        <v>-2.8753788097728701</v>
      </c>
      <c r="C33" s="2">
        <v>6.7945049574995</v>
      </c>
      <c r="D33" s="2">
        <v>-6.6876684634263697</v>
      </c>
      <c r="E33" s="3">
        <v>3.4630681420337798E-7</v>
      </c>
      <c r="F33" s="3">
        <v>2.67632496928301E-5</v>
      </c>
      <c r="G33" s="2">
        <v>8.3298659889744702</v>
      </c>
      <c r="H33" s="1" t="str">
        <f>"TMEM132C"</f>
        <v>TMEM132C</v>
      </c>
    </row>
    <row r="34" spans="1:8">
      <c r="A34" s="2" t="str">
        <f>"219937_at"</f>
        <v>219937_at</v>
      </c>
      <c r="B34" s="2">
        <v>-2.8576095309932801</v>
      </c>
      <c r="C34" s="2">
        <v>7.2327509319382797</v>
      </c>
      <c r="D34" s="2">
        <v>-11.2171659715814</v>
      </c>
      <c r="E34" s="3">
        <v>1.0880856650758201E-11</v>
      </c>
      <c r="F34" s="3">
        <v>2.1246815620721499E-8</v>
      </c>
      <c r="G34" s="2">
        <v>17.878723282253201</v>
      </c>
      <c r="H34" s="1" t="str">
        <f>"TRHDE"</f>
        <v>TRHDE</v>
      </c>
    </row>
    <row r="35" spans="1:8">
      <c r="A35" s="2" t="str">
        <f>"212624_s_at"</f>
        <v>212624_s_at</v>
      </c>
      <c r="B35" s="2">
        <v>-2.8341552061633202</v>
      </c>
      <c r="C35" s="2">
        <v>9.5458479261981903</v>
      </c>
      <c r="D35" s="2">
        <v>-10.8225683625208</v>
      </c>
      <c r="E35" s="3">
        <v>2.4203581570767399E-11</v>
      </c>
      <c r="F35" s="3">
        <v>3.3083270559542599E-8</v>
      </c>
      <c r="G35" s="2">
        <v>17.166912589290298</v>
      </c>
      <c r="H35" s="1" t="str">
        <f>"CHN1"</f>
        <v>CHN1</v>
      </c>
    </row>
    <row r="36" spans="1:8">
      <c r="A36" s="2" t="str">
        <f>"239919_at"</f>
        <v>239919_at</v>
      </c>
      <c r="B36" s="2">
        <v>-2.7958400439017099</v>
      </c>
      <c r="C36" s="2">
        <v>7.69142009112245</v>
      </c>
      <c r="D36" s="2">
        <v>-16.0436946466214</v>
      </c>
      <c r="E36" s="3">
        <v>2.3115584987458101E-15</v>
      </c>
      <c r="F36" s="3">
        <v>6.3192230459463596E-11</v>
      </c>
      <c r="G36" s="2">
        <v>25.022359937812201</v>
      </c>
      <c r="H36" s="1" t="str">
        <f>"TBX5-AS1"</f>
        <v>TBX5-AS1</v>
      </c>
    </row>
    <row r="37" spans="1:8">
      <c r="A37" s="2" t="str">
        <f>"214725_at"</f>
        <v>214725_at</v>
      </c>
      <c r="B37" s="2">
        <v>-2.7725932488105101</v>
      </c>
      <c r="C37" s="2">
        <v>6.4546793165129701</v>
      </c>
      <c r="D37" s="2">
        <v>-6.8508862032185398</v>
      </c>
      <c r="E37" s="3">
        <v>2.27835388722735E-7</v>
      </c>
      <c r="F37" s="3">
        <v>1.9874765246457899E-5</v>
      </c>
      <c r="G37" s="2">
        <v>8.72538309661706</v>
      </c>
      <c r="H37" s="1" t="str">
        <f>"SBSPON"</f>
        <v>SBSPON</v>
      </c>
    </row>
    <row r="38" spans="1:8">
      <c r="A38" s="2" t="str">
        <f>"221950_at"</f>
        <v>221950_at</v>
      </c>
      <c r="B38" s="2">
        <v>-2.7652330483724201</v>
      </c>
      <c r="C38" s="2">
        <v>4.16162561967342</v>
      </c>
      <c r="D38" s="2">
        <v>-4.9347373932203098</v>
      </c>
      <c r="E38" s="3">
        <v>3.5943095258535202E-5</v>
      </c>
      <c r="F38" s="2">
        <v>8.5629138704157405E-4</v>
      </c>
      <c r="G38" s="2">
        <v>3.9246840820570199</v>
      </c>
      <c r="H38" s="1" t="str">
        <f>"EMX2"</f>
        <v>EMX2</v>
      </c>
    </row>
    <row r="39" spans="1:8">
      <c r="A39" s="2" t="str">
        <f>"203423_at"</f>
        <v>203423_at</v>
      </c>
      <c r="B39" s="2">
        <v>-2.75994862340186</v>
      </c>
      <c r="C39" s="2">
        <v>10.011877694636199</v>
      </c>
      <c r="D39" s="2">
        <v>-13.891307964485399</v>
      </c>
      <c r="E39" s="3">
        <v>7.6138440200561304E-14</v>
      </c>
      <c r="F39" s="3">
        <v>6.60625225546175E-10</v>
      </c>
      <c r="G39" s="2">
        <v>22.165260314913802</v>
      </c>
      <c r="H39" s="1" t="str">
        <f>"RBP1"</f>
        <v>RBP1</v>
      </c>
    </row>
    <row r="40" spans="1:8">
      <c r="A40" s="2" t="str">
        <f>"217897_at"</f>
        <v>217897_at</v>
      </c>
      <c r="B40" s="2">
        <v>-2.7518649747619501</v>
      </c>
      <c r="C40" s="2">
        <v>11.4067493132313</v>
      </c>
      <c r="D40" s="2">
        <v>-9.9724581349421495</v>
      </c>
      <c r="E40" s="3">
        <v>1.44548328988702E-10</v>
      </c>
      <c r="F40" s="3">
        <v>1.1453883894865699E-7</v>
      </c>
      <c r="G40" s="2">
        <v>15.557764506801901</v>
      </c>
      <c r="H40" s="1" t="str">
        <f>"FXYD6"</f>
        <v>FXYD6</v>
      </c>
    </row>
    <row r="41" spans="1:8">
      <c r="A41" s="2" t="str">
        <f>"210002_at"</f>
        <v>210002_at</v>
      </c>
      <c r="B41" s="2">
        <v>-2.7238987218998898</v>
      </c>
      <c r="C41" s="2">
        <v>9.6153180179318003</v>
      </c>
      <c r="D41" s="2">
        <v>-11.866228975806999</v>
      </c>
      <c r="E41" s="3">
        <v>3.0391666342700499E-12</v>
      </c>
      <c r="F41" s="3">
        <v>1.03854022330447E-8</v>
      </c>
      <c r="G41" s="2">
        <v>19.003004555027999</v>
      </c>
      <c r="H41" s="1" t="str">
        <f>"GATA6"</f>
        <v>GATA6</v>
      </c>
    </row>
    <row r="42" spans="1:8">
      <c r="A42" s="2" t="str">
        <f>"1570454_at"</f>
        <v>1570454_at</v>
      </c>
      <c r="B42" s="2">
        <v>-2.7164897074771699</v>
      </c>
      <c r="C42" s="2">
        <v>5.3616698788236503</v>
      </c>
      <c r="D42" s="2">
        <v>-6.9198174710380904</v>
      </c>
      <c r="E42" s="3">
        <v>1.9108073027113701E-7</v>
      </c>
      <c r="F42" s="3">
        <v>1.7470466434070899E-5</v>
      </c>
      <c r="G42" s="2">
        <v>8.8914165880548204</v>
      </c>
      <c r="H42" s="1" t="str">
        <f>"EIF4EBP2"</f>
        <v>EIF4EBP2</v>
      </c>
    </row>
    <row r="43" spans="1:8">
      <c r="A43" s="2" t="str">
        <f>"206842_at"</f>
        <v>206842_at</v>
      </c>
      <c r="B43" s="2">
        <v>-2.71245714562829</v>
      </c>
      <c r="C43" s="2">
        <v>5.6084160723651397</v>
      </c>
      <c r="D43" s="2">
        <v>-7.35610128095683</v>
      </c>
      <c r="E43" s="3">
        <v>6.3573292895588406E-8</v>
      </c>
      <c r="F43" s="3">
        <v>8.2894084385180599E-6</v>
      </c>
      <c r="G43" s="2">
        <v>9.9277422771289405</v>
      </c>
      <c r="H43" s="1" t="str">
        <f>"KCND1"</f>
        <v>KCND1</v>
      </c>
    </row>
    <row r="44" spans="1:8">
      <c r="A44" s="2" t="str">
        <f>"207398_at"</f>
        <v>207398_at</v>
      </c>
      <c r="B44" s="2">
        <v>-2.6922291750009499</v>
      </c>
      <c r="C44" s="2">
        <v>6.4988357475675604</v>
      </c>
      <c r="D44" s="2">
        <v>-5.6860407419325902</v>
      </c>
      <c r="E44" s="3">
        <v>4.7911827585475597E-6</v>
      </c>
      <c r="F44" s="2">
        <v>1.84477406565907E-4</v>
      </c>
      <c r="G44" s="2">
        <v>5.8393168610442903</v>
      </c>
      <c r="H44" s="1" t="str">
        <f>"HOXD13"</f>
        <v>HOXD13</v>
      </c>
    </row>
    <row r="45" spans="1:8">
      <c r="A45" s="2" t="str">
        <f>"227397_at"</f>
        <v>227397_at</v>
      </c>
      <c r="B45" s="2">
        <v>-2.6856218601969202</v>
      </c>
      <c r="C45" s="2">
        <v>7.3462975772385102</v>
      </c>
      <c r="D45" s="2">
        <v>-6.6243609769699798</v>
      </c>
      <c r="E45" s="3">
        <v>4.07693813156181E-7</v>
      </c>
      <c r="F45" s="3">
        <v>2.97724566898697E-5</v>
      </c>
      <c r="G45" s="2">
        <v>8.17558025886043</v>
      </c>
      <c r="H45" s="1" t="str">
        <f>"TPM2"</f>
        <v>TPM2</v>
      </c>
    </row>
    <row r="46" spans="1:8">
      <c r="A46" s="2" t="str">
        <f>"207766_at"</f>
        <v>207766_at</v>
      </c>
      <c r="B46" s="2">
        <v>-2.6844652253209702</v>
      </c>
      <c r="C46" s="2">
        <v>4.6391897480333801</v>
      </c>
      <c r="D46" s="2">
        <v>-6.9444404099822297</v>
      </c>
      <c r="E46" s="3">
        <v>1.7946591212416399E-7</v>
      </c>
      <c r="F46" s="3">
        <v>1.6716011491292402E-5</v>
      </c>
      <c r="G46" s="2">
        <v>8.9505777563213496</v>
      </c>
      <c r="H46" s="1" t="str">
        <f>"CDKL1"</f>
        <v>CDKL1</v>
      </c>
    </row>
    <row r="47" spans="1:8">
      <c r="A47" s="2" t="str">
        <f>"241399_at"</f>
        <v>241399_at</v>
      </c>
      <c r="B47" s="2">
        <v>-2.6826108406506499</v>
      </c>
      <c r="C47" s="2">
        <v>6.6723021286971003</v>
      </c>
      <c r="D47" s="2">
        <v>-6.4731249738286802</v>
      </c>
      <c r="E47" s="3">
        <v>6.0310419071700497E-7</v>
      </c>
      <c r="F47" s="3">
        <v>3.9538035524523102E-5</v>
      </c>
      <c r="G47" s="2">
        <v>7.80509883147894</v>
      </c>
      <c r="H47" s="1" t="str">
        <f>"TAFA2"</f>
        <v>TAFA2</v>
      </c>
    </row>
    <row r="48" spans="1:8">
      <c r="A48" s="2" t="str">
        <f>"1553601_a_at"</f>
        <v>1553601_a_at</v>
      </c>
      <c r="B48" s="2">
        <v>-2.6761790731611801</v>
      </c>
      <c r="C48" s="2">
        <v>4.6780604274253301</v>
      </c>
      <c r="D48" s="2">
        <v>-9.0026016711286001</v>
      </c>
      <c r="E48" s="3">
        <v>1.24261885747327E-9</v>
      </c>
      <c r="F48" s="3">
        <v>5.1082846640865504E-7</v>
      </c>
      <c r="G48" s="2">
        <v>13.591185289516501</v>
      </c>
      <c r="H48" s="1" t="str">
        <f>"TMIE"</f>
        <v>TMIE</v>
      </c>
    </row>
    <row r="49" spans="1:8">
      <c r="A49" s="2" t="str">
        <f>"230923_at"</f>
        <v>230923_at</v>
      </c>
      <c r="B49" s="2">
        <v>-2.65775157470584</v>
      </c>
      <c r="C49" s="2">
        <v>7.0828662179765303</v>
      </c>
      <c r="D49" s="2">
        <v>-6.8802853413756297</v>
      </c>
      <c r="E49" s="3">
        <v>2.1135179878799799E-7</v>
      </c>
      <c r="F49" s="3">
        <v>1.8800093464595099E-5</v>
      </c>
      <c r="G49" s="2">
        <v>8.7962703855917699</v>
      </c>
      <c r="H49" s="1" t="str">
        <f>"TAFA1"</f>
        <v>TAFA1</v>
      </c>
    </row>
    <row r="50" spans="1:8">
      <c r="A50" s="2" t="str">
        <f>"232003_at"</f>
        <v>232003_at</v>
      </c>
      <c r="B50" s="2">
        <v>-2.6491574425037898</v>
      </c>
      <c r="C50" s="2">
        <v>5.5527173962791796</v>
      </c>
      <c r="D50" s="2">
        <v>-7.3005137831871796</v>
      </c>
      <c r="E50" s="3">
        <v>7.3049070316847295E-8</v>
      </c>
      <c r="F50" s="3">
        <v>9.0112158926022394E-6</v>
      </c>
      <c r="G50" s="2">
        <v>9.7971390969735292</v>
      </c>
      <c r="H50" s="1" t="str">
        <f>"PNMA8B"</f>
        <v>PNMA8B</v>
      </c>
    </row>
    <row r="51" spans="1:8">
      <c r="A51" s="2" t="str">
        <f>"223603_at"</f>
        <v>223603_at</v>
      </c>
      <c r="B51" s="2">
        <v>-2.6463482747202098</v>
      </c>
      <c r="C51" s="2">
        <v>8.2679393531093108</v>
      </c>
      <c r="D51" s="2">
        <v>-9.0668519543134494</v>
      </c>
      <c r="E51" s="3">
        <v>1.0734703648216099E-9</v>
      </c>
      <c r="F51" s="3">
        <v>4.6953593757297399E-7</v>
      </c>
      <c r="G51" s="2">
        <v>13.7258624726196</v>
      </c>
      <c r="H51" s="1" t="str">
        <f>"RNF112"</f>
        <v>RNF112</v>
      </c>
    </row>
    <row r="52" spans="1:8">
      <c r="A52" s="2" t="str">
        <f>"206941_x_at"</f>
        <v>206941_x_at</v>
      </c>
      <c r="B52" s="2">
        <v>-2.6311292936770601</v>
      </c>
      <c r="C52" s="2">
        <v>7.9475575993033996</v>
      </c>
      <c r="D52" s="2">
        <v>-9.4629453037596907</v>
      </c>
      <c r="E52" s="3">
        <v>4.4078886685532098E-10</v>
      </c>
      <c r="F52" s="3">
        <v>2.6777923661460701E-7</v>
      </c>
      <c r="G52" s="2">
        <v>14.542294985335699</v>
      </c>
      <c r="H52" s="1" t="str">
        <f>"SEMA3E"</f>
        <v>SEMA3E</v>
      </c>
    </row>
    <row r="53" spans="1:8">
      <c r="A53" s="2" t="str">
        <f>"226096_at"</f>
        <v>226096_at</v>
      </c>
      <c r="B53" s="2">
        <v>-2.61961167265817</v>
      </c>
      <c r="C53" s="2">
        <v>7.1316684271758</v>
      </c>
      <c r="D53" s="2">
        <v>-7.3954078759304798</v>
      </c>
      <c r="E53" s="3">
        <v>5.7637836294765398E-8</v>
      </c>
      <c r="F53" s="3">
        <v>7.7619426093997505E-6</v>
      </c>
      <c r="G53" s="2">
        <v>10.0198335945901</v>
      </c>
      <c r="H53" s="1" t="str">
        <f>"FNDC5"</f>
        <v>FNDC5</v>
      </c>
    </row>
    <row r="54" spans="1:8">
      <c r="A54" s="2" t="str">
        <f>"203186_s_at"</f>
        <v>203186_s_at</v>
      </c>
      <c r="B54" s="2">
        <v>-2.6065391047335198</v>
      </c>
      <c r="C54" s="2">
        <v>12.4529606807231</v>
      </c>
      <c r="D54" s="2">
        <v>-10.034527625232901</v>
      </c>
      <c r="E54" s="3">
        <v>1.2647767578277799E-10</v>
      </c>
      <c r="F54" s="3">
        <v>1.0321144661826E-7</v>
      </c>
      <c r="G54" s="2">
        <v>15.678826308660399</v>
      </c>
      <c r="H54" s="1" t="str">
        <f>"S100A4"</f>
        <v>S100A4</v>
      </c>
    </row>
    <row r="55" spans="1:8">
      <c r="A55" s="2" t="str">
        <f>"219355_at"</f>
        <v>219355_at</v>
      </c>
      <c r="B55" s="2">
        <v>-2.6019814223265998</v>
      </c>
      <c r="C55" s="2">
        <v>4.7058722889761597</v>
      </c>
      <c r="D55" s="2">
        <v>-5.0957900724907796</v>
      </c>
      <c r="E55" s="3">
        <v>2.3298661044363599E-5</v>
      </c>
      <c r="F55" s="2">
        <v>6.1644224581413503E-4</v>
      </c>
      <c r="G55" s="2">
        <v>4.3364848830269001</v>
      </c>
      <c r="H55" s="1" t="str">
        <f>"RADX"</f>
        <v>RADX</v>
      </c>
    </row>
    <row r="56" spans="1:8">
      <c r="A56" s="2" t="str">
        <f>"231580_at"</f>
        <v>231580_at</v>
      </c>
      <c r="B56" s="2">
        <v>-2.6010558330019702</v>
      </c>
      <c r="C56" s="2">
        <v>8.3345395030880898</v>
      </c>
      <c r="D56" s="2">
        <v>-8.8617590844828698</v>
      </c>
      <c r="E56" s="3">
        <v>1.7158081648708499E-9</v>
      </c>
      <c r="F56" s="3">
        <v>6.7008436724509596E-7</v>
      </c>
      <c r="G56" s="2">
        <v>13.293764047818</v>
      </c>
      <c r="H56" s="1" t="str">
        <f>"LINC01082"</f>
        <v>LINC01082</v>
      </c>
    </row>
    <row r="57" spans="1:8">
      <c r="A57" s="2" t="str">
        <f>"213791_at"</f>
        <v>213791_at</v>
      </c>
      <c r="B57" s="2">
        <v>-2.5867709973130002</v>
      </c>
      <c r="C57" s="2">
        <v>9.7181073395334607</v>
      </c>
      <c r="D57" s="2">
        <v>-5.7600126194961003</v>
      </c>
      <c r="E57" s="3">
        <v>3.9348756945099803E-6</v>
      </c>
      <c r="F57" s="2">
        <v>1.59717393168028E-4</v>
      </c>
      <c r="G57" s="2">
        <v>6.0263390870320803</v>
      </c>
      <c r="H57" s="1" t="str">
        <f>"PENK"</f>
        <v>PENK</v>
      </c>
    </row>
    <row r="58" spans="1:8">
      <c r="A58" s="2" t="str">
        <f>"239340_at"</f>
        <v>239340_at</v>
      </c>
      <c r="B58" s="2">
        <v>-2.58249099389093</v>
      </c>
      <c r="C58" s="2">
        <v>7.3809070576862696</v>
      </c>
      <c r="D58" s="2">
        <v>-10.045469557662599</v>
      </c>
      <c r="E58" s="3">
        <v>1.2354111970552101E-10</v>
      </c>
      <c r="F58" s="3">
        <v>1.02342586665142E-7</v>
      </c>
      <c r="G58" s="2">
        <v>15.700108633932601</v>
      </c>
      <c r="H58" s="1" t="str">
        <f>"ZNF536"</f>
        <v>ZNF536</v>
      </c>
    </row>
    <row r="59" spans="1:8">
      <c r="A59" s="2" t="str">
        <f>"209841_s_at"</f>
        <v>209841_s_at</v>
      </c>
      <c r="B59" s="2">
        <v>-2.58028850916314</v>
      </c>
      <c r="C59" s="2">
        <v>8.1165083336080492</v>
      </c>
      <c r="D59" s="2">
        <v>-12.678911825601601</v>
      </c>
      <c r="E59" s="3">
        <v>6.5766635447028697E-13</v>
      </c>
      <c r="F59" s="3">
        <v>2.99649232755525E-9</v>
      </c>
      <c r="G59" s="2">
        <v>20.332555962345999</v>
      </c>
      <c r="H59" s="1" t="str">
        <f>"LRRN3"</f>
        <v>LRRN3</v>
      </c>
    </row>
    <row r="60" spans="1:8">
      <c r="A60" s="2" t="str">
        <f>"205743_at"</f>
        <v>205743_at</v>
      </c>
      <c r="B60" s="2">
        <v>-2.55984723409586</v>
      </c>
      <c r="C60" s="2">
        <v>9.9147931006352508</v>
      </c>
      <c r="D60" s="2">
        <v>-7.7195366824070497</v>
      </c>
      <c r="E60" s="3">
        <v>2.5876397300534E-8</v>
      </c>
      <c r="F60" s="3">
        <v>4.4212250700209198E-6</v>
      </c>
      <c r="G60" s="2">
        <v>10.770879651064201</v>
      </c>
      <c r="H60" s="1" t="str">
        <f>"STAC"</f>
        <v>STAC</v>
      </c>
    </row>
    <row r="61" spans="1:8">
      <c r="A61" s="2" t="str">
        <f>"206024_at"</f>
        <v>206024_at</v>
      </c>
      <c r="B61" s="2">
        <v>-2.5597543471836</v>
      </c>
      <c r="C61" s="2">
        <v>5.1054342939299202</v>
      </c>
      <c r="D61" s="2">
        <v>-5.2608493999453501</v>
      </c>
      <c r="E61" s="3">
        <v>1.4949020316235001E-5</v>
      </c>
      <c r="F61" s="2">
        <v>4.3825076986066898E-4</v>
      </c>
      <c r="G61" s="2">
        <v>4.7581227156686898</v>
      </c>
      <c r="H61" s="1" t="str">
        <f>"HPD"</f>
        <v>HPD</v>
      </c>
    </row>
    <row r="62" spans="1:8">
      <c r="A62" s="2" t="str">
        <f>"204810_s_at"</f>
        <v>204810_s_at</v>
      </c>
      <c r="B62" s="2">
        <v>-2.5377432713028099</v>
      </c>
      <c r="C62" s="2">
        <v>7.2854564429171598</v>
      </c>
      <c r="D62" s="2">
        <v>-3.22758392135185</v>
      </c>
      <c r="E62" s="2">
        <v>3.2556919228172499E-3</v>
      </c>
      <c r="F62" s="2">
        <v>2.6238938071938899E-2</v>
      </c>
      <c r="G62" s="2">
        <v>-0.31682933398131902</v>
      </c>
      <c r="H62" s="1" t="str">
        <f>"CKM"</f>
        <v>CKM</v>
      </c>
    </row>
    <row r="63" spans="1:8">
      <c r="A63" s="2" t="str">
        <f>"205648_at"</f>
        <v>205648_at</v>
      </c>
      <c r="B63" s="2">
        <v>-2.5187880336495501</v>
      </c>
      <c r="C63" s="2">
        <v>8.7886859066899898</v>
      </c>
      <c r="D63" s="2">
        <v>-10.282559302322101</v>
      </c>
      <c r="E63" s="3">
        <v>7.4535283649530295E-11</v>
      </c>
      <c r="F63" s="3">
        <v>7.3775903869624207E-8</v>
      </c>
      <c r="G63" s="2">
        <v>16.156925490958699</v>
      </c>
      <c r="H63" s="1" t="str">
        <f>"WNT2"</f>
        <v>WNT2</v>
      </c>
    </row>
    <row r="64" spans="1:8">
      <c r="A64" s="2" t="str">
        <f>"1559650_at"</f>
        <v>1559650_at</v>
      </c>
      <c r="B64" s="2">
        <v>-2.5128048774732399</v>
      </c>
      <c r="C64" s="2">
        <v>5.8776403167103499</v>
      </c>
      <c r="D64" s="2">
        <v>-7.2128713997005303</v>
      </c>
      <c r="E64" s="3">
        <v>9.1008998909584303E-8</v>
      </c>
      <c r="F64" s="3">
        <v>1.04098682330157E-5</v>
      </c>
      <c r="G64" s="2">
        <v>9.5903564055246093</v>
      </c>
      <c r="H64" s="1" t="str">
        <f>"JAZF1-AS1"</f>
        <v>JAZF1-AS1</v>
      </c>
    </row>
    <row r="65" spans="1:8">
      <c r="A65" s="2" t="str">
        <f>"235770_at"</f>
        <v>235770_at</v>
      </c>
      <c r="B65" s="2">
        <v>-2.5019329116825899</v>
      </c>
      <c r="C65" s="2">
        <v>4.2241938745405498</v>
      </c>
      <c r="D65" s="2">
        <v>-5.7668816440125301</v>
      </c>
      <c r="E65" s="3">
        <v>3.8636576081904396E-6</v>
      </c>
      <c r="F65" s="2">
        <v>1.5705983622885699E-4</v>
      </c>
      <c r="G65" s="2">
        <v>6.0436861650506701</v>
      </c>
      <c r="H65" s="1" t="str">
        <f>"MASP1"</f>
        <v>MASP1</v>
      </c>
    </row>
    <row r="66" spans="1:8">
      <c r="A66" s="2" t="str">
        <f>"1563827_at"</f>
        <v>1563827_at</v>
      </c>
      <c r="B66" s="2">
        <v>-2.49536532927391</v>
      </c>
      <c r="C66" s="2">
        <v>5.6257719259435497</v>
      </c>
      <c r="D66" s="2">
        <v>-4.1506292620632799</v>
      </c>
      <c r="E66" s="2">
        <v>2.9495551461605399E-4</v>
      </c>
      <c r="F66" s="2">
        <v>4.21282465037428E-3</v>
      </c>
      <c r="G66" s="2">
        <v>1.93065920014474</v>
      </c>
      <c r="H66" s="1" t="str">
        <f>"LOC158434"</f>
        <v>LOC158434</v>
      </c>
    </row>
    <row r="67" spans="1:8">
      <c r="A67" s="2" t="str">
        <f>"209616_s_at"</f>
        <v>209616_s_at</v>
      </c>
      <c r="B67" s="2">
        <v>-2.4798799143190502</v>
      </c>
      <c r="C67" s="2">
        <v>11.642385028358699</v>
      </c>
      <c r="D67" s="2">
        <v>-9.1899135175855609</v>
      </c>
      <c r="E67" s="3">
        <v>8.1233129193520898E-10</v>
      </c>
      <c r="F67" s="3">
        <v>4.0746984758309701E-7</v>
      </c>
      <c r="G67" s="2">
        <v>13.982064907984499</v>
      </c>
      <c r="H67" s="1" t="str">
        <f>"CES1"</f>
        <v>CES1</v>
      </c>
    </row>
    <row r="68" spans="1:8">
      <c r="A68" s="2" t="str">
        <f>"230378_at"</f>
        <v>230378_at</v>
      </c>
      <c r="B68" s="2">
        <v>-2.47511128637671</v>
      </c>
      <c r="C68" s="2">
        <v>8.4441289867135492</v>
      </c>
      <c r="D68" s="2">
        <v>-3.88514848410547</v>
      </c>
      <c r="E68" s="2">
        <v>5.9616228492998902E-4</v>
      </c>
      <c r="F68" s="2">
        <v>7.2482038978312598E-3</v>
      </c>
      <c r="G68" s="2">
        <v>1.2677172853452801</v>
      </c>
      <c r="H68" s="1" t="str">
        <f>"SCGB3A1"</f>
        <v>SCGB3A1</v>
      </c>
    </row>
    <row r="69" spans="1:8">
      <c r="A69" s="2" t="str">
        <f>"236336_at"</f>
        <v>236336_at</v>
      </c>
      <c r="B69" s="2">
        <v>-2.4641806853845698</v>
      </c>
      <c r="C69" s="2">
        <v>6.1040928487602901</v>
      </c>
      <c r="D69" s="2">
        <v>-5.4525155719141001</v>
      </c>
      <c r="E69" s="3">
        <v>8.9404911169420605E-6</v>
      </c>
      <c r="F69" s="2">
        <v>2.9824365577718501E-4</v>
      </c>
      <c r="G69" s="2">
        <v>5.2466188485455003</v>
      </c>
      <c r="H69" s="1" t="str">
        <f>"BOLA3-AS1"</f>
        <v>BOLA3-AS1</v>
      </c>
    </row>
    <row r="70" spans="1:8">
      <c r="A70" s="2" t="str">
        <f>"205725_at"</f>
        <v>205725_at</v>
      </c>
      <c r="B70" s="2">
        <v>-2.4479522044220601</v>
      </c>
      <c r="C70" s="2">
        <v>8.8851164020679594</v>
      </c>
      <c r="D70" s="2">
        <v>-3.28681373982743</v>
      </c>
      <c r="E70" s="2">
        <v>2.8039436584402998E-3</v>
      </c>
      <c r="F70" s="2">
        <v>2.3466343108101001E-2</v>
      </c>
      <c r="G70" s="2">
        <v>-0.17853694995116201</v>
      </c>
      <c r="H70" s="1" t="str">
        <f>"SCGB1A1"</f>
        <v>SCGB1A1</v>
      </c>
    </row>
    <row r="71" spans="1:8">
      <c r="A71" s="2" t="str">
        <f>"206631_at"</f>
        <v>206631_at</v>
      </c>
      <c r="B71" s="2">
        <v>-2.4183029250450101</v>
      </c>
      <c r="C71" s="2">
        <v>8.7177706669718997</v>
      </c>
      <c r="D71" s="2">
        <v>-8.3301998023177504</v>
      </c>
      <c r="E71" s="3">
        <v>5.9375397003401297E-9</v>
      </c>
      <c r="F71" s="3">
        <v>1.53129709017027E-6</v>
      </c>
      <c r="G71" s="2">
        <v>12.1440961114773</v>
      </c>
      <c r="H71" s="1" t="str">
        <f>"PTGER2"</f>
        <v>PTGER2</v>
      </c>
    </row>
    <row r="72" spans="1:8">
      <c r="A72" s="2" t="str">
        <f>"207302_at"</f>
        <v>207302_at</v>
      </c>
      <c r="B72" s="2">
        <v>-2.4004555198564099</v>
      </c>
      <c r="C72" s="2">
        <v>6.6606668884301801</v>
      </c>
      <c r="D72" s="2">
        <v>-6.0741139480872199</v>
      </c>
      <c r="E72" s="3">
        <v>1.71311694786417E-6</v>
      </c>
      <c r="F72" s="3">
        <v>8.4004187555581706E-5</v>
      </c>
      <c r="G72" s="2">
        <v>6.8157110262124903</v>
      </c>
      <c r="H72" s="1" t="str">
        <f>"SGCG"</f>
        <v>SGCG</v>
      </c>
    </row>
    <row r="73" spans="1:8">
      <c r="A73" s="2" t="str">
        <f>"239183_at"</f>
        <v>239183_at</v>
      </c>
      <c r="B73" s="2">
        <v>-2.37688396816419</v>
      </c>
      <c r="C73" s="2">
        <v>6.9489729199957999</v>
      </c>
      <c r="D73" s="2">
        <v>-9.2887553190026999</v>
      </c>
      <c r="E73" s="3">
        <v>6.5032059306626902E-10</v>
      </c>
      <c r="F73" s="3">
        <v>3.52042360652458E-7</v>
      </c>
      <c r="G73" s="2">
        <v>14.186180083597099</v>
      </c>
      <c r="H73" s="1" t="str">
        <f>"ANGPTL1"</f>
        <v>ANGPTL1</v>
      </c>
    </row>
    <row r="74" spans="1:8">
      <c r="A74" s="2" t="str">
        <f>"235874_at"</f>
        <v>235874_at</v>
      </c>
      <c r="B74" s="2">
        <v>-2.3666881568810498</v>
      </c>
      <c r="C74" s="2">
        <v>5.1525173488121503</v>
      </c>
      <c r="D74" s="2">
        <v>-4.9843174541954998</v>
      </c>
      <c r="E74" s="3">
        <v>3.1451131536808898E-5</v>
      </c>
      <c r="F74" s="2">
        <v>7.7578933687890805E-4</v>
      </c>
      <c r="G74" s="2">
        <v>4.0514715762153104</v>
      </c>
      <c r="H74" s="1" t="str">
        <f>"PRSS35"</f>
        <v>PRSS35</v>
      </c>
    </row>
    <row r="75" spans="1:8">
      <c r="A75" s="2" t="str">
        <f>"206159_at"</f>
        <v>206159_at</v>
      </c>
      <c r="B75" s="2">
        <v>-2.3641260720224699</v>
      </c>
      <c r="C75" s="2">
        <v>6.45827952938461</v>
      </c>
      <c r="D75" s="2">
        <v>-4.9987369464218698</v>
      </c>
      <c r="E75" s="3">
        <v>3.0253531740040501E-5</v>
      </c>
      <c r="F75" s="2">
        <v>7.5286045383248499E-4</v>
      </c>
      <c r="G75" s="2">
        <v>4.0883447095132102</v>
      </c>
      <c r="H75" s="1" t="str">
        <f>"GDF10"</f>
        <v>GDF10</v>
      </c>
    </row>
    <row r="76" spans="1:8">
      <c r="A76" s="2" t="str">
        <f>"219011_at"</f>
        <v>219011_at</v>
      </c>
      <c r="B76" s="2">
        <v>-2.36244108653985</v>
      </c>
      <c r="C76" s="2">
        <v>5.6917735860896004</v>
      </c>
      <c r="D76" s="2">
        <v>-5.8002522236722101</v>
      </c>
      <c r="E76" s="3">
        <v>3.5357591037719101E-6</v>
      </c>
      <c r="F76" s="2">
        <v>1.4656378240995399E-4</v>
      </c>
      <c r="G76" s="2">
        <v>6.1279107651361802</v>
      </c>
      <c r="H76" s="1" t="str">
        <f>"PLEKHA4"</f>
        <v>PLEKHA4</v>
      </c>
    </row>
    <row r="77" spans="1:8">
      <c r="A77" s="2" t="str">
        <f>"235267_at"</f>
        <v>235267_at</v>
      </c>
      <c r="B77" s="2">
        <v>-2.35327838350916</v>
      </c>
      <c r="C77" s="2">
        <v>4.8244711013431196</v>
      </c>
      <c r="D77" s="2">
        <v>-5.34347269888148</v>
      </c>
      <c r="E77" s="3">
        <v>1.1975423709317299E-5</v>
      </c>
      <c r="F77" s="2">
        <v>3.72814475413181E-4</v>
      </c>
      <c r="G77" s="2">
        <v>4.9688842367393899</v>
      </c>
      <c r="H77" s="1" t="str">
        <f>"MAGI2-AS3"</f>
        <v>MAGI2-AS3</v>
      </c>
    </row>
    <row r="78" spans="1:8">
      <c r="A78" s="2" t="str">
        <f>"224348_s_at"</f>
        <v>224348_s_at</v>
      </c>
      <c r="B78" s="2">
        <v>-2.3486874562546398</v>
      </c>
      <c r="C78" s="2">
        <v>4.6177076011383402</v>
      </c>
      <c r="D78" s="2">
        <v>-4.86424633279458</v>
      </c>
      <c r="E78" s="3">
        <v>4.3456918508937202E-5</v>
      </c>
      <c r="F78" s="2">
        <v>9.8548611342851207E-4</v>
      </c>
      <c r="G78" s="2">
        <v>3.7444368969414601</v>
      </c>
      <c r="H78" s="1" t="str">
        <f>"HOTS"</f>
        <v>HOTS</v>
      </c>
    </row>
    <row r="79" spans="1:8">
      <c r="A79" s="2" t="str">
        <f>"205582_s_at"</f>
        <v>205582_s_at</v>
      </c>
      <c r="B79" s="2">
        <v>-2.34776920631136</v>
      </c>
      <c r="C79" s="2">
        <v>6.7928710992366304</v>
      </c>
      <c r="D79" s="2">
        <v>-4.3376154256922996</v>
      </c>
      <c r="E79" s="2">
        <v>1.78995404855718E-4</v>
      </c>
      <c r="F79" s="2">
        <v>2.8957571960642201E-3</v>
      </c>
      <c r="G79" s="2">
        <v>2.4026178031593801</v>
      </c>
      <c r="H79" s="1" t="str">
        <f>"GGT5"</f>
        <v>GGT5</v>
      </c>
    </row>
    <row r="80" spans="1:8">
      <c r="A80" s="2" t="str">
        <f>"227870_at"</f>
        <v>227870_at</v>
      </c>
      <c r="B80" s="2">
        <v>-2.3421935091447899</v>
      </c>
      <c r="C80" s="2">
        <v>6.98100784714347</v>
      </c>
      <c r="D80" s="2">
        <v>-7.1130431414957203</v>
      </c>
      <c r="E80" s="3">
        <v>1.1703634464228399E-7</v>
      </c>
      <c r="F80" s="3">
        <v>1.23771027917154E-5</v>
      </c>
      <c r="G80" s="2">
        <v>9.3535476841790803</v>
      </c>
      <c r="H80" s="1" t="str">
        <f>"IGDCC4"</f>
        <v>IGDCC4</v>
      </c>
    </row>
    <row r="81" spans="1:8">
      <c r="A81" s="2" t="str">
        <f>"206980_s_at"</f>
        <v>206980_s_at</v>
      </c>
      <c r="B81" s="2">
        <v>-2.3399684357638599</v>
      </c>
      <c r="C81" s="2">
        <v>5.5884744660141203</v>
      </c>
      <c r="D81" s="2">
        <v>-5.6253693712490502</v>
      </c>
      <c r="E81" s="3">
        <v>5.6324202078477104E-6</v>
      </c>
      <c r="F81" s="2">
        <v>2.0855913721730301E-4</v>
      </c>
      <c r="G81" s="2">
        <v>5.6856449178320299</v>
      </c>
      <c r="H81" s="1" t="str">
        <f>"FLT3LG"</f>
        <v>FLT3LG</v>
      </c>
    </row>
    <row r="82" spans="1:8">
      <c r="A82" s="2" t="str">
        <f>"204777_s_at"</f>
        <v>204777_s_at</v>
      </c>
      <c r="B82" s="2">
        <v>-2.3356407707632001</v>
      </c>
      <c r="C82" s="2">
        <v>9.1376706966146397</v>
      </c>
      <c r="D82" s="2">
        <v>-6.9723607470459097</v>
      </c>
      <c r="E82" s="3">
        <v>1.6716169309043E-7</v>
      </c>
      <c r="F82" s="3">
        <v>1.6006244430331399E-5</v>
      </c>
      <c r="G82" s="2">
        <v>9.0175666153896596</v>
      </c>
      <c r="H82" s="1" t="str">
        <f>"MAL"</f>
        <v>MAL</v>
      </c>
    </row>
    <row r="83" spans="1:8">
      <c r="A83" s="2" t="str">
        <f>"233482_at"</f>
        <v>233482_at</v>
      </c>
      <c r="B83" s="2">
        <v>-2.3298558323054102</v>
      </c>
      <c r="C83" s="2">
        <v>4.7421835235946004</v>
      </c>
      <c r="D83" s="2">
        <v>-5.1962646789312501</v>
      </c>
      <c r="E83" s="3">
        <v>1.7781935966262402E-5</v>
      </c>
      <c r="F83" s="2">
        <v>4.9806728942387304E-4</v>
      </c>
      <c r="G83" s="2">
        <v>4.5932219625348303</v>
      </c>
      <c r="H83" s="1" t="str">
        <f>"INSYN1"</f>
        <v>INSYN1</v>
      </c>
    </row>
    <row r="84" spans="1:8">
      <c r="A84" s="2" t="str">
        <f>"244572_at"</f>
        <v>244572_at</v>
      </c>
      <c r="B84" s="2">
        <v>-2.3253765406770102</v>
      </c>
      <c r="C84" s="2">
        <v>7.5422709337724001</v>
      </c>
      <c r="D84" s="2">
        <v>-7.6818362307656498</v>
      </c>
      <c r="E84" s="3">
        <v>2.83831414653903E-8</v>
      </c>
      <c r="F84" s="3">
        <v>4.7312446939640598E-6</v>
      </c>
      <c r="G84" s="2">
        <v>10.6842985980531</v>
      </c>
      <c r="H84" s="1" t="str">
        <f>"KY"</f>
        <v>KY</v>
      </c>
    </row>
    <row r="85" spans="1:8">
      <c r="A85" s="2" t="str">
        <f>"208605_s_at"</f>
        <v>208605_s_at</v>
      </c>
      <c r="B85" s="2">
        <v>-2.32267296790386</v>
      </c>
      <c r="C85" s="2">
        <v>4.1214451168734803</v>
      </c>
      <c r="D85" s="2">
        <v>-5.8340816770003103</v>
      </c>
      <c r="E85" s="3">
        <v>3.23200901193916E-6</v>
      </c>
      <c r="F85" s="2">
        <v>1.3687846067217201E-4</v>
      </c>
      <c r="G85" s="2">
        <v>6.2132074971768203</v>
      </c>
      <c r="H85" s="1" t="str">
        <f>"NTRK1"</f>
        <v>NTRK1</v>
      </c>
    </row>
    <row r="86" spans="1:8">
      <c r="A86" s="2" t="str">
        <f>"205575_at"</f>
        <v>205575_at</v>
      </c>
      <c r="B86" s="2">
        <v>-2.3184401755234898</v>
      </c>
      <c r="C86" s="2">
        <v>7.9183592379980103</v>
      </c>
      <c r="D86" s="2">
        <v>-8.9402238126960292</v>
      </c>
      <c r="E86" s="3">
        <v>1.4330461269742199E-9</v>
      </c>
      <c r="F86" s="3">
        <v>5.8038368142455904E-7</v>
      </c>
      <c r="G86" s="2">
        <v>13.4598324564893</v>
      </c>
      <c r="H86" s="1" t="str">
        <f>"C1QL1"</f>
        <v>C1QL1</v>
      </c>
    </row>
    <row r="87" spans="1:8">
      <c r="A87" s="2" t="str">
        <f>"209652_s_at"</f>
        <v>209652_s_at</v>
      </c>
      <c r="B87" s="2">
        <v>-2.3175409316971201</v>
      </c>
      <c r="C87" s="2">
        <v>8.4009935290559898</v>
      </c>
      <c r="D87" s="2">
        <v>-9.3358958203980897</v>
      </c>
      <c r="E87" s="3">
        <v>5.8512601970330198E-10</v>
      </c>
      <c r="F87" s="3">
        <v>3.2644658293140802E-7</v>
      </c>
      <c r="G87" s="2">
        <v>14.2830071894812</v>
      </c>
      <c r="H87" s="1" t="str">
        <f>"PGF"</f>
        <v>PGF</v>
      </c>
    </row>
    <row r="88" spans="1:8">
      <c r="A88" s="2" t="str">
        <f>"203331_s_at"</f>
        <v>203331_s_at</v>
      </c>
      <c r="B88" s="2">
        <v>-2.3149287713551101</v>
      </c>
      <c r="C88" s="2">
        <v>5.3255613189578996</v>
      </c>
      <c r="D88" s="2">
        <v>-5.59696815630579</v>
      </c>
      <c r="E88" s="3">
        <v>6.0759659085668001E-6</v>
      </c>
      <c r="F88" s="2">
        <v>2.2176464355867101E-4</v>
      </c>
      <c r="G88" s="2">
        <v>5.6136279576675303</v>
      </c>
      <c r="H88" s="1" t="str">
        <f>"INPP5D"</f>
        <v>INPP5D</v>
      </c>
    </row>
    <row r="89" spans="1:8">
      <c r="A89" s="2" t="str">
        <f>"225275_at"</f>
        <v>225275_at</v>
      </c>
      <c r="B89" s="2">
        <v>-2.3032193887719399</v>
      </c>
      <c r="C89" s="2">
        <v>10.907465670269</v>
      </c>
      <c r="D89" s="2">
        <v>-7.9155995825426304</v>
      </c>
      <c r="E89" s="3">
        <v>1.6045307069513699E-8</v>
      </c>
      <c r="F89" s="3">
        <v>3.0674026714184001E-6</v>
      </c>
      <c r="G89" s="2">
        <v>11.2178009427787</v>
      </c>
      <c r="H89" s="1" t="str">
        <f>"EDIL3"</f>
        <v>EDIL3</v>
      </c>
    </row>
    <row r="90" spans="1:8">
      <c r="A90" s="2" t="str">
        <f>"238533_at"</f>
        <v>238533_at</v>
      </c>
      <c r="B90" s="2">
        <v>-2.3003832797300299</v>
      </c>
      <c r="C90" s="2">
        <v>8.4138749195370508</v>
      </c>
      <c r="D90" s="2">
        <v>-7.5473462937243401</v>
      </c>
      <c r="E90" s="3">
        <v>3.9532429114687798E-8</v>
      </c>
      <c r="F90" s="3">
        <v>5.8575489480909302E-6</v>
      </c>
      <c r="G90" s="2">
        <v>10.373763183257999</v>
      </c>
      <c r="H90" s="1" t="str">
        <f>"EPHA7"</f>
        <v>EPHA7</v>
      </c>
    </row>
    <row r="91" spans="1:8">
      <c r="A91" s="2" t="str">
        <f>"1565639_a_at"</f>
        <v>1565639_a_at</v>
      </c>
      <c r="B91" s="2">
        <v>-2.2859006168428202</v>
      </c>
      <c r="C91" s="2">
        <v>7.3025374815996598</v>
      </c>
      <c r="D91" s="2">
        <v>-4.6901980614028496</v>
      </c>
      <c r="E91" s="3">
        <v>6.9435638417875194E-5</v>
      </c>
      <c r="F91" s="2">
        <v>1.4071139846172499E-3</v>
      </c>
      <c r="G91" s="2">
        <v>3.2997137597249102</v>
      </c>
      <c r="H91" s="1" t="str">
        <f>"PMP22"</f>
        <v>PMP22</v>
      </c>
    </row>
    <row r="92" spans="1:8">
      <c r="A92" s="2" t="str">
        <f>"218963_s_at"</f>
        <v>218963_s_at</v>
      </c>
      <c r="B92" s="2">
        <v>-2.2855146226080998</v>
      </c>
      <c r="C92" s="2">
        <v>8.2001820312595992</v>
      </c>
      <c r="D92" s="2">
        <v>-4.3104055577367202</v>
      </c>
      <c r="E92" s="2">
        <v>1.92518981672015E-4</v>
      </c>
      <c r="F92" s="2">
        <v>3.0625473735575799E-3</v>
      </c>
      <c r="G92" s="2">
        <v>2.3337330913428498</v>
      </c>
      <c r="H92" s="1" t="str">
        <f>"KRT23"</f>
        <v>KRT23</v>
      </c>
    </row>
    <row r="93" spans="1:8">
      <c r="A93" s="2" t="str">
        <f>"219747_at"</f>
        <v>219747_at</v>
      </c>
      <c r="B93" s="2">
        <v>-2.2761928854980402</v>
      </c>
      <c r="C93" s="2">
        <v>9.3236684006367891</v>
      </c>
      <c r="D93" s="2">
        <v>-10.775673889692699</v>
      </c>
      <c r="E93" s="3">
        <v>2.66491572228369E-11</v>
      </c>
      <c r="F93" s="3">
        <v>3.3427337608212997E-8</v>
      </c>
      <c r="G93" s="2">
        <v>17.080863041581299</v>
      </c>
      <c r="H93" s="1" t="str">
        <f>"NDNF"</f>
        <v>NDNF</v>
      </c>
    </row>
    <row r="94" spans="1:8">
      <c r="A94" s="2" t="str">
        <f>"213992_at"</f>
        <v>213992_at</v>
      </c>
      <c r="B94" s="2">
        <v>-2.2723951343606701</v>
      </c>
      <c r="C94" s="2">
        <v>10.1459312695583</v>
      </c>
      <c r="D94" s="2">
        <v>-7.2730078970933496</v>
      </c>
      <c r="E94" s="3">
        <v>7.8258808126240194E-8</v>
      </c>
      <c r="F94" s="3">
        <v>9.4039567786861193E-6</v>
      </c>
      <c r="G94" s="2">
        <v>9.7323556140447103</v>
      </c>
      <c r="H94" s="1" t="str">
        <f>"COL4A6"</f>
        <v>COL4A6</v>
      </c>
    </row>
    <row r="95" spans="1:8">
      <c r="A95" s="2" t="str">
        <f>"229770_at"</f>
        <v>229770_at</v>
      </c>
      <c r="B95" s="2">
        <v>-2.26187156375611</v>
      </c>
      <c r="C95" s="2">
        <v>6.1135425932926299</v>
      </c>
      <c r="D95" s="2">
        <v>-6.2656841955363802</v>
      </c>
      <c r="E95" s="3">
        <v>1.0358350755480301E-6</v>
      </c>
      <c r="F95" s="3">
        <v>5.8223363334548999E-5</v>
      </c>
      <c r="G95" s="2">
        <v>7.2927782514595298</v>
      </c>
      <c r="H95" s="1" t="str">
        <f>"GLT1D1"</f>
        <v>GLT1D1</v>
      </c>
    </row>
    <row r="96" spans="1:8">
      <c r="A96" s="2" t="str">
        <f>"229839_at"</f>
        <v>229839_at</v>
      </c>
      <c r="B96" s="2">
        <v>-2.2569565996126602</v>
      </c>
      <c r="C96" s="2">
        <v>6.4297815552715196</v>
      </c>
      <c r="D96" s="2">
        <v>-4.22532733351429</v>
      </c>
      <c r="E96" s="2">
        <v>2.4167857159585401E-4</v>
      </c>
      <c r="F96" s="2">
        <v>3.62314770058035E-3</v>
      </c>
      <c r="G96" s="2">
        <v>2.1187821457410201</v>
      </c>
      <c r="H96" s="1" t="str">
        <f>"SCARA5"</f>
        <v>SCARA5</v>
      </c>
    </row>
    <row r="97" spans="1:8">
      <c r="A97" s="2" t="str">
        <f>"203001_s_at"</f>
        <v>203001_s_at</v>
      </c>
      <c r="B97" s="2">
        <v>-2.2528489062948598</v>
      </c>
      <c r="C97" s="2">
        <v>5.6568341787234999</v>
      </c>
      <c r="D97" s="2">
        <v>-3.7217695552418499</v>
      </c>
      <c r="E97" s="2">
        <v>9.1535160778639599E-4</v>
      </c>
      <c r="F97" s="2">
        <v>1.0045533752653799E-2</v>
      </c>
      <c r="G97" s="2">
        <v>0.86520283986087099</v>
      </c>
      <c r="H97" s="1" t="str">
        <f>"STMN2"</f>
        <v>STMN2</v>
      </c>
    </row>
    <row r="98" spans="1:8">
      <c r="A98" s="2" t="str">
        <f>"228269_x_at"</f>
        <v>228269_x_at</v>
      </c>
      <c r="B98" s="2">
        <v>-2.2508327959755601</v>
      </c>
      <c r="C98" s="2">
        <v>6.4683976483131103</v>
      </c>
      <c r="D98" s="2">
        <v>-5.9062533728321496</v>
      </c>
      <c r="E98" s="3">
        <v>2.6691451671653299E-6</v>
      </c>
      <c r="F98" s="2">
        <v>1.1845414936263299E-4</v>
      </c>
      <c r="G98" s="2">
        <v>6.3948779437208296</v>
      </c>
      <c r="H98" s="1" t="str">
        <f>"KCNIP3"</f>
        <v>KCNIP3</v>
      </c>
    </row>
    <row r="99" spans="1:8">
      <c r="A99" s="2" t="str">
        <f>"243813_at"</f>
        <v>243813_at</v>
      </c>
      <c r="B99" s="2">
        <v>-2.2375841193679298</v>
      </c>
      <c r="C99" s="2">
        <v>5.2098283105247702</v>
      </c>
      <c r="D99" s="2">
        <v>-4.4964446276766603</v>
      </c>
      <c r="E99" s="2">
        <v>1.16908509510929E-4</v>
      </c>
      <c r="F99" s="2">
        <v>2.1060865757858401E-3</v>
      </c>
      <c r="G99" s="2">
        <v>2.80584390401676</v>
      </c>
      <c r="H99" s="1" t="str">
        <f>"LINC00968"</f>
        <v>LINC00968</v>
      </c>
    </row>
    <row r="100" spans="1:8">
      <c r="A100" s="2" t="str">
        <f>"238673_at"</f>
        <v>238673_at</v>
      </c>
      <c r="B100" s="2">
        <v>-2.2299437474322099</v>
      </c>
      <c r="C100" s="2">
        <v>8.9589762259049905</v>
      </c>
      <c r="D100" s="2">
        <v>-7.5919687469184298</v>
      </c>
      <c r="E100" s="3">
        <v>3.5407934492592097E-8</v>
      </c>
      <c r="F100" s="3">
        <v>5.5029394282971397E-6</v>
      </c>
      <c r="G100" s="2">
        <v>10.4770841307166</v>
      </c>
      <c r="H100" s="1" t="str">
        <f>"SAMD12"</f>
        <v>SAMD12</v>
      </c>
    </row>
    <row r="101" spans="1:8">
      <c r="A101" s="2" t="str">
        <f>"235666_at"</f>
        <v>235666_at</v>
      </c>
      <c r="B101" s="2">
        <v>-2.2294604279827599</v>
      </c>
      <c r="C101" s="2">
        <v>9.4511218763532998</v>
      </c>
      <c r="D101" s="2">
        <v>-6.7135945822387697</v>
      </c>
      <c r="E101" s="3">
        <v>3.2395987394144002E-7</v>
      </c>
      <c r="F101" s="3">
        <v>2.5670298706881499E-5</v>
      </c>
      <c r="G101" s="2">
        <v>8.3929106962940594</v>
      </c>
      <c r="H101" s="1" t="str">
        <f>"ITGA8"</f>
        <v>ITGA8</v>
      </c>
    </row>
    <row r="102" spans="1:8">
      <c r="A102" s="2" t="str">
        <f>"207141_s_at"</f>
        <v>207141_s_at</v>
      </c>
      <c r="B102" s="2">
        <v>-2.2288967479895199</v>
      </c>
      <c r="C102" s="2">
        <v>6.6399220748102099</v>
      </c>
      <c r="D102" s="2">
        <v>-6.7750602660453696</v>
      </c>
      <c r="E102" s="3">
        <v>2.7665469336806198E-7</v>
      </c>
      <c r="F102" s="3">
        <v>2.2814623468927299E-5</v>
      </c>
      <c r="G102" s="2">
        <v>8.5420485820482099</v>
      </c>
      <c r="H102" s="1" t="str">
        <f>"KCNJ3"</f>
        <v>KCNJ3</v>
      </c>
    </row>
    <row r="103" spans="1:8">
      <c r="A103" s="2" t="str">
        <f>"227819_at"</f>
        <v>227819_at</v>
      </c>
      <c r="B103" s="2">
        <v>-2.2277765183167699</v>
      </c>
      <c r="C103" s="2">
        <v>7.9080343018235801</v>
      </c>
      <c r="D103" s="2">
        <v>-9.3593598173289401</v>
      </c>
      <c r="E103" s="3">
        <v>5.5521457810762998E-10</v>
      </c>
      <c r="F103" s="3">
        <v>3.1621205268786098E-7</v>
      </c>
      <c r="G103" s="2">
        <v>14.331077142822201</v>
      </c>
      <c r="H103" s="1" t="str">
        <f>"LGR6"</f>
        <v>LGR6</v>
      </c>
    </row>
    <row r="104" spans="1:8">
      <c r="A104" s="2" t="str">
        <f>"232720_at"</f>
        <v>232720_at</v>
      </c>
      <c r="B104" s="2">
        <v>-2.2260968087997499</v>
      </c>
      <c r="C104" s="2">
        <v>6.6143133957429798</v>
      </c>
      <c r="D104" s="2">
        <v>-8.0210998768939401</v>
      </c>
      <c r="E104" s="3">
        <v>1.24325141510037E-8</v>
      </c>
      <c r="F104" s="3">
        <v>2.5705480026785802E-6</v>
      </c>
      <c r="G104" s="2">
        <v>11.455942233073101</v>
      </c>
      <c r="H104" s="1" t="str">
        <f>"LINGO2"</f>
        <v>LINGO2</v>
      </c>
    </row>
    <row r="105" spans="1:8">
      <c r="A105" s="2" t="str">
        <f>"208062_s_at"</f>
        <v>208062_s_at</v>
      </c>
      <c r="B105" s="2">
        <v>-2.2218895668241299</v>
      </c>
      <c r="C105" s="2">
        <v>5.5286684627881097</v>
      </c>
      <c r="D105" s="2">
        <v>-3.8283107504571601</v>
      </c>
      <c r="E105" s="2">
        <v>6.9235990551475501E-4</v>
      </c>
      <c r="F105" s="2">
        <v>8.1320682779847907E-3</v>
      </c>
      <c r="G105" s="2">
        <v>1.1271525026864</v>
      </c>
      <c r="H105" s="1" t="str">
        <f>"NRG2"</f>
        <v>NRG2</v>
      </c>
    </row>
    <row r="106" spans="1:8">
      <c r="A106" s="2" t="str">
        <f>"211898_s_at"</f>
        <v>211898_s_at</v>
      </c>
      <c r="B106" s="2">
        <v>-2.2195088245294001</v>
      </c>
      <c r="C106" s="2">
        <v>3.9594694468253602</v>
      </c>
      <c r="D106" s="2">
        <v>-4.3856421079757402</v>
      </c>
      <c r="E106" s="2">
        <v>1.5738498692554001E-4</v>
      </c>
      <c r="F106" s="2">
        <v>2.6371511370376702E-3</v>
      </c>
      <c r="G106" s="2">
        <v>2.5243512876435701</v>
      </c>
      <c r="H106" s="1" t="str">
        <f>"EPHB1"</f>
        <v>EPHB1</v>
      </c>
    </row>
    <row r="107" spans="1:8">
      <c r="A107" s="2" t="str">
        <f>"206518_s_at"</f>
        <v>206518_s_at</v>
      </c>
      <c r="B107" s="2">
        <v>-2.2179006191216102</v>
      </c>
      <c r="C107" s="2">
        <v>6.3875010888891799</v>
      </c>
      <c r="D107" s="2">
        <v>-6.0480854127875299</v>
      </c>
      <c r="E107" s="3">
        <v>1.83477530047701E-6</v>
      </c>
      <c r="F107" s="3">
        <v>8.8462380558713104E-5</v>
      </c>
      <c r="G107" s="2">
        <v>6.7506207726607297</v>
      </c>
      <c r="H107" s="1" t="str">
        <f>"RGS9"</f>
        <v>RGS9</v>
      </c>
    </row>
    <row r="108" spans="1:8">
      <c r="A108" s="2" t="str">
        <f>"206812_at"</f>
        <v>206812_at</v>
      </c>
      <c r="B108" s="2">
        <v>-2.2168967740947099</v>
      </c>
      <c r="C108" s="2">
        <v>4.5333545972386</v>
      </c>
      <c r="D108" s="2">
        <v>-5.1515419820624802</v>
      </c>
      <c r="E108" s="3">
        <v>2.0053955206264501E-5</v>
      </c>
      <c r="F108" s="2">
        <v>5.4804389942412904E-4</v>
      </c>
      <c r="G108" s="2">
        <v>4.4789701757604403</v>
      </c>
      <c r="H108" s="1" t="str">
        <f>"ADRB3"</f>
        <v>ADRB3</v>
      </c>
    </row>
    <row r="109" spans="1:8">
      <c r="A109" s="2" t="str">
        <f>"205564_at"</f>
        <v>205564_at</v>
      </c>
      <c r="B109" s="2">
        <v>-2.2093377515555801</v>
      </c>
      <c r="C109" s="2">
        <v>11.822354153831601</v>
      </c>
      <c r="D109" s="2">
        <v>-8.1226657641812299</v>
      </c>
      <c r="E109" s="3">
        <v>9.7386265503012605E-9</v>
      </c>
      <c r="F109" s="3">
        <v>2.1923427985211601E-6</v>
      </c>
      <c r="G109" s="2">
        <v>11.6836387409552</v>
      </c>
      <c r="H109" s="1" t="str">
        <f>"PAGE4"</f>
        <v>PAGE4</v>
      </c>
    </row>
    <row r="110" spans="1:8">
      <c r="A110" s="2" t="str">
        <f>"236860_at"</f>
        <v>236860_at</v>
      </c>
      <c r="B110" s="2">
        <v>-2.2091031035126698</v>
      </c>
      <c r="C110" s="2">
        <v>6.2966706817470603</v>
      </c>
      <c r="D110" s="2">
        <v>-3.8336721501953601</v>
      </c>
      <c r="E110" s="2">
        <v>6.8267122234830105E-4</v>
      </c>
      <c r="F110" s="2">
        <v>8.0429998931771402E-3</v>
      </c>
      <c r="G110" s="2">
        <v>1.14038838029902</v>
      </c>
      <c r="H110" s="1" t="str">
        <f>"NPY6R"</f>
        <v>NPY6R</v>
      </c>
    </row>
    <row r="111" spans="1:8">
      <c r="A111" s="2" t="str">
        <f>"227061_at"</f>
        <v>227061_at</v>
      </c>
      <c r="B111" s="2">
        <v>-2.2025396588989001</v>
      </c>
      <c r="C111" s="2">
        <v>9.2600423051251006</v>
      </c>
      <c r="D111" s="2">
        <v>-7.8997346095695402</v>
      </c>
      <c r="E111" s="3">
        <v>1.6674879673819802E-8</v>
      </c>
      <c r="F111" s="3">
        <v>3.16562168807674E-6</v>
      </c>
      <c r="G111" s="2">
        <v>11.1818471122858</v>
      </c>
      <c r="H111" s="1" t="str">
        <f>"LINC01279"</f>
        <v>LINC01279</v>
      </c>
    </row>
    <row r="112" spans="1:8">
      <c r="A112" s="2" t="str">
        <f>"1563018_at"</f>
        <v>1563018_at</v>
      </c>
      <c r="B112" s="2">
        <v>-2.2007544707914</v>
      </c>
      <c r="C112" s="2">
        <v>4.7969619260950802</v>
      </c>
      <c r="D112" s="2">
        <v>-4.9073382405583201</v>
      </c>
      <c r="E112" s="3">
        <v>3.8695416802536198E-5</v>
      </c>
      <c r="F112" s="2">
        <v>9.0131027386302395E-4</v>
      </c>
      <c r="G112" s="2">
        <v>3.8546200708986298</v>
      </c>
      <c r="H112" s="1" t="str">
        <f>"TBX5"</f>
        <v>TBX5</v>
      </c>
    </row>
    <row r="113" spans="1:8">
      <c r="A113" s="2" t="str">
        <f>"217525_at"</f>
        <v>217525_at</v>
      </c>
      <c r="B113" s="2">
        <v>-2.1782696396849301</v>
      </c>
      <c r="C113" s="2">
        <v>9.5455434622474602</v>
      </c>
      <c r="D113" s="2">
        <v>-12.835857566586199</v>
      </c>
      <c r="E113" s="3">
        <v>4.9335414830050198E-13</v>
      </c>
      <c r="F113" s="3">
        <v>2.6974138058329998E-9</v>
      </c>
      <c r="G113" s="2">
        <v>20.579710665786099</v>
      </c>
      <c r="H113" s="1" t="str">
        <f>"OLFML1"</f>
        <v>OLFML1</v>
      </c>
    </row>
    <row r="114" spans="1:8">
      <c r="A114" s="2" t="str">
        <f>"1557176_a_at"</f>
        <v>1557176_a_at</v>
      </c>
      <c r="B114" s="2">
        <v>-2.1768729524297399</v>
      </c>
      <c r="C114" s="2">
        <v>6.2226204391200897</v>
      </c>
      <c r="D114" s="2">
        <v>-5.1976218734015198</v>
      </c>
      <c r="E114" s="3">
        <v>1.77171837151861E-5</v>
      </c>
      <c r="F114" s="2">
        <v>4.9701745491421295E-4</v>
      </c>
      <c r="G114" s="2">
        <v>4.5966883986635301</v>
      </c>
      <c r="H114" s="1" t="str">
        <f>"ARMH4"</f>
        <v>ARMH4</v>
      </c>
    </row>
    <row r="115" spans="1:8">
      <c r="A115" s="2" t="str">
        <f>"205240_at"</f>
        <v>205240_at</v>
      </c>
      <c r="B115" s="2">
        <v>-2.1711280015221299</v>
      </c>
      <c r="C115" s="2">
        <v>4.9957841564319896</v>
      </c>
      <c r="D115" s="2">
        <v>-4.4377575735890398</v>
      </c>
      <c r="E115" s="2">
        <v>1.36856520751283E-4</v>
      </c>
      <c r="F115" s="2">
        <v>2.3749555697370099E-3</v>
      </c>
      <c r="G115" s="2">
        <v>2.6566463964990699</v>
      </c>
      <c r="H115" s="1" t="str">
        <f>"GPSM2"</f>
        <v>GPSM2</v>
      </c>
    </row>
    <row r="116" spans="1:8">
      <c r="A116" s="2" t="str">
        <f>"239201_at"</f>
        <v>239201_at</v>
      </c>
      <c r="B116" s="2">
        <v>-2.15335427290325</v>
      </c>
      <c r="C116" s="2">
        <v>5.9684970475728196</v>
      </c>
      <c r="D116" s="2">
        <v>-5.6967779352374102</v>
      </c>
      <c r="E116" s="3">
        <v>4.6560823373277704E-6</v>
      </c>
      <c r="F116" s="2">
        <v>1.81318591020937E-4</v>
      </c>
      <c r="G116" s="2">
        <v>5.8664872153817003</v>
      </c>
      <c r="H116" s="1" t="str">
        <f>"CDK15"</f>
        <v>CDK15</v>
      </c>
    </row>
    <row r="117" spans="1:8">
      <c r="A117" s="2" t="str">
        <f>"217589_at"</f>
        <v>217589_at</v>
      </c>
      <c r="B117" s="2">
        <v>-2.15045897272255</v>
      </c>
      <c r="C117" s="2">
        <v>7.0217366488595196</v>
      </c>
      <c r="D117" s="2">
        <v>-6.9112057166687899</v>
      </c>
      <c r="E117" s="3">
        <v>1.9532118201703799E-7</v>
      </c>
      <c r="F117" s="3">
        <v>1.77513201037493E-5</v>
      </c>
      <c r="G117" s="2">
        <v>8.8707068218081506</v>
      </c>
      <c r="H117" s="1" t="str">
        <f>"RAB40A"</f>
        <v>RAB40A</v>
      </c>
    </row>
    <row r="118" spans="1:8">
      <c r="A118" s="2" t="str">
        <f>"214228_x_at"</f>
        <v>214228_x_at</v>
      </c>
      <c r="B118" s="2">
        <v>-2.1484511123358101</v>
      </c>
      <c r="C118" s="2">
        <v>6.1689075815354801</v>
      </c>
      <c r="D118" s="2">
        <v>-5.1476625312827</v>
      </c>
      <c r="E118" s="3">
        <v>2.0264274042587201E-5</v>
      </c>
      <c r="F118" s="2">
        <v>5.5121849914350996E-4</v>
      </c>
      <c r="G118" s="2">
        <v>4.4690573527591297</v>
      </c>
      <c r="H118" s="1" t="str">
        <f>"TNFRSF4"</f>
        <v>TNFRSF4</v>
      </c>
    </row>
    <row r="119" spans="1:8">
      <c r="A119" s="2" t="str">
        <f>"235420_at"</f>
        <v>235420_at</v>
      </c>
      <c r="B119" s="2">
        <v>-2.14485890768642</v>
      </c>
      <c r="C119" s="2">
        <v>5.7616841155212901</v>
      </c>
      <c r="D119" s="2">
        <v>-5.2239875409997696</v>
      </c>
      <c r="E119" s="3">
        <v>1.6505207368324002E-5</v>
      </c>
      <c r="F119" s="2">
        <v>4.7197814480288497E-4</v>
      </c>
      <c r="G119" s="2">
        <v>4.6640198114169298</v>
      </c>
      <c r="H119" s="1" t="str">
        <f>"HAPLN4"</f>
        <v>HAPLN4</v>
      </c>
    </row>
    <row r="120" spans="1:8">
      <c r="A120" s="2" t="str">
        <f>"209871_s_at"</f>
        <v>209871_s_at</v>
      </c>
      <c r="B120" s="2">
        <v>-2.1433727054188001</v>
      </c>
      <c r="C120" s="2">
        <v>7.6617109565414303</v>
      </c>
      <c r="D120" s="2">
        <v>-6.1350939069418704</v>
      </c>
      <c r="E120" s="3">
        <v>1.4590851725637899E-6</v>
      </c>
      <c r="F120" s="3">
        <v>7.4209750520860894E-5</v>
      </c>
      <c r="G120" s="2">
        <v>6.9679573000134196</v>
      </c>
      <c r="H120" s="1" t="str">
        <f>"APBA2"</f>
        <v>APBA2</v>
      </c>
    </row>
    <row r="121" spans="1:8">
      <c r="A121" s="2" t="str">
        <f>"201843_s_at"</f>
        <v>201843_s_at</v>
      </c>
      <c r="B121" s="2">
        <v>-2.14028782156542</v>
      </c>
      <c r="C121" s="2">
        <v>9.6517328290140707</v>
      </c>
      <c r="D121" s="2">
        <v>-6.5737212499347697</v>
      </c>
      <c r="E121" s="3">
        <v>4.6468649328668402E-7</v>
      </c>
      <c r="F121" s="3">
        <v>3.2614549448587299E-5</v>
      </c>
      <c r="G121" s="2">
        <v>8.0518241275824298</v>
      </c>
      <c r="H121" s="1" t="str">
        <f>"EFEMP1"</f>
        <v>EFEMP1</v>
      </c>
    </row>
    <row r="122" spans="1:8">
      <c r="A122" s="2" t="str">
        <f>"230595_at"</f>
        <v>230595_at</v>
      </c>
      <c r="B122" s="2">
        <v>-2.13827656383405</v>
      </c>
      <c r="C122" s="2">
        <v>12.179254241252799</v>
      </c>
      <c r="D122" s="2">
        <v>-4.4933769275243698</v>
      </c>
      <c r="E122" s="2">
        <v>1.17875667912424E-4</v>
      </c>
      <c r="F122" s="2">
        <v>2.12071475587752E-3</v>
      </c>
      <c r="G122" s="2">
        <v>2.7980396954343201</v>
      </c>
      <c r="H122" s="1" t="str">
        <f>"PGM5-AS1"</f>
        <v>PGM5-AS1</v>
      </c>
    </row>
    <row r="123" spans="1:8">
      <c r="A123" s="2" t="str">
        <f>"205620_at"</f>
        <v>205620_at</v>
      </c>
      <c r="B123" s="2">
        <v>-2.1334590511594498</v>
      </c>
      <c r="C123" s="2">
        <v>8.1375021993271606</v>
      </c>
      <c r="D123" s="2">
        <v>-7.2776783551768602</v>
      </c>
      <c r="E123" s="3">
        <v>7.7348210326469295E-8</v>
      </c>
      <c r="F123" s="3">
        <v>9.3355704185424002E-6</v>
      </c>
      <c r="G123" s="2">
        <v>9.7433631061676795</v>
      </c>
      <c r="H123" s="1" t="str">
        <f>"F10"</f>
        <v>F10</v>
      </c>
    </row>
    <row r="124" spans="1:8">
      <c r="A124" s="2" t="str">
        <f>"219230_at"</f>
        <v>219230_at</v>
      </c>
      <c r="B124" s="2">
        <v>-2.1313271670652298</v>
      </c>
      <c r="C124" s="2">
        <v>9.4260518879818491</v>
      </c>
      <c r="D124" s="2">
        <v>-10.276084908316999</v>
      </c>
      <c r="E124" s="3">
        <v>7.5563797287589499E-11</v>
      </c>
      <c r="F124" s="3">
        <v>7.3775903869624207E-8</v>
      </c>
      <c r="G124" s="2">
        <v>16.144560322929198</v>
      </c>
      <c r="H124" s="1" t="str">
        <f>"TMEM100"</f>
        <v>TMEM100</v>
      </c>
    </row>
    <row r="125" spans="1:8">
      <c r="A125" s="2" t="str">
        <f>"210550_s_at"</f>
        <v>210550_s_at</v>
      </c>
      <c r="B125" s="2">
        <v>-2.1248154667033301</v>
      </c>
      <c r="C125" s="2">
        <v>4.21094957447343</v>
      </c>
      <c r="D125" s="2">
        <v>-4.8750006446345502</v>
      </c>
      <c r="E125" s="3">
        <v>4.2216361499646498E-5</v>
      </c>
      <c r="F125" s="2">
        <v>9.6294516687241301E-4</v>
      </c>
      <c r="G125" s="2">
        <v>3.7719334447428001</v>
      </c>
      <c r="H125" s="1" t="str">
        <f>"RASGRF1"</f>
        <v>RASGRF1</v>
      </c>
    </row>
    <row r="126" spans="1:8">
      <c r="A126" s="2" t="str">
        <f>"205934_at"</f>
        <v>205934_at</v>
      </c>
      <c r="B126" s="2">
        <v>-2.1199545471532999</v>
      </c>
      <c r="C126" s="2">
        <v>8.2197545606623503</v>
      </c>
      <c r="D126" s="2">
        <v>-7.8315613078240203</v>
      </c>
      <c r="E126" s="3">
        <v>1.9681061454048199E-8</v>
      </c>
      <c r="F126" s="3">
        <v>3.5165425980394898E-6</v>
      </c>
      <c r="G126" s="2">
        <v>11.0269279158838</v>
      </c>
      <c r="H126" s="1" t="str">
        <f>"PLCL1"</f>
        <v>PLCL1</v>
      </c>
    </row>
    <row r="127" spans="1:8">
      <c r="A127" s="2" t="str">
        <f>"243998_at"</f>
        <v>243998_at</v>
      </c>
      <c r="B127" s="2">
        <v>-2.1177558302921198</v>
      </c>
      <c r="C127" s="2">
        <v>6.1796074509511296</v>
      </c>
      <c r="D127" s="2">
        <v>-6.28652557061955</v>
      </c>
      <c r="E127" s="3">
        <v>9.808629829284961E-7</v>
      </c>
      <c r="F127" s="3">
        <v>5.6096949363614597E-5</v>
      </c>
      <c r="G127" s="2">
        <v>7.3444579894458304</v>
      </c>
      <c r="H127" s="1" t="str">
        <f>"KRT222"</f>
        <v>KRT222</v>
      </c>
    </row>
    <row r="128" spans="1:8">
      <c r="A128" s="2" t="str">
        <f>"205782_at"</f>
        <v>205782_at</v>
      </c>
      <c r="B128" s="2">
        <v>-2.1169572087541302</v>
      </c>
      <c r="C128" s="2">
        <v>7.8843172667449899</v>
      </c>
      <c r="D128" s="2">
        <v>-11.050123303537299</v>
      </c>
      <c r="E128" s="3">
        <v>1.52286964263816E-11</v>
      </c>
      <c r="F128" s="3">
        <v>2.4374835477293998E-8</v>
      </c>
      <c r="G128" s="2">
        <v>17.5800565445799</v>
      </c>
      <c r="H128" s="1" t="str">
        <f>"FGF7"</f>
        <v>FGF7</v>
      </c>
    </row>
    <row r="129" spans="1:8">
      <c r="A129" s="2" t="str">
        <f>"203903_s_at"</f>
        <v>203903_s_at</v>
      </c>
      <c r="B129" s="2">
        <v>-2.1152043689078499</v>
      </c>
      <c r="C129" s="2">
        <v>10.2083796897511</v>
      </c>
      <c r="D129" s="2">
        <v>-11.544180448272</v>
      </c>
      <c r="E129" s="3">
        <v>5.6880135030393198E-12</v>
      </c>
      <c r="F129" s="3">
        <v>1.5549606913933701E-8</v>
      </c>
      <c r="G129" s="2">
        <v>18.4522851160737</v>
      </c>
      <c r="H129" s="1" t="str">
        <f>"HEPH"</f>
        <v>HEPH</v>
      </c>
    </row>
    <row r="130" spans="1:8">
      <c r="A130" s="2" t="str">
        <f>"232478_at"</f>
        <v>232478_at</v>
      </c>
      <c r="B130" s="2">
        <v>-2.1137904759860699</v>
      </c>
      <c r="C130" s="2">
        <v>4.8163740689014203</v>
      </c>
      <c r="D130" s="2">
        <v>-4.1011109684277001</v>
      </c>
      <c r="E130" s="2">
        <v>3.3650884977103599E-4</v>
      </c>
      <c r="F130" s="2">
        <v>4.6815830435703197E-3</v>
      </c>
      <c r="G130" s="2">
        <v>1.80629651979751</v>
      </c>
      <c r="H130" s="1" t="str">
        <f>"MIR181A2HG"</f>
        <v>MIR181A2HG</v>
      </c>
    </row>
    <row r="131" spans="1:8">
      <c r="A131" s="2" t="str">
        <f>"222936_s_at"</f>
        <v>222936_s_at</v>
      </c>
      <c r="B131" s="2">
        <v>-2.1134900319169798</v>
      </c>
      <c r="C131" s="2">
        <v>4.3268872468864696</v>
      </c>
      <c r="D131" s="2">
        <v>-4.7134951441731401</v>
      </c>
      <c r="E131" s="3">
        <v>6.5215193883275501E-5</v>
      </c>
      <c r="F131" s="2">
        <v>1.34097056245509E-3</v>
      </c>
      <c r="G131" s="2">
        <v>3.3591991718140899</v>
      </c>
      <c r="H131" s="1" t="str">
        <f>"DESI2"</f>
        <v>DESI2</v>
      </c>
    </row>
    <row r="132" spans="1:8">
      <c r="A132" s="2" t="str">
        <f>"239136_at"</f>
        <v>239136_at</v>
      </c>
      <c r="B132" s="2">
        <v>-2.1063600840522501</v>
      </c>
      <c r="C132" s="2">
        <v>4.8861598655896001</v>
      </c>
      <c r="D132" s="2">
        <v>-4.2860889489650003</v>
      </c>
      <c r="E132" s="2">
        <v>2.0545855964584499E-4</v>
      </c>
      <c r="F132" s="2">
        <v>3.2215218665433299E-3</v>
      </c>
      <c r="G132" s="2">
        <v>2.2722278305598</v>
      </c>
      <c r="H132" s="1" t="str">
        <f>"UNC5B-AS1"</f>
        <v>UNC5B-AS1</v>
      </c>
    </row>
    <row r="133" spans="1:8">
      <c r="A133" s="2" t="str">
        <f>"213139_at"</f>
        <v>213139_at</v>
      </c>
      <c r="B133" s="2">
        <v>-2.1045254426656199</v>
      </c>
      <c r="C133" s="2">
        <v>10.0358359512964</v>
      </c>
      <c r="D133" s="2">
        <v>-7.3040353226410604</v>
      </c>
      <c r="E133" s="3">
        <v>7.2408104029587194E-8</v>
      </c>
      <c r="F133" s="3">
        <v>8.9568169407639792E-6</v>
      </c>
      <c r="G133" s="2">
        <v>9.8054256895748892</v>
      </c>
      <c r="H133" s="1" t="str">
        <f>"SNAI2"</f>
        <v>SNAI2</v>
      </c>
    </row>
    <row r="134" spans="1:8">
      <c r="A134" s="2" t="str">
        <f>"209335_at"</f>
        <v>209335_at</v>
      </c>
      <c r="B134" s="2">
        <v>-2.1043174776138298</v>
      </c>
      <c r="C134" s="2">
        <v>11.2648268739778</v>
      </c>
      <c r="D134" s="2">
        <v>-11.2377533920322</v>
      </c>
      <c r="E134" s="3">
        <v>1.0441630283357999E-11</v>
      </c>
      <c r="F134" s="3">
        <v>2.1144301323799901E-8</v>
      </c>
      <c r="G134" s="2">
        <v>17.915265002144999</v>
      </c>
      <c r="H134" s="1" t="str">
        <f>"DCN"</f>
        <v>DCN</v>
      </c>
    </row>
    <row r="135" spans="1:8">
      <c r="A135" s="2" t="str">
        <f>"235228_at"</f>
        <v>235228_at</v>
      </c>
      <c r="B135" s="2">
        <v>-2.0953485239164702</v>
      </c>
      <c r="C135" s="2">
        <v>7.2916660361978503</v>
      </c>
      <c r="D135" s="2">
        <v>-7.6588644091896096</v>
      </c>
      <c r="E135" s="3">
        <v>3.0030848820693701E-8</v>
      </c>
      <c r="F135" s="3">
        <v>4.9605337138109603E-6</v>
      </c>
      <c r="G135" s="2">
        <v>10.6314415921853</v>
      </c>
      <c r="H135" s="1" t="str">
        <f>"CCDC85A"</f>
        <v>CCDC85A</v>
      </c>
    </row>
    <row r="136" spans="1:8">
      <c r="A136" s="2" t="str">
        <f>"202920_at"</f>
        <v>202920_at</v>
      </c>
      <c r="B136" s="2">
        <v>-2.0909821892361702</v>
      </c>
      <c r="C136" s="2">
        <v>8.9804069755865807</v>
      </c>
      <c r="D136" s="2">
        <v>-7.37871895337521</v>
      </c>
      <c r="E136" s="3">
        <v>6.0085649308741706E-8</v>
      </c>
      <c r="F136" s="3">
        <v>7.9931456835898996E-6</v>
      </c>
      <c r="G136" s="2">
        <v>9.9807595488713901</v>
      </c>
      <c r="H136" s="1" t="str">
        <f>"ANK2"</f>
        <v>ANK2</v>
      </c>
    </row>
    <row r="137" spans="1:8">
      <c r="A137" s="2" t="str">
        <f>"235243_at"</f>
        <v>235243_at</v>
      </c>
      <c r="B137" s="2">
        <v>-2.0900973426855902</v>
      </c>
      <c r="C137" s="2">
        <v>5.9439434481312299</v>
      </c>
      <c r="D137" s="2">
        <v>-4.4287145323609796</v>
      </c>
      <c r="E137" s="2">
        <v>1.4021744081436501E-4</v>
      </c>
      <c r="F137" s="2">
        <v>2.4222396766272998E-3</v>
      </c>
      <c r="G137" s="2">
        <v>2.6336767769452698</v>
      </c>
      <c r="H137" s="1" t="str">
        <f>"CLIP3"</f>
        <v>CLIP3</v>
      </c>
    </row>
    <row r="138" spans="1:8">
      <c r="A138" s="2" t="str">
        <f>"208017_s_at"</f>
        <v>208017_s_at</v>
      </c>
      <c r="B138" s="2">
        <v>-2.0877850996024399</v>
      </c>
      <c r="C138" s="2">
        <v>5.8602927216539804</v>
      </c>
      <c r="D138" s="2">
        <v>-5.0147509818540001</v>
      </c>
      <c r="E138" s="3">
        <v>2.89769576808447E-5</v>
      </c>
      <c r="F138" s="2">
        <v>7.2885493050013097E-4</v>
      </c>
      <c r="G138" s="2">
        <v>4.1292942201990597</v>
      </c>
      <c r="H138" s="1" t="str">
        <f>"MCF2"</f>
        <v>MCF2</v>
      </c>
    </row>
    <row r="139" spans="1:8">
      <c r="A139" s="2" t="str">
        <f>"223749_at"</f>
        <v>223749_at</v>
      </c>
      <c r="B139" s="2">
        <v>-2.0876703258832201</v>
      </c>
      <c r="C139" s="2">
        <v>6.9001445813258</v>
      </c>
      <c r="D139" s="2">
        <v>-5.0139812983084804</v>
      </c>
      <c r="E139" s="3">
        <v>2.9037060582391598E-5</v>
      </c>
      <c r="F139" s="2">
        <v>7.2926104149851104E-4</v>
      </c>
      <c r="G139" s="2">
        <v>4.1273260954127</v>
      </c>
      <c r="H139" s="1" t="str">
        <f>"C1QTNF2"</f>
        <v>C1QTNF2</v>
      </c>
    </row>
    <row r="140" spans="1:8">
      <c r="A140" s="2" t="str">
        <f>"204636_at"</f>
        <v>204636_at</v>
      </c>
      <c r="B140" s="2">
        <v>-2.0876082758733001</v>
      </c>
      <c r="C140" s="2">
        <v>5.38115946272102</v>
      </c>
      <c r="D140" s="2">
        <v>-3.4512526036692202</v>
      </c>
      <c r="E140" s="2">
        <v>1.84438844806687E-3</v>
      </c>
      <c r="F140" s="2">
        <v>1.71470733545411E-2</v>
      </c>
      <c r="G140" s="2">
        <v>0.21060361921794701</v>
      </c>
      <c r="H140" s="1" t="str">
        <f>"COL17A1"</f>
        <v>COL17A1</v>
      </c>
    </row>
    <row r="141" spans="1:8">
      <c r="A141" s="2" t="str">
        <f>"214147_at"</f>
        <v>214147_at</v>
      </c>
      <c r="B141" s="2">
        <v>-2.0869076528155102</v>
      </c>
      <c r="C141" s="2">
        <v>5.5096382236874701</v>
      </c>
      <c r="D141" s="2">
        <v>-5.5263657702142304</v>
      </c>
      <c r="E141" s="3">
        <v>7.3373728381021202E-6</v>
      </c>
      <c r="F141" s="2">
        <v>2.5506381780432598E-4</v>
      </c>
      <c r="G141" s="2">
        <v>5.4343928312962504</v>
      </c>
      <c r="H141" s="1" t="str">
        <f>"MROH7"</f>
        <v>MROH7</v>
      </c>
    </row>
    <row r="142" spans="1:8">
      <c r="A142" s="2" t="str">
        <f>"212253_x_at"</f>
        <v>212253_x_at</v>
      </c>
      <c r="B142" s="2">
        <v>-2.0860200220656901</v>
      </c>
      <c r="C142" s="2">
        <v>7.1686118417642897</v>
      </c>
      <c r="D142" s="2">
        <v>-5.0432099786588402</v>
      </c>
      <c r="E142" s="3">
        <v>2.6840034729317099E-5</v>
      </c>
      <c r="F142" s="2">
        <v>6.8960474568863304E-4</v>
      </c>
      <c r="G142" s="2">
        <v>4.2020624118168097</v>
      </c>
      <c r="H142" s="1" t="str">
        <f>"DST"</f>
        <v>DST</v>
      </c>
    </row>
    <row r="143" spans="1:8">
      <c r="A143" s="2" t="str">
        <f>"220786_s_at"</f>
        <v>220786_s_at</v>
      </c>
      <c r="B143" s="2">
        <v>-2.0735667671011599</v>
      </c>
      <c r="C143" s="2">
        <v>5.0490917209374304</v>
      </c>
      <c r="D143" s="2">
        <v>-3.56382626793653</v>
      </c>
      <c r="E143" s="2">
        <v>1.38014435970706E-3</v>
      </c>
      <c r="F143" s="2">
        <v>1.3737373542141501E-2</v>
      </c>
      <c r="G143" s="2">
        <v>0.48101227454425</v>
      </c>
      <c r="H143" s="1" t="str">
        <f>"SLC38A4"</f>
        <v>SLC38A4</v>
      </c>
    </row>
    <row r="144" spans="1:8">
      <c r="A144" s="2" t="str">
        <f>"214468_at"</f>
        <v>214468_at</v>
      </c>
      <c r="B144" s="2">
        <v>-2.0706229827342999</v>
      </c>
      <c r="C144" s="2">
        <v>5.2900186045065398</v>
      </c>
      <c r="D144" s="2">
        <v>-3.2045203361627701</v>
      </c>
      <c r="E144" s="2">
        <v>3.4498862821853399E-3</v>
      </c>
      <c r="F144" s="2">
        <v>2.7348489557558801E-2</v>
      </c>
      <c r="G144" s="2">
        <v>-0.37039220375658599</v>
      </c>
      <c r="H144" s="1" t="str">
        <f>"MYH6"</f>
        <v>MYH6</v>
      </c>
    </row>
    <row r="145" spans="1:8">
      <c r="A145" s="2" t="str">
        <f>"209598_at"</f>
        <v>209598_at</v>
      </c>
      <c r="B145" s="2">
        <v>-2.0656390485551399</v>
      </c>
      <c r="C145" s="2">
        <v>6.4754954737466104</v>
      </c>
      <c r="D145" s="2">
        <v>-5.8288423754512104</v>
      </c>
      <c r="E145" s="3">
        <v>3.2772670875675998E-6</v>
      </c>
      <c r="F145" s="2">
        <v>1.38259705256758E-4</v>
      </c>
      <c r="G145" s="2">
        <v>6.2000030279056304</v>
      </c>
      <c r="H145" s="1" t="str">
        <f>"PNMA2"</f>
        <v>PNMA2</v>
      </c>
    </row>
    <row r="146" spans="1:8">
      <c r="A146" s="2" t="str">
        <f>"203296_s_at"</f>
        <v>203296_s_at</v>
      </c>
      <c r="B146" s="2">
        <v>-2.0620244456752901</v>
      </c>
      <c r="C146" s="2">
        <v>11.3384698730443</v>
      </c>
      <c r="D146" s="2">
        <v>-6.5811857947885599</v>
      </c>
      <c r="E146" s="3">
        <v>4.5580196612231402E-7</v>
      </c>
      <c r="F146" s="3">
        <v>3.2197638885965802E-5</v>
      </c>
      <c r="G146" s="2">
        <v>8.0700853183355505</v>
      </c>
      <c r="H146" s="1" t="str">
        <f>"ATP1A2"</f>
        <v>ATP1A2</v>
      </c>
    </row>
    <row r="147" spans="1:8">
      <c r="A147" s="2" t="str">
        <f>"207418_s_at"</f>
        <v>207418_s_at</v>
      </c>
      <c r="B147" s="2">
        <v>-2.0619888499925798</v>
      </c>
      <c r="C147" s="2">
        <v>4.7660628677101498</v>
      </c>
      <c r="D147" s="2">
        <v>-4.8243798641564899</v>
      </c>
      <c r="E147" s="3">
        <v>4.8382213902041999E-5</v>
      </c>
      <c r="F147" s="2">
        <v>1.0703591112128301E-3</v>
      </c>
      <c r="G147" s="2">
        <v>3.64251874984949</v>
      </c>
      <c r="H147" s="1" t="str">
        <f>"DDO"</f>
        <v>DDO</v>
      </c>
    </row>
    <row r="148" spans="1:8">
      <c r="A148" s="2" t="str">
        <f>"211343_s_at"</f>
        <v>211343_s_at</v>
      </c>
      <c r="B148" s="2">
        <v>-2.0556715578422202</v>
      </c>
      <c r="C148" s="2">
        <v>10.120149984115599</v>
      </c>
      <c r="D148" s="2">
        <v>-9.2523317307545607</v>
      </c>
      <c r="E148" s="3">
        <v>7.0576853449742101E-10</v>
      </c>
      <c r="F148" s="3">
        <v>3.7103744830429301E-7</v>
      </c>
      <c r="G148" s="2">
        <v>14.111135159703</v>
      </c>
      <c r="H148" s="1" t="str">
        <f>"COL13A1"</f>
        <v>COL13A1</v>
      </c>
    </row>
    <row r="149" spans="1:8">
      <c r="A149" s="2" t="str">
        <f>"229151_at"</f>
        <v>229151_at</v>
      </c>
      <c r="B149" s="2">
        <v>-2.0545074868693498</v>
      </c>
      <c r="C149" s="2">
        <v>10.0708578723511</v>
      </c>
      <c r="D149" s="2">
        <v>-4.41230242253779</v>
      </c>
      <c r="E149" s="2">
        <v>1.4652784891707301E-4</v>
      </c>
      <c r="F149" s="2">
        <v>2.5043482774432498E-3</v>
      </c>
      <c r="G149" s="2">
        <v>2.59200406821317</v>
      </c>
      <c r="H149" s="1" t="str">
        <f>"SLC14A1"</f>
        <v>SLC14A1</v>
      </c>
    </row>
    <row r="150" spans="1:8">
      <c r="A150" s="2" t="str">
        <f>"214044_at"</f>
        <v>214044_at</v>
      </c>
      <c r="B150" s="2">
        <v>-2.0472703394607001</v>
      </c>
      <c r="C150" s="2">
        <v>7.3834559848677301</v>
      </c>
      <c r="D150" s="2">
        <v>-4.6694775428333504</v>
      </c>
      <c r="E150" s="3">
        <v>7.3417648718038196E-5</v>
      </c>
      <c r="F150" s="2">
        <v>1.47198751142601E-3</v>
      </c>
      <c r="G150" s="2">
        <v>3.2468220649502801</v>
      </c>
      <c r="H150" s="1" t="str">
        <f>"RYR2"</f>
        <v>RYR2</v>
      </c>
    </row>
    <row r="151" spans="1:8">
      <c r="A151" s="2" t="str">
        <f>"242690_at"</f>
        <v>242690_at</v>
      </c>
      <c r="B151" s="2">
        <v>-2.0456969504114202</v>
      </c>
      <c r="C151" s="2">
        <v>4.8663538878869304</v>
      </c>
      <c r="D151" s="2">
        <v>-4.5170199814659897</v>
      </c>
      <c r="E151" s="2">
        <v>1.10622531644809E-4</v>
      </c>
      <c r="F151" s="2">
        <v>2.0187873557009199E-3</v>
      </c>
      <c r="G151" s="2">
        <v>2.8582017254096401</v>
      </c>
      <c r="H151" s="1" t="str">
        <f>"ATP11C"</f>
        <v>ATP11C</v>
      </c>
    </row>
    <row r="152" spans="1:8">
      <c r="A152" s="2" t="str">
        <f>"222314_x_at"</f>
        <v>222314_x_at</v>
      </c>
      <c r="B152" s="2">
        <v>-2.0451906372050899</v>
      </c>
      <c r="C152" s="2">
        <v>7.3135610236895303</v>
      </c>
      <c r="D152" s="2">
        <v>-4.2057477311192599</v>
      </c>
      <c r="E152" s="2">
        <v>2.54644861977339E-4</v>
      </c>
      <c r="F152" s="2">
        <v>3.76815652875184E-3</v>
      </c>
      <c r="G152" s="2">
        <v>2.0694144167260502</v>
      </c>
      <c r="H152" s="1" t="str">
        <f>"EGOT"</f>
        <v>EGOT</v>
      </c>
    </row>
    <row r="153" spans="1:8">
      <c r="A153" s="2" t="str">
        <f>"222783_s_at"</f>
        <v>222783_s_at</v>
      </c>
      <c r="B153" s="2">
        <v>-2.0416938642613802</v>
      </c>
      <c r="C153" s="2">
        <v>7.8783776638794603</v>
      </c>
      <c r="D153" s="2">
        <v>-6.2607176443866699</v>
      </c>
      <c r="E153" s="3">
        <v>1.0493896835904701E-6</v>
      </c>
      <c r="F153" s="3">
        <v>5.88465445644193E-5</v>
      </c>
      <c r="G153" s="2">
        <v>7.2804562238672696</v>
      </c>
      <c r="H153" s="1" t="str">
        <f>"SMOC1"</f>
        <v>SMOC1</v>
      </c>
    </row>
    <row r="154" spans="1:8">
      <c r="A154" s="2" t="str">
        <f>"1561087_at"</f>
        <v>1561087_at</v>
      </c>
      <c r="B154" s="2">
        <v>-2.0401933943930102</v>
      </c>
      <c r="C154" s="2">
        <v>4.1480376770067702</v>
      </c>
      <c r="D154" s="2">
        <v>-4.9388286427955501</v>
      </c>
      <c r="E154" s="3">
        <v>3.5549279987954501E-5</v>
      </c>
      <c r="F154" s="2">
        <v>8.4950038607579297E-4</v>
      </c>
      <c r="G154" s="2">
        <v>3.93514628630636</v>
      </c>
      <c r="H154" s="1" t="str">
        <f>"LINC02367"</f>
        <v>LINC02367</v>
      </c>
    </row>
    <row r="155" spans="1:8">
      <c r="A155" s="2" t="str">
        <f>"207558_s_at"</f>
        <v>207558_s_at</v>
      </c>
      <c r="B155" s="2">
        <v>-2.0401322286450498</v>
      </c>
      <c r="C155" s="2">
        <v>5.6684774033933403</v>
      </c>
      <c r="D155" s="2">
        <v>-4.9141528459854102</v>
      </c>
      <c r="E155" s="3">
        <v>3.7991768418485101E-5</v>
      </c>
      <c r="F155" s="2">
        <v>8.9150211943376503E-4</v>
      </c>
      <c r="G155" s="2">
        <v>3.8720457935530699</v>
      </c>
      <c r="H155" s="1" t="str">
        <f>"PITX2"</f>
        <v>PITX2</v>
      </c>
    </row>
    <row r="156" spans="1:8">
      <c r="A156" s="2" t="str">
        <f>"209763_at"</f>
        <v>209763_at</v>
      </c>
      <c r="B156" s="2">
        <v>-2.03944831153715</v>
      </c>
      <c r="C156" s="2">
        <v>11.585038984092</v>
      </c>
      <c r="D156" s="2">
        <v>-6.9302050654970397</v>
      </c>
      <c r="E156" s="3">
        <v>1.86090276518259E-7</v>
      </c>
      <c r="F156" s="3">
        <v>1.7157649019621902E-5</v>
      </c>
      <c r="G156" s="2">
        <v>8.9163842434393601</v>
      </c>
      <c r="H156" s="1" t="str">
        <f>"CHRDL1"</f>
        <v>CHRDL1</v>
      </c>
    </row>
    <row r="157" spans="1:8">
      <c r="A157" s="2" t="str">
        <f>"221583_s_at"</f>
        <v>221583_s_at</v>
      </c>
      <c r="B157" s="2">
        <v>-2.0282305530606402</v>
      </c>
      <c r="C157" s="2">
        <v>8.6012355695601403</v>
      </c>
      <c r="D157" s="2">
        <v>-6.7703609554323201</v>
      </c>
      <c r="E157" s="3">
        <v>2.8000951884363002E-7</v>
      </c>
      <c r="F157" s="3">
        <v>2.3056506690926901E-5</v>
      </c>
      <c r="G157" s="2">
        <v>8.5306628088412104</v>
      </c>
      <c r="H157" s="1" t="str">
        <f>"KCNMA1"</f>
        <v>KCNMA1</v>
      </c>
    </row>
    <row r="158" spans="1:8">
      <c r="A158" s="2" t="str">
        <f>"229296_at"</f>
        <v>229296_at</v>
      </c>
      <c r="B158" s="2">
        <v>-2.0270291440625701</v>
      </c>
      <c r="C158" s="2">
        <v>7.12497806946776</v>
      </c>
      <c r="D158" s="2">
        <v>-4.1336009434179202</v>
      </c>
      <c r="E158" s="2">
        <v>3.0863910780512001E-4</v>
      </c>
      <c r="F158" s="2">
        <v>4.3773912371582102E-3</v>
      </c>
      <c r="G158" s="2">
        <v>1.88786084185944</v>
      </c>
      <c r="H158" s="1" t="str">
        <f>"LINC01503"</f>
        <v>LINC01503</v>
      </c>
    </row>
    <row r="159" spans="1:8">
      <c r="A159" s="2" t="str">
        <f>"222095_s_at"</f>
        <v>222095_s_at</v>
      </c>
      <c r="B159" s="2">
        <v>-2.0249043092246501</v>
      </c>
      <c r="C159" s="2">
        <v>4.9739984996511497</v>
      </c>
      <c r="D159" s="2">
        <v>-3.9419529305236498</v>
      </c>
      <c r="E159" s="2">
        <v>5.1316549564625299E-4</v>
      </c>
      <c r="F159" s="2">
        <v>6.4514425096479297E-3</v>
      </c>
      <c r="G159" s="2">
        <v>1.4087232579213</v>
      </c>
      <c r="H159" s="1" t="str">
        <f>"FAM163A"</f>
        <v>FAM163A</v>
      </c>
    </row>
    <row r="160" spans="1:8">
      <c r="A160" s="2" t="str">
        <f>"211828_s_at"</f>
        <v>211828_s_at</v>
      </c>
      <c r="B160" s="2">
        <v>-2.02486105121445</v>
      </c>
      <c r="C160" s="2">
        <v>7.5506095925398098</v>
      </c>
      <c r="D160" s="2">
        <v>-4.74003725128056</v>
      </c>
      <c r="E160" s="3">
        <v>6.0717965989380501E-5</v>
      </c>
      <c r="F160" s="2">
        <v>1.2710715858722901E-3</v>
      </c>
      <c r="G160" s="2">
        <v>3.4269897757319598</v>
      </c>
      <c r="H160" s="1" t="str">
        <f>"TNIK"</f>
        <v>TNIK</v>
      </c>
    </row>
    <row r="161" spans="1:8">
      <c r="A161" s="2" t="str">
        <f>"205404_at"</f>
        <v>205404_at</v>
      </c>
      <c r="B161" s="2">
        <v>-2.0180818388049699</v>
      </c>
      <c r="C161" s="2">
        <v>8.8817706623889698</v>
      </c>
      <c r="D161" s="2">
        <v>-7.43165910858015</v>
      </c>
      <c r="E161" s="3">
        <v>5.2665150827136001E-8</v>
      </c>
      <c r="F161" s="3">
        <v>7.2348420137529204E-6</v>
      </c>
      <c r="G161" s="2">
        <v>10.104574571379001</v>
      </c>
      <c r="H161" s="1" t="str">
        <f>"HSD11B1"</f>
        <v>HSD11B1</v>
      </c>
    </row>
    <row r="162" spans="1:8">
      <c r="A162" s="2" t="str">
        <f>"203813_s_at"</f>
        <v>203813_s_at</v>
      </c>
      <c r="B162" s="2">
        <v>-2.0179128272017599</v>
      </c>
      <c r="C162" s="2">
        <v>8.1991732216678592</v>
      </c>
      <c r="D162" s="2">
        <v>-8.0060109675746407</v>
      </c>
      <c r="E162" s="3">
        <v>1.2893347343394399E-8</v>
      </c>
      <c r="F162" s="3">
        <v>2.6303871865674902E-6</v>
      </c>
      <c r="G162" s="2">
        <v>11.4219838879173</v>
      </c>
      <c r="H162" s="1" t="str">
        <f>"SLIT3"</f>
        <v>SLIT3</v>
      </c>
    </row>
    <row r="163" spans="1:8">
      <c r="A163" s="2" t="str">
        <f>"219643_at"</f>
        <v>219643_at</v>
      </c>
      <c r="B163" s="2">
        <v>-2.0175390241356301</v>
      </c>
      <c r="C163" s="2">
        <v>4.8609316436098897</v>
      </c>
      <c r="D163" s="2">
        <v>-3.5304196172638602</v>
      </c>
      <c r="E163" s="2">
        <v>1.50453817153487E-3</v>
      </c>
      <c r="F163" s="2">
        <v>1.47183081997976E-2</v>
      </c>
      <c r="G163" s="2">
        <v>0.40045199940137399</v>
      </c>
      <c r="H163" s="1" t="str">
        <f>"LRP1B"</f>
        <v>LRP1B</v>
      </c>
    </row>
    <row r="164" spans="1:8">
      <c r="A164" s="2" t="str">
        <f>"234103_at"</f>
        <v>234103_at</v>
      </c>
      <c r="B164" s="2">
        <v>-2.0174444988051699</v>
      </c>
      <c r="C164" s="2">
        <v>6.7140190410282798</v>
      </c>
      <c r="D164" s="2">
        <v>-6.0242206332113204</v>
      </c>
      <c r="E164" s="3">
        <v>1.95399640627503E-6</v>
      </c>
      <c r="F164" s="3">
        <v>9.2237838787960196E-5</v>
      </c>
      <c r="G164" s="2">
        <v>6.6908870954184199</v>
      </c>
      <c r="H164" s="1" t="str">
        <f>"KCNT2"</f>
        <v>KCNT2</v>
      </c>
    </row>
    <row r="165" spans="1:8">
      <c r="A165" s="2" t="str">
        <f>"233403_x_at"</f>
        <v>233403_x_at</v>
      </c>
      <c r="B165" s="2">
        <v>-2.0139580383968601</v>
      </c>
      <c r="C165" s="2">
        <v>5.73130085373678</v>
      </c>
      <c r="D165" s="2">
        <v>-5.2176170892412896</v>
      </c>
      <c r="E165" s="3">
        <v>1.6790190924640901E-5</v>
      </c>
      <c r="F165" s="2">
        <v>4.7713289438915802E-4</v>
      </c>
      <c r="G165" s="2">
        <v>4.6477529731317304</v>
      </c>
      <c r="H165" s="1" t="str">
        <f>"TM6SF2"</f>
        <v>TM6SF2</v>
      </c>
    </row>
    <row r="166" spans="1:8">
      <c r="A166" s="2" t="str">
        <f>"209351_at"</f>
        <v>209351_at</v>
      </c>
      <c r="B166" s="2">
        <v>-2.0135453704857</v>
      </c>
      <c r="C166" s="2">
        <v>11.2907554341829</v>
      </c>
      <c r="D166" s="2">
        <v>-4.0897582473272296</v>
      </c>
      <c r="E166" s="2">
        <v>3.4682125967089002E-4</v>
      </c>
      <c r="F166" s="2">
        <v>4.7884980738651297E-3</v>
      </c>
      <c r="G166" s="2">
        <v>1.7778263333173201</v>
      </c>
      <c r="H166" s="1" t="str">
        <f>"KRT14"</f>
        <v>KRT14</v>
      </c>
    </row>
    <row r="167" spans="1:8">
      <c r="A167" s="2" t="str">
        <f>"223754_at"</f>
        <v>223754_at</v>
      </c>
      <c r="B167" s="2">
        <v>-2.0077338169663301</v>
      </c>
      <c r="C167" s="2">
        <v>7.2001471709293696</v>
      </c>
      <c r="D167" s="2">
        <v>-5.7364953336085103</v>
      </c>
      <c r="E167" s="3">
        <v>4.1888966250723804E-6</v>
      </c>
      <c r="F167" s="2">
        <v>1.6711522139799999E-4</v>
      </c>
      <c r="G167" s="2">
        <v>5.9669224812465398</v>
      </c>
      <c r="H167" s="1" t="str">
        <f>"C2orf88"</f>
        <v>C2orf88</v>
      </c>
    </row>
    <row r="168" spans="1:8">
      <c r="A168" s="2" t="str">
        <f>"1570397_x_at"</f>
        <v>1570397_x_at</v>
      </c>
      <c r="B168" s="2">
        <v>-2.0041603858345498</v>
      </c>
      <c r="C168" s="2">
        <v>4.6643780305114202</v>
      </c>
      <c r="D168" s="2">
        <v>-4.3465268700950004</v>
      </c>
      <c r="E168" s="2">
        <v>1.7477444733129499E-4</v>
      </c>
      <c r="F168" s="2">
        <v>2.8473757174727501E-3</v>
      </c>
      <c r="G168" s="2">
        <v>2.4251916647842799</v>
      </c>
      <c r="H168" s="1" t="str">
        <f>"FAM66C"</f>
        <v>FAM66C</v>
      </c>
    </row>
    <row r="169" spans="1:8">
      <c r="A169" s="2" t="str">
        <f>"219578_s_at"</f>
        <v>219578_s_at</v>
      </c>
      <c r="B169" s="2">
        <v>-2.00322569931798</v>
      </c>
      <c r="C169" s="2">
        <v>7.6854105004549096</v>
      </c>
      <c r="D169" s="2">
        <v>-5.8943468859762804</v>
      </c>
      <c r="E169" s="3">
        <v>2.75467116214448E-6</v>
      </c>
      <c r="F169" s="2">
        <v>1.2116785662932399E-4</v>
      </c>
      <c r="G169" s="2">
        <v>6.3649359741595504</v>
      </c>
      <c r="H169" s="1" t="str">
        <f>"CPEB1"</f>
        <v>CPEB1</v>
      </c>
    </row>
    <row r="170" spans="1:8">
      <c r="A170" s="2" t="str">
        <f>"228377_at"</f>
        <v>228377_at</v>
      </c>
      <c r="B170" s="2">
        <v>-1.9955553940042401</v>
      </c>
      <c r="C170" s="2">
        <v>6.9913038182585696</v>
      </c>
      <c r="D170" s="2">
        <v>-6.86758138948852</v>
      </c>
      <c r="E170" s="3">
        <v>2.18320437369491E-7</v>
      </c>
      <c r="F170" s="3">
        <v>1.92216906814443E-5</v>
      </c>
      <c r="G170" s="2">
        <v>8.7656520484973104</v>
      </c>
      <c r="H170" s="1" t="str">
        <f>"KLHL14"</f>
        <v>KLHL14</v>
      </c>
    </row>
    <row r="171" spans="1:8">
      <c r="A171" s="2" t="str">
        <f>"205384_at"</f>
        <v>205384_at</v>
      </c>
      <c r="B171" s="2">
        <v>-1.9953127793735701</v>
      </c>
      <c r="C171" s="2">
        <v>11.1316618424308</v>
      </c>
      <c r="D171" s="2">
        <v>-7.5946858116526101</v>
      </c>
      <c r="E171" s="3">
        <v>3.5171457344254301E-8</v>
      </c>
      <c r="F171" s="3">
        <v>5.5029394282971397E-6</v>
      </c>
      <c r="G171" s="2">
        <v>10.4833661322401</v>
      </c>
      <c r="H171" s="1" t="str">
        <f>"FXYD1"</f>
        <v>FXYD1</v>
      </c>
    </row>
    <row r="172" spans="1:8">
      <c r="A172" s="2" t="str">
        <f>"235852_at"</f>
        <v>235852_at</v>
      </c>
      <c r="B172" s="2">
        <v>-1.99380779737317</v>
      </c>
      <c r="C172" s="2">
        <v>5.2005740679040002</v>
      </c>
      <c r="D172" s="2">
        <v>-3.8726265644335802</v>
      </c>
      <c r="E172" s="2">
        <v>6.16159552183881E-4</v>
      </c>
      <c r="F172" s="2">
        <v>7.4318384106891004E-3</v>
      </c>
      <c r="G172" s="2">
        <v>1.23670322799513</v>
      </c>
      <c r="H172" s="1" t="str">
        <f>"STON2"</f>
        <v>STON2</v>
      </c>
    </row>
    <row r="173" spans="1:8">
      <c r="A173" s="2" t="str">
        <f>"234085_at"</f>
        <v>234085_at</v>
      </c>
      <c r="B173" s="2">
        <v>-1.9934303310291901</v>
      </c>
      <c r="C173" s="2">
        <v>3.5948907383280999</v>
      </c>
      <c r="D173" s="2">
        <v>-4.5298874285855302</v>
      </c>
      <c r="E173" s="2">
        <v>1.0686345769338099E-4</v>
      </c>
      <c r="F173" s="2">
        <v>1.9659352454191102E-3</v>
      </c>
      <c r="G173" s="2">
        <v>2.8909575788241502</v>
      </c>
      <c r="H173" s="1" t="str">
        <f>"CCDC169"</f>
        <v>CCDC169</v>
      </c>
    </row>
    <row r="174" spans="1:8">
      <c r="A174" s="2" t="str">
        <f>"209541_at"</f>
        <v>209541_at</v>
      </c>
      <c r="B174" s="2">
        <v>-1.9915404341588101</v>
      </c>
      <c r="C174" s="2">
        <v>11.7554817087406</v>
      </c>
      <c r="D174" s="2">
        <v>-9.9114045577893695</v>
      </c>
      <c r="E174" s="3">
        <v>1.6491911898490899E-10</v>
      </c>
      <c r="F174" s="3">
        <v>1.2772752567438499E-7</v>
      </c>
      <c r="G174" s="2">
        <v>15.4381272013899</v>
      </c>
      <c r="H174" s="1" t="str">
        <f>"IGF1"</f>
        <v>IGF1</v>
      </c>
    </row>
    <row r="175" spans="1:8">
      <c r="A175" s="2" t="str">
        <f>"206070_s_at"</f>
        <v>206070_s_at</v>
      </c>
      <c r="B175" s="2">
        <v>-1.98819733496523</v>
      </c>
      <c r="C175" s="2">
        <v>10.955521055886299</v>
      </c>
      <c r="D175" s="2">
        <v>-9.9022989933206205</v>
      </c>
      <c r="E175" s="3">
        <v>1.6820085685515801E-10</v>
      </c>
      <c r="F175" s="3">
        <v>1.2772752567438499E-7</v>
      </c>
      <c r="G175" s="2">
        <v>15.420237006126101</v>
      </c>
      <c r="H175" s="1" t="str">
        <f>"EPHA3"</f>
        <v>EPHA3</v>
      </c>
    </row>
    <row r="176" spans="1:8">
      <c r="A176" s="2" t="str">
        <f>"216866_s_at"</f>
        <v>216866_s_at</v>
      </c>
      <c r="B176" s="2">
        <v>-1.98813890020458</v>
      </c>
      <c r="C176" s="2">
        <v>5.8916422490490801</v>
      </c>
      <c r="D176" s="2">
        <v>-4.3467226661629503</v>
      </c>
      <c r="E176" s="2">
        <v>1.74682824181408E-4</v>
      </c>
      <c r="F176" s="2">
        <v>2.8467312703780901E-3</v>
      </c>
      <c r="G176" s="2">
        <v>2.4256877155317702</v>
      </c>
      <c r="H176" s="1" t="str">
        <f>"COL14A1"</f>
        <v>COL14A1</v>
      </c>
    </row>
    <row r="177" spans="1:8">
      <c r="A177" s="2" t="str">
        <f>"213071_at"</f>
        <v>213071_at</v>
      </c>
      <c r="B177" s="2">
        <v>-1.9871362026252799</v>
      </c>
      <c r="C177" s="2">
        <v>9.4607386112196306</v>
      </c>
      <c r="D177" s="2">
        <v>-6.4559355089932202</v>
      </c>
      <c r="E177" s="3">
        <v>6.3064705494319496E-7</v>
      </c>
      <c r="F177" s="3">
        <v>4.0808090158296098E-5</v>
      </c>
      <c r="G177" s="2">
        <v>7.7628243178176497</v>
      </c>
      <c r="H177" s="1" t="str">
        <f>"DPT"</f>
        <v>DPT</v>
      </c>
    </row>
    <row r="178" spans="1:8">
      <c r="A178" s="2" t="str">
        <f>"207177_at"</f>
        <v>207177_at</v>
      </c>
      <c r="B178" s="2">
        <v>-1.98556257489875</v>
      </c>
      <c r="C178" s="2">
        <v>6.4062817247402304</v>
      </c>
      <c r="D178" s="2">
        <v>-3.6034873667246101</v>
      </c>
      <c r="E178" s="2">
        <v>1.24541815779371E-3</v>
      </c>
      <c r="F178" s="2">
        <v>1.27300874513687E-2</v>
      </c>
      <c r="G178" s="2">
        <v>0.57698476349001804</v>
      </c>
      <c r="H178" s="1" t="str">
        <f>"PTGFR"</f>
        <v>PTGFR</v>
      </c>
    </row>
    <row r="179" spans="1:8">
      <c r="A179" s="2" t="str">
        <f>"1552509_a_at"</f>
        <v>1552509_a_at</v>
      </c>
      <c r="B179" s="2">
        <v>-1.9828256663503101</v>
      </c>
      <c r="C179" s="2">
        <v>6.64244504409504</v>
      </c>
      <c r="D179" s="2">
        <v>-5.62526073863107</v>
      </c>
      <c r="E179" s="3">
        <v>5.6340529614989701E-6</v>
      </c>
      <c r="F179" s="2">
        <v>2.0855913721730301E-4</v>
      </c>
      <c r="G179" s="2">
        <v>5.6853695538103297</v>
      </c>
      <c r="H179" s="1" t="str">
        <f>"CD300LG"</f>
        <v>CD300LG</v>
      </c>
    </row>
    <row r="180" spans="1:8">
      <c r="A180" s="2" t="str">
        <f>"216831_s_at"</f>
        <v>216831_s_at</v>
      </c>
      <c r="B180" s="2">
        <v>-1.97996993939794</v>
      </c>
      <c r="C180" s="2">
        <v>4.5251748684800503</v>
      </c>
      <c r="D180" s="2">
        <v>-4.1398545460396399</v>
      </c>
      <c r="E180" s="2">
        <v>3.03542506269371E-4</v>
      </c>
      <c r="F180" s="2">
        <v>4.31181775273521E-3</v>
      </c>
      <c r="G180" s="2">
        <v>1.90357452436861</v>
      </c>
      <c r="H180" s="1" t="str">
        <f>"RUNX1T1"</f>
        <v>RUNX1T1</v>
      </c>
    </row>
    <row r="181" spans="1:8">
      <c r="A181" s="2" t="str">
        <f>"223877_at"</f>
        <v>223877_at</v>
      </c>
      <c r="B181" s="2">
        <v>-1.97980732178809</v>
      </c>
      <c r="C181" s="2">
        <v>6.7783762628011903</v>
      </c>
      <c r="D181" s="2">
        <v>-4.40784205963738</v>
      </c>
      <c r="E181" s="2">
        <v>1.4829104697166901E-4</v>
      </c>
      <c r="F181" s="2">
        <v>2.5203707258050702E-3</v>
      </c>
      <c r="G181" s="2">
        <v>2.5806818850079201</v>
      </c>
      <c r="H181" s="1" t="str">
        <f>"C1QTNF7"</f>
        <v>C1QTNF7</v>
      </c>
    </row>
    <row r="182" spans="1:8">
      <c r="A182" s="2" t="str">
        <f>"1565026_a_at"</f>
        <v>1565026_a_at</v>
      </c>
      <c r="B182" s="2">
        <v>-1.9791599480497299</v>
      </c>
      <c r="C182" s="2">
        <v>3.1123605795429801</v>
      </c>
      <c r="D182" s="2">
        <v>-4.9657843993695501</v>
      </c>
      <c r="E182" s="3">
        <v>3.3060376105343198E-5</v>
      </c>
      <c r="F182" s="2">
        <v>8.0587430386074E-4</v>
      </c>
      <c r="G182" s="2">
        <v>4.0040784740261399</v>
      </c>
      <c r="H182" s="1" t="str">
        <f>"OFCC1"</f>
        <v>OFCC1</v>
      </c>
    </row>
    <row r="183" spans="1:8">
      <c r="A183" s="2" t="str">
        <f>"244435_at"</f>
        <v>244435_at</v>
      </c>
      <c r="B183" s="2">
        <v>-1.9787247676701301</v>
      </c>
      <c r="C183" s="2">
        <v>4.4284087191336301</v>
      </c>
      <c r="D183" s="2">
        <v>-4.4998543224739498</v>
      </c>
      <c r="E183" s="2">
        <v>1.15842786380105E-4</v>
      </c>
      <c r="F183" s="2">
        <v>2.09240315339684E-3</v>
      </c>
      <c r="G183" s="2">
        <v>2.8145188012126701</v>
      </c>
      <c r="H183" s="1" t="str">
        <f>"INSYN2A"</f>
        <v>INSYN2A</v>
      </c>
    </row>
    <row r="184" spans="1:8">
      <c r="A184" s="2" t="str">
        <f>"221217_s_at"</f>
        <v>221217_s_at</v>
      </c>
      <c r="B184" s="2">
        <v>-1.97711825715818</v>
      </c>
      <c r="C184" s="2">
        <v>7.3723639248911601</v>
      </c>
      <c r="D184" s="2">
        <v>-5.9154359755720902</v>
      </c>
      <c r="E184" s="3">
        <v>2.6050227859836598E-6</v>
      </c>
      <c r="F184" s="2">
        <v>1.16300098094607E-4</v>
      </c>
      <c r="G184" s="2">
        <v>6.4179619953291098</v>
      </c>
      <c r="H184" s="1" t="str">
        <f>"RBFOX1"</f>
        <v>RBFOX1</v>
      </c>
    </row>
    <row r="185" spans="1:8">
      <c r="A185" s="2" t="str">
        <f>"227297_at"</f>
        <v>227297_at</v>
      </c>
      <c r="B185" s="2">
        <v>-1.97414045370173</v>
      </c>
      <c r="C185" s="2">
        <v>9.5024809812231403</v>
      </c>
      <c r="D185" s="2">
        <v>-9.2186353867554196</v>
      </c>
      <c r="E185" s="3">
        <v>7.6138390467973804E-10</v>
      </c>
      <c r="F185" s="3">
        <v>3.88190285562973E-7</v>
      </c>
      <c r="G185" s="2">
        <v>14.0415302331487</v>
      </c>
      <c r="H185" s="1" t="str">
        <f>"ITGA9"</f>
        <v>ITGA9</v>
      </c>
    </row>
    <row r="186" spans="1:8">
      <c r="A186" s="2" t="str">
        <f>"218863_s_at"</f>
        <v>218863_s_at</v>
      </c>
      <c r="B186" s="2">
        <v>-1.9737488410733099</v>
      </c>
      <c r="C186" s="2">
        <v>5.0887889694089896</v>
      </c>
      <c r="D186" s="2">
        <v>-4.3973550703986799</v>
      </c>
      <c r="E186" s="2">
        <v>1.5252000617503399E-4</v>
      </c>
      <c r="F186" s="2">
        <v>2.5784971646882798E-3</v>
      </c>
      <c r="G186" s="2">
        <v>2.5540674301586099</v>
      </c>
      <c r="H186" s="1" t="str">
        <f>"TNS1"</f>
        <v>TNS1</v>
      </c>
    </row>
    <row r="187" spans="1:8">
      <c r="A187" s="2" t="str">
        <f>"231179_at"</f>
        <v>231179_at</v>
      </c>
      <c r="B187" s="2">
        <v>-1.9724562747874099</v>
      </c>
      <c r="C187" s="2">
        <v>7.8861259370949899</v>
      </c>
      <c r="D187" s="2">
        <v>-3.4219716668415301</v>
      </c>
      <c r="E187" s="2">
        <v>1.9880597683924498E-3</v>
      </c>
      <c r="F187" s="2">
        <v>1.81071410689417E-2</v>
      </c>
      <c r="G187" s="2">
        <v>0.14078132145476799</v>
      </c>
      <c r="H187" s="1" t="str">
        <f>"IP6K3"</f>
        <v>IP6K3</v>
      </c>
    </row>
    <row r="188" spans="1:8">
      <c r="A188" s="2" t="str">
        <f>"226492_at"</f>
        <v>226492_at</v>
      </c>
      <c r="B188" s="2">
        <v>-1.97176398413899</v>
      </c>
      <c r="C188" s="2">
        <v>8.2064624915267306</v>
      </c>
      <c r="D188" s="2">
        <v>-8.6110527610870609</v>
      </c>
      <c r="E188" s="3">
        <v>3.06709120246117E-9</v>
      </c>
      <c r="F188" s="3">
        <v>9.7260152460455096E-7</v>
      </c>
      <c r="G188" s="2">
        <v>12.756875043968799</v>
      </c>
      <c r="H188" s="1" t="str">
        <f>"SEMA6D"</f>
        <v>SEMA6D</v>
      </c>
    </row>
    <row r="189" spans="1:8">
      <c r="A189" s="2" t="str">
        <f>"227189_at"</f>
        <v>227189_at</v>
      </c>
      <c r="B189" s="2">
        <v>-1.9703572894653001</v>
      </c>
      <c r="C189" s="2">
        <v>7.4284897012025901</v>
      </c>
      <c r="D189" s="2">
        <v>-7.0301587076555201</v>
      </c>
      <c r="E189" s="3">
        <v>1.4434758379115499E-7</v>
      </c>
      <c r="F189" s="3">
        <v>1.4271616896530499E-5</v>
      </c>
      <c r="G189" s="2">
        <v>9.1559172621404894</v>
      </c>
      <c r="H189" s="1" t="str">
        <f>"CPNE5"</f>
        <v>CPNE5</v>
      </c>
    </row>
    <row r="190" spans="1:8">
      <c r="A190" s="2" t="str">
        <f>"219478_at"</f>
        <v>219478_at</v>
      </c>
      <c r="B190" s="2">
        <v>-1.97008577335209</v>
      </c>
      <c r="C190" s="2">
        <v>12.7590226754899</v>
      </c>
      <c r="D190" s="2">
        <v>-7.2524213583036801</v>
      </c>
      <c r="E190" s="3">
        <v>8.2404666194080496E-8</v>
      </c>
      <c r="F190" s="3">
        <v>9.7216377697475196E-6</v>
      </c>
      <c r="G190" s="2">
        <v>9.6838008060155705</v>
      </c>
      <c r="H190" s="1" t="str">
        <f>"WFDC1"</f>
        <v>WFDC1</v>
      </c>
    </row>
    <row r="191" spans="1:8">
      <c r="A191" s="2" t="str">
        <f>"209612_s_at"</f>
        <v>209612_s_at</v>
      </c>
      <c r="B191" s="2">
        <v>-1.96905134807171</v>
      </c>
      <c r="C191" s="2">
        <v>7.1302265905055897</v>
      </c>
      <c r="D191" s="2">
        <v>-4.0547744498632001</v>
      </c>
      <c r="E191" s="2">
        <v>3.80599506647465E-4</v>
      </c>
      <c r="F191" s="2">
        <v>5.1355572620804804E-3</v>
      </c>
      <c r="G191" s="2">
        <v>1.6901965860211401</v>
      </c>
      <c r="H191" s="1" t="str">
        <f>"ADH1B"</f>
        <v>ADH1B</v>
      </c>
    </row>
    <row r="192" spans="1:8">
      <c r="A192" s="2" t="str">
        <f>"1559492_at"</f>
        <v>1559492_at</v>
      </c>
      <c r="B192" s="2">
        <v>-1.9681230137144601</v>
      </c>
      <c r="C192" s="2">
        <v>2.3750843666939501</v>
      </c>
      <c r="D192" s="2">
        <v>-3.8555445312116201</v>
      </c>
      <c r="E192" s="2">
        <v>6.4450426353974597E-4</v>
      </c>
      <c r="F192" s="2">
        <v>7.6788560926205297E-3</v>
      </c>
      <c r="G192" s="2">
        <v>1.19443645414092</v>
      </c>
      <c r="H192" s="1" t="str">
        <f>"GIHCG"</f>
        <v>GIHCG</v>
      </c>
    </row>
    <row r="193" spans="1:8">
      <c r="A193" s="2" t="str">
        <f>"206871_at"</f>
        <v>206871_at</v>
      </c>
      <c r="B193" s="2">
        <v>-1.9677425493246701</v>
      </c>
      <c r="C193" s="2">
        <v>5.77229196435984</v>
      </c>
      <c r="D193" s="2">
        <v>-4.9591666551454701</v>
      </c>
      <c r="E193" s="3">
        <v>3.3654765383010097E-5</v>
      </c>
      <c r="F193" s="2">
        <v>8.1744748881211796E-4</v>
      </c>
      <c r="G193" s="2">
        <v>3.9871553288875399</v>
      </c>
      <c r="H193" s="1" t="str">
        <f>"ELANE"</f>
        <v>ELANE</v>
      </c>
    </row>
    <row r="194" spans="1:8">
      <c r="A194" s="2" t="str">
        <f>"236548_at"</f>
        <v>236548_at</v>
      </c>
      <c r="B194" s="2">
        <v>-1.9655707547359</v>
      </c>
      <c r="C194" s="2">
        <v>5.53510966131903</v>
      </c>
      <c r="D194" s="2">
        <v>-4.6125746642993404</v>
      </c>
      <c r="E194" s="3">
        <v>8.55631776270901E-5</v>
      </c>
      <c r="F194" s="2">
        <v>1.6542315193639201E-3</v>
      </c>
      <c r="G194" s="2">
        <v>3.1016522653870902</v>
      </c>
      <c r="H194" s="1" t="str">
        <f>"GIPC2"</f>
        <v>GIPC2</v>
      </c>
    </row>
    <row r="195" spans="1:8">
      <c r="A195" s="2" t="str">
        <f>"209685_s_at"</f>
        <v>209685_s_at</v>
      </c>
      <c r="B195" s="2">
        <v>-1.96485146092229</v>
      </c>
      <c r="C195" s="2">
        <v>9.5446082697488297</v>
      </c>
      <c r="D195" s="2">
        <v>-9.3889872730256503</v>
      </c>
      <c r="E195" s="3">
        <v>5.1967394058209196E-10</v>
      </c>
      <c r="F195" s="3">
        <v>3.0558626477523602E-7</v>
      </c>
      <c r="G195" s="2">
        <v>14.391655047969399</v>
      </c>
      <c r="H195" s="1" t="str">
        <f>"PRKCB"</f>
        <v>PRKCB</v>
      </c>
    </row>
    <row r="196" spans="1:8">
      <c r="A196" s="2" t="str">
        <f>"209170_s_at"</f>
        <v>209170_s_at</v>
      </c>
      <c r="B196" s="2">
        <v>-1.96289239696096</v>
      </c>
      <c r="C196" s="2">
        <v>11.1482758895726</v>
      </c>
      <c r="D196" s="2">
        <v>-7.6218787524695202</v>
      </c>
      <c r="E196" s="3">
        <v>3.2891722465133901E-8</v>
      </c>
      <c r="F196" s="3">
        <v>5.2583477362023202E-6</v>
      </c>
      <c r="G196" s="2">
        <v>10.546179237540899</v>
      </c>
      <c r="H196" s="1" t="str">
        <f>"GPM6B"</f>
        <v>GPM6B</v>
      </c>
    </row>
    <row r="197" spans="1:8">
      <c r="A197" s="2" t="str">
        <f>"211518_s_at"</f>
        <v>211518_s_at</v>
      </c>
      <c r="B197" s="2">
        <v>-1.96248129472707</v>
      </c>
      <c r="C197" s="2">
        <v>8.6215443759566099</v>
      </c>
      <c r="D197" s="2">
        <v>-6.9580879907584201</v>
      </c>
      <c r="E197" s="3">
        <v>1.7334039751155401E-7</v>
      </c>
      <c r="F197" s="3">
        <v>1.6368612367904001E-5</v>
      </c>
      <c r="G197" s="2">
        <v>8.9833348377914</v>
      </c>
      <c r="H197" s="1" t="str">
        <f>"BMP4"</f>
        <v>BMP4</v>
      </c>
    </row>
    <row r="198" spans="1:8">
      <c r="A198" s="2" t="str">
        <f>"242638_at"</f>
        <v>242638_at</v>
      </c>
      <c r="B198" s="2">
        <v>-1.96116573344351</v>
      </c>
      <c r="C198" s="2">
        <v>7.4837697105209404</v>
      </c>
      <c r="D198" s="2">
        <v>-6.1430237110555597</v>
      </c>
      <c r="E198" s="3">
        <v>1.4289811791340701E-6</v>
      </c>
      <c r="F198" s="3">
        <v>7.3241662158954904E-5</v>
      </c>
      <c r="G198" s="2">
        <v>6.98772931275529</v>
      </c>
      <c r="H198" s="1" t="str">
        <f>"LOC101928731"</f>
        <v>LOC101928731</v>
      </c>
    </row>
    <row r="199" spans="1:8">
      <c r="A199" s="2" t="str">
        <f>"1557098_s_at"</f>
        <v>1557098_s_at</v>
      </c>
      <c r="B199" s="2">
        <v>-1.9585737246936401</v>
      </c>
      <c r="C199" s="2">
        <v>5.5265809591542698</v>
      </c>
      <c r="D199" s="2">
        <v>-5.2456244358937996</v>
      </c>
      <c r="E199" s="3">
        <v>1.55730580856737E-5</v>
      </c>
      <c r="F199" s="2">
        <v>4.5290263342245097E-4</v>
      </c>
      <c r="G199" s="2">
        <v>4.7192605695723104</v>
      </c>
      <c r="H199" s="1" t="str">
        <f>"HAR1A"</f>
        <v>HAR1A</v>
      </c>
    </row>
    <row r="200" spans="1:8">
      <c r="A200" s="2" t="str">
        <f>"1563658_a_at"</f>
        <v>1563658_a_at</v>
      </c>
      <c r="B200" s="2">
        <v>-1.9578065374367299</v>
      </c>
      <c r="C200" s="2">
        <v>4.7023827018652504</v>
      </c>
      <c r="D200" s="2">
        <v>-3.9098546155767502</v>
      </c>
      <c r="E200" s="2">
        <v>5.5855812434607295E-4</v>
      </c>
      <c r="F200" s="2">
        <v>6.8897244158717301E-3</v>
      </c>
      <c r="G200" s="2">
        <v>1.3289831937269501</v>
      </c>
      <c r="H200" s="1" t="str">
        <f>"SYT9"</f>
        <v>SYT9</v>
      </c>
    </row>
    <row r="201" spans="1:8">
      <c r="A201" s="2" t="str">
        <f>"211743_s_at"</f>
        <v>211743_s_at</v>
      </c>
      <c r="B201" s="2">
        <v>-1.9575930918437701</v>
      </c>
      <c r="C201" s="2">
        <v>4.65096697596982</v>
      </c>
      <c r="D201" s="2">
        <v>-5.2527727271199103</v>
      </c>
      <c r="E201" s="3">
        <v>1.5276870604630401E-5</v>
      </c>
      <c r="F201" s="2">
        <v>4.45473546831021E-4</v>
      </c>
      <c r="G201" s="2">
        <v>4.7375076765220099</v>
      </c>
      <c r="H201" s="1" t="str">
        <f>"PRG2"</f>
        <v>PRG2</v>
      </c>
    </row>
    <row r="202" spans="1:8">
      <c r="A202" s="2" t="str">
        <f>"218980_at"</f>
        <v>218980_at</v>
      </c>
      <c r="B202" s="2">
        <v>-1.95676351083481</v>
      </c>
      <c r="C202" s="2">
        <v>9.5130033714339692</v>
      </c>
      <c r="D202" s="2">
        <v>-7.5965794959329598</v>
      </c>
      <c r="E202" s="3">
        <v>3.5007596309540999E-8</v>
      </c>
      <c r="F202" s="3">
        <v>5.5001158857015898E-6</v>
      </c>
      <c r="G202" s="2">
        <v>10.487743806405801</v>
      </c>
      <c r="H202" s="1" t="str">
        <f>"FHOD3"</f>
        <v>FHOD3</v>
      </c>
    </row>
    <row r="203" spans="1:8">
      <c r="A203" s="2" t="str">
        <f>"236730_at"</f>
        <v>236730_at</v>
      </c>
      <c r="B203" s="2">
        <v>-1.95280780580811</v>
      </c>
      <c r="C203" s="2">
        <v>6.6840526612232196</v>
      </c>
      <c r="D203" s="2">
        <v>-5.0672479900158196</v>
      </c>
      <c r="E203" s="3">
        <v>2.5158585175861701E-5</v>
      </c>
      <c r="F203" s="2">
        <v>6.5448001279515798E-4</v>
      </c>
      <c r="G203" s="2">
        <v>4.2635204648829301</v>
      </c>
      <c r="H203" s="1" t="str">
        <f>"GIPC3"</f>
        <v>GIPC3</v>
      </c>
    </row>
    <row r="204" spans="1:8">
      <c r="A204" s="2" t="str">
        <f>"229749_at"</f>
        <v>229749_at</v>
      </c>
      <c r="B204" s="2">
        <v>-1.9520144838820701</v>
      </c>
      <c r="C204" s="2">
        <v>5.5928088947687096</v>
      </c>
      <c r="D204" s="2">
        <v>-3.5633022610833698</v>
      </c>
      <c r="E204" s="2">
        <v>1.38201602953702E-3</v>
      </c>
      <c r="F204" s="2">
        <v>1.37514775594172E-2</v>
      </c>
      <c r="G204" s="2">
        <v>0.47974664513276599</v>
      </c>
      <c r="H204" s="1" t="str">
        <f>"ANO4"</f>
        <v>ANO4</v>
      </c>
    </row>
    <row r="205" spans="1:8">
      <c r="A205" s="2" t="str">
        <f>"232771_at"</f>
        <v>232771_at</v>
      </c>
      <c r="B205" s="2">
        <v>-1.94465476948504</v>
      </c>
      <c r="C205" s="2">
        <v>4.85190719082778</v>
      </c>
      <c r="D205" s="2">
        <v>-4.5965186762302501</v>
      </c>
      <c r="E205" s="3">
        <v>8.9338873608248395E-5</v>
      </c>
      <c r="F205" s="2">
        <v>1.7061134874366E-3</v>
      </c>
      <c r="G205" s="2">
        <v>3.0607146333865001</v>
      </c>
      <c r="H205" s="1" t="str">
        <f>"NRK"</f>
        <v>NRK</v>
      </c>
    </row>
    <row r="206" spans="1:8">
      <c r="A206" s="2" t="str">
        <f>"229405_at"</f>
        <v>229405_at</v>
      </c>
      <c r="B206" s="2">
        <v>-1.93936240602287</v>
      </c>
      <c r="C206" s="2">
        <v>6.4452199130491001</v>
      </c>
      <c r="D206" s="2">
        <v>-4.9735336057483304</v>
      </c>
      <c r="E206" s="3">
        <v>3.2377708922385603E-5</v>
      </c>
      <c r="F206" s="2">
        <v>7.9241326559151E-4</v>
      </c>
      <c r="G206" s="2">
        <v>4.0238949819148297</v>
      </c>
      <c r="H206" s="1" t="str">
        <f>"KIF7"</f>
        <v>KIF7</v>
      </c>
    </row>
    <row r="207" spans="1:8">
      <c r="A207" s="2" t="str">
        <f>"209687_at"</f>
        <v>209687_at</v>
      </c>
      <c r="B207" s="2">
        <v>-1.9379924748193</v>
      </c>
      <c r="C207" s="2">
        <v>11.120030185082801</v>
      </c>
      <c r="D207" s="2">
        <v>-9.2154923344287294</v>
      </c>
      <c r="E207" s="3">
        <v>7.6679562580340396E-10</v>
      </c>
      <c r="F207" s="3">
        <v>3.88190285562973E-7</v>
      </c>
      <c r="G207" s="2">
        <v>14.035029002090701</v>
      </c>
      <c r="H207" s="1" t="str">
        <f>"CXCL12"</f>
        <v>CXCL12</v>
      </c>
    </row>
    <row r="208" spans="1:8">
      <c r="A208" s="2" t="str">
        <f>"205609_at"</f>
        <v>205609_at</v>
      </c>
      <c r="B208" s="2">
        <v>-1.9260815884946201</v>
      </c>
      <c r="C208" s="2">
        <v>9.7614528411496302</v>
      </c>
      <c r="D208" s="2">
        <v>-8.5521934763055292</v>
      </c>
      <c r="E208" s="3">
        <v>3.5194423682773401E-9</v>
      </c>
      <c r="F208" s="3">
        <v>1.0631243728484199E-6</v>
      </c>
      <c r="G208" s="2">
        <v>12.6294430291639</v>
      </c>
      <c r="H208" s="1" t="str">
        <f>"ANGPT1"</f>
        <v>ANGPT1</v>
      </c>
    </row>
    <row r="209" spans="1:8">
      <c r="A209" s="2" t="str">
        <f>"206458_s_at"</f>
        <v>206458_s_at</v>
      </c>
      <c r="B209" s="2">
        <v>-1.92544070410928</v>
      </c>
      <c r="C209" s="2">
        <v>7.4644654702784097</v>
      </c>
      <c r="D209" s="2">
        <v>-5.2618520748433699</v>
      </c>
      <c r="E209" s="3">
        <v>1.4908815927372801E-5</v>
      </c>
      <c r="F209" s="2">
        <v>4.3759682052811502E-4</v>
      </c>
      <c r="G209" s="2">
        <v>4.7606818170758398</v>
      </c>
      <c r="H209" s="1" t="str">
        <f>"WNT2B"</f>
        <v>WNT2B</v>
      </c>
    </row>
    <row r="210" spans="1:8">
      <c r="A210" s="2" t="str">
        <f>"219167_at"</f>
        <v>219167_at</v>
      </c>
      <c r="B210" s="2">
        <v>-1.9253814106448099</v>
      </c>
      <c r="C210" s="2">
        <v>10.810240206253299</v>
      </c>
      <c r="D210" s="2">
        <v>-7.9859100903899503</v>
      </c>
      <c r="E210" s="3">
        <v>1.3534519415661301E-8</v>
      </c>
      <c r="F210" s="3">
        <v>2.7306267492667202E-6</v>
      </c>
      <c r="G210" s="2">
        <v>11.3766933065217</v>
      </c>
      <c r="H210" s="1" t="str">
        <f>"RASL12"</f>
        <v>RASL12</v>
      </c>
    </row>
    <row r="211" spans="1:8">
      <c r="A211" s="2" t="str">
        <f>"204803_s_at"</f>
        <v>204803_s_at</v>
      </c>
      <c r="B211" s="2">
        <v>-1.9250595069544301</v>
      </c>
      <c r="C211" s="2">
        <v>7.6375618180823102</v>
      </c>
      <c r="D211" s="2">
        <v>-6.4495448001379403</v>
      </c>
      <c r="E211" s="3">
        <v>6.4120961223916497E-7</v>
      </c>
      <c r="F211" s="3">
        <v>4.1342140977802299E-5</v>
      </c>
      <c r="G211" s="2">
        <v>7.7470990371432897</v>
      </c>
      <c r="H211" s="1" t="str">
        <f>"RRAD"</f>
        <v>RRAD</v>
      </c>
    </row>
    <row r="212" spans="1:8">
      <c r="A212" s="2" t="str">
        <f>"1558636_s_at"</f>
        <v>1558636_s_at</v>
      </c>
      <c r="B212" s="2">
        <v>-1.92488608586815</v>
      </c>
      <c r="C212" s="2">
        <v>5.0558968242250097</v>
      </c>
      <c r="D212" s="2">
        <v>-7.6570070908304002</v>
      </c>
      <c r="E212" s="3">
        <v>3.0168265291797402E-8</v>
      </c>
      <c r="F212" s="3">
        <v>4.9682226049067E-6</v>
      </c>
      <c r="G212" s="2">
        <v>10.627164660326899</v>
      </c>
      <c r="H212" s="1" t="str">
        <f>"ADAMTS5"</f>
        <v>ADAMTS5</v>
      </c>
    </row>
    <row r="213" spans="1:8">
      <c r="A213" s="2" t="str">
        <f>"230275_at"</f>
        <v>230275_at</v>
      </c>
      <c r="B213" s="2">
        <v>-1.9235908767219301</v>
      </c>
      <c r="C213" s="2">
        <v>5.9366076171256896</v>
      </c>
      <c r="D213" s="2">
        <v>-6.3388063838178299</v>
      </c>
      <c r="E213" s="3">
        <v>8.5561927002568504E-7</v>
      </c>
      <c r="F213" s="3">
        <v>5.0959677111823897E-5</v>
      </c>
      <c r="G213" s="2">
        <v>7.4738973376613096</v>
      </c>
      <c r="H213" s="1" t="str">
        <f>"ARSI"</f>
        <v>ARSI</v>
      </c>
    </row>
    <row r="214" spans="1:8">
      <c r="A214" s="2" t="str">
        <f>"222719_s_at"</f>
        <v>222719_s_at</v>
      </c>
      <c r="B214" s="2">
        <v>-1.92254253583291</v>
      </c>
      <c r="C214" s="2">
        <v>7.6936760216838698</v>
      </c>
      <c r="D214" s="2">
        <v>-5.2711263542437097</v>
      </c>
      <c r="E214" s="3">
        <v>1.45420562475829E-5</v>
      </c>
      <c r="F214" s="2">
        <v>4.2908090951785998E-4</v>
      </c>
      <c r="G214" s="2">
        <v>4.7843507940661603</v>
      </c>
      <c r="H214" s="1" t="str">
        <f>"PDGFC"</f>
        <v>PDGFC</v>
      </c>
    </row>
    <row r="215" spans="1:8">
      <c r="A215" s="2" t="str">
        <f>"232176_at"</f>
        <v>232176_at</v>
      </c>
      <c r="B215" s="2">
        <v>-1.92228277268732</v>
      </c>
      <c r="C215" s="2">
        <v>7.7360294872997901</v>
      </c>
      <c r="D215" s="2">
        <v>-7.0506795116654599</v>
      </c>
      <c r="E215" s="3">
        <v>1.37032804405131E-7</v>
      </c>
      <c r="F215" s="3">
        <v>1.37979163551575E-5</v>
      </c>
      <c r="G215" s="2">
        <v>9.2049321697236692</v>
      </c>
      <c r="H215" s="1" t="str">
        <f>"SLITRK6"</f>
        <v>SLITRK6</v>
      </c>
    </row>
    <row r="216" spans="1:8">
      <c r="A216" s="2" t="str">
        <f>"1560698_a_at"</f>
        <v>1560698_a_at</v>
      </c>
      <c r="B216" s="2">
        <v>-1.9186483880499501</v>
      </c>
      <c r="C216" s="2">
        <v>5.31577992417653</v>
      </c>
      <c r="D216" s="2">
        <v>-4.0589946031768296</v>
      </c>
      <c r="E216" s="2">
        <v>3.76358740349462E-4</v>
      </c>
      <c r="F216" s="2">
        <v>5.0908990916889796E-3</v>
      </c>
      <c r="G216" s="2">
        <v>1.70075916879601</v>
      </c>
      <c r="H216" s="1" t="str">
        <f>"TRHDE-AS1"</f>
        <v>TRHDE-AS1</v>
      </c>
    </row>
    <row r="217" spans="1:8">
      <c r="A217" s="2" t="str">
        <f>"232352_at"</f>
        <v>232352_at</v>
      </c>
      <c r="B217" s="2">
        <v>-1.91750879125998</v>
      </c>
      <c r="C217" s="2">
        <v>6.4940882150417298</v>
      </c>
      <c r="D217" s="2">
        <v>-3.80569598709616</v>
      </c>
      <c r="E217" s="2">
        <v>7.3473212297248103E-4</v>
      </c>
      <c r="F217" s="2">
        <v>8.4929130705117192E-3</v>
      </c>
      <c r="G217" s="2">
        <v>1.0713777822714201</v>
      </c>
      <c r="H217" s="1" t="str">
        <f>"ISL2"</f>
        <v>ISL2</v>
      </c>
    </row>
    <row r="218" spans="1:8">
      <c r="A218" s="2" t="str">
        <f>"226907_at"</f>
        <v>226907_at</v>
      </c>
      <c r="B218" s="2">
        <v>-1.91335397486878</v>
      </c>
      <c r="C218" s="2">
        <v>5.5780156606093598</v>
      </c>
      <c r="D218" s="2">
        <v>-4.9993358501057301</v>
      </c>
      <c r="E218" s="3">
        <v>3.02047905085753E-5</v>
      </c>
      <c r="F218" s="2">
        <v>7.5236761779332896E-4</v>
      </c>
      <c r="G218" s="2">
        <v>4.0898761911568204</v>
      </c>
      <c r="H218" s="1" t="str">
        <f>"PPP1R14C"</f>
        <v>PPP1R14C</v>
      </c>
    </row>
    <row r="219" spans="1:8">
      <c r="A219" s="2" t="str">
        <f>"210305_at"</f>
        <v>210305_at</v>
      </c>
      <c r="B219" s="2">
        <v>-1.91054089736808</v>
      </c>
      <c r="C219" s="2">
        <v>4.4585747210588798</v>
      </c>
      <c r="D219" s="2">
        <v>-3.3473813911378998</v>
      </c>
      <c r="E219" s="2">
        <v>2.4047100411451099E-3</v>
      </c>
      <c r="F219" s="2">
        <v>2.0886024066657499E-2</v>
      </c>
      <c r="G219" s="2">
        <v>-3.6065218150775499E-2</v>
      </c>
      <c r="H219" s="1" t="str">
        <f>"PDE4DIP"</f>
        <v>PDE4DIP</v>
      </c>
    </row>
    <row r="220" spans="1:8">
      <c r="A220" s="2" t="str">
        <f>"225241_at"</f>
        <v>225241_at</v>
      </c>
      <c r="B220" s="2">
        <v>-1.89836940897955</v>
      </c>
      <c r="C220" s="2">
        <v>9.1540469134442599</v>
      </c>
      <c r="D220" s="2">
        <v>-8.5358781091590004</v>
      </c>
      <c r="E220" s="3">
        <v>3.6565421171105802E-9</v>
      </c>
      <c r="F220" s="3">
        <v>1.09846945193967E-6</v>
      </c>
      <c r="G220" s="2">
        <v>12.5940267275686</v>
      </c>
      <c r="H220" s="1" t="str">
        <f>"CCDC80"</f>
        <v>CCDC80</v>
      </c>
    </row>
    <row r="221" spans="1:8">
      <c r="A221" s="2" t="str">
        <f>"204606_at"</f>
        <v>204606_at</v>
      </c>
      <c r="B221" s="2">
        <v>-1.8981968944699601</v>
      </c>
      <c r="C221" s="2">
        <v>8.3543808184549704</v>
      </c>
      <c r="D221" s="2">
        <v>-3.5170657829547101</v>
      </c>
      <c r="E221" s="2">
        <v>1.5572543851495599E-3</v>
      </c>
      <c r="F221" s="2">
        <v>1.5104290138025901E-2</v>
      </c>
      <c r="G221" s="2">
        <v>0.36832215222493803</v>
      </c>
      <c r="H221" s="1" t="str">
        <f>"CCL21"</f>
        <v>CCL21</v>
      </c>
    </row>
    <row r="222" spans="1:8">
      <c r="A222" s="2" t="str">
        <f>"239132_at"</f>
        <v>239132_at</v>
      </c>
      <c r="B222" s="2">
        <v>-1.8977579268453499</v>
      </c>
      <c r="C222" s="2">
        <v>7.6780547818998404</v>
      </c>
      <c r="D222" s="2">
        <v>-2.9704014031988799</v>
      </c>
      <c r="E222" s="2">
        <v>6.1627240720245804E-3</v>
      </c>
      <c r="F222" s="2">
        <v>4.2694746406227099E-2</v>
      </c>
      <c r="G222" s="2">
        <v>-0.904221369065354</v>
      </c>
      <c r="H222" s="1" t="str">
        <f>"NOS1"</f>
        <v>NOS1</v>
      </c>
    </row>
    <row r="223" spans="1:8">
      <c r="A223" s="2" t="str">
        <f>"227202_at"</f>
        <v>227202_at</v>
      </c>
      <c r="B223" s="2">
        <v>-1.8955318437906401</v>
      </c>
      <c r="C223" s="2">
        <v>8.2669950112881097</v>
      </c>
      <c r="D223" s="2">
        <v>-6.5398000303699302</v>
      </c>
      <c r="E223" s="3">
        <v>5.0733054283777195E-7</v>
      </c>
      <c r="F223" s="3">
        <v>3.4978937490107398E-5</v>
      </c>
      <c r="G223" s="2">
        <v>7.96875790896231</v>
      </c>
      <c r="H223" s="1" t="str">
        <f>"CNTN1"</f>
        <v>CNTN1</v>
      </c>
    </row>
    <row r="224" spans="1:8">
      <c r="A224" s="2" t="str">
        <f>"218824_at"</f>
        <v>218824_at</v>
      </c>
      <c r="B224" s="2">
        <v>-1.89301894050361</v>
      </c>
      <c r="C224" s="2">
        <v>9.2604384511420399</v>
      </c>
      <c r="D224" s="2">
        <v>-9.0230145961284691</v>
      </c>
      <c r="E224" s="3">
        <v>1.1861033969297301E-9</v>
      </c>
      <c r="F224" s="3">
        <v>4.9884771713179099E-7</v>
      </c>
      <c r="G224" s="2">
        <v>13.634041525694601</v>
      </c>
      <c r="H224" s="1" t="str">
        <f>"PNMA8A"</f>
        <v>PNMA8A</v>
      </c>
    </row>
    <row r="225" spans="1:8">
      <c r="A225" s="2" t="str">
        <f>"205737_at"</f>
        <v>205737_at</v>
      </c>
      <c r="B225" s="2">
        <v>-1.88819750364596</v>
      </c>
      <c r="C225" s="2">
        <v>4.4446785492485601</v>
      </c>
      <c r="D225" s="2">
        <v>-4.0280761381089096</v>
      </c>
      <c r="E225" s="2">
        <v>4.0854089138917199E-4</v>
      </c>
      <c r="F225" s="2">
        <v>5.4255460861556901E-3</v>
      </c>
      <c r="G225" s="2">
        <v>1.62342815766008</v>
      </c>
      <c r="H225" s="1" t="str">
        <f>"KCNQ2"</f>
        <v>KCNQ2</v>
      </c>
    </row>
    <row r="226" spans="1:8">
      <c r="A226" s="2" t="str">
        <f>"1553243_at"</f>
        <v>1553243_at</v>
      </c>
      <c r="B226" s="2">
        <v>-1.8866591427491199</v>
      </c>
      <c r="C226" s="2">
        <v>9.2771333224046906</v>
      </c>
      <c r="D226" s="2">
        <v>-9.5451827223475796</v>
      </c>
      <c r="E226" s="3">
        <v>3.6735797269981202E-10</v>
      </c>
      <c r="F226" s="3">
        <v>2.3911068044478802E-7</v>
      </c>
      <c r="G226" s="2">
        <v>14.7088299159775</v>
      </c>
      <c r="H226" s="1" t="str">
        <f>"ITIH5"</f>
        <v>ITIH5</v>
      </c>
    </row>
    <row r="227" spans="1:8">
      <c r="A227" s="2" t="str">
        <f>"223623_at"</f>
        <v>223623_at</v>
      </c>
      <c r="B227" s="2">
        <v>-1.8853177610106699</v>
      </c>
      <c r="C227" s="2">
        <v>11.663787086637599</v>
      </c>
      <c r="D227" s="2">
        <v>-4.55062788930229</v>
      </c>
      <c r="E227" s="2">
        <v>1.01070095703314E-4</v>
      </c>
      <c r="F227" s="2">
        <v>1.8802339171754699E-3</v>
      </c>
      <c r="G227" s="2">
        <v>2.9437741902433698</v>
      </c>
      <c r="H227" s="1" t="str">
        <f>"ECRG4"</f>
        <v>ECRG4</v>
      </c>
    </row>
    <row r="228" spans="1:8">
      <c r="A228" s="2" t="str">
        <f>"219195_at"</f>
        <v>219195_at</v>
      </c>
      <c r="B228" s="2">
        <v>-1.88123359740677</v>
      </c>
      <c r="C228" s="2">
        <v>7.4280625584301898</v>
      </c>
      <c r="D228" s="2">
        <v>-5.4303859913171797</v>
      </c>
      <c r="E228" s="3">
        <v>9.4864013390418394E-6</v>
      </c>
      <c r="F228" s="2">
        <v>3.1160829403437899E-4</v>
      </c>
      <c r="G228" s="2">
        <v>5.1902978234969996</v>
      </c>
      <c r="H228" s="1" t="str">
        <f>"PPARGC1A"</f>
        <v>PPARGC1A</v>
      </c>
    </row>
    <row r="229" spans="1:8">
      <c r="A229" s="2" t="str">
        <f>"217279_x_at"</f>
        <v>217279_x_at</v>
      </c>
      <c r="B229" s="2">
        <v>-1.88004743617432</v>
      </c>
      <c r="C229" s="2">
        <v>6.7796506933723197</v>
      </c>
      <c r="D229" s="2">
        <v>-4.8747502288592903</v>
      </c>
      <c r="E229" s="3">
        <v>4.2244841349358398E-5</v>
      </c>
      <c r="F229" s="2">
        <v>9.6319295278405703E-4</v>
      </c>
      <c r="G229" s="2">
        <v>3.77129317028127</v>
      </c>
      <c r="H229" s="1" t="str">
        <f>"MMP14"</f>
        <v>MMP14</v>
      </c>
    </row>
    <row r="230" spans="1:8">
      <c r="A230" s="2" t="str">
        <f>"222722_at"</f>
        <v>222722_at</v>
      </c>
      <c r="B230" s="2">
        <v>-1.8798826042191299</v>
      </c>
      <c r="C230" s="2">
        <v>10.917494892540001</v>
      </c>
      <c r="D230" s="2">
        <v>-5.72870134640781</v>
      </c>
      <c r="E230" s="3">
        <v>4.2766860437180903E-6</v>
      </c>
      <c r="F230" s="2">
        <v>1.7000835292789701E-4</v>
      </c>
      <c r="G230" s="2">
        <v>5.9472221758793298</v>
      </c>
      <c r="H230" s="1" t="str">
        <f>"OGN"</f>
        <v>OGN</v>
      </c>
    </row>
    <row r="231" spans="1:8">
      <c r="A231" s="2" t="str">
        <f>"1568813_at"</f>
        <v>1568813_at</v>
      </c>
      <c r="B231" s="2">
        <v>-1.8784032800104</v>
      </c>
      <c r="C231" s="2">
        <v>5.8292652102831797</v>
      </c>
      <c r="D231" s="2">
        <v>-3.7545200996456098</v>
      </c>
      <c r="E231" s="2">
        <v>8.4021537298792305E-4</v>
      </c>
      <c r="F231" s="2">
        <v>9.41368350781039E-3</v>
      </c>
      <c r="G231" s="2">
        <v>0.94550188570426796</v>
      </c>
      <c r="H231" s="1" t="str">
        <f>"SLC16A1-AS1"</f>
        <v>SLC16A1-AS1</v>
      </c>
    </row>
    <row r="232" spans="1:8">
      <c r="A232" s="2" t="str">
        <f>"205524_s_at"</f>
        <v>205524_s_at</v>
      </c>
      <c r="B232" s="2">
        <v>-1.8725124278212899</v>
      </c>
      <c r="C232" s="2">
        <v>4.5534986791668901</v>
      </c>
      <c r="D232" s="2">
        <v>-4.0827080941561897</v>
      </c>
      <c r="E232" s="2">
        <v>3.5338164299440598E-4</v>
      </c>
      <c r="F232" s="2">
        <v>4.8552612665868598E-3</v>
      </c>
      <c r="G232" s="2">
        <v>1.76015412889389</v>
      </c>
      <c r="H232" s="1" t="str">
        <f>"HAPLN1"</f>
        <v>HAPLN1</v>
      </c>
    </row>
    <row r="233" spans="1:8">
      <c r="A233" s="2" t="str">
        <f>"205496_at"</f>
        <v>205496_at</v>
      </c>
      <c r="B233" s="2">
        <v>-1.8711954573868601</v>
      </c>
      <c r="C233" s="2">
        <v>3.9585366186683402</v>
      </c>
      <c r="D233" s="2">
        <v>-3.6988403399607601</v>
      </c>
      <c r="E233" s="2">
        <v>9.7182483165031495E-4</v>
      </c>
      <c r="F233" s="2">
        <v>1.05237715726839E-2</v>
      </c>
      <c r="G233" s="2">
        <v>0.80910788439857095</v>
      </c>
      <c r="H233" s="1" t="str">
        <f>"KIAA0408"</f>
        <v>KIAA0408</v>
      </c>
    </row>
    <row r="234" spans="1:8">
      <c r="A234" s="2" t="str">
        <f>"210073_at"</f>
        <v>210073_at</v>
      </c>
      <c r="B234" s="2">
        <v>-1.8709069010471699</v>
      </c>
      <c r="C234" s="2">
        <v>7.5577147743894697</v>
      </c>
      <c r="D234" s="2">
        <v>-6.3788755716524701</v>
      </c>
      <c r="E234" s="3">
        <v>7.7070555469352603E-7</v>
      </c>
      <c r="F234" s="3">
        <v>4.7453070048275402E-5</v>
      </c>
      <c r="G234" s="2">
        <v>7.5729057882535198</v>
      </c>
      <c r="H234" s="1" t="str">
        <f>"ST8SIA1"</f>
        <v>ST8SIA1</v>
      </c>
    </row>
    <row r="235" spans="1:8">
      <c r="A235" s="2" t="str">
        <f>"209243_s_at"</f>
        <v>209243_s_at</v>
      </c>
      <c r="B235" s="2">
        <v>-1.8686993305948101</v>
      </c>
      <c r="C235" s="2">
        <v>7.2044908864941197</v>
      </c>
      <c r="D235" s="2">
        <v>-5.8156316711453604</v>
      </c>
      <c r="E235" s="3">
        <v>3.3942476185554598E-6</v>
      </c>
      <c r="F235" s="2">
        <v>1.4209838326532901E-4</v>
      </c>
      <c r="G235" s="2">
        <v>6.1666990118580696</v>
      </c>
      <c r="H235" s="1" t="str">
        <f>"PEG3"</f>
        <v>PEG3</v>
      </c>
    </row>
    <row r="236" spans="1:8">
      <c r="A236" s="2" t="str">
        <f>"229177_at"</f>
        <v>229177_at</v>
      </c>
      <c r="B236" s="2">
        <v>-1.8660483812280699</v>
      </c>
      <c r="C236" s="2">
        <v>7.6812058195685502</v>
      </c>
      <c r="D236" s="2">
        <v>-5.3160536230710003</v>
      </c>
      <c r="E236" s="3">
        <v>1.2889709679056299E-5</v>
      </c>
      <c r="F236" s="2">
        <v>3.9481505697613699E-4</v>
      </c>
      <c r="G236" s="2">
        <v>4.8989689373313503</v>
      </c>
      <c r="H236" s="1" t="str">
        <f>"C16orf89"</f>
        <v>C16orf89</v>
      </c>
    </row>
    <row r="237" spans="1:8">
      <c r="A237" s="2" t="str">
        <f>"229497_at"</f>
        <v>229497_at</v>
      </c>
      <c r="B237" s="2">
        <v>-1.8658346016652301</v>
      </c>
      <c r="C237" s="2">
        <v>7.9851820562754199</v>
      </c>
      <c r="D237" s="2">
        <v>-8.0987582946847496</v>
      </c>
      <c r="E237" s="3">
        <v>1.03136066965642E-8</v>
      </c>
      <c r="F237" s="3">
        <v>2.2753098200736399E-6</v>
      </c>
      <c r="G237" s="2">
        <v>11.630180083002299</v>
      </c>
      <c r="H237" s="1" t="str">
        <f>"ANKDD1A"</f>
        <v>ANKDD1A</v>
      </c>
    </row>
    <row r="238" spans="1:8">
      <c r="A238" s="2" t="str">
        <f>"1569796_s_at"</f>
        <v>1569796_s_at</v>
      </c>
      <c r="B238" s="2">
        <v>-1.86573445599559</v>
      </c>
      <c r="C238" s="2">
        <v>5.9232045722638196</v>
      </c>
      <c r="D238" s="2">
        <v>-4.3946572506926902</v>
      </c>
      <c r="E238" s="2">
        <v>1.5362714514043701E-4</v>
      </c>
      <c r="F238" s="2">
        <v>2.5908587787024698E-3</v>
      </c>
      <c r="G238" s="2">
        <v>2.5472220682495199</v>
      </c>
      <c r="H238" s="1" t="str">
        <f>"ATRNL1"</f>
        <v>ATRNL1</v>
      </c>
    </row>
    <row r="239" spans="1:8">
      <c r="A239" s="2" t="str">
        <f>"206730_at"</f>
        <v>206730_at</v>
      </c>
      <c r="B239" s="2">
        <v>-1.86510292310306</v>
      </c>
      <c r="C239" s="2">
        <v>4.2496155308481898</v>
      </c>
      <c r="D239" s="2">
        <v>-3.2637767769744701</v>
      </c>
      <c r="E239" s="2">
        <v>2.9719718867710901E-3</v>
      </c>
      <c r="F239" s="2">
        <v>2.4504986112081E-2</v>
      </c>
      <c r="G239" s="2">
        <v>-0.23244875296890499</v>
      </c>
      <c r="H239" s="1" t="str">
        <f>"GRIA3"</f>
        <v>GRIA3</v>
      </c>
    </row>
    <row r="240" spans="1:8">
      <c r="A240" s="2" t="str">
        <f>"235593_at"</f>
        <v>235593_at</v>
      </c>
      <c r="B240" s="2">
        <v>-1.8619382602314101</v>
      </c>
      <c r="C240" s="2">
        <v>6.13568693523571</v>
      </c>
      <c r="D240" s="2">
        <v>-6.2534720619464403</v>
      </c>
      <c r="E240" s="3">
        <v>1.0694874019119E-6</v>
      </c>
      <c r="F240" s="3">
        <v>5.9728522675723199E-5</v>
      </c>
      <c r="G240" s="2">
        <v>7.2624753684624697</v>
      </c>
      <c r="H240" s="1" t="str">
        <f>"ZEB2"</f>
        <v>ZEB2</v>
      </c>
    </row>
    <row r="241" spans="1:8">
      <c r="A241" s="2" t="str">
        <f>"219829_at"</f>
        <v>219829_at</v>
      </c>
      <c r="B241" s="2">
        <v>-1.8604889998276199</v>
      </c>
      <c r="C241" s="2">
        <v>8.21823501048795</v>
      </c>
      <c r="D241" s="2">
        <v>-4.5161130835889898</v>
      </c>
      <c r="E241" s="2">
        <v>1.10892379643145E-4</v>
      </c>
      <c r="F241" s="2">
        <v>2.0216875148345902E-3</v>
      </c>
      <c r="G241" s="2">
        <v>2.85589344168074</v>
      </c>
      <c r="H241" s="1" t="str">
        <f>"ITGB1BP2"</f>
        <v>ITGB1BP2</v>
      </c>
    </row>
    <row r="242" spans="1:8">
      <c r="A242" s="2" t="str">
        <f>"1552511_a_at"</f>
        <v>1552511_a_at</v>
      </c>
      <c r="B242" s="2">
        <v>-1.86046796451633</v>
      </c>
      <c r="C242" s="2">
        <v>6.8966782804903399</v>
      </c>
      <c r="D242" s="2">
        <v>-3.7779172422816498</v>
      </c>
      <c r="E242" s="2">
        <v>7.9026778530943498E-4</v>
      </c>
      <c r="F242" s="2">
        <v>8.9829295554663905E-3</v>
      </c>
      <c r="G242" s="2">
        <v>1.0029917426116299</v>
      </c>
      <c r="H242" s="1" t="str">
        <f>"CPA6"</f>
        <v>CPA6</v>
      </c>
    </row>
    <row r="243" spans="1:8">
      <c r="A243" s="2" t="str">
        <f>"222695_s_at"</f>
        <v>222695_s_at</v>
      </c>
      <c r="B243" s="2">
        <v>-1.8590960469790001</v>
      </c>
      <c r="C243" s="2">
        <v>5.0341704762734301</v>
      </c>
      <c r="D243" s="2">
        <v>-4.9206494128856297</v>
      </c>
      <c r="E243" s="3">
        <v>3.7332883692280702E-5</v>
      </c>
      <c r="F243" s="2">
        <v>8.8019638459484596E-4</v>
      </c>
      <c r="G243" s="2">
        <v>3.88865847153397</v>
      </c>
      <c r="H243" s="1" t="str">
        <f>"AXIN2"</f>
        <v>AXIN2</v>
      </c>
    </row>
    <row r="244" spans="1:8">
      <c r="A244" s="2" t="str">
        <f>"231348_s_at"</f>
        <v>231348_s_at</v>
      </c>
      <c r="B244" s="2">
        <v>-1.8584484988658101</v>
      </c>
      <c r="C244" s="2">
        <v>5.4514213734794401</v>
      </c>
      <c r="D244" s="2">
        <v>-4.4558838382053203</v>
      </c>
      <c r="E244" s="2">
        <v>1.3035883597842501E-4</v>
      </c>
      <c r="F244" s="2">
        <v>2.28306065270544E-3</v>
      </c>
      <c r="G244" s="2">
        <v>2.7027043580945098</v>
      </c>
      <c r="H244" s="1" t="str">
        <f>"LMO3"</f>
        <v>LMO3</v>
      </c>
    </row>
    <row r="245" spans="1:8">
      <c r="A245" s="2" t="str">
        <f>"1555137_a_at"</f>
        <v>1555137_a_at</v>
      </c>
      <c r="B245" s="2">
        <v>-1.8568293712866999</v>
      </c>
      <c r="C245" s="2">
        <v>5.1118496408684404</v>
      </c>
      <c r="D245" s="2">
        <v>-4.4631222279162603</v>
      </c>
      <c r="E245" s="2">
        <v>1.2785058929496801E-4</v>
      </c>
      <c r="F245" s="2">
        <v>2.2563689379284601E-3</v>
      </c>
      <c r="G245" s="2">
        <v>2.7211028101509598</v>
      </c>
      <c r="H245" s="1" t="str">
        <f>"FGD6"</f>
        <v>FGD6</v>
      </c>
    </row>
    <row r="246" spans="1:8">
      <c r="A246" s="2" t="str">
        <f>"228598_at"</f>
        <v>228598_at</v>
      </c>
      <c r="B246" s="2">
        <v>-1.8550696083795799</v>
      </c>
      <c r="C246" s="2">
        <v>3.7890295422904701</v>
      </c>
      <c r="D246" s="2">
        <v>-3.9084287392774399</v>
      </c>
      <c r="E246" s="2">
        <v>5.6066356679398998E-4</v>
      </c>
      <c r="F246" s="2">
        <v>6.9072285972197802E-3</v>
      </c>
      <c r="G246" s="2">
        <v>1.32544468537274</v>
      </c>
      <c r="H246" s="1" t="str">
        <f>"DPP10"</f>
        <v>DPP10</v>
      </c>
    </row>
    <row r="247" spans="1:8">
      <c r="A247" s="2" t="str">
        <f>"209197_at"</f>
        <v>209197_at</v>
      </c>
      <c r="B247" s="2">
        <v>-1.8544464058027399</v>
      </c>
      <c r="C247" s="2">
        <v>8.7411334522243198</v>
      </c>
      <c r="D247" s="2">
        <v>-9.2418928091529704</v>
      </c>
      <c r="E247" s="3">
        <v>7.2253754222414098E-10</v>
      </c>
      <c r="F247" s="3">
        <v>3.7623562020099899E-7</v>
      </c>
      <c r="G247" s="2">
        <v>14.089590381537599</v>
      </c>
      <c r="H247" s="1" t="str">
        <f>"SYT11"</f>
        <v>SYT11</v>
      </c>
    </row>
    <row r="248" spans="1:8">
      <c r="A248" s="2" t="str">
        <f>"237828_at"</f>
        <v>237828_at</v>
      </c>
      <c r="B248" s="2">
        <v>-1.8536409079602001</v>
      </c>
      <c r="C248" s="2">
        <v>3.3305515394342202</v>
      </c>
      <c r="D248" s="2">
        <v>-3.75950377572196</v>
      </c>
      <c r="E248" s="2">
        <v>8.2932386951391397E-4</v>
      </c>
      <c r="F248" s="2">
        <v>9.3145609214612297E-3</v>
      </c>
      <c r="G248" s="2">
        <v>0.95773889925037803</v>
      </c>
      <c r="H248" s="1" t="str">
        <f>"SRRM4"</f>
        <v>SRRM4</v>
      </c>
    </row>
    <row r="249" spans="1:8">
      <c r="A249" s="2" t="str">
        <f>"223495_at"</f>
        <v>223495_at</v>
      </c>
      <c r="B249" s="2">
        <v>-1.8519602889341999</v>
      </c>
      <c r="C249" s="2">
        <v>9.6611387759275704</v>
      </c>
      <c r="D249" s="2">
        <v>-7.3999593911820503</v>
      </c>
      <c r="E249" s="3">
        <v>5.6988075273605599E-8</v>
      </c>
      <c r="F249" s="3">
        <v>7.6933901619367592E-6</v>
      </c>
      <c r="G249" s="2">
        <v>10.0304833593576</v>
      </c>
      <c r="H249" s="1" t="str">
        <f>"CCDC8"</f>
        <v>CCDC8</v>
      </c>
    </row>
    <row r="250" spans="1:8">
      <c r="A250" s="2" t="str">
        <f>"229400_at"</f>
        <v>229400_at</v>
      </c>
      <c r="B250" s="2">
        <v>-1.8510766787747901</v>
      </c>
      <c r="C250" s="2">
        <v>9.7037604946990506</v>
      </c>
      <c r="D250" s="2">
        <v>-5.4334462735153197</v>
      </c>
      <c r="E250" s="3">
        <v>9.4089529330650804E-6</v>
      </c>
      <c r="F250" s="2">
        <v>3.0952737762655398E-4</v>
      </c>
      <c r="G250" s="2">
        <v>5.1980878098960304</v>
      </c>
      <c r="H250" s="1" t="str">
        <f>"HOXD10"</f>
        <v>HOXD10</v>
      </c>
    </row>
    <row r="251" spans="1:8">
      <c r="A251" s="2" t="str">
        <f>"224219_s_at"</f>
        <v>224219_s_at</v>
      </c>
      <c r="B251" s="2">
        <v>-1.8454516304906601</v>
      </c>
      <c r="C251" s="2">
        <v>5.9428735325151303</v>
      </c>
      <c r="D251" s="2">
        <v>-3.3957730403158801</v>
      </c>
      <c r="E251" s="2">
        <v>2.1257483150828398E-3</v>
      </c>
      <c r="F251" s="2">
        <v>1.9053326086418802E-2</v>
      </c>
      <c r="G251" s="2">
        <v>7.8497431577807794E-2</v>
      </c>
      <c r="H251" s="1" t="str">
        <f>"TRPC4"</f>
        <v>TRPC4</v>
      </c>
    </row>
    <row r="252" spans="1:8">
      <c r="A252" s="2" t="str">
        <f>"1553970_s_at"</f>
        <v>1553970_s_at</v>
      </c>
      <c r="B252" s="2">
        <v>-1.8452392457748401</v>
      </c>
      <c r="C252" s="2">
        <v>7.0571155140516399</v>
      </c>
      <c r="D252" s="2">
        <v>-3.6935004351715301</v>
      </c>
      <c r="E252" s="2">
        <v>9.854575463912761E-4</v>
      </c>
      <c r="F252" s="2">
        <v>1.0646930472309401E-2</v>
      </c>
      <c r="G252" s="2">
        <v>0.79605907657494102</v>
      </c>
      <c r="H252" s="1" t="str">
        <f>"CEL"</f>
        <v>CEL</v>
      </c>
    </row>
    <row r="253" spans="1:8">
      <c r="A253" s="2" t="str">
        <f>"237329_at"</f>
        <v>237329_at</v>
      </c>
      <c r="B253" s="2">
        <v>-1.84488352637205</v>
      </c>
      <c r="C253" s="2">
        <v>5.7509430514700703</v>
      </c>
      <c r="D253" s="2">
        <v>-4.8597818500789796</v>
      </c>
      <c r="E253" s="3">
        <v>4.3982563312549899E-5</v>
      </c>
      <c r="F253" s="2">
        <v>9.9534215609009503E-4</v>
      </c>
      <c r="G253" s="2">
        <v>3.7330225004244699</v>
      </c>
      <c r="H253" s="1" t="str">
        <f>"RBMS3-AS3"</f>
        <v>RBMS3-AS3</v>
      </c>
    </row>
    <row r="254" spans="1:8">
      <c r="A254" s="2" t="str">
        <f>"226303_at"</f>
        <v>226303_at</v>
      </c>
      <c r="B254" s="2">
        <v>-1.8446518912836201</v>
      </c>
      <c r="C254" s="2">
        <v>12.8708784281568</v>
      </c>
      <c r="D254" s="2">
        <v>-6.5360076082204897</v>
      </c>
      <c r="E254" s="3">
        <v>5.1233890966220703E-7</v>
      </c>
      <c r="F254" s="3">
        <v>3.5235383504127303E-5</v>
      </c>
      <c r="G254" s="2">
        <v>7.9594627548598202</v>
      </c>
      <c r="H254" s="1" t="str">
        <f>"PGM5"</f>
        <v>PGM5</v>
      </c>
    </row>
    <row r="255" spans="1:8">
      <c r="A255" s="2" t="str">
        <f>"231358_at"</f>
        <v>231358_at</v>
      </c>
      <c r="B255" s="2">
        <v>-1.84144440122519</v>
      </c>
      <c r="C255" s="2">
        <v>5.2605862292023904</v>
      </c>
      <c r="D255" s="2">
        <v>-4.3888720569736597</v>
      </c>
      <c r="E255" s="2">
        <v>1.5602825350004E-4</v>
      </c>
      <c r="F255" s="2">
        <v>2.62117961384394E-3</v>
      </c>
      <c r="G255" s="2">
        <v>2.5325447361737599</v>
      </c>
      <c r="H255" s="1" t="str">
        <f>"MRO"</f>
        <v>MRO</v>
      </c>
    </row>
    <row r="256" spans="1:8">
      <c r="A256" s="2" t="str">
        <f>"213906_at"</f>
        <v>213906_at</v>
      </c>
      <c r="B256" s="2">
        <v>-1.8413993687979899</v>
      </c>
      <c r="C256" s="2">
        <v>6.9866294750932196</v>
      </c>
      <c r="D256" s="2">
        <v>-6.8078097291522699</v>
      </c>
      <c r="E256" s="3">
        <v>2.5438228140037802E-7</v>
      </c>
      <c r="F256" s="3">
        <v>2.1529955473011799E-5</v>
      </c>
      <c r="G256" s="2">
        <v>8.6213196911443593</v>
      </c>
      <c r="H256" s="1" t="str">
        <f>"MYBL1"</f>
        <v>MYBL1</v>
      </c>
    </row>
    <row r="257" spans="1:8">
      <c r="A257" s="2" t="str">
        <f>"227647_at"</f>
        <v>227647_at</v>
      </c>
      <c r="B257" s="2">
        <v>-1.8399944672458699</v>
      </c>
      <c r="C257" s="2">
        <v>9.7333199180677994</v>
      </c>
      <c r="D257" s="2">
        <v>-8.6072230764288697</v>
      </c>
      <c r="E257" s="3">
        <v>3.09462542385891E-9</v>
      </c>
      <c r="F257" s="3">
        <v>9.7260152460455096E-7</v>
      </c>
      <c r="G257" s="2">
        <v>12.748599666736901</v>
      </c>
      <c r="H257" s="1" t="str">
        <f>"KCNE3"</f>
        <v>KCNE3</v>
      </c>
    </row>
    <row r="258" spans="1:8">
      <c r="A258" s="2" t="str">
        <f>"204260_at"</f>
        <v>204260_at</v>
      </c>
      <c r="B258" s="2">
        <v>-1.8345359751288399</v>
      </c>
      <c r="C258" s="2">
        <v>7.4872245869799796</v>
      </c>
      <c r="D258" s="2">
        <v>-4.4105002712814798</v>
      </c>
      <c r="E258" s="2">
        <v>1.47237726058676E-4</v>
      </c>
      <c r="F258" s="2">
        <v>2.5136035228865202E-3</v>
      </c>
      <c r="G258" s="2">
        <v>2.58742931523062</v>
      </c>
      <c r="H258" s="1" t="str">
        <f>"CHGB"</f>
        <v>CHGB</v>
      </c>
    </row>
    <row r="259" spans="1:8">
      <c r="A259" s="2" t="str">
        <f>"205381_at"</f>
        <v>205381_at</v>
      </c>
      <c r="B259" s="2">
        <v>-1.8333312210897901</v>
      </c>
      <c r="C259" s="2">
        <v>7.8431385614583196</v>
      </c>
      <c r="D259" s="2">
        <v>-11.2505345674326</v>
      </c>
      <c r="E259" s="3">
        <v>1.0178169779177301E-11</v>
      </c>
      <c r="F259" s="3">
        <v>2.1144301323799901E-8</v>
      </c>
      <c r="G259" s="2">
        <v>17.937921548830001</v>
      </c>
      <c r="H259" s="1" t="str">
        <f>"LRRC17"</f>
        <v>LRRC17</v>
      </c>
    </row>
    <row r="260" spans="1:8">
      <c r="A260" s="2" t="str">
        <f>"219319_at"</f>
        <v>219319_at</v>
      </c>
      <c r="B260" s="2">
        <v>-1.8288655361234101</v>
      </c>
      <c r="C260" s="2">
        <v>6.0744137608179098</v>
      </c>
      <c r="D260" s="2">
        <v>-4.6646793898736503</v>
      </c>
      <c r="E260" s="3">
        <v>7.4371747840971397E-5</v>
      </c>
      <c r="F260" s="2">
        <v>1.4878431442389699E-3</v>
      </c>
      <c r="G260" s="2">
        <v>3.2345763114185</v>
      </c>
      <c r="H260" s="1" t="str">
        <f>"HIF3A"</f>
        <v>HIF3A</v>
      </c>
    </row>
    <row r="261" spans="1:8">
      <c r="A261" s="2" t="str">
        <f>"220403_s_at"</f>
        <v>220403_s_at</v>
      </c>
      <c r="B261" s="2">
        <v>-1.82442799313338</v>
      </c>
      <c r="C261" s="2">
        <v>4.94038393247253</v>
      </c>
      <c r="D261" s="2">
        <v>-3.7955162737759101</v>
      </c>
      <c r="E261" s="2">
        <v>7.5462495235655805E-4</v>
      </c>
      <c r="F261" s="2">
        <v>8.6751722603227097E-3</v>
      </c>
      <c r="G261" s="2">
        <v>1.04630110525974</v>
      </c>
      <c r="H261" s="1" t="str">
        <f>"TP53AIP1"</f>
        <v>TP53AIP1</v>
      </c>
    </row>
    <row r="262" spans="1:8">
      <c r="A262" s="2" t="str">
        <f>"234310_s_at"</f>
        <v>234310_s_at</v>
      </c>
      <c r="B262" s="2">
        <v>-1.8237015829309899</v>
      </c>
      <c r="C262" s="2">
        <v>5.1997516111396198</v>
      </c>
      <c r="D262" s="2">
        <v>-4.1420879631499101</v>
      </c>
      <c r="E262" s="2">
        <v>3.0174251747670902E-4</v>
      </c>
      <c r="F262" s="2">
        <v>4.2962948289164199E-3</v>
      </c>
      <c r="G262" s="2">
        <v>1.9091876231499301</v>
      </c>
      <c r="H262" s="1" t="str">
        <f>"SUSD2"</f>
        <v>SUSD2</v>
      </c>
    </row>
    <row r="263" spans="1:8">
      <c r="A263" s="2" t="str">
        <f>"204749_at"</f>
        <v>204749_at</v>
      </c>
      <c r="B263" s="2">
        <v>-1.8193332444528201</v>
      </c>
      <c r="C263" s="2">
        <v>8.6285848961963296</v>
      </c>
      <c r="D263" s="2">
        <v>-7.4421966949140002</v>
      </c>
      <c r="E263" s="3">
        <v>5.1303440615953003E-8</v>
      </c>
      <c r="F263" s="3">
        <v>7.11073704718215E-6</v>
      </c>
      <c r="G263" s="2">
        <v>10.129172577063301</v>
      </c>
      <c r="H263" s="1" t="str">
        <f>"NAP1L3"</f>
        <v>NAP1L3</v>
      </c>
    </row>
    <row r="264" spans="1:8">
      <c r="A264" s="2" t="str">
        <f>"204041_at"</f>
        <v>204041_at</v>
      </c>
      <c r="B264" s="2">
        <v>-1.8189518623527099</v>
      </c>
      <c r="C264" s="2">
        <v>11.986556794830101</v>
      </c>
      <c r="D264" s="2">
        <v>-6.86509025841465</v>
      </c>
      <c r="E264" s="3">
        <v>2.19714109748225E-7</v>
      </c>
      <c r="F264" s="3">
        <v>1.92822936604883E-5</v>
      </c>
      <c r="G264" s="2">
        <v>8.7596456603997606</v>
      </c>
      <c r="H264" s="1" t="str">
        <f>"MAOB"</f>
        <v>MAOB</v>
      </c>
    </row>
    <row r="265" spans="1:8">
      <c r="A265" s="2" t="str">
        <f>"205132_at"</f>
        <v>205132_at</v>
      </c>
      <c r="B265" s="2">
        <v>-1.8155595922155501</v>
      </c>
      <c r="C265" s="2">
        <v>11.4987805727454</v>
      </c>
      <c r="D265" s="2">
        <v>-3.8567860277451702</v>
      </c>
      <c r="E265" s="2">
        <v>6.42401803107308E-4</v>
      </c>
      <c r="F265" s="2">
        <v>7.6700846412700498E-3</v>
      </c>
      <c r="G265" s="2">
        <v>1.19750670066658</v>
      </c>
      <c r="H265" s="1" t="str">
        <f>"ACTC1"</f>
        <v>ACTC1</v>
      </c>
    </row>
    <row r="266" spans="1:8">
      <c r="A266" s="2" t="str">
        <f>"231951_at"</f>
        <v>231951_at</v>
      </c>
      <c r="B266" s="2">
        <v>-1.8147218887572301</v>
      </c>
      <c r="C266" s="2">
        <v>9.4527802882200493</v>
      </c>
      <c r="D266" s="2">
        <v>-6.1984803409023197</v>
      </c>
      <c r="E266" s="3">
        <v>1.2353088532846701E-6</v>
      </c>
      <c r="F266" s="3">
        <v>6.6346278539625899E-5</v>
      </c>
      <c r="G266" s="2">
        <v>7.1258324072296704</v>
      </c>
      <c r="H266" s="1" t="str">
        <f>"GNAO1"</f>
        <v>GNAO1</v>
      </c>
    </row>
    <row r="267" spans="1:8">
      <c r="A267" s="2" t="str">
        <f>"211663_x_at"</f>
        <v>211663_x_at</v>
      </c>
      <c r="B267" s="2">
        <v>-1.81354106653359</v>
      </c>
      <c r="C267" s="2">
        <v>13.082094476382499</v>
      </c>
      <c r="D267" s="2">
        <v>-5.0217184333409701</v>
      </c>
      <c r="E267" s="3">
        <v>2.84385245761548E-5</v>
      </c>
      <c r="F267" s="2">
        <v>7.1686322323709698E-4</v>
      </c>
      <c r="G267" s="2">
        <v>4.1471102125988102</v>
      </c>
      <c r="H267" s="1" t="str">
        <f>"PTGDS"</f>
        <v>PTGDS</v>
      </c>
    </row>
    <row r="268" spans="1:8">
      <c r="A268" s="2" t="str">
        <f>"211657_at"</f>
        <v>211657_at</v>
      </c>
      <c r="B268" s="2">
        <v>-1.8116945574656</v>
      </c>
      <c r="C268" s="2">
        <v>7.9300954108115702</v>
      </c>
      <c r="D268" s="2">
        <v>-3.9870945034009702</v>
      </c>
      <c r="E268" s="2">
        <v>4.5540690091249602E-4</v>
      </c>
      <c r="F268" s="2">
        <v>5.8749304277082304E-3</v>
      </c>
      <c r="G268" s="2">
        <v>1.5211285161653401</v>
      </c>
      <c r="H268" s="1" t="str">
        <f>"CEACAM6"</f>
        <v>CEACAM6</v>
      </c>
    </row>
    <row r="269" spans="1:8">
      <c r="A269" s="2" t="str">
        <f>"204938_s_at"</f>
        <v>204938_s_at</v>
      </c>
      <c r="B269" s="2">
        <v>-1.8115738090124101</v>
      </c>
      <c r="C269" s="2">
        <v>8.9343456460713799</v>
      </c>
      <c r="D269" s="2">
        <v>-4.9106704668191901</v>
      </c>
      <c r="E269" s="3">
        <v>3.8349730302561001E-5</v>
      </c>
      <c r="F269" s="2">
        <v>8.9682271355539904E-4</v>
      </c>
      <c r="G269" s="2">
        <v>3.8631409219361101</v>
      </c>
      <c r="H269" s="1" t="str">
        <f>"PLN"</f>
        <v>PLN</v>
      </c>
    </row>
    <row r="270" spans="1:8">
      <c r="A270" s="2" t="str">
        <f>"228396_at"</f>
        <v>228396_at</v>
      </c>
      <c r="B270" s="2">
        <v>-1.8102501516476099</v>
      </c>
      <c r="C270" s="2">
        <v>9.5665682280186193</v>
      </c>
      <c r="D270" s="2">
        <v>-8.5161660929758796</v>
      </c>
      <c r="E270" s="3">
        <v>3.8295075202518104E-9</v>
      </c>
      <c r="F270" s="3">
        <v>1.14414384518999E-6</v>
      </c>
      <c r="G270" s="2">
        <v>12.5511833490795</v>
      </c>
      <c r="H270" s="1" t="str">
        <f>"PRKG1"</f>
        <v>PRKG1</v>
      </c>
    </row>
    <row r="271" spans="1:8">
      <c r="A271" s="2" t="str">
        <f>"223799_at"</f>
        <v>223799_at</v>
      </c>
      <c r="B271" s="2">
        <v>-1.8059782538967899</v>
      </c>
      <c r="C271" s="2">
        <v>5.42145936208395</v>
      </c>
      <c r="D271" s="2">
        <v>-3.6884111388658898</v>
      </c>
      <c r="E271" s="2">
        <v>9.9862420963230201E-4</v>
      </c>
      <c r="F271" s="2">
        <v>1.0754338913068E-2</v>
      </c>
      <c r="G271" s="2">
        <v>0.78362798341497697</v>
      </c>
      <c r="H271" s="1" t="str">
        <f>"MSANTD4"</f>
        <v>MSANTD4</v>
      </c>
    </row>
    <row r="272" spans="1:8">
      <c r="A272" s="2" t="str">
        <f>"205898_at"</f>
        <v>205898_at</v>
      </c>
      <c r="B272" s="2">
        <v>-1.80583105659632</v>
      </c>
      <c r="C272" s="2">
        <v>9.5651524796621903</v>
      </c>
      <c r="D272" s="2">
        <v>-5.6744263231948002</v>
      </c>
      <c r="E272" s="3">
        <v>4.9417796295423801E-6</v>
      </c>
      <c r="F272" s="2">
        <v>1.8909594665397899E-4</v>
      </c>
      <c r="G272" s="2">
        <v>5.8099179297804104</v>
      </c>
      <c r="H272" s="1" t="str">
        <f>"CX3CR1"</f>
        <v>CX3CR1</v>
      </c>
    </row>
    <row r="273" spans="1:8">
      <c r="A273" s="2" t="str">
        <f>"218975_at"</f>
        <v>218975_at</v>
      </c>
      <c r="B273" s="2">
        <v>-1.80488157438944</v>
      </c>
      <c r="C273" s="2">
        <v>5.3941209949003799</v>
      </c>
      <c r="D273" s="2">
        <v>-4.5162400256982798</v>
      </c>
      <c r="E273" s="2">
        <v>1.10854568571373E-4</v>
      </c>
      <c r="F273" s="2">
        <v>2.0216722937424301E-3</v>
      </c>
      <c r="G273" s="2">
        <v>2.85621653855033</v>
      </c>
      <c r="H273" s="1" t="str">
        <f>"COL5A3"</f>
        <v>COL5A3</v>
      </c>
    </row>
    <row r="274" spans="1:8">
      <c r="A274" s="2" t="str">
        <f>"203498_at"</f>
        <v>203498_at</v>
      </c>
      <c r="B274" s="2">
        <v>-1.8038594461972399</v>
      </c>
      <c r="C274" s="2">
        <v>9.9360542787557407</v>
      </c>
      <c r="D274" s="2">
        <v>-6.76404451642534</v>
      </c>
      <c r="E274" s="3">
        <v>2.8458408991163798E-7</v>
      </c>
      <c r="F274" s="3">
        <v>2.3327788779488501E-5</v>
      </c>
      <c r="G274" s="2">
        <v>8.5153546495735792</v>
      </c>
      <c r="H274" s="1" t="str">
        <f>"RCAN2"</f>
        <v>RCAN2</v>
      </c>
    </row>
    <row r="275" spans="1:8">
      <c r="A275" s="2" t="str">
        <f>"204931_at"</f>
        <v>204931_at</v>
      </c>
      <c r="B275" s="2">
        <v>-1.8007600652514</v>
      </c>
      <c r="C275" s="2">
        <v>10.563065129238</v>
      </c>
      <c r="D275" s="2">
        <v>-8.4251031016525708</v>
      </c>
      <c r="E275" s="3">
        <v>4.7441694417539998E-9</v>
      </c>
      <c r="F275" s="3">
        <v>1.31668763567462E-6</v>
      </c>
      <c r="G275" s="2">
        <v>12.352496757265101</v>
      </c>
      <c r="H275" s="1" t="str">
        <f>"TCF21"</f>
        <v>TCF21</v>
      </c>
    </row>
    <row r="276" spans="1:8">
      <c r="A276" s="2" t="str">
        <f>"208510_s_at"</f>
        <v>208510_s_at</v>
      </c>
      <c r="B276" s="2">
        <v>-1.7944854339216101</v>
      </c>
      <c r="C276" s="2">
        <v>6.3759216315585903</v>
      </c>
      <c r="D276" s="2">
        <v>-3.7907756469538598</v>
      </c>
      <c r="E276" s="2">
        <v>7.6406804113097397E-4</v>
      </c>
      <c r="F276" s="2">
        <v>8.7655298117327897E-3</v>
      </c>
      <c r="G276" s="2">
        <v>1.0346294003904599</v>
      </c>
      <c r="H276" s="1" t="str">
        <f>"PPARG"</f>
        <v>PPARG</v>
      </c>
    </row>
    <row r="277" spans="1:8">
      <c r="A277" s="2" t="str">
        <f>"1554206_at"</f>
        <v>1554206_at</v>
      </c>
      <c r="B277" s="2">
        <v>-1.7943781539802599</v>
      </c>
      <c r="C277" s="2">
        <v>4.5585371023844301</v>
      </c>
      <c r="D277" s="2">
        <v>-3.8105365751595599</v>
      </c>
      <c r="E277" s="2">
        <v>7.2545395286905702E-4</v>
      </c>
      <c r="F277" s="2">
        <v>8.4123424969492506E-3</v>
      </c>
      <c r="G277" s="2">
        <v>1.08330854463243</v>
      </c>
      <c r="H277" s="1" t="str">
        <f>"TMLHE"</f>
        <v>TMLHE</v>
      </c>
    </row>
    <row r="278" spans="1:8">
      <c r="A278" s="2" t="str">
        <f>"213904_at"</f>
        <v>213904_at</v>
      </c>
      <c r="B278" s="2">
        <v>-1.79437471345868</v>
      </c>
      <c r="C278" s="2">
        <v>7.96793942719877</v>
      </c>
      <c r="D278" s="2">
        <v>-8.0202176525597899</v>
      </c>
      <c r="E278" s="3">
        <v>1.2458988947596301E-8</v>
      </c>
      <c r="F278" s="3">
        <v>2.5705480026785802E-6</v>
      </c>
      <c r="G278" s="2">
        <v>11.4539576748979</v>
      </c>
      <c r="H278" s="1" t="str">
        <f>"FRRS1L"</f>
        <v>FRRS1L</v>
      </c>
    </row>
    <row r="279" spans="1:8">
      <c r="A279" s="2" t="str">
        <f>"206757_at"</f>
        <v>206757_at</v>
      </c>
      <c r="B279" s="2">
        <v>-1.7920151153278401</v>
      </c>
      <c r="C279" s="2">
        <v>7.5752162683610003</v>
      </c>
      <c r="D279" s="2">
        <v>-4.8791929428460099</v>
      </c>
      <c r="E279" s="3">
        <v>4.17424119679898E-5</v>
      </c>
      <c r="F279" s="2">
        <v>9.5532288587268303E-4</v>
      </c>
      <c r="G279" s="2">
        <v>3.7826525916801601</v>
      </c>
      <c r="H279" s="1" t="str">
        <f>"PDE5A"</f>
        <v>PDE5A</v>
      </c>
    </row>
    <row r="280" spans="1:8">
      <c r="A280" s="2" t="str">
        <f>"206498_at"</f>
        <v>206498_at</v>
      </c>
      <c r="B280" s="2">
        <v>-1.7872699170009201</v>
      </c>
      <c r="C280" s="2">
        <v>6.0135903265121398</v>
      </c>
      <c r="D280" s="2">
        <v>-4.5372357930173504</v>
      </c>
      <c r="E280" s="2">
        <v>1.04774015276528E-4</v>
      </c>
      <c r="F280" s="2">
        <v>1.93335109188126E-3</v>
      </c>
      <c r="G280" s="2">
        <v>2.90966792903534</v>
      </c>
      <c r="H280" s="1" t="str">
        <f>"OCA2"</f>
        <v>OCA2</v>
      </c>
    </row>
    <row r="281" spans="1:8">
      <c r="A281" s="2" t="str">
        <f>"206343_s_at"</f>
        <v>206343_s_at</v>
      </c>
      <c r="B281" s="2">
        <v>-1.78450240198131</v>
      </c>
      <c r="C281" s="2">
        <v>4.8543994558504799</v>
      </c>
      <c r="D281" s="2">
        <v>-3.31897991533357</v>
      </c>
      <c r="E281" s="2">
        <v>2.5845677540393998E-3</v>
      </c>
      <c r="F281" s="2">
        <v>2.20282528374285E-2</v>
      </c>
      <c r="G281" s="2">
        <v>-0.103002892147336</v>
      </c>
      <c r="H281" s="1" t="str">
        <f>"NRG1"</f>
        <v>NRG1</v>
      </c>
    </row>
    <row r="282" spans="1:8">
      <c r="A282" s="2" t="str">
        <f>"210770_s_at"</f>
        <v>210770_s_at</v>
      </c>
      <c r="B282" s="2">
        <v>-1.78409809361357</v>
      </c>
      <c r="C282" s="2">
        <v>5.1681160953279202</v>
      </c>
      <c r="D282" s="2">
        <v>-4.6031057029805797</v>
      </c>
      <c r="E282" s="3">
        <v>8.7770210040143002E-5</v>
      </c>
      <c r="F282" s="2">
        <v>1.6843932025078299E-3</v>
      </c>
      <c r="G282" s="2">
        <v>3.0775080629047502</v>
      </c>
      <c r="H282" s="1" t="str">
        <f>"CACNA1A"</f>
        <v>CACNA1A</v>
      </c>
    </row>
    <row r="283" spans="1:8">
      <c r="A283" s="2" t="str">
        <f>"229218_at"</f>
        <v>229218_at</v>
      </c>
      <c r="B283" s="2">
        <v>-1.78061878770079</v>
      </c>
      <c r="C283" s="2">
        <v>10.679681789832101</v>
      </c>
      <c r="D283" s="2">
        <v>-6.8019330680292098</v>
      </c>
      <c r="E283" s="3">
        <v>2.5824024407713299E-7</v>
      </c>
      <c r="F283" s="3">
        <v>2.1688610360856E-5</v>
      </c>
      <c r="G283" s="2">
        <v>8.6071048954736504</v>
      </c>
      <c r="H283" s="1" t="str">
        <f>"COL1A2"</f>
        <v>COL1A2</v>
      </c>
    </row>
    <row r="284" spans="1:8">
      <c r="A284" s="2" t="str">
        <f>"211822_s_at"</f>
        <v>211822_s_at</v>
      </c>
      <c r="B284" s="2">
        <v>-1.78001816641932</v>
      </c>
      <c r="C284" s="2">
        <v>6.5152576294225701</v>
      </c>
      <c r="D284" s="2">
        <v>-4.6297152351221502</v>
      </c>
      <c r="E284" s="3">
        <v>8.1707732699755898E-5</v>
      </c>
      <c r="F284" s="2">
        <v>1.5996469235186001E-3</v>
      </c>
      <c r="G284" s="2">
        <v>3.1453674894348098</v>
      </c>
      <c r="H284" s="1" t="str">
        <f>"NLRP1"</f>
        <v>NLRP1</v>
      </c>
    </row>
    <row r="285" spans="1:8">
      <c r="A285" s="2" t="str">
        <f>"239128_at"</f>
        <v>239128_at</v>
      </c>
      <c r="B285" s="2">
        <v>-1.77514631512745</v>
      </c>
      <c r="C285" s="2">
        <v>5.8746525656319601</v>
      </c>
      <c r="D285" s="2">
        <v>-4.9184267850076804</v>
      </c>
      <c r="E285" s="3">
        <v>3.7557006691065297E-5</v>
      </c>
      <c r="F285" s="2">
        <v>8.8395580750494905E-4</v>
      </c>
      <c r="G285" s="2">
        <v>3.88297486314482</v>
      </c>
      <c r="H285" s="1" t="str">
        <f>"TMEM221"</f>
        <v>TMEM221</v>
      </c>
    </row>
    <row r="286" spans="1:8">
      <c r="A286" s="2" t="str">
        <f>"227838_at"</f>
        <v>227838_at</v>
      </c>
      <c r="B286" s="2">
        <v>-1.7744527039222799</v>
      </c>
      <c r="C286" s="2">
        <v>8.3908701348855192</v>
      </c>
      <c r="D286" s="2">
        <v>-11.601847737596101</v>
      </c>
      <c r="E286" s="3">
        <v>5.0797392237549E-12</v>
      </c>
      <c r="F286" s="3">
        <v>1.4617618003094701E-8</v>
      </c>
      <c r="G286" s="2">
        <v>18.551920631296099</v>
      </c>
      <c r="H286" s="1" t="str">
        <f>"UNC5C"</f>
        <v>UNC5C</v>
      </c>
    </row>
    <row r="287" spans="1:8">
      <c r="A287" s="2" t="str">
        <f>"208461_at"</f>
        <v>208461_at</v>
      </c>
      <c r="B287" s="2">
        <v>-1.77381073594876</v>
      </c>
      <c r="C287" s="2">
        <v>4.9772287502592203</v>
      </c>
      <c r="D287" s="2">
        <v>-3.2548765960544701</v>
      </c>
      <c r="E287" s="2">
        <v>3.0394505150868299E-3</v>
      </c>
      <c r="F287" s="2">
        <v>2.4899903642848699E-2</v>
      </c>
      <c r="G287" s="2">
        <v>-0.25323523497836598</v>
      </c>
      <c r="H287" s="1" t="str">
        <f>"HIC1"</f>
        <v>HIC1</v>
      </c>
    </row>
    <row r="288" spans="1:8">
      <c r="A288" s="2" t="str">
        <f>"210632_s_at"</f>
        <v>210632_s_at</v>
      </c>
      <c r="B288" s="2">
        <v>-1.77330309320747</v>
      </c>
      <c r="C288" s="2">
        <v>7.9658364853018799</v>
      </c>
      <c r="D288" s="2">
        <v>-4.6327251782562104</v>
      </c>
      <c r="E288" s="3">
        <v>8.1048798208609995E-5</v>
      </c>
      <c r="F288" s="2">
        <v>1.5894343766340599E-3</v>
      </c>
      <c r="G288" s="2">
        <v>3.15304528917527</v>
      </c>
      <c r="H288" s="1" t="str">
        <f>"SGCA"</f>
        <v>SGCA</v>
      </c>
    </row>
    <row r="289" spans="1:8">
      <c r="A289" s="2" t="str">
        <f>"203886_s_at"</f>
        <v>203886_s_at</v>
      </c>
      <c r="B289" s="2">
        <v>-1.77207378108812</v>
      </c>
      <c r="C289" s="2">
        <v>8.3089280306334103</v>
      </c>
      <c r="D289" s="2">
        <v>-5.1493277195274203</v>
      </c>
      <c r="E289" s="3">
        <v>2.01737284365319E-5</v>
      </c>
      <c r="F289" s="2">
        <v>5.4957578588310096E-4</v>
      </c>
      <c r="G289" s="2">
        <v>4.4733123015584297</v>
      </c>
      <c r="H289" s="1" t="str">
        <f>"FBLN2"</f>
        <v>FBLN2</v>
      </c>
    </row>
    <row r="290" spans="1:8">
      <c r="A290" s="2" t="str">
        <f>"223122_s_at"</f>
        <v>223122_s_at</v>
      </c>
      <c r="B290" s="2">
        <v>-1.7699680135231399</v>
      </c>
      <c r="C290" s="2">
        <v>11.0651579599618</v>
      </c>
      <c r="D290" s="2">
        <v>-6.0899385925600598</v>
      </c>
      <c r="E290" s="3">
        <v>1.64317674226766E-6</v>
      </c>
      <c r="F290" s="3">
        <v>8.1010539570319399E-5</v>
      </c>
      <c r="G290" s="2">
        <v>6.8552534688304902</v>
      </c>
      <c r="H290" s="1" t="str">
        <f>"SFRP2"</f>
        <v>SFRP2</v>
      </c>
    </row>
    <row r="291" spans="1:8">
      <c r="A291" s="2" t="str">
        <f>"203440_at"</f>
        <v>203440_at</v>
      </c>
      <c r="B291" s="2">
        <v>-1.7663315849728001</v>
      </c>
      <c r="C291" s="2">
        <v>7.4612920770676299</v>
      </c>
      <c r="D291" s="2">
        <v>-3.6456139192179302</v>
      </c>
      <c r="E291" s="2">
        <v>1.1163558050594101E-3</v>
      </c>
      <c r="F291" s="2">
        <v>1.16890510864194E-2</v>
      </c>
      <c r="G291" s="2">
        <v>0.67930078385452597</v>
      </c>
      <c r="H291" s="1" t="str">
        <f>"CDH2"</f>
        <v>CDH2</v>
      </c>
    </row>
    <row r="292" spans="1:8">
      <c r="A292" s="2" t="str">
        <f>"209582_s_at"</f>
        <v>209582_s_at</v>
      </c>
      <c r="B292" s="2">
        <v>-1.7660679642860799</v>
      </c>
      <c r="C292" s="2">
        <v>7.8735659208211004</v>
      </c>
      <c r="D292" s="2">
        <v>-8.1017978117057599</v>
      </c>
      <c r="E292" s="3">
        <v>1.02386199514708E-8</v>
      </c>
      <c r="F292" s="3">
        <v>2.2753098200736399E-6</v>
      </c>
      <c r="G292" s="2">
        <v>11.636981380867001</v>
      </c>
      <c r="H292" s="1" t="str">
        <f>"CD200"</f>
        <v>CD200</v>
      </c>
    </row>
    <row r="293" spans="1:8">
      <c r="A293" s="2" t="str">
        <f>"235281_x_at"</f>
        <v>235281_x_at</v>
      </c>
      <c r="B293" s="2">
        <v>-1.7646553392981601</v>
      </c>
      <c r="C293" s="2">
        <v>5.46230884844464</v>
      </c>
      <c r="D293" s="2">
        <v>-3.3771171843336201</v>
      </c>
      <c r="E293" s="2">
        <v>2.2293730501746498E-3</v>
      </c>
      <c r="F293" s="2">
        <v>1.9694776461189101E-2</v>
      </c>
      <c r="G293" s="2">
        <v>3.4256372579302599E-2</v>
      </c>
      <c r="H293" s="1" t="str">
        <f>"AHNAK"</f>
        <v>AHNAK</v>
      </c>
    </row>
    <row r="294" spans="1:8">
      <c r="A294" s="2" t="str">
        <f>"212667_at"</f>
        <v>212667_at</v>
      </c>
      <c r="B294" s="2">
        <v>-1.7644368040151399</v>
      </c>
      <c r="C294" s="2">
        <v>11.9212737076178</v>
      </c>
      <c r="D294" s="2">
        <v>-9.3859626363892392</v>
      </c>
      <c r="E294" s="3">
        <v>5.2319268605890895E-10</v>
      </c>
      <c r="F294" s="3">
        <v>3.0558626477523602E-7</v>
      </c>
      <c r="G294" s="2">
        <v>14.385476793195</v>
      </c>
      <c r="H294" s="1" t="str">
        <f>"SPARC"</f>
        <v>SPARC</v>
      </c>
    </row>
    <row r="295" spans="1:8">
      <c r="A295" s="2" t="str">
        <f>"218380_at"</f>
        <v>218380_at</v>
      </c>
      <c r="B295" s="2">
        <v>-1.76376206966614</v>
      </c>
      <c r="C295" s="2">
        <v>10.085737207104399</v>
      </c>
      <c r="D295" s="2">
        <v>-8.7549403180243903</v>
      </c>
      <c r="E295" s="3">
        <v>2.1953662637282398E-9</v>
      </c>
      <c r="F295" s="3">
        <v>7.9196665893802003E-7</v>
      </c>
      <c r="G295" s="2">
        <v>13.066179677498599</v>
      </c>
      <c r="H295" s="1" t="str">
        <f>"LOC728392"</f>
        <v>LOC728392</v>
      </c>
    </row>
    <row r="296" spans="1:8">
      <c r="A296" s="2" t="str">
        <f>"204422_s_at"</f>
        <v>204422_s_at</v>
      </c>
      <c r="B296" s="2">
        <v>-1.7636121363309301</v>
      </c>
      <c r="C296" s="2">
        <v>8.2720494077465503</v>
      </c>
      <c r="D296" s="2">
        <v>-7.2626080869645904</v>
      </c>
      <c r="E296" s="3">
        <v>8.0325923736621103E-8</v>
      </c>
      <c r="F296" s="3">
        <v>9.6101091472642395E-6</v>
      </c>
      <c r="G296" s="2">
        <v>9.7078342071609498</v>
      </c>
      <c r="H296" s="1" t="str">
        <f>"FGF2"</f>
        <v>FGF2</v>
      </c>
    </row>
    <row r="297" spans="1:8">
      <c r="A297" s="2" t="str">
        <f>"218839_at"</f>
        <v>218839_at</v>
      </c>
      <c r="B297" s="2">
        <v>-1.7635992701409799</v>
      </c>
      <c r="C297" s="2">
        <v>8.9188597992900807</v>
      </c>
      <c r="D297" s="2">
        <v>-7.6301003625274602</v>
      </c>
      <c r="E297" s="3">
        <v>3.2232598892644499E-8</v>
      </c>
      <c r="F297" s="3">
        <v>5.1984552280173998E-6</v>
      </c>
      <c r="G297" s="2">
        <v>10.565149420609099</v>
      </c>
      <c r="H297" s="1" t="str">
        <f>"HEY1"</f>
        <v>HEY1</v>
      </c>
    </row>
    <row r="298" spans="1:8">
      <c r="A298" s="2" t="str">
        <f>"1559266_s_at"</f>
        <v>1559266_s_at</v>
      </c>
      <c r="B298" s="2">
        <v>-1.7634606795405099</v>
      </c>
      <c r="C298" s="2">
        <v>5.6931066247231001</v>
      </c>
      <c r="D298" s="2">
        <v>-5.2321470255048999</v>
      </c>
      <c r="E298" s="3">
        <v>1.6147276184248898E-5</v>
      </c>
      <c r="F298" s="2">
        <v>4.66013190998569E-4</v>
      </c>
      <c r="G298" s="2">
        <v>4.6848532419390398</v>
      </c>
      <c r="H298" s="1" t="str">
        <f>"SKIDA1"</f>
        <v>SKIDA1</v>
      </c>
    </row>
    <row r="299" spans="1:8">
      <c r="A299" s="2" t="str">
        <f>"201744_s_at"</f>
        <v>201744_s_at</v>
      </c>
      <c r="B299" s="2">
        <v>-1.76250853229449</v>
      </c>
      <c r="C299" s="2">
        <v>12.955176937202801</v>
      </c>
      <c r="D299" s="2">
        <v>-7.3515173060539203</v>
      </c>
      <c r="E299" s="3">
        <v>6.4304938755993296E-8</v>
      </c>
      <c r="F299" s="3">
        <v>8.3314514845590794E-6</v>
      </c>
      <c r="G299" s="2">
        <v>9.9169884478523809</v>
      </c>
      <c r="H299" s="1" t="str">
        <f>"LUM"</f>
        <v>LUM</v>
      </c>
    </row>
    <row r="300" spans="1:8">
      <c r="A300" s="2" t="str">
        <f>"213093_at"</f>
        <v>213093_at</v>
      </c>
      <c r="B300" s="2">
        <v>-1.76144495106824</v>
      </c>
      <c r="C300" s="2">
        <v>11.295634674164599</v>
      </c>
      <c r="D300" s="2">
        <v>-9.9971799911559103</v>
      </c>
      <c r="E300" s="3">
        <v>1.3705247245091599E-10</v>
      </c>
      <c r="F300" s="3">
        <v>1.1019623428314399E-7</v>
      </c>
      <c r="G300" s="2">
        <v>15.606050926893699</v>
      </c>
      <c r="H300" s="1" t="str">
        <f>"PRKCA"</f>
        <v>PRKCA</v>
      </c>
    </row>
    <row r="301" spans="1:8">
      <c r="A301" s="2" t="str">
        <f>"234023_s_at"</f>
        <v>234023_s_at</v>
      </c>
      <c r="B301" s="2">
        <v>-1.76072418660343</v>
      </c>
      <c r="C301" s="2">
        <v>4.1893339658807696</v>
      </c>
      <c r="D301" s="2">
        <v>-3.6570667663249199</v>
      </c>
      <c r="E301" s="2">
        <v>1.0835851643155501E-3</v>
      </c>
      <c r="F301" s="2">
        <v>1.14350547884487E-2</v>
      </c>
      <c r="G301" s="2">
        <v>0.70718241820629502</v>
      </c>
      <c r="H301" s="1" t="str">
        <f>"CENPJ"</f>
        <v>CENPJ</v>
      </c>
    </row>
    <row r="302" spans="1:8">
      <c r="A302" s="2" t="str">
        <f>"212724_at"</f>
        <v>212724_at</v>
      </c>
      <c r="B302" s="2">
        <v>-1.7572039520665601</v>
      </c>
      <c r="C302" s="2">
        <v>11.1764316395356</v>
      </c>
      <c r="D302" s="2">
        <v>-9.2221088875279609</v>
      </c>
      <c r="E302" s="3">
        <v>7.5544877295356595E-10</v>
      </c>
      <c r="F302" s="3">
        <v>3.88190285562973E-7</v>
      </c>
      <c r="G302" s="2">
        <v>14.048713235995701</v>
      </c>
      <c r="H302" s="1" t="str">
        <f>"RND3"</f>
        <v>RND3</v>
      </c>
    </row>
    <row r="303" spans="1:8">
      <c r="A303" s="2" t="str">
        <f>"209496_at"</f>
        <v>209496_at</v>
      </c>
      <c r="B303" s="2">
        <v>-1.75684140163504</v>
      </c>
      <c r="C303" s="2">
        <v>11.523261365485901</v>
      </c>
      <c r="D303" s="2">
        <v>-7.2461137389690196</v>
      </c>
      <c r="E303" s="3">
        <v>8.3719234343553399E-8</v>
      </c>
      <c r="F303" s="3">
        <v>9.7598062638247006E-6</v>
      </c>
      <c r="G303" s="2">
        <v>9.6689121910432902</v>
      </c>
      <c r="H303" s="1" t="str">
        <f>"RARRES2"</f>
        <v>RARRES2</v>
      </c>
    </row>
    <row r="304" spans="1:8">
      <c r="A304" s="2" t="str">
        <f>"205752_s_at"</f>
        <v>205752_s_at</v>
      </c>
      <c r="B304" s="2">
        <v>-1.75530587713428</v>
      </c>
      <c r="C304" s="2">
        <v>10.253528703898199</v>
      </c>
      <c r="D304" s="2">
        <v>-8.3053742463275704</v>
      </c>
      <c r="E304" s="3">
        <v>6.2977075054747104E-9</v>
      </c>
      <c r="F304" s="3">
        <v>1.5941072123232901E-6</v>
      </c>
      <c r="G304" s="2">
        <v>12.0893566335308</v>
      </c>
      <c r="H304" s="1" t="str">
        <f>"GSTM5"</f>
        <v>GSTM5</v>
      </c>
    </row>
    <row r="305" spans="1:8">
      <c r="A305" s="2" t="str">
        <f>"224018_s_at"</f>
        <v>224018_s_at</v>
      </c>
      <c r="B305" s="2">
        <v>-1.7519207177465499</v>
      </c>
      <c r="C305" s="2">
        <v>5.88040790837064</v>
      </c>
      <c r="D305" s="2">
        <v>-4.5200631479987203</v>
      </c>
      <c r="E305" s="2">
        <v>1.0972179978114799E-4</v>
      </c>
      <c r="F305" s="2">
        <v>2.0056968916864698E-3</v>
      </c>
      <c r="G305" s="2">
        <v>2.8659476904079799</v>
      </c>
      <c r="H305" s="1" t="str">
        <f>"SCD5"</f>
        <v>SCD5</v>
      </c>
    </row>
    <row r="306" spans="1:8">
      <c r="A306" s="2" t="str">
        <f>"213338_at"</f>
        <v>213338_at</v>
      </c>
      <c r="B306" s="2">
        <v>-1.7515948485839401</v>
      </c>
      <c r="C306" s="2">
        <v>11.622788226719701</v>
      </c>
      <c r="D306" s="2">
        <v>-6.6025427972248201</v>
      </c>
      <c r="E306" s="3">
        <v>4.3132347632801598E-7</v>
      </c>
      <c r="F306" s="3">
        <v>3.1022371635743903E-5</v>
      </c>
      <c r="G306" s="2">
        <v>8.1222968187646405</v>
      </c>
      <c r="H306" s="1" t="str">
        <f>"TMEM158"</f>
        <v>TMEM158</v>
      </c>
    </row>
    <row r="307" spans="1:8">
      <c r="A307" s="2" t="str">
        <f>"1558602_a_at"</f>
        <v>1558602_a_at</v>
      </c>
      <c r="B307" s="2">
        <v>-1.7496141522900699</v>
      </c>
      <c r="C307" s="2">
        <v>4.5299321309836902</v>
      </c>
      <c r="D307" s="2">
        <v>-3.7728870058968802</v>
      </c>
      <c r="E307" s="2">
        <v>8.0075479437287801E-4</v>
      </c>
      <c r="F307" s="2">
        <v>9.0647127790058606E-3</v>
      </c>
      <c r="G307" s="2">
        <v>0.99062323962760401</v>
      </c>
      <c r="H307" s="1" t="str">
        <f>"TUSC7"</f>
        <v>TUSC7</v>
      </c>
    </row>
    <row r="308" spans="1:8">
      <c r="A308" s="2" t="str">
        <f>"206164_at"</f>
        <v>206164_at</v>
      </c>
      <c r="B308" s="2">
        <v>-1.74946056534885</v>
      </c>
      <c r="C308" s="2">
        <v>5.4891314316012503</v>
      </c>
      <c r="D308" s="2">
        <v>-3.2594425653959598</v>
      </c>
      <c r="E308" s="2">
        <v>3.0046505096478098E-3</v>
      </c>
      <c r="F308" s="2">
        <v>2.4682581412853601E-2</v>
      </c>
      <c r="G308" s="2">
        <v>-0.24257430273136499</v>
      </c>
      <c r="H308" s="1" t="str">
        <f>"CLCA2"</f>
        <v>CLCA2</v>
      </c>
    </row>
    <row r="309" spans="1:8">
      <c r="A309" s="2" t="str">
        <f>"223807_at"</f>
        <v>223807_at</v>
      </c>
      <c r="B309" s="2">
        <v>-1.7493771943476899</v>
      </c>
      <c r="C309" s="2">
        <v>7.1830593445585702</v>
      </c>
      <c r="D309" s="2">
        <v>-4.8847910209977501</v>
      </c>
      <c r="E309" s="3">
        <v>4.1117822847660302E-5</v>
      </c>
      <c r="F309" s="2">
        <v>9.4398301073068199E-4</v>
      </c>
      <c r="G309" s="2">
        <v>3.7969663780329501</v>
      </c>
      <c r="H309" s="1" t="str">
        <f>"IGSF1"</f>
        <v>IGSF1</v>
      </c>
    </row>
    <row r="310" spans="1:8">
      <c r="A310" s="2" t="str">
        <f>"225800_at"</f>
        <v>225800_at</v>
      </c>
      <c r="B310" s="2">
        <v>-1.74794028858575</v>
      </c>
      <c r="C310" s="2">
        <v>8.8603625778625705</v>
      </c>
      <c r="D310" s="2">
        <v>-7.4860091234801898</v>
      </c>
      <c r="E310" s="3">
        <v>4.6016051337569701E-8</v>
      </c>
      <c r="F310" s="3">
        <v>6.6034845324976901E-6</v>
      </c>
      <c r="G310" s="2">
        <v>10.2312762511174</v>
      </c>
      <c r="H310" s="1" t="str">
        <f>"JAZF1"</f>
        <v>JAZF1</v>
      </c>
    </row>
    <row r="311" spans="1:8">
      <c r="A311" s="2" t="str">
        <f>"211167_s_at"</f>
        <v>211167_s_at</v>
      </c>
      <c r="B311" s="2">
        <v>-1.74787178295654</v>
      </c>
      <c r="C311" s="2">
        <v>5.7569359543697098</v>
      </c>
      <c r="D311" s="2">
        <v>-4.5903955029215897</v>
      </c>
      <c r="E311" s="3">
        <v>9.0822103379784204E-5</v>
      </c>
      <c r="F311" s="2">
        <v>1.7259987842508501E-3</v>
      </c>
      <c r="G311" s="2">
        <v>3.04510554720627</v>
      </c>
      <c r="H311" s="1" t="str">
        <f>"GCK"</f>
        <v>GCK</v>
      </c>
    </row>
    <row r="312" spans="1:8">
      <c r="A312" s="2" t="str">
        <f>"1554633_a_at"</f>
        <v>1554633_a_at</v>
      </c>
      <c r="B312" s="2">
        <v>-1.7475246181170301</v>
      </c>
      <c r="C312" s="2">
        <v>3.6772663969983599</v>
      </c>
      <c r="D312" s="2">
        <v>-3.2528910037020999</v>
      </c>
      <c r="E312" s="2">
        <v>3.0547046338705299E-3</v>
      </c>
      <c r="F312" s="2">
        <v>2.4994908089923801E-2</v>
      </c>
      <c r="G312" s="2">
        <v>-0.25786938775940099</v>
      </c>
      <c r="H312" s="1" t="str">
        <f>"MYT1L"</f>
        <v>MYT1L</v>
      </c>
    </row>
    <row r="313" spans="1:8">
      <c r="A313" s="2" t="str">
        <f>"214505_s_at"</f>
        <v>214505_s_at</v>
      </c>
      <c r="B313" s="2">
        <v>-1.7455676446206201</v>
      </c>
      <c r="C313" s="2">
        <v>11.679571102023599</v>
      </c>
      <c r="D313" s="2">
        <v>-4.0503423071298599</v>
      </c>
      <c r="E313" s="2">
        <v>3.8510400981515898E-4</v>
      </c>
      <c r="F313" s="2">
        <v>5.1860989499122696E-3</v>
      </c>
      <c r="G313" s="2">
        <v>1.6791059246633799</v>
      </c>
      <c r="H313" s="1" t="str">
        <f>"FHL1"</f>
        <v>FHL1</v>
      </c>
    </row>
    <row r="314" spans="1:8">
      <c r="A314" s="2" t="str">
        <f>"244623_at"</f>
        <v>244623_at</v>
      </c>
      <c r="B314" s="2">
        <v>-1.7455666014279401</v>
      </c>
      <c r="C314" s="2">
        <v>5.9291224022248699</v>
      </c>
      <c r="D314" s="2">
        <v>-3.85988401492477</v>
      </c>
      <c r="E314" s="2">
        <v>6.3718469681517604E-4</v>
      </c>
      <c r="F314" s="2">
        <v>7.6215430536796603E-3</v>
      </c>
      <c r="G314" s="2">
        <v>1.2051692128947</v>
      </c>
      <c r="H314" s="1" t="str">
        <f>"KCNQ5"</f>
        <v>KCNQ5</v>
      </c>
    </row>
    <row r="315" spans="1:8">
      <c r="A315" s="2" t="str">
        <f>"239884_at"</f>
        <v>239884_at</v>
      </c>
      <c r="B315" s="2">
        <v>-1.74479113402691</v>
      </c>
      <c r="C315" s="2">
        <v>6.9261613009723604</v>
      </c>
      <c r="D315" s="2">
        <v>-3.0661228301522101</v>
      </c>
      <c r="E315" s="2">
        <v>4.8701625777536504E-3</v>
      </c>
      <c r="F315" s="2">
        <v>3.5736966707647401E-2</v>
      </c>
      <c r="G315" s="2">
        <v>-0.68822604358907702</v>
      </c>
      <c r="H315" s="1" t="str">
        <f>"CADPS"</f>
        <v>CADPS</v>
      </c>
    </row>
    <row r="316" spans="1:8">
      <c r="A316" s="2" t="str">
        <f>"219685_at"</f>
        <v>219685_at</v>
      </c>
      <c r="B316" s="2">
        <v>-1.7444286120416199</v>
      </c>
      <c r="C316" s="2">
        <v>10.738253852311701</v>
      </c>
      <c r="D316" s="2">
        <v>-5.6756497273277899</v>
      </c>
      <c r="E316" s="3">
        <v>4.92569398751398E-6</v>
      </c>
      <c r="F316" s="2">
        <v>1.8872622198130799E-4</v>
      </c>
      <c r="G316" s="2">
        <v>5.81301509054137</v>
      </c>
      <c r="H316" s="1" t="str">
        <f>"TMEM35A"</f>
        <v>TMEM35A</v>
      </c>
    </row>
    <row r="317" spans="1:8">
      <c r="A317" s="2" t="str">
        <f>"203562_at"</f>
        <v>203562_at</v>
      </c>
      <c r="B317" s="2">
        <v>-1.74386387231822</v>
      </c>
      <c r="C317" s="2">
        <v>10.086263134839401</v>
      </c>
      <c r="D317" s="2">
        <v>-8.3985246878774902</v>
      </c>
      <c r="E317" s="3">
        <v>5.0512484857115301E-9</v>
      </c>
      <c r="F317" s="3">
        <v>1.3695733824919599E-6</v>
      </c>
      <c r="G317" s="2">
        <v>12.294269743735599</v>
      </c>
      <c r="H317" s="1" t="str">
        <f>"FEZ1"</f>
        <v>FEZ1</v>
      </c>
    </row>
    <row r="318" spans="1:8">
      <c r="A318" s="2" t="str">
        <f>"205304_s_at"</f>
        <v>205304_s_at</v>
      </c>
      <c r="B318" s="2">
        <v>-1.7416104310224201</v>
      </c>
      <c r="C318" s="2">
        <v>9.1356234197382005</v>
      </c>
      <c r="D318" s="2">
        <v>-7.0786102783301699</v>
      </c>
      <c r="E318" s="3">
        <v>1.2767885591793201E-7</v>
      </c>
      <c r="F318" s="3">
        <v>1.3097263503401401E-5</v>
      </c>
      <c r="G318" s="2">
        <v>9.2715565366010306</v>
      </c>
      <c r="H318" s="1" t="str">
        <f>"KCNJ8"</f>
        <v>KCNJ8</v>
      </c>
    </row>
    <row r="319" spans="1:8">
      <c r="A319" s="2" t="str">
        <f>"219454_at"</f>
        <v>219454_at</v>
      </c>
      <c r="B319" s="2">
        <v>-1.7362790315607499</v>
      </c>
      <c r="C319" s="2">
        <v>6.5083287007322497</v>
      </c>
      <c r="D319" s="2">
        <v>-7.0330108585512097</v>
      </c>
      <c r="E319" s="3">
        <v>1.4330758673179301E-7</v>
      </c>
      <c r="F319" s="3">
        <v>1.4194460696668101E-5</v>
      </c>
      <c r="G319" s="2">
        <v>9.1627330847668205</v>
      </c>
      <c r="H319" s="1" t="str">
        <f>"EGFL6"</f>
        <v>EGFL6</v>
      </c>
    </row>
    <row r="320" spans="1:8">
      <c r="A320" s="2" t="str">
        <f>"228376_at"</f>
        <v>228376_at</v>
      </c>
      <c r="B320" s="2">
        <v>-1.7355635123700901</v>
      </c>
      <c r="C320" s="2">
        <v>8.6837892587635608</v>
      </c>
      <c r="D320" s="2">
        <v>-8.1207934542968303</v>
      </c>
      <c r="E320" s="3">
        <v>9.7824488166440207E-9</v>
      </c>
      <c r="F320" s="3">
        <v>2.1923427985211601E-6</v>
      </c>
      <c r="G320" s="2">
        <v>11.679455218263501</v>
      </c>
      <c r="H320" s="1" t="str">
        <f>"GGTA1P"</f>
        <v>GGTA1P</v>
      </c>
    </row>
    <row r="321" spans="1:8">
      <c r="A321" s="2" t="str">
        <f>"220658_s_at"</f>
        <v>220658_s_at</v>
      </c>
      <c r="B321" s="2">
        <v>-1.7346079562110399</v>
      </c>
      <c r="C321" s="2">
        <v>4.5183540821498296</v>
      </c>
      <c r="D321" s="2">
        <v>-3.4986610025516698</v>
      </c>
      <c r="E321" s="2">
        <v>1.6328597469967201E-3</v>
      </c>
      <c r="F321" s="2">
        <v>1.56653037894596E-2</v>
      </c>
      <c r="G321" s="2">
        <v>0.32410924242716999</v>
      </c>
      <c r="H321" s="1" t="str">
        <f>"ARNTL2"</f>
        <v>ARNTL2</v>
      </c>
    </row>
    <row r="322" spans="1:8">
      <c r="A322" s="2" t="str">
        <f>"206805_at"</f>
        <v>206805_at</v>
      </c>
      <c r="B322" s="2">
        <v>-1.7323828802991601</v>
      </c>
      <c r="C322" s="2">
        <v>6.6638713941995</v>
      </c>
      <c r="D322" s="2">
        <v>-5.3073556575624901</v>
      </c>
      <c r="E322" s="3">
        <v>1.31941635292865E-5</v>
      </c>
      <c r="F322" s="2">
        <v>4.0211309418268699E-4</v>
      </c>
      <c r="G322" s="2">
        <v>4.8767842990116099</v>
      </c>
      <c r="H322" s="1" t="str">
        <f>"SEMA3A"</f>
        <v>SEMA3A</v>
      </c>
    </row>
    <row r="323" spans="1:8">
      <c r="A323" s="2" t="str">
        <f>"214611_at"</f>
        <v>214611_at</v>
      </c>
      <c r="B323" s="2">
        <v>-1.7318202551184601</v>
      </c>
      <c r="C323" s="2">
        <v>5.8538353086105799</v>
      </c>
      <c r="D323" s="2">
        <v>-3.2350143732546899</v>
      </c>
      <c r="E323" s="2">
        <v>3.1953973554847501E-3</v>
      </c>
      <c r="F323" s="2">
        <v>2.5883846508696198E-2</v>
      </c>
      <c r="G323" s="2">
        <v>-0.29953811605179698</v>
      </c>
      <c r="H323" s="1" t="str">
        <f>"GRIK1"</f>
        <v>GRIK1</v>
      </c>
    </row>
    <row r="324" spans="1:8">
      <c r="A324" s="2" t="str">
        <f>"211651_s_at"</f>
        <v>211651_s_at</v>
      </c>
      <c r="B324" s="2">
        <v>-1.7299701034508099</v>
      </c>
      <c r="C324" s="2">
        <v>8.2092041620883407</v>
      </c>
      <c r="D324" s="2">
        <v>-5.4178129434822102</v>
      </c>
      <c r="E324" s="3">
        <v>9.8113884903026696E-6</v>
      </c>
      <c r="F324" s="2">
        <v>3.2020242363427301E-4</v>
      </c>
      <c r="G324" s="2">
        <v>5.1582883685967698</v>
      </c>
      <c r="H324" s="1" t="str">
        <f>"LAMB1"</f>
        <v>LAMB1</v>
      </c>
    </row>
    <row r="325" spans="1:8">
      <c r="A325" s="2" t="str">
        <f>"210258_at"</f>
        <v>210258_at</v>
      </c>
      <c r="B325" s="2">
        <v>-1.72560269283015</v>
      </c>
      <c r="C325" s="2">
        <v>6.6717533333977901</v>
      </c>
      <c r="D325" s="2">
        <v>-6.4224141309522604</v>
      </c>
      <c r="E325" s="3">
        <v>6.8808856577097399E-7</v>
      </c>
      <c r="F325" s="3">
        <v>4.3543104552694403E-5</v>
      </c>
      <c r="G325" s="2">
        <v>7.6802894356743101</v>
      </c>
      <c r="H325" s="1" t="str">
        <f>"RGS13"</f>
        <v>RGS13</v>
      </c>
    </row>
    <row r="326" spans="1:8">
      <c r="A326" s="2" t="str">
        <f>"239468_at"</f>
        <v>239468_at</v>
      </c>
      <c r="B326" s="2">
        <v>-1.7242943421421599</v>
      </c>
      <c r="C326" s="2">
        <v>9.9342187534927895</v>
      </c>
      <c r="D326" s="2">
        <v>-7.3151421476153997</v>
      </c>
      <c r="E326" s="3">
        <v>7.0423830276480198E-8</v>
      </c>
      <c r="F326" s="3">
        <v>8.7708950350035406E-6</v>
      </c>
      <c r="G326" s="2">
        <v>9.8315501000189194</v>
      </c>
      <c r="H326" s="1" t="str">
        <f>"MKX"</f>
        <v>MKX</v>
      </c>
    </row>
    <row r="327" spans="1:8">
      <c r="A327" s="2" t="str">
        <f>"215666_at"</f>
        <v>215666_at</v>
      </c>
      <c r="B327" s="2">
        <v>-1.7242157563403</v>
      </c>
      <c r="C327" s="2">
        <v>3.1576804779497301</v>
      </c>
      <c r="D327" s="2">
        <v>-2.95406395646742</v>
      </c>
      <c r="E327" s="2">
        <v>6.4136445924429103E-3</v>
      </c>
      <c r="F327" s="2">
        <v>4.3987207487683901E-2</v>
      </c>
      <c r="G327" s="2">
        <v>-0.94075426976599497</v>
      </c>
      <c r="H327" s="1" t="str">
        <f>"HLA-DRB4"</f>
        <v>HLA-DRB4</v>
      </c>
    </row>
    <row r="328" spans="1:8">
      <c r="A328" s="2" t="str">
        <f>"225481_at"</f>
        <v>225481_at</v>
      </c>
      <c r="B328" s="2">
        <v>-1.7222085963481999</v>
      </c>
      <c r="C328" s="2">
        <v>11.3126215114952</v>
      </c>
      <c r="D328" s="2">
        <v>-9.1682054959848909</v>
      </c>
      <c r="E328" s="3">
        <v>8.5314867695302697E-10</v>
      </c>
      <c r="F328" s="3">
        <v>4.2023336858024101E-7</v>
      </c>
      <c r="G328" s="2">
        <v>13.937037902565599</v>
      </c>
      <c r="H328" s="1" t="str">
        <f>"FRMD6"</f>
        <v>FRMD6</v>
      </c>
    </row>
    <row r="329" spans="1:8">
      <c r="A329" s="2" t="str">
        <f>"1555282_a_at"</f>
        <v>1555282_a_at</v>
      </c>
      <c r="B329" s="2">
        <v>-1.7196097380694999</v>
      </c>
      <c r="C329" s="2">
        <v>6.5316868450149101</v>
      </c>
      <c r="D329" s="2">
        <v>-3.9746463795625799</v>
      </c>
      <c r="E329" s="2">
        <v>4.7066276884319701E-4</v>
      </c>
      <c r="F329" s="2">
        <v>6.0350579002114903E-3</v>
      </c>
      <c r="G329" s="2">
        <v>1.49010210573771</v>
      </c>
      <c r="H329" s="1" t="str">
        <f>"PPARGC1B"</f>
        <v>PPARGC1B</v>
      </c>
    </row>
    <row r="330" spans="1:8">
      <c r="A330" s="2" t="str">
        <f>"201641_at"</f>
        <v>201641_at</v>
      </c>
      <c r="B330" s="2">
        <v>-1.71765947374296</v>
      </c>
      <c r="C330" s="2">
        <v>10.585442419115299</v>
      </c>
      <c r="D330" s="2">
        <v>-6.5510241194390204</v>
      </c>
      <c r="E330" s="3">
        <v>4.92797122575514E-7</v>
      </c>
      <c r="F330" s="3">
        <v>3.4279494499766203E-5</v>
      </c>
      <c r="G330" s="2">
        <v>7.9962582071566999</v>
      </c>
      <c r="H330" s="1" t="str">
        <f>"BST2"</f>
        <v>BST2</v>
      </c>
    </row>
    <row r="331" spans="1:8">
      <c r="A331" s="2" t="str">
        <f>"203088_at"</f>
        <v>203088_at</v>
      </c>
      <c r="B331" s="2">
        <v>-1.7164488172063199</v>
      </c>
      <c r="C331" s="2">
        <v>10.458284452517701</v>
      </c>
      <c r="D331" s="2">
        <v>-7.1863204303752504</v>
      </c>
      <c r="E331" s="3">
        <v>9.7294130638008396E-8</v>
      </c>
      <c r="F331" s="3">
        <v>1.09455896967759E-5</v>
      </c>
      <c r="G331" s="2">
        <v>9.5275048953582697</v>
      </c>
      <c r="H331" s="1" t="str">
        <f>"FBLN5"</f>
        <v>FBLN5</v>
      </c>
    </row>
    <row r="332" spans="1:8">
      <c r="A332" s="2" t="str">
        <f>"241114_s_at"</f>
        <v>241114_s_at</v>
      </c>
      <c r="B332" s="2">
        <v>-1.71628725215148</v>
      </c>
      <c r="C332" s="2">
        <v>6.9995898906414702</v>
      </c>
      <c r="D332" s="2">
        <v>-4.5288537949108898</v>
      </c>
      <c r="E332" s="2">
        <v>1.07160669099199E-4</v>
      </c>
      <c r="F332" s="2">
        <v>1.97016622504729E-3</v>
      </c>
      <c r="G332" s="2">
        <v>2.88832598403211</v>
      </c>
      <c r="H332" s="1" t="str">
        <f>"ACAA2"</f>
        <v>ACAA2</v>
      </c>
    </row>
    <row r="333" spans="1:8">
      <c r="A333" s="2" t="str">
        <f>"200907_s_at"</f>
        <v>200907_s_at</v>
      </c>
      <c r="B333" s="2">
        <v>-1.7161667269719001</v>
      </c>
      <c r="C333" s="2">
        <v>12.724201001455601</v>
      </c>
      <c r="D333" s="2">
        <v>-6.4805863139144</v>
      </c>
      <c r="E333" s="3">
        <v>5.9153189084779298E-7</v>
      </c>
      <c r="F333" s="3">
        <v>3.9013276395781798E-5</v>
      </c>
      <c r="G333" s="2">
        <v>7.8234383658717599</v>
      </c>
      <c r="H333" s="1" t="str">
        <f>"PALLD"</f>
        <v>PALLD</v>
      </c>
    </row>
    <row r="334" spans="1:8">
      <c r="A334" s="2" t="str">
        <f>"243237_at"</f>
        <v>243237_at</v>
      </c>
      <c r="B334" s="2">
        <v>-1.71575521450653</v>
      </c>
      <c r="C334" s="2">
        <v>6.1631282346842298</v>
      </c>
      <c r="D334" s="2">
        <v>-4.8105291743419096</v>
      </c>
      <c r="E334" s="3">
        <v>5.0220910855719602E-5</v>
      </c>
      <c r="F334" s="2">
        <v>1.09877082874609E-3</v>
      </c>
      <c r="G334" s="2">
        <v>3.6071150773504099</v>
      </c>
      <c r="H334" s="1" t="str">
        <f>"CFAP221"</f>
        <v>CFAP221</v>
      </c>
    </row>
    <row r="335" spans="1:8">
      <c r="A335" s="2" t="str">
        <f>"226751_at"</f>
        <v>226751_at</v>
      </c>
      <c r="B335" s="2">
        <v>-1.71326577925462</v>
      </c>
      <c r="C335" s="2">
        <v>10.10997235152</v>
      </c>
      <c r="D335" s="2">
        <v>-9.3501705263308903</v>
      </c>
      <c r="E335" s="3">
        <v>5.6673743195981801E-10</v>
      </c>
      <c r="F335" s="3">
        <v>3.1944710404539201E-7</v>
      </c>
      <c r="G335" s="2">
        <v>14.312261252111201</v>
      </c>
      <c r="H335" s="1" t="str">
        <f>"CNRIP1"</f>
        <v>CNRIP1</v>
      </c>
    </row>
    <row r="336" spans="1:8">
      <c r="A336" s="2" t="str">
        <f>"1560538_at"</f>
        <v>1560538_at</v>
      </c>
      <c r="B336" s="2">
        <v>-1.7112507835739399</v>
      </c>
      <c r="C336" s="2">
        <v>3.5019226468069999</v>
      </c>
      <c r="D336" s="2">
        <v>-4.0564655177980402</v>
      </c>
      <c r="E336" s="2">
        <v>3.7889455256343902E-4</v>
      </c>
      <c r="F336" s="2">
        <v>5.1176036712959599E-3</v>
      </c>
      <c r="G336" s="2">
        <v>1.6944288654397599</v>
      </c>
      <c r="H336" s="1" t="str">
        <f>"LOC101928386"</f>
        <v>LOC101928386</v>
      </c>
    </row>
    <row r="337" spans="1:8">
      <c r="A337" s="2" t="str">
        <f>"1568821_at"</f>
        <v>1568821_at</v>
      </c>
      <c r="B337" s="2">
        <v>-1.7109129762964801</v>
      </c>
      <c r="C337" s="2">
        <v>5.1373970848420303</v>
      </c>
      <c r="D337" s="2">
        <v>-3.1835735811294601</v>
      </c>
      <c r="E337" s="2">
        <v>3.6358585833962099E-3</v>
      </c>
      <c r="F337" s="2">
        <v>2.8467788636286299E-2</v>
      </c>
      <c r="G337" s="2">
        <v>-0.41889569062422499</v>
      </c>
      <c r="H337" s="1" t="str">
        <f>"TTC23"</f>
        <v>TTC23</v>
      </c>
    </row>
    <row r="338" spans="1:8">
      <c r="A338" s="2" t="str">
        <f>"222940_at"</f>
        <v>222940_at</v>
      </c>
      <c r="B338" s="2">
        <v>-1.7100201329402001</v>
      </c>
      <c r="C338" s="2">
        <v>4.5971389713896702</v>
      </c>
      <c r="D338" s="2">
        <v>-3.2994711597144901</v>
      </c>
      <c r="E338" s="2">
        <v>2.7155576658827799E-3</v>
      </c>
      <c r="F338" s="2">
        <v>2.29125178058859E-2</v>
      </c>
      <c r="G338" s="2">
        <v>-0.148849727736202</v>
      </c>
      <c r="H338" s="1" t="str">
        <f>"SULT1E1"</f>
        <v>SULT1E1</v>
      </c>
    </row>
    <row r="339" spans="1:8">
      <c r="A339" s="2" t="str">
        <f>"213880_at"</f>
        <v>213880_at</v>
      </c>
      <c r="B339" s="2">
        <v>-1.7098051083506201</v>
      </c>
      <c r="C339" s="2">
        <v>5.3506369504284503</v>
      </c>
      <c r="D339" s="2">
        <v>-4.1899155055100001</v>
      </c>
      <c r="E339" s="2">
        <v>2.6563061704408899E-4</v>
      </c>
      <c r="F339" s="2">
        <v>3.8782789590270299E-3</v>
      </c>
      <c r="G339" s="2">
        <v>2.0295245713586501</v>
      </c>
      <c r="H339" s="1" t="str">
        <f>"LGR5"</f>
        <v>LGR5</v>
      </c>
    </row>
    <row r="340" spans="1:8">
      <c r="A340" s="2" t="str">
        <f>"230876_at"</f>
        <v>230876_at</v>
      </c>
      <c r="B340" s="2">
        <v>-1.7093716519945199</v>
      </c>
      <c r="C340" s="2">
        <v>5.5819732220820599</v>
      </c>
      <c r="D340" s="2">
        <v>-3.7378416724628001</v>
      </c>
      <c r="E340" s="2">
        <v>8.7769249566691497E-4</v>
      </c>
      <c r="F340" s="2">
        <v>9.7377916397298203E-3</v>
      </c>
      <c r="G340" s="2">
        <v>0.90458344306826899</v>
      </c>
      <c r="H340" s="1" t="str">
        <f>"ZNF883"</f>
        <v>ZNF883</v>
      </c>
    </row>
    <row r="341" spans="1:8">
      <c r="A341" s="2" t="str">
        <f>"235979_at"</f>
        <v>235979_at</v>
      </c>
      <c r="B341" s="2">
        <v>-1.7092485074913699</v>
      </c>
      <c r="C341" s="2">
        <v>7.2552167370180998</v>
      </c>
      <c r="D341" s="2">
        <v>-4.0197191434992101</v>
      </c>
      <c r="E341" s="2">
        <v>4.17695303860102E-4</v>
      </c>
      <c r="F341" s="2">
        <v>5.5069907737041396E-3</v>
      </c>
      <c r="G341" s="2">
        <v>1.60254827831666</v>
      </c>
      <c r="H341" s="1" t="str">
        <f>"C7"</f>
        <v>C7</v>
      </c>
    </row>
    <row r="342" spans="1:8">
      <c r="A342" s="2" t="str">
        <f>"220260_at"</f>
        <v>220260_at</v>
      </c>
      <c r="B342" s="2">
        <v>-1.7079806458707201</v>
      </c>
      <c r="C342" s="2">
        <v>6.5213760643025802</v>
      </c>
      <c r="D342" s="2">
        <v>-3.57666630670247</v>
      </c>
      <c r="E342" s="2">
        <v>1.3350447912260301E-3</v>
      </c>
      <c r="F342" s="2">
        <v>1.34130524687751E-2</v>
      </c>
      <c r="G342" s="2">
        <v>0.51204419111381705</v>
      </c>
      <c r="H342" s="1" t="str">
        <f>"TBC1D19"</f>
        <v>TBC1D19</v>
      </c>
    </row>
    <row r="343" spans="1:8">
      <c r="A343" s="2" t="str">
        <f>"219427_at"</f>
        <v>219427_at</v>
      </c>
      <c r="B343" s="2">
        <v>-1.7068534831645801</v>
      </c>
      <c r="C343" s="2">
        <v>8.7660363802241097</v>
      </c>
      <c r="D343" s="2">
        <v>-9.6367758450555403</v>
      </c>
      <c r="E343" s="3">
        <v>3.0018843431036001E-10</v>
      </c>
      <c r="F343" s="3">
        <v>2.1042054674255E-7</v>
      </c>
      <c r="G343" s="2">
        <v>14.893112672891499</v>
      </c>
      <c r="H343" s="1" t="str">
        <f>"FAT4"</f>
        <v>FAT4</v>
      </c>
    </row>
    <row r="344" spans="1:8">
      <c r="A344" s="2" t="str">
        <f>"202746_at"</f>
        <v>202746_at</v>
      </c>
      <c r="B344" s="2">
        <v>-1.70484376810662</v>
      </c>
      <c r="C344" s="2">
        <v>10.1811614471816</v>
      </c>
      <c r="D344" s="2">
        <v>-6.7217395887138398</v>
      </c>
      <c r="E344" s="3">
        <v>3.1724633163732701E-7</v>
      </c>
      <c r="F344" s="3">
        <v>2.5284902598062501E-5</v>
      </c>
      <c r="G344" s="2">
        <v>8.4127000699525301</v>
      </c>
      <c r="H344" s="1" t="str">
        <f>"ITM2A"</f>
        <v>ITM2A</v>
      </c>
    </row>
    <row r="345" spans="1:8">
      <c r="A345" s="2" t="str">
        <f>"230135_at"</f>
        <v>230135_at</v>
      </c>
      <c r="B345" s="2">
        <v>-1.7021905939080499</v>
      </c>
      <c r="C345" s="2">
        <v>9.1693908157974793</v>
      </c>
      <c r="D345" s="2">
        <v>-5.9705474524302202</v>
      </c>
      <c r="E345" s="3">
        <v>2.2515937419137599E-6</v>
      </c>
      <c r="F345" s="2">
        <v>1.03103758659242E-4</v>
      </c>
      <c r="G345" s="2">
        <v>6.5563569515252</v>
      </c>
      <c r="H345" s="1" t="str">
        <f>"HHIP"</f>
        <v>HHIP</v>
      </c>
    </row>
    <row r="346" spans="1:8">
      <c r="A346" s="2" t="str">
        <f>"202350_s_at"</f>
        <v>202350_s_at</v>
      </c>
      <c r="B346" s="2">
        <v>-1.7016527284434699</v>
      </c>
      <c r="C346" s="2">
        <v>11.356454332281499</v>
      </c>
      <c r="D346" s="2">
        <v>-6.9555003934160498</v>
      </c>
      <c r="E346" s="3">
        <v>1.7448522863515599E-7</v>
      </c>
      <c r="F346" s="3">
        <v>1.6419930939117301E-5</v>
      </c>
      <c r="G346" s="2">
        <v>8.97712591133552</v>
      </c>
      <c r="H346" s="1" t="str">
        <f>"MATN2"</f>
        <v>MATN2</v>
      </c>
    </row>
    <row r="347" spans="1:8">
      <c r="A347" s="2" t="str">
        <f>"227742_at"</f>
        <v>227742_at</v>
      </c>
      <c r="B347" s="2">
        <v>-1.7004634156571901</v>
      </c>
      <c r="C347" s="2">
        <v>9.3559054830035198</v>
      </c>
      <c r="D347" s="2">
        <v>-7.5256264875900696</v>
      </c>
      <c r="E347" s="3">
        <v>4.1714329605422399E-8</v>
      </c>
      <c r="F347" s="3">
        <v>6.0982111528782598E-6</v>
      </c>
      <c r="G347" s="2">
        <v>10.3233690976324</v>
      </c>
      <c r="H347" s="1" t="str">
        <f>"CLIC6"</f>
        <v>CLIC6</v>
      </c>
    </row>
    <row r="348" spans="1:8">
      <c r="A348" s="2" t="str">
        <f>"228885_at"</f>
        <v>228885_at</v>
      </c>
      <c r="B348" s="2">
        <v>-1.6984234680577399</v>
      </c>
      <c r="C348" s="2">
        <v>8.0723394646520994</v>
      </c>
      <c r="D348" s="2">
        <v>-8.1401073180221903</v>
      </c>
      <c r="E348" s="3">
        <v>9.3399213248957005E-9</v>
      </c>
      <c r="F348" s="3">
        <v>2.1366535499526001E-6</v>
      </c>
      <c r="G348" s="2">
        <v>11.722585261481401</v>
      </c>
      <c r="H348" s="1" t="str">
        <f>"MAMDC2"</f>
        <v>MAMDC2</v>
      </c>
    </row>
    <row r="349" spans="1:8">
      <c r="A349" s="2" t="str">
        <f>"208792_s_at"</f>
        <v>208792_s_at</v>
      </c>
      <c r="B349" s="2">
        <v>-1.6982888686558799</v>
      </c>
      <c r="C349" s="2">
        <v>13.425520697459699</v>
      </c>
      <c r="D349" s="2">
        <v>-6.3169718601778202</v>
      </c>
      <c r="E349" s="3">
        <v>9.05824917303239E-7</v>
      </c>
      <c r="F349" s="3">
        <v>5.3025671684747903E-5</v>
      </c>
      <c r="G349" s="2">
        <v>7.4198733998658604</v>
      </c>
      <c r="H349" s="1" t="str">
        <f>"CLU"</f>
        <v>CLU</v>
      </c>
    </row>
    <row r="350" spans="1:8">
      <c r="A350" s="2" t="str">
        <f>"231202_at"</f>
        <v>231202_at</v>
      </c>
      <c r="B350" s="2">
        <v>-1.6967217751707999</v>
      </c>
      <c r="C350" s="2">
        <v>6.1905238317108298</v>
      </c>
      <c r="D350" s="2">
        <v>-5.3180036911013202</v>
      </c>
      <c r="E350" s="3">
        <v>1.28224268259294E-5</v>
      </c>
      <c r="F350" s="2">
        <v>3.9319472053151301E-4</v>
      </c>
      <c r="G350" s="2">
        <v>4.9039423118617096</v>
      </c>
      <c r="H350" s="1" t="str">
        <f>"ALDH1L2"</f>
        <v>ALDH1L2</v>
      </c>
    </row>
    <row r="351" spans="1:8">
      <c r="A351" s="2" t="str">
        <f>"236387_at"</f>
        <v>236387_at</v>
      </c>
      <c r="B351" s="2">
        <v>-1.69634074437447</v>
      </c>
      <c r="C351" s="2">
        <v>4.7164003988172603</v>
      </c>
      <c r="D351" s="2">
        <v>-3.8428526781133101</v>
      </c>
      <c r="E351" s="2">
        <v>6.6638872639028903E-4</v>
      </c>
      <c r="F351" s="2">
        <v>7.8880284943470495E-3</v>
      </c>
      <c r="G351" s="2">
        <v>1.1630641495792999</v>
      </c>
      <c r="H351" s="1" t="str">
        <f>"CCNT2-AS1"</f>
        <v>CCNT2-AS1</v>
      </c>
    </row>
    <row r="352" spans="1:8">
      <c r="A352" s="2" t="str">
        <f>"203851_at"</f>
        <v>203851_at</v>
      </c>
      <c r="B352" s="2">
        <v>-1.6962618884351699</v>
      </c>
      <c r="C352" s="2">
        <v>11.3535926092529</v>
      </c>
      <c r="D352" s="2">
        <v>-6.0360198587320602</v>
      </c>
      <c r="E352" s="3">
        <v>1.89410163720583E-6</v>
      </c>
      <c r="F352" s="3">
        <v>9.0114574838873494E-5</v>
      </c>
      <c r="G352" s="2">
        <v>6.7204270732153999</v>
      </c>
      <c r="H352" s="1" t="str">
        <f>"IGFBP6"</f>
        <v>IGFBP6</v>
      </c>
    </row>
    <row r="353" spans="1:8">
      <c r="A353" s="2" t="str">
        <f>"206932_at"</f>
        <v>206932_at</v>
      </c>
      <c r="B353" s="2">
        <v>-1.6956479554697801</v>
      </c>
      <c r="C353" s="2">
        <v>8.6612663906897307</v>
      </c>
      <c r="D353" s="2">
        <v>-5.6641303724191401</v>
      </c>
      <c r="E353" s="3">
        <v>5.0792710598324402E-6</v>
      </c>
      <c r="F353" s="2">
        <v>1.93121797772141E-4</v>
      </c>
      <c r="G353" s="2">
        <v>5.7838488352459203</v>
      </c>
      <c r="H353" s="1" t="str">
        <f>"CH25H"</f>
        <v>CH25H</v>
      </c>
    </row>
    <row r="354" spans="1:8">
      <c r="A354" s="2" t="str">
        <f>"200952_s_at"</f>
        <v>200952_s_at</v>
      </c>
      <c r="B354" s="2">
        <v>-1.6952365137730001</v>
      </c>
      <c r="C354" s="2">
        <v>7.7015641111659896</v>
      </c>
      <c r="D354" s="2">
        <v>-7.2385505023347001</v>
      </c>
      <c r="E354" s="3">
        <v>8.5323707809654799E-8</v>
      </c>
      <c r="F354" s="3">
        <v>9.9256887755167606E-6</v>
      </c>
      <c r="G354" s="2">
        <v>9.6510526045517206</v>
      </c>
      <c r="H354" s="1" t="str">
        <f>"CCND2"</f>
        <v>CCND2</v>
      </c>
    </row>
    <row r="355" spans="1:8">
      <c r="A355" s="2" t="str">
        <f>"216388_s_at"</f>
        <v>216388_s_at</v>
      </c>
      <c r="B355" s="2">
        <v>-1.69497243231378</v>
      </c>
      <c r="C355" s="2">
        <v>5.85693895128792</v>
      </c>
      <c r="D355" s="2">
        <v>-3.7430241370265498</v>
      </c>
      <c r="E355" s="2">
        <v>8.6587553098043204E-4</v>
      </c>
      <c r="F355" s="2">
        <v>9.6458322445711394E-3</v>
      </c>
      <c r="G355" s="2">
        <v>0.917292319956445</v>
      </c>
      <c r="H355" s="1" t="str">
        <f>"LTB4R"</f>
        <v>LTB4R</v>
      </c>
    </row>
    <row r="356" spans="1:8">
      <c r="A356" s="2" t="str">
        <f>"1555880_at"</f>
        <v>1555880_at</v>
      </c>
      <c r="B356" s="2">
        <v>-1.6946989352225501</v>
      </c>
      <c r="C356" s="2">
        <v>4.0716300289807599</v>
      </c>
      <c r="D356" s="2">
        <v>-3.6322469642059598</v>
      </c>
      <c r="E356" s="2">
        <v>1.15582686567373E-3</v>
      </c>
      <c r="F356" s="2">
        <v>1.20028174512272E-2</v>
      </c>
      <c r="G356" s="2">
        <v>0.64679423110423895</v>
      </c>
      <c r="H356" s="1" t="str">
        <f>"ERVFRD-1"</f>
        <v>ERVFRD-1</v>
      </c>
    </row>
    <row r="357" spans="1:8">
      <c r="A357" s="2" t="str">
        <f>"209883_at"</f>
        <v>209883_at</v>
      </c>
      <c r="B357" s="2">
        <v>-1.69367875167251</v>
      </c>
      <c r="C357" s="2">
        <v>8.6439195862591198</v>
      </c>
      <c r="D357" s="2">
        <v>-9.1147596140756306</v>
      </c>
      <c r="E357" s="3">
        <v>9.6285284356053699E-10</v>
      </c>
      <c r="F357" s="3">
        <v>4.4613541713281598E-7</v>
      </c>
      <c r="G357" s="2">
        <v>13.8258750394063</v>
      </c>
      <c r="H357" s="1" t="str">
        <f>"COLGALT2"</f>
        <v>COLGALT2</v>
      </c>
    </row>
    <row r="358" spans="1:8">
      <c r="A358" s="2" t="str">
        <f>"224488_s_at"</f>
        <v>224488_s_at</v>
      </c>
      <c r="B358" s="2">
        <v>-1.69275687361231</v>
      </c>
      <c r="C358" s="2">
        <v>5.5572830079976798</v>
      </c>
      <c r="D358" s="2">
        <v>-4.7342087703888902</v>
      </c>
      <c r="E358" s="3">
        <v>6.1678234204927195E-5</v>
      </c>
      <c r="F358" s="2">
        <v>1.2856490488579501E-3</v>
      </c>
      <c r="G358" s="2">
        <v>3.41210171422119</v>
      </c>
      <c r="H358" s="1" t="str">
        <f>"SPON1"</f>
        <v>SPON1</v>
      </c>
    </row>
    <row r="359" spans="1:8">
      <c r="A359" s="2" t="str">
        <f>"209074_s_at"</f>
        <v>209074_s_at</v>
      </c>
      <c r="B359" s="2">
        <v>-1.6906806368774501</v>
      </c>
      <c r="C359" s="2">
        <v>11.160318789127</v>
      </c>
      <c r="D359" s="2">
        <v>-5.7451176289400401</v>
      </c>
      <c r="E359" s="3">
        <v>4.0938951341261599E-6</v>
      </c>
      <c r="F359" s="2">
        <v>1.6462629848358699E-4</v>
      </c>
      <c r="G359" s="2">
        <v>5.9887113999176096</v>
      </c>
      <c r="H359" s="1" t="str">
        <f>"FAM107A"</f>
        <v>FAM107A</v>
      </c>
    </row>
    <row r="360" spans="1:8">
      <c r="A360" s="2" t="str">
        <f>"204955_at"</f>
        <v>204955_at</v>
      </c>
      <c r="B360" s="2">
        <v>-1.68918927179982</v>
      </c>
      <c r="C360" s="2">
        <v>10.388547918471399</v>
      </c>
      <c r="D360" s="2">
        <v>-5.9838839561788397</v>
      </c>
      <c r="E360" s="3">
        <v>2.1736153463775601E-6</v>
      </c>
      <c r="F360" s="2">
        <v>1.00035706282149E-4</v>
      </c>
      <c r="G360" s="2">
        <v>6.58980816271084</v>
      </c>
      <c r="H360" s="1" t="str">
        <f>"SRPX"</f>
        <v>SRPX</v>
      </c>
    </row>
    <row r="361" spans="1:8">
      <c r="A361" s="2" t="str">
        <f>"210721_s_at"</f>
        <v>210721_s_at</v>
      </c>
      <c r="B361" s="2">
        <v>-1.68853263664969</v>
      </c>
      <c r="C361" s="2">
        <v>5.2901728590676198</v>
      </c>
      <c r="D361" s="2">
        <v>-4.4544612724496604</v>
      </c>
      <c r="E361" s="2">
        <v>1.3085750219895699E-4</v>
      </c>
      <c r="F361" s="2">
        <v>2.2887504583262801E-3</v>
      </c>
      <c r="G361" s="2">
        <v>2.69908889871683</v>
      </c>
      <c r="H361" s="1" t="str">
        <f>"PAK5"</f>
        <v>PAK5</v>
      </c>
    </row>
    <row r="362" spans="1:8">
      <c r="A362" s="2" t="str">
        <f>"234130_at"</f>
        <v>234130_at</v>
      </c>
      <c r="B362" s="2">
        <v>-1.6882307502557601</v>
      </c>
      <c r="C362" s="2">
        <v>6.8471031325109903</v>
      </c>
      <c r="D362" s="2">
        <v>-3.44885745546636</v>
      </c>
      <c r="E362" s="2">
        <v>1.8557523051172501E-3</v>
      </c>
      <c r="F362" s="2">
        <v>1.7223435288114999E-2</v>
      </c>
      <c r="G362" s="2">
        <v>0.20488401377786999</v>
      </c>
      <c r="H362" s="1" t="str">
        <f>"LDB3"</f>
        <v>LDB3</v>
      </c>
    </row>
    <row r="363" spans="1:8">
      <c r="A363" s="2" t="str">
        <f>"221755_at"</f>
        <v>221755_at</v>
      </c>
      <c r="B363" s="2">
        <v>-1.6881629968912599</v>
      </c>
      <c r="C363" s="2">
        <v>8.4231607887643598</v>
      </c>
      <c r="D363" s="2">
        <v>-5.4554058459322299</v>
      </c>
      <c r="E363" s="3">
        <v>8.8715665503126999E-6</v>
      </c>
      <c r="F363" s="2">
        <v>2.96305987256168E-4</v>
      </c>
      <c r="G363" s="2">
        <v>5.2539730051442897</v>
      </c>
      <c r="H363" s="1" t="str">
        <f>"EHBP1L1"</f>
        <v>EHBP1L1</v>
      </c>
    </row>
    <row r="364" spans="1:8">
      <c r="A364" s="2" t="str">
        <f>"204414_at"</f>
        <v>204414_at</v>
      </c>
      <c r="B364" s="2">
        <v>-1.68807513256293</v>
      </c>
      <c r="C364" s="2">
        <v>5.6555372291389698</v>
      </c>
      <c r="D364" s="2">
        <v>-5.9889793975999304</v>
      </c>
      <c r="E364" s="3">
        <v>2.1445487377964401E-6</v>
      </c>
      <c r="F364" s="3">
        <v>9.9031420809983194E-5</v>
      </c>
      <c r="G364" s="2">
        <v>6.6025846737497202</v>
      </c>
      <c r="H364" s="1" t="str">
        <f>"LARGE1"</f>
        <v>LARGE1</v>
      </c>
    </row>
    <row r="365" spans="1:8">
      <c r="A365" s="2" t="str">
        <f>"210079_x_at"</f>
        <v>210079_x_at</v>
      </c>
      <c r="B365" s="2">
        <v>-1.68728669092859</v>
      </c>
      <c r="C365" s="2">
        <v>6.06976134331887</v>
      </c>
      <c r="D365" s="2">
        <v>-3.4798525441335602</v>
      </c>
      <c r="E365" s="2">
        <v>1.7138012434912699E-3</v>
      </c>
      <c r="F365" s="2">
        <v>1.62170444769618E-2</v>
      </c>
      <c r="G365" s="2">
        <v>0.27901138073175402</v>
      </c>
      <c r="H365" s="1" t="str">
        <f>"KCNAB1"</f>
        <v>KCNAB1</v>
      </c>
    </row>
    <row r="366" spans="1:8">
      <c r="A366" s="2" t="str">
        <f>"205447_s_at"</f>
        <v>205447_s_at</v>
      </c>
      <c r="B366" s="2">
        <v>-1.6860159724141699</v>
      </c>
      <c r="C366" s="2">
        <v>7.1639113590666899</v>
      </c>
      <c r="D366" s="2">
        <v>-4.5833915916915702</v>
      </c>
      <c r="E366" s="3">
        <v>9.2548765572092099E-5</v>
      </c>
      <c r="F366" s="2">
        <v>1.74848091142161E-3</v>
      </c>
      <c r="G366" s="2">
        <v>3.0272534234552699</v>
      </c>
      <c r="H366" s="1" t="str">
        <f>"MAP3K12"</f>
        <v>MAP3K12</v>
      </c>
    </row>
    <row r="367" spans="1:8">
      <c r="A367" s="2" t="str">
        <f>"216869_at"</f>
        <v>216869_at</v>
      </c>
      <c r="B367" s="2">
        <v>-1.6853118151923301</v>
      </c>
      <c r="C367" s="2">
        <v>5.7021093212607301</v>
      </c>
      <c r="D367" s="2">
        <v>-4.0556096000999204</v>
      </c>
      <c r="E367" s="2">
        <v>3.7975655553009401E-4</v>
      </c>
      <c r="F367" s="2">
        <v>5.1267134996562701E-3</v>
      </c>
      <c r="G367" s="2">
        <v>1.6922866914119199</v>
      </c>
      <c r="H367" s="1" t="str">
        <f>"PDE1C"</f>
        <v>PDE1C</v>
      </c>
    </row>
    <row r="368" spans="1:8">
      <c r="A368" s="2" t="str">
        <f>"227115_at"</f>
        <v>227115_at</v>
      </c>
      <c r="B368" s="2">
        <v>-1.6851079900719199</v>
      </c>
      <c r="C368" s="2">
        <v>8.0622429903551307</v>
      </c>
      <c r="D368" s="2">
        <v>-6.6630672575438901</v>
      </c>
      <c r="E368" s="3">
        <v>3.6896047623056498E-7</v>
      </c>
      <c r="F368" s="3">
        <v>2.8056904086100299E-5</v>
      </c>
      <c r="G368" s="2">
        <v>8.2699678613489294</v>
      </c>
      <c r="H368" s="1" t="str">
        <f>"LINC02762"</f>
        <v>LINC02762</v>
      </c>
    </row>
    <row r="369" spans="1:8">
      <c r="A369" s="2" t="str">
        <f>"220105_at"</f>
        <v>220105_at</v>
      </c>
      <c r="B369" s="2">
        <v>-1.68500990163167</v>
      </c>
      <c r="C369" s="2">
        <v>4.7943472219491401</v>
      </c>
      <c r="D369" s="2">
        <v>-3.4387649659144</v>
      </c>
      <c r="E369" s="2">
        <v>1.9043863108912499E-3</v>
      </c>
      <c r="F369" s="2">
        <v>1.75615317166435E-2</v>
      </c>
      <c r="G369" s="2">
        <v>0.18079918977567999</v>
      </c>
      <c r="H369" s="1" t="str">
        <f>"RSPH14"</f>
        <v>RSPH14</v>
      </c>
    </row>
    <row r="370" spans="1:8">
      <c r="A370" s="2" t="str">
        <f>"223767_at"</f>
        <v>223767_at</v>
      </c>
      <c r="B370" s="2">
        <v>-1.68494213219441</v>
      </c>
      <c r="C370" s="2">
        <v>5.0857129651967803</v>
      </c>
      <c r="D370" s="2">
        <v>-3.3051922332938299</v>
      </c>
      <c r="E370" s="2">
        <v>2.6764948141656799E-3</v>
      </c>
      <c r="F370" s="2">
        <v>2.2656348345643E-2</v>
      </c>
      <c r="G370" s="2">
        <v>-0.135416118098837</v>
      </c>
      <c r="H370" s="1" t="str">
        <f>"GPR84"</f>
        <v>GPR84</v>
      </c>
    </row>
    <row r="371" spans="1:8">
      <c r="A371" s="2" t="str">
        <f>"1555935_s_at"</f>
        <v>1555935_s_at</v>
      </c>
      <c r="B371" s="2">
        <v>-1.6847213206948699</v>
      </c>
      <c r="C371" s="2">
        <v>6.76920611681963</v>
      </c>
      <c r="D371" s="2">
        <v>-4.5919778754856297</v>
      </c>
      <c r="E371" s="3">
        <v>9.0436468102636703E-5</v>
      </c>
      <c r="F371" s="2">
        <v>1.7210629632828599E-3</v>
      </c>
      <c r="G371" s="2">
        <v>3.0491391390593998</v>
      </c>
      <c r="H371" s="1" t="str">
        <f>"HUNK"</f>
        <v>HUNK</v>
      </c>
    </row>
    <row r="372" spans="1:8">
      <c r="A372" s="2" t="str">
        <f>"228113_at"</f>
        <v>228113_at</v>
      </c>
      <c r="B372" s="2">
        <v>-1.68401693079828</v>
      </c>
      <c r="C372" s="2">
        <v>7.4521499559581903</v>
      </c>
      <c r="D372" s="2">
        <v>-8.0272034313880205</v>
      </c>
      <c r="E372" s="3">
        <v>1.22509203314534E-8</v>
      </c>
      <c r="F372" s="3">
        <v>2.5565613325275399E-6</v>
      </c>
      <c r="G372" s="2">
        <v>11.469668969781701</v>
      </c>
      <c r="H372" s="1" t="str">
        <f>"RAB37"</f>
        <v>RAB37</v>
      </c>
    </row>
    <row r="373" spans="1:8">
      <c r="A373" s="2" t="str">
        <f>"220010_at"</f>
        <v>220010_at</v>
      </c>
      <c r="B373" s="2">
        <v>-1.68358174103779</v>
      </c>
      <c r="C373" s="2">
        <v>5.00620346898077</v>
      </c>
      <c r="D373" s="2">
        <v>-4.1655705307181199</v>
      </c>
      <c r="E373" s="2">
        <v>2.8344376445148798E-4</v>
      </c>
      <c r="F373" s="2">
        <v>4.0767127716032203E-3</v>
      </c>
      <c r="G373" s="2">
        <v>1.96823930724137</v>
      </c>
      <c r="H373" s="1" t="str">
        <f>"KCNE5"</f>
        <v>KCNE5</v>
      </c>
    </row>
    <row r="374" spans="1:8">
      <c r="A374" s="2" t="str">
        <f>"228826_at"</f>
        <v>228826_at</v>
      </c>
      <c r="B374" s="2">
        <v>-1.6828809263586599</v>
      </c>
      <c r="C374" s="2">
        <v>7.7432015093286699</v>
      </c>
      <c r="D374" s="2">
        <v>-6.9389856966416703</v>
      </c>
      <c r="E374" s="3">
        <v>1.8197540391865799E-7</v>
      </c>
      <c r="F374" s="3">
        <v>1.6863568151275702E-5</v>
      </c>
      <c r="G374" s="2">
        <v>8.9374785459169104</v>
      </c>
      <c r="H374" s="1" t="str">
        <f>"TSPOAP1-AS1"</f>
        <v>TSPOAP1-AS1</v>
      </c>
    </row>
    <row r="375" spans="1:8">
      <c r="A375" s="2" t="str">
        <f>"228082_at"</f>
        <v>228082_at</v>
      </c>
      <c r="B375" s="2">
        <v>-1.6821636958475199</v>
      </c>
      <c r="C375" s="2">
        <v>6.6323393621676301</v>
      </c>
      <c r="D375" s="2">
        <v>-7.0672677402309603</v>
      </c>
      <c r="E375" s="3">
        <v>1.3139641351034199E-7</v>
      </c>
      <c r="F375" s="3">
        <v>1.33533436964275E-5</v>
      </c>
      <c r="G375" s="2">
        <v>9.2445132162450196</v>
      </c>
      <c r="H375" s="1" t="str">
        <f>"CLMP"</f>
        <v>CLMP</v>
      </c>
    </row>
    <row r="376" spans="1:8">
      <c r="A376" s="2" t="str">
        <f>"219985_at"</f>
        <v>219985_at</v>
      </c>
      <c r="B376" s="2">
        <v>-1.6820655021547499</v>
      </c>
      <c r="C376" s="2">
        <v>9.1110674810620207</v>
      </c>
      <c r="D376" s="2">
        <v>-7.0425254841460001</v>
      </c>
      <c r="E376" s="3">
        <v>1.39893068654038E-7</v>
      </c>
      <c r="F376" s="3">
        <v>1.39573969501086E-5</v>
      </c>
      <c r="G376" s="2">
        <v>9.1854625499410307</v>
      </c>
      <c r="H376" s="1" t="str">
        <f>"HS3ST3A1"</f>
        <v>HS3ST3A1</v>
      </c>
    </row>
    <row r="377" spans="1:8">
      <c r="A377" s="2" t="str">
        <f>"226425_at"</f>
        <v>226425_at</v>
      </c>
      <c r="B377" s="2">
        <v>-1.6819932222313401</v>
      </c>
      <c r="C377" s="2">
        <v>10.306281354480401</v>
      </c>
      <c r="D377" s="2">
        <v>-7.3719072100733696</v>
      </c>
      <c r="E377" s="3">
        <v>6.1114982818837605E-8</v>
      </c>
      <c r="F377" s="3">
        <v>8.0785000178235492E-6</v>
      </c>
      <c r="G377" s="2">
        <v>9.9647999047976601</v>
      </c>
      <c r="H377" s="1" t="str">
        <f>"CLIP4"</f>
        <v>CLIP4</v>
      </c>
    </row>
    <row r="378" spans="1:8">
      <c r="A378" s="2" t="str">
        <f>"243059_at"</f>
        <v>243059_at</v>
      </c>
      <c r="B378" s="2">
        <v>-1.6813561125946199</v>
      </c>
      <c r="C378" s="2">
        <v>6.6342758052659896</v>
      </c>
      <c r="D378" s="2">
        <v>-7.2300326743610004</v>
      </c>
      <c r="E378" s="3">
        <v>8.7168261843660099E-8</v>
      </c>
      <c r="F378" s="3">
        <v>1.00335257185308E-5</v>
      </c>
      <c r="G378" s="2">
        <v>9.6309294994220593</v>
      </c>
      <c r="H378" s="1" t="str">
        <f>"FENDRR"</f>
        <v>FENDRR</v>
      </c>
    </row>
    <row r="379" spans="1:8">
      <c r="A379" s="2" t="str">
        <f>"1553194_at"</f>
        <v>1553194_at</v>
      </c>
      <c r="B379" s="2">
        <v>-1.68112400652548</v>
      </c>
      <c r="C379" s="2">
        <v>5.39499315467563</v>
      </c>
      <c r="D379" s="2">
        <v>-3.3693435324271199</v>
      </c>
      <c r="E379" s="2">
        <v>2.27397899421434E-3</v>
      </c>
      <c r="F379" s="2">
        <v>1.9982288895639501E-2</v>
      </c>
      <c r="G379" s="2">
        <v>1.58493340051402E-2</v>
      </c>
      <c r="H379" s="1" t="str">
        <f>"NEGR1"</f>
        <v>NEGR1</v>
      </c>
    </row>
    <row r="380" spans="1:8">
      <c r="A380" s="2" t="str">
        <f>"213800_at"</f>
        <v>213800_at</v>
      </c>
      <c r="B380" s="2">
        <v>-1.68056734024351</v>
      </c>
      <c r="C380" s="2">
        <v>8.6872182051261202</v>
      </c>
      <c r="D380" s="2">
        <v>-6.6306201945874301</v>
      </c>
      <c r="E380" s="3">
        <v>4.0116083401506399E-7</v>
      </c>
      <c r="F380" s="3">
        <v>2.95201461638945E-5</v>
      </c>
      <c r="G380" s="2">
        <v>8.1908558465737595</v>
      </c>
      <c r="H380" s="1" t="str">
        <f>"CFH"</f>
        <v>CFH</v>
      </c>
    </row>
    <row r="381" spans="1:8">
      <c r="A381" s="2" t="str">
        <f>"1564746_at"</f>
        <v>1564746_at</v>
      </c>
      <c r="B381" s="2">
        <v>-1.6804175355302999</v>
      </c>
      <c r="C381" s="2">
        <v>6.3379572937932496</v>
      </c>
      <c r="D381" s="2">
        <v>-3.8972336913543502</v>
      </c>
      <c r="E381" s="2">
        <v>5.7746723659756101E-4</v>
      </c>
      <c r="F381" s="2">
        <v>7.0617358892801699E-3</v>
      </c>
      <c r="G381" s="2">
        <v>1.2976738191202499</v>
      </c>
      <c r="H381" s="1" t="str">
        <f>"SLC9B2"</f>
        <v>SLC9B2</v>
      </c>
    </row>
    <row r="382" spans="1:8">
      <c r="A382" s="2" t="str">
        <f>"228592_at"</f>
        <v>228592_at</v>
      </c>
      <c r="B382" s="2">
        <v>-1.6768419565096699</v>
      </c>
      <c r="C382" s="2">
        <v>7.05327408707464</v>
      </c>
      <c r="D382" s="2">
        <v>-2.9637550085105402</v>
      </c>
      <c r="E382" s="2">
        <v>6.2636570536932596E-3</v>
      </c>
      <c r="F382" s="2">
        <v>4.3246047406323901E-2</v>
      </c>
      <c r="G382" s="2">
        <v>-0.91909565605112498</v>
      </c>
      <c r="H382" s="1" t="str">
        <f>"MS4A1"</f>
        <v>MS4A1</v>
      </c>
    </row>
    <row r="383" spans="1:8">
      <c r="A383" s="2" t="str">
        <f>"214660_at"</f>
        <v>214660_at</v>
      </c>
      <c r="B383" s="2">
        <v>-1.6767127995481601</v>
      </c>
      <c r="C383" s="2">
        <v>7.96188617458193</v>
      </c>
      <c r="D383" s="2">
        <v>-5.5125817131718904</v>
      </c>
      <c r="E383" s="3">
        <v>7.6128880092129903E-6</v>
      </c>
      <c r="F383" s="2">
        <v>2.62774401454369E-4</v>
      </c>
      <c r="G383" s="2">
        <v>5.3993668768778598</v>
      </c>
      <c r="H383" s="1" t="str">
        <f>"ITGA1"</f>
        <v>ITGA1</v>
      </c>
    </row>
    <row r="384" spans="1:8">
      <c r="A384" s="2" t="str">
        <f>"222918_at"</f>
        <v>222918_at</v>
      </c>
      <c r="B384" s="2">
        <v>-1.67659778071563</v>
      </c>
      <c r="C384" s="2">
        <v>9.0109773129953208</v>
      </c>
      <c r="D384" s="2">
        <v>-6.6285691670379201</v>
      </c>
      <c r="E384" s="3">
        <v>4.0328976726530402E-7</v>
      </c>
      <c r="F384" s="3">
        <v>2.95971382889E-5</v>
      </c>
      <c r="G384" s="2">
        <v>8.1858508372999204</v>
      </c>
      <c r="H384" s="1" t="str">
        <f>"RAB9B"</f>
        <v>RAB9B</v>
      </c>
    </row>
    <row r="385" spans="1:8">
      <c r="A385" s="2" t="str">
        <f>"219671_at"</f>
        <v>219671_at</v>
      </c>
      <c r="B385" s="2">
        <v>-1.67569895233512</v>
      </c>
      <c r="C385" s="2">
        <v>5.5533898787119096</v>
      </c>
      <c r="D385" s="2">
        <v>-3.56693996630429</v>
      </c>
      <c r="E385" s="2">
        <v>1.3690734811154499E-3</v>
      </c>
      <c r="F385" s="2">
        <v>1.36719803799064E-2</v>
      </c>
      <c r="G385" s="2">
        <v>0.488534054069798</v>
      </c>
      <c r="H385" s="1" t="str">
        <f>"HPCAL4"</f>
        <v>HPCAL4</v>
      </c>
    </row>
    <row r="386" spans="1:8">
      <c r="A386" s="2" t="str">
        <f>"243409_at"</f>
        <v>243409_at</v>
      </c>
      <c r="B386" s="2">
        <v>-1.6746536460178401</v>
      </c>
      <c r="C386" s="2">
        <v>5.0094856573662998</v>
      </c>
      <c r="D386" s="2">
        <v>-4.13455918801957</v>
      </c>
      <c r="E386" s="2">
        <v>3.0785270457359999E-4</v>
      </c>
      <c r="F386" s="2">
        <v>4.3673706856672398E-3</v>
      </c>
      <c r="G386" s="2">
        <v>1.89026836648659</v>
      </c>
      <c r="H386" s="1" t="str">
        <f>"FOXL1"</f>
        <v>FOXL1</v>
      </c>
    </row>
    <row r="387" spans="1:8">
      <c r="A387" s="2" t="str">
        <f>"1556328_at"</f>
        <v>1556328_at</v>
      </c>
      <c r="B387" s="2">
        <v>-1.67461850704462</v>
      </c>
      <c r="C387" s="2">
        <v>6.6369033260468999</v>
      </c>
      <c r="D387" s="2">
        <v>-5.9696115229611904</v>
      </c>
      <c r="E387" s="3">
        <v>2.2571712368940098E-6</v>
      </c>
      <c r="F387" s="2">
        <v>1.03272667261238E-4</v>
      </c>
      <c r="G387" s="2">
        <v>6.55400883091965</v>
      </c>
      <c r="H387" s="1" t="str">
        <f>"PCDH10"</f>
        <v>PCDH10</v>
      </c>
    </row>
    <row r="388" spans="1:8">
      <c r="A388" s="2" t="str">
        <f>"207012_at"</f>
        <v>207012_at</v>
      </c>
      <c r="B388" s="2">
        <v>-1.67459695769989</v>
      </c>
      <c r="C388" s="2">
        <v>6.15979902992287</v>
      </c>
      <c r="D388" s="2">
        <v>-5.2917918021814598</v>
      </c>
      <c r="E388" s="3">
        <v>1.37571016596467E-5</v>
      </c>
      <c r="F388" s="2">
        <v>4.1305301111542198E-4</v>
      </c>
      <c r="G388" s="2">
        <v>4.8370810568126696</v>
      </c>
      <c r="H388" s="1" t="str">
        <f>"MMP16"</f>
        <v>MMP16</v>
      </c>
    </row>
    <row r="389" spans="1:8">
      <c r="A389" s="2" t="str">
        <f>"206298_at"</f>
        <v>206298_at</v>
      </c>
      <c r="B389" s="2">
        <v>-1.67409343923918</v>
      </c>
      <c r="C389" s="2">
        <v>5.4086286976322997</v>
      </c>
      <c r="D389" s="2">
        <v>-3.2631481930097701</v>
      </c>
      <c r="E389" s="2">
        <v>2.9766899148862E-3</v>
      </c>
      <c r="F389" s="2">
        <v>2.4536487425961501E-2</v>
      </c>
      <c r="G389" s="2">
        <v>-0.23391759159883899</v>
      </c>
      <c r="H389" s="1" t="str">
        <f>"ARHGAP22"</f>
        <v>ARHGAP22</v>
      </c>
    </row>
    <row r="390" spans="1:8">
      <c r="A390" s="2" t="str">
        <f>"243871_at"</f>
        <v>243871_at</v>
      </c>
      <c r="B390" s="2">
        <v>-1.6693687785557001</v>
      </c>
      <c r="C390" s="2">
        <v>3.4486564279167999</v>
      </c>
      <c r="D390" s="2">
        <v>-3.44917677057455</v>
      </c>
      <c r="E390" s="2">
        <v>1.8542333929813901E-3</v>
      </c>
      <c r="F390" s="2">
        <v>1.7215182672993299E-2</v>
      </c>
      <c r="G390" s="2">
        <v>0.20564645320966199</v>
      </c>
      <c r="H390" s="1" t="str">
        <f>"WAKMAR2"</f>
        <v>WAKMAR2</v>
      </c>
    </row>
    <row r="391" spans="1:8">
      <c r="A391" s="2" t="str">
        <f>"221730_at"</f>
        <v>221730_at</v>
      </c>
      <c r="B391" s="2">
        <v>-1.66888625967114</v>
      </c>
      <c r="C391" s="2">
        <v>8.5228471422876595</v>
      </c>
      <c r="D391" s="2">
        <v>-6.6294239168262497</v>
      </c>
      <c r="E391" s="3">
        <v>4.0240115912089402E-7</v>
      </c>
      <c r="F391" s="3">
        <v>2.9571617439428601E-5</v>
      </c>
      <c r="G391" s="2">
        <v>8.1879366967801204</v>
      </c>
      <c r="H391" s="1" t="str">
        <f>"COL5A2"</f>
        <v>COL5A2</v>
      </c>
    </row>
    <row r="392" spans="1:8">
      <c r="A392" s="2" t="str">
        <f>"205935_at"</f>
        <v>205935_at</v>
      </c>
      <c r="B392" s="2">
        <v>-1.6685677400257799</v>
      </c>
      <c r="C392" s="2">
        <v>11.6412445008531</v>
      </c>
      <c r="D392" s="2">
        <v>-5.7405029349704098</v>
      </c>
      <c r="E392" s="3">
        <v>4.14446662468847E-6</v>
      </c>
      <c r="F392" s="2">
        <v>1.6578181935805299E-4</v>
      </c>
      <c r="G392" s="2">
        <v>5.9770505271200998</v>
      </c>
      <c r="H392" s="1" t="str">
        <f>"FOXF1"</f>
        <v>FOXF1</v>
      </c>
    </row>
    <row r="393" spans="1:8">
      <c r="A393" s="2" t="str">
        <f>"1557545_s_at"</f>
        <v>1557545_s_at</v>
      </c>
      <c r="B393" s="2">
        <v>-1.6678627460489801</v>
      </c>
      <c r="C393" s="2">
        <v>6.8348801299277397</v>
      </c>
      <c r="D393" s="2">
        <v>-3.79739462052135</v>
      </c>
      <c r="E393" s="2">
        <v>7.5091508315490603E-4</v>
      </c>
      <c r="F393" s="2">
        <v>8.6452478777625796E-3</v>
      </c>
      <c r="G393" s="2">
        <v>1.05092682467983</v>
      </c>
      <c r="H393" s="1" t="str">
        <f>"RNF165"</f>
        <v>RNF165</v>
      </c>
    </row>
    <row r="394" spans="1:8">
      <c r="A394" s="2" t="str">
        <f>"217119_s_at"</f>
        <v>217119_s_at</v>
      </c>
      <c r="B394" s="2">
        <v>-1.6650072928230999</v>
      </c>
      <c r="C394" s="2">
        <v>5.4489572745219803</v>
      </c>
      <c r="D394" s="2">
        <v>-4.2030943575578998</v>
      </c>
      <c r="E394" s="2">
        <v>2.5645414405240399E-4</v>
      </c>
      <c r="F394" s="2">
        <v>3.7865596343681302E-3</v>
      </c>
      <c r="G394" s="2">
        <v>2.0627273001990201</v>
      </c>
      <c r="H394" s="1" t="str">
        <f>"CXCR3"</f>
        <v>CXCR3</v>
      </c>
    </row>
    <row r="395" spans="1:8">
      <c r="A395" s="2" t="str">
        <f>"203729_at"</f>
        <v>203729_at</v>
      </c>
      <c r="B395" s="2">
        <v>-1.66420696285919</v>
      </c>
      <c r="C395" s="2">
        <v>10.6204131903262</v>
      </c>
      <c r="D395" s="2">
        <v>-6.7380645926577003</v>
      </c>
      <c r="E395" s="3">
        <v>3.0421306977688201E-7</v>
      </c>
      <c r="F395" s="3">
        <v>2.4532226533998599E-5</v>
      </c>
      <c r="G395" s="2">
        <v>8.4523394007602004</v>
      </c>
      <c r="H395" s="1" t="str">
        <f>"EMP3"</f>
        <v>EMP3</v>
      </c>
    </row>
    <row r="396" spans="1:8">
      <c r="A396" s="2" t="str">
        <f>"208502_s_at"</f>
        <v>208502_s_at</v>
      </c>
      <c r="B396" s="2">
        <v>-1.66280290035583</v>
      </c>
      <c r="C396" s="2">
        <v>7.33162563999631</v>
      </c>
      <c r="D396" s="2">
        <v>-3.83259742334057</v>
      </c>
      <c r="E396" s="2">
        <v>6.8460266801615105E-4</v>
      </c>
      <c r="F396" s="2">
        <v>8.0565326891483199E-3</v>
      </c>
      <c r="G396" s="2">
        <v>1.1377347664966899</v>
      </c>
      <c r="H396" s="1" t="str">
        <f>"PITX1"</f>
        <v>PITX1</v>
      </c>
    </row>
    <row r="397" spans="1:8">
      <c r="A397" s="2" t="str">
        <f>"229716_at"</f>
        <v>229716_at</v>
      </c>
      <c r="B397" s="2">
        <v>-1.6624799998514601</v>
      </c>
      <c r="C397" s="2">
        <v>9.1659536290043793</v>
      </c>
      <c r="D397" s="2">
        <v>-6.1613876693824903</v>
      </c>
      <c r="E397" s="3">
        <v>1.3616584213024099E-6</v>
      </c>
      <c r="F397" s="3">
        <v>7.1038811244951796E-5</v>
      </c>
      <c r="G397" s="2">
        <v>7.0334942580807001</v>
      </c>
      <c r="H397" s="1" t="str">
        <f>"UBXN10-AS1"</f>
        <v>UBXN10-AS1</v>
      </c>
    </row>
    <row r="398" spans="1:8">
      <c r="A398" s="2" t="str">
        <f>"201939_at"</f>
        <v>201939_at</v>
      </c>
      <c r="B398" s="2">
        <v>-1.66245887039141</v>
      </c>
      <c r="C398" s="2">
        <v>8.4320186130266794</v>
      </c>
      <c r="D398" s="2">
        <v>-7.31929579812586</v>
      </c>
      <c r="E398" s="3">
        <v>6.9696088573386797E-8</v>
      </c>
      <c r="F398" s="3">
        <v>8.7284348283592392E-6</v>
      </c>
      <c r="G398" s="2">
        <v>9.8413155288408394</v>
      </c>
      <c r="H398" s="1" t="str">
        <f>"PLK2"</f>
        <v>PLK2</v>
      </c>
    </row>
    <row r="399" spans="1:8">
      <c r="A399" s="2" t="str">
        <f>"209828_s_at"</f>
        <v>209828_s_at</v>
      </c>
      <c r="B399" s="2">
        <v>-1.6608878223480801</v>
      </c>
      <c r="C399" s="2">
        <v>5.8132352502241904</v>
      </c>
      <c r="D399" s="2">
        <v>-3.5590962300953302</v>
      </c>
      <c r="E399" s="2">
        <v>1.3971290319433399E-3</v>
      </c>
      <c r="F399" s="2">
        <v>1.38610106734716E-2</v>
      </c>
      <c r="G399" s="2">
        <v>0.46959012417943302</v>
      </c>
      <c r="H399" s="1" t="str">
        <f>"IL16"</f>
        <v>IL16</v>
      </c>
    </row>
    <row r="400" spans="1:8">
      <c r="A400" s="2" t="str">
        <f>"232109_at"</f>
        <v>232109_at</v>
      </c>
      <c r="B400" s="2">
        <v>-1.6607925646023201</v>
      </c>
      <c r="C400" s="2">
        <v>6.5336383288276902</v>
      </c>
      <c r="D400" s="2">
        <v>-4.4196924585777397</v>
      </c>
      <c r="E400" s="2">
        <v>1.4365223906872101E-4</v>
      </c>
      <c r="F400" s="2">
        <v>2.4644449862197401E-3</v>
      </c>
      <c r="G400" s="2">
        <v>2.6107660753684598</v>
      </c>
      <c r="H400" s="1" t="str">
        <f>"UBXN10"</f>
        <v>UBXN10</v>
      </c>
    </row>
    <row r="401" spans="1:8">
      <c r="A401" s="2" t="str">
        <f>"204442_x_at"</f>
        <v>204442_x_at</v>
      </c>
      <c r="B401" s="2">
        <v>-1.66069531051385</v>
      </c>
      <c r="C401" s="2">
        <v>10.8747591608701</v>
      </c>
      <c r="D401" s="2">
        <v>-8.7189737688140507</v>
      </c>
      <c r="E401" s="3">
        <v>2.3861347917749798E-9</v>
      </c>
      <c r="F401" s="3">
        <v>8.2248499921636701E-7</v>
      </c>
      <c r="G401" s="2">
        <v>12.989160029416301</v>
      </c>
      <c r="H401" s="1" t="str">
        <f>"LTBP4"</f>
        <v>LTBP4</v>
      </c>
    </row>
    <row r="402" spans="1:8">
      <c r="A402" s="2" t="str">
        <f>"227660_at"</f>
        <v>227660_at</v>
      </c>
      <c r="B402" s="2">
        <v>-1.6602584823267601</v>
      </c>
      <c r="C402" s="2">
        <v>8.3592633173990993</v>
      </c>
      <c r="D402" s="2">
        <v>-8.17852951289861</v>
      </c>
      <c r="E402" s="3">
        <v>8.5194516820835394E-9</v>
      </c>
      <c r="F402" s="3">
        <v>1.9821320030549701E-6</v>
      </c>
      <c r="G402" s="2">
        <v>11.8082202746089</v>
      </c>
      <c r="H402" s="1" t="str">
        <f>"ANTXR1"</f>
        <v>ANTXR1</v>
      </c>
    </row>
    <row r="403" spans="1:8">
      <c r="A403" s="2" t="str">
        <f>"204602_at"</f>
        <v>204602_at</v>
      </c>
      <c r="B403" s="2">
        <v>-1.6600691609834</v>
      </c>
      <c r="C403" s="2">
        <v>7.7680653768467796</v>
      </c>
      <c r="D403" s="2">
        <v>-5.1101639596131898</v>
      </c>
      <c r="E403" s="3">
        <v>2.2414856415423E-5</v>
      </c>
      <c r="F403" s="2">
        <v>5.9811238385224701E-4</v>
      </c>
      <c r="G403" s="2">
        <v>4.3732254896985303</v>
      </c>
      <c r="H403" s="1" t="str">
        <f>"DKK1"</f>
        <v>DKK1</v>
      </c>
    </row>
    <row r="404" spans="1:8">
      <c r="A404" s="2" t="str">
        <f>"230040_at"</f>
        <v>230040_at</v>
      </c>
      <c r="B404" s="2">
        <v>-1.65942668749212</v>
      </c>
      <c r="C404" s="2">
        <v>6.2995271309700902</v>
      </c>
      <c r="D404" s="2">
        <v>-4.8789448024453801</v>
      </c>
      <c r="E404" s="3">
        <v>4.1770316084531502E-5</v>
      </c>
      <c r="F404" s="2">
        <v>9.5556151963253596E-4</v>
      </c>
      <c r="G404" s="2">
        <v>3.7820181252602301</v>
      </c>
      <c r="H404" s="1" t="str">
        <f>"ADAMTS18"</f>
        <v>ADAMTS18</v>
      </c>
    </row>
    <row r="405" spans="1:8">
      <c r="A405" s="2" t="str">
        <f>"1552766_at"</f>
        <v>1552766_at</v>
      </c>
      <c r="B405" s="2">
        <v>-1.65879116815536</v>
      </c>
      <c r="C405" s="2">
        <v>4.7602641006278503</v>
      </c>
      <c r="D405" s="2">
        <v>-3.0784040764782299</v>
      </c>
      <c r="E405" s="2">
        <v>4.7243892466096397E-3</v>
      </c>
      <c r="F405" s="2">
        <v>3.4920370698713302E-2</v>
      </c>
      <c r="G405" s="2">
        <v>-0.66027957138441395</v>
      </c>
      <c r="H405" s="1" t="str">
        <f>"HS6ST2"</f>
        <v>HS6ST2</v>
      </c>
    </row>
    <row r="406" spans="1:8">
      <c r="A406" s="2" t="str">
        <f>"1556034_s_at"</f>
        <v>1556034_s_at</v>
      </c>
      <c r="B406" s="2">
        <v>-1.65818594323734</v>
      </c>
      <c r="C406" s="2">
        <v>7.3706278396600702</v>
      </c>
      <c r="D406" s="2">
        <v>-5.4414136616516302</v>
      </c>
      <c r="E406" s="3">
        <v>9.2102901213155704E-6</v>
      </c>
      <c r="F406" s="2">
        <v>3.0445744400418899E-4</v>
      </c>
      <c r="G406" s="2">
        <v>5.21836680708976</v>
      </c>
      <c r="H406" s="1" t="str">
        <f>"MTMR11"</f>
        <v>MTMR11</v>
      </c>
    </row>
    <row r="407" spans="1:8">
      <c r="A407" s="2" t="str">
        <f>"1554127_s_at"</f>
        <v>1554127_s_at</v>
      </c>
      <c r="B407" s="2">
        <v>-1.65734727793998</v>
      </c>
      <c r="C407" s="2">
        <v>9.5314525697706394</v>
      </c>
      <c r="D407" s="2">
        <v>-5.6734296637798201</v>
      </c>
      <c r="E407" s="3">
        <v>4.9549231458846304E-6</v>
      </c>
      <c r="F407" s="2">
        <v>1.89419559976046E-4</v>
      </c>
      <c r="G407" s="2">
        <v>5.8073947204473404</v>
      </c>
      <c r="H407" s="1" t="str">
        <f>"MSRB3"</f>
        <v>MSRB3</v>
      </c>
    </row>
    <row r="408" spans="1:8">
      <c r="A408" s="2" t="str">
        <f>"207336_at"</f>
        <v>207336_at</v>
      </c>
      <c r="B408" s="2">
        <v>-1.6569721075556301</v>
      </c>
      <c r="C408" s="2">
        <v>5.6049017097474199</v>
      </c>
      <c r="D408" s="2">
        <v>-3.8852816116048099</v>
      </c>
      <c r="E408" s="2">
        <v>5.9595314347129201E-4</v>
      </c>
      <c r="F408" s="2">
        <v>7.2472727133658498E-3</v>
      </c>
      <c r="G408" s="2">
        <v>1.2680471503305899</v>
      </c>
      <c r="H408" s="1" t="str">
        <f>"SOX5"</f>
        <v>SOX5</v>
      </c>
    </row>
    <row r="409" spans="1:8">
      <c r="A409" s="2" t="str">
        <f>"214247_s_at"</f>
        <v>214247_s_at</v>
      </c>
      <c r="B409" s="2">
        <v>-1.6569239412860199</v>
      </c>
      <c r="C409" s="2">
        <v>12.368055367397</v>
      </c>
      <c r="D409" s="2">
        <v>-7.7368875031769004</v>
      </c>
      <c r="E409" s="3">
        <v>2.47998557173988E-8</v>
      </c>
      <c r="F409" s="3">
        <v>4.2773883638762803E-6</v>
      </c>
      <c r="G409" s="2">
        <v>10.810657313497799</v>
      </c>
      <c r="H409" s="1" t="str">
        <f>"DKK3"</f>
        <v>DKK3</v>
      </c>
    </row>
    <row r="410" spans="1:8">
      <c r="A410" s="2" t="str">
        <f>"216705_s_at"</f>
        <v>216705_s_at</v>
      </c>
      <c r="B410" s="2">
        <v>-1.6560410196670601</v>
      </c>
      <c r="C410" s="2">
        <v>6.4804424543755497</v>
      </c>
      <c r="D410" s="2">
        <v>-4.1879218019056097</v>
      </c>
      <c r="E410" s="2">
        <v>2.6704682257659099E-4</v>
      </c>
      <c r="F410" s="2">
        <v>3.8945812281608802E-3</v>
      </c>
      <c r="G410" s="2">
        <v>2.0245032599130801</v>
      </c>
      <c r="H410" s="1" t="str">
        <f>"ADA"</f>
        <v>ADA</v>
      </c>
    </row>
    <row r="411" spans="1:8">
      <c r="A411" s="2" t="str">
        <f>"220751_s_at"</f>
        <v>220751_s_at</v>
      </c>
      <c r="B411" s="2">
        <v>-1.65566287115179</v>
      </c>
      <c r="C411" s="2">
        <v>10.089463687248299</v>
      </c>
      <c r="D411" s="2">
        <v>-6.4778203870156199</v>
      </c>
      <c r="E411" s="3">
        <v>5.9579522930949497E-7</v>
      </c>
      <c r="F411" s="3">
        <v>3.9247113448791199E-5</v>
      </c>
      <c r="G411" s="2">
        <v>7.8166406126336199</v>
      </c>
      <c r="H411" s="1" t="str">
        <f>"FAXDC2"</f>
        <v>FAXDC2</v>
      </c>
    </row>
    <row r="412" spans="1:8">
      <c r="A412" s="2" t="str">
        <f>"229435_at"</f>
        <v>229435_at</v>
      </c>
      <c r="B412" s="2">
        <v>-1.6541052580244799</v>
      </c>
      <c r="C412" s="2">
        <v>7.5233163103855301</v>
      </c>
      <c r="D412" s="2">
        <v>-6.7071437855330398</v>
      </c>
      <c r="E412" s="3">
        <v>3.2937933335035503E-7</v>
      </c>
      <c r="F412" s="3">
        <v>2.5986746105239001E-5</v>
      </c>
      <c r="G412" s="2">
        <v>8.3772318885797397</v>
      </c>
      <c r="H412" s="1" t="str">
        <f>"GLIS3"</f>
        <v>GLIS3</v>
      </c>
    </row>
    <row r="413" spans="1:8">
      <c r="A413" s="2" t="str">
        <f>"212942_s_at"</f>
        <v>212942_s_at</v>
      </c>
      <c r="B413" s="2">
        <v>-1.6539812774767999</v>
      </c>
      <c r="C413" s="2">
        <v>7.3771098907673602</v>
      </c>
      <c r="D413" s="2">
        <v>-5.5048226435194501</v>
      </c>
      <c r="E413" s="3">
        <v>7.7725372889358099E-6</v>
      </c>
      <c r="F413" s="2">
        <v>2.6636622309919703E-4</v>
      </c>
      <c r="G413" s="2">
        <v>5.3796461743456998</v>
      </c>
      <c r="H413" s="1" t="str">
        <f>"CEMIP"</f>
        <v>CEMIP</v>
      </c>
    </row>
    <row r="414" spans="1:8">
      <c r="A414" s="2" t="str">
        <f>"229886_at"</f>
        <v>229886_at</v>
      </c>
      <c r="B414" s="2">
        <v>-1.6522676189991701</v>
      </c>
      <c r="C414" s="2">
        <v>7.6778553405450696</v>
      </c>
      <c r="D414" s="2">
        <v>-6.9783454133904703</v>
      </c>
      <c r="E414" s="3">
        <v>1.64638074273481E-7</v>
      </c>
      <c r="F414" s="3">
        <v>1.5830117946997302E-5</v>
      </c>
      <c r="G414" s="2">
        <v>9.0319123525578693</v>
      </c>
      <c r="H414" s="1" t="str">
        <f>"C5orf34"</f>
        <v>C5orf34</v>
      </c>
    </row>
    <row r="415" spans="1:8">
      <c r="A415" s="2" t="str">
        <f>"228504_at"</f>
        <v>228504_at</v>
      </c>
      <c r="B415" s="2">
        <v>-1.6509767193721401</v>
      </c>
      <c r="C415" s="2">
        <v>10.0163428444391</v>
      </c>
      <c r="D415" s="2">
        <v>-8.4317767601914504</v>
      </c>
      <c r="E415" s="3">
        <v>4.6701103883515701E-9</v>
      </c>
      <c r="F415" s="3">
        <v>1.30274635450572E-6</v>
      </c>
      <c r="G415" s="2">
        <v>12.3671003784767</v>
      </c>
      <c r="H415" s="1" t="str">
        <f>"SCN7A"</f>
        <v>SCN7A</v>
      </c>
    </row>
    <row r="416" spans="1:8">
      <c r="A416" s="2" t="str">
        <f>"242871_at"</f>
        <v>242871_at</v>
      </c>
      <c r="B416" s="2">
        <v>-1.65043016668868</v>
      </c>
      <c r="C416" s="2">
        <v>5.8442889757500698</v>
      </c>
      <c r="D416" s="2">
        <v>-4.1967254523710498</v>
      </c>
      <c r="E416" s="2">
        <v>2.6084901179954399E-4</v>
      </c>
      <c r="F416" s="2">
        <v>3.8275321405182201E-3</v>
      </c>
      <c r="G416" s="2">
        <v>2.04667921032806</v>
      </c>
      <c r="H416" s="1" t="str">
        <f>"PAQR5"</f>
        <v>PAQR5</v>
      </c>
    </row>
    <row r="417" spans="1:8">
      <c r="A417" s="2" t="str">
        <f>"208131_s_at"</f>
        <v>208131_s_at</v>
      </c>
      <c r="B417" s="2">
        <v>-1.65000817531025</v>
      </c>
      <c r="C417" s="2">
        <v>11.8677837859452</v>
      </c>
      <c r="D417" s="2">
        <v>-6.32344237366455</v>
      </c>
      <c r="E417" s="3">
        <v>8.9064291072108096E-7</v>
      </c>
      <c r="F417" s="3">
        <v>5.2304942152175198E-5</v>
      </c>
      <c r="G417" s="2">
        <v>7.4358882956140002</v>
      </c>
      <c r="H417" s="1" t="str">
        <f>"PTGIS"</f>
        <v>PTGIS</v>
      </c>
    </row>
    <row r="418" spans="1:8">
      <c r="A418" s="2" t="str">
        <f>"235944_at"</f>
        <v>235944_at</v>
      </c>
      <c r="B418" s="2">
        <v>-1.6496500853490901</v>
      </c>
      <c r="C418" s="2">
        <v>8.2772401765375196</v>
      </c>
      <c r="D418" s="2">
        <v>-4.9783994668239497</v>
      </c>
      <c r="E418" s="3">
        <v>3.1956283616595497E-5</v>
      </c>
      <c r="F418" s="2">
        <v>7.8491006591974795E-4</v>
      </c>
      <c r="G418" s="2">
        <v>4.0363380583557902</v>
      </c>
      <c r="H418" s="1" t="str">
        <f>"HMCN1"</f>
        <v>HMCN1</v>
      </c>
    </row>
    <row r="419" spans="1:8">
      <c r="A419" s="2" t="str">
        <f>"235391_at"</f>
        <v>235391_at</v>
      </c>
      <c r="B419" s="2">
        <v>-1.6482942090558099</v>
      </c>
      <c r="C419" s="2">
        <v>8.4473632202417495</v>
      </c>
      <c r="D419" s="2">
        <v>-6.7775207401533599</v>
      </c>
      <c r="E419" s="3">
        <v>2.7491450007259298E-7</v>
      </c>
      <c r="F419" s="3">
        <v>2.27053629780499E-5</v>
      </c>
      <c r="G419" s="2">
        <v>8.5480088746194198</v>
      </c>
      <c r="H419" s="1" t="str">
        <f>"FAM92A"</f>
        <v>FAM92A</v>
      </c>
    </row>
    <row r="420" spans="1:8">
      <c r="A420" s="2" t="str">
        <f>"215020_at"</f>
        <v>215020_at</v>
      </c>
      <c r="B420" s="2">
        <v>-1.6474223660966101</v>
      </c>
      <c r="C420" s="2">
        <v>5.9606381444542098</v>
      </c>
      <c r="D420" s="2">
        <v>-3.3290073860541498</v>
      </c>
      <c r="E420" s="2">
        <v>2.5196323349117602E-3</v>
      </c>
      <c r="F420" s="2">
        <v>2.1626514585761501E-2</v>
      </c>
      <c r="G420" s="2">
        <v>-7.9395602993739295E-2</v>
      </c>
      <c r="H420" s="1" t="str">
        <f>"NRXN3"</f>
        <v>NRXN3</v>
      </c>
    </row>
    <row r="421" spans="1:8">
      <c r="A421" s="2" t="str">
        <f>"205802_at"</f>
        <v>205802_at</v>
      </c>
      <c r="B421" s="2">
        <v>-1.64720666888673</v>
      </c>
      <c r="C421" s="2">
        <v>9.3486322059337095</v>
      </c>
      <c r="D421" s="2">
        <v>-9.4885055451091205</v>
      </c>
      <c r="E421" s="3">
        <v>4.1647773589236698E-10</v>
      </c>
      <c r="F421" s="3">
        <v>2.5876045693085399E-7</v>
      </c>
      <c r="G421" s="2">
        <v>14.5941649215084</v>
      </c>
      <c r="H421" s="1" t="str">
        <f>"TRPC1"</f>
        <v>TRPC1</v>
      </c>
    </row>
    <row r="422" spans="1:8">
      <c r="A422" s="2" t="str">
        <f>"232989_s_at"</f>
        <v>232989_s_at</v>
      </c>
      <c r="B422" s="2">
        <v>-1.6471948873328699</v>
      </c>
      <c r="C422" s="2">
        <v>6.25424927085737</v>
      </c>
      <c r="D422" s="2">
        <v>-4.9316671704157899</v>
      </c>
      <c r="E422" s="3">
        <v>3.6241493988204299E-5</v>
      </c>
      <c r="F422" s="2">
        <v>8.6152334078481302E-4</v>
      </c>
      <c r="G422" s="2">
        <v>3.9168328908082599</v>
      </c>
      <c r="H422" s="1" t="str">
        <f>"CCDC136"</f>
        <v>CCDC136</v>
      </c>
    </row>
    <row r="423" spans="1:8">
      <c r="A423" s="2" t="str">
        <f>"229125_at"</f>
        <v>229125_at</v>
      </c>
      <c r="B423" s="2">
        <v>-1.64700034405228</v>
      </c>
      <c r="C423" s="2">
        <v>8.3701818892520308</v>
      </c>
      <c r="D423" s="2">
        <v>-3.2213819784486502</v>
      </c>
      <c r="E423" s="2">
        <v>3.3068537215947499E-3</v>
      </c>
      <c r="F423" s="2">
        <v>2.6513785235318499E-2</v>
      </c>
      <c r="G423" s="2">
        <v>-0.33124881575161402</v>
      </c>
      <c r="H423" s="1" t="str">
        <f>"KANK4"</f>
        <v>KANK4</v>
      </c>
    </row>
    <row r="424" spans="1:8">
      <c r="A424" s="2" t="str">
        <f>"228802_at"</f>
        <v>228802_at</v>
      </c>
      <c r="B424" s="2">
        <v>-1.6469783091753001</v>
      </c>
      <c r="C424" s="2">
        <v>10.2315491407132</v>
      </c>
      <c r="D424" s="2">
        <v>-5.1037410459160801</v>
      </c>
      <c r="E424" s="3">
        <v>2.2805547114436901E-5</v>
      </c>
      <c r="F424" s="2">
        <v>6.0587623347028096E-4</v>
      </c>
      <c r="G424" s="2">
        <v>4.3568085038007798</v>
      </c>
      <c r="H424" s="1" t="str">
        <f>"RBPMS2"</f>
        <v>RBPMS2</v>
      </c>
    </row>
    <row r="425" spans="1:8">
      <c r="A425" s="2" t="str">
        <f>"203810_at"</f>
        <v>203810_at</v>
      </c>
      <c r="B425" s="2">
        <v>-1.64675370785426</v>
      </c>
      <c r="C425" s="2">
        <v>9.7443128430883306</v>
      </c>
      <c r="D425" s="2">
        <v>-8.3461428062115903</v>
      </c>
      <c r="E425" s="3">
        <v>5.7174217390331704E-9</v>
      </c>
      <c r="F425" s="3">
        <v>1.4956939405819999E-6</v>
      </c>
      <c r="G425" s="2">
        <v>12.1792008476873</v>
      </c>
      <c r="H425" s="1" t="str">
        <f>"DNAJB4"</f>
        <v>DNAJB4</v>
      </c>
    </row>
    <row r="426" spans="1:8">
      <c r="A426" s="2" t="str">
        <f>"204309_at"</f>
        <v>204309_at</v>
      </c>
      <c r="B426" s="2">
        <v>-1.64466297789077</v>
      </c>
      <c r="C426" s="2">
        <v>6.3757980555739602</v>
      </c>
      <c r="D426" s="2">
        <v>-5.51442277108222</v>
      </c>
      <c r="E426" s="3">
        <v>7.5754942117131297E-6</v>
      </c>
      <c r="F426" s="2">
        <v>2.6164886040771698E-4</v>
      </c>
      <c r="G426" s="2">
        <v>5.4040456929374301</v>
      </c>
      <c r="H426" s="1" t="str">
        <f>"CYP11A1"</f>
        <v>CYP11A1</v>
      </c>
    </row>
    <row r="427" spans="1:8">
      <c r="A427" s="2" t="str">
        <f>"238062_at"</f>
        <v>238062_at</v>
      </c>
      <c r="B427" s="2">
        <v>-1.6444818293664101</v>
      </c>
      <c r="C427" s="2">
        <v>5.7527400207289903</v>
      </c>
      <c r="D427" s="2">
        <v>-3.43084738423119</v>
      </c>
      <c r="E427" s="2">
        <v>1.9434020295281799E-3</v>
      </c>
      <c r="F427" s="2">
        <v>1.7816147881363799E-2</v>
      </c>
      <c r="G427" s="2">
        <v>0.16192280796000499</v>
      </c>
      <c r="H427" s="1" t="str">
        <f>"GPIHBP1"</f>
        <v>GPIHBP1</v>
      </c>
    </row>
    <row r="428" spans="1:8">
      <c r="A428" s="2" t="str">
        <f>"215229_at"</f>
        <v>215229_at</v>
      </c>
      <c r="B428" s="2">
        <v>-1.64422028631965</v>
      </c>
      <c r="C428" s="2">
        <v>4.8987376814022703</v>
      </c>
      <c r="D428" s="2">
        <v>-3.9114860481813598</v>
      </c>
      <c r="E428" s="2">
        <v>5.5615868468622195E-4</v>
      </c>
      <c r="F428" s="2">
        <v>6.8749663317248903E-3</v>
      </c>
      <c r="G428" s="2">
        <v>1.33303221100161</v>
      </c>
      <c r="H428" s="1" t="str">
        <f>"CERNA1"</f>
        <v>CERNA1</v>
      </c>
    </row>
    <row r="429" spans="1:8">
      <c r="A429" s="2" t="str">
        <f>"231823_s_at"</f>
        <v>231823_s_at</v>
      </c>
      <c r="B429" s="2">
        <v>-1.6440504357546299</v>
      </c>
      <c r="C429" s="2">
        <v>9.6551662057203007</v>
      </c>
      <c r="D429" s="2">
        <v>-9.6378325042997695</v>
      </c>
      <c r="E429" s="3">
        <v>2.99491855184209E-10</v>
      </c>
      <c r="F429" s="3">
        <v>2.1042054674255E-7</v>
      </c>
      <c r="G429" s="2">
        <v>14.895231288272001</v>
      </c>
      <c r="H429" s="1" t="str">
        <f>"SH3PXD2B"</f>
        <v>SH3PXD2B</v>
      </c>
    </row>
    <row r="430" spans="1:8">
      <c r="A430" s="2" t="str">
        <f>"212097_at"</f>
        <v>212097_at</v>
      </c>
      <c r="B430" s="2">
        <v>-1.64288060967575</v>
      </c>
      <c r="C430" s="2">
        <v>12.487024623847599</v>
      </c>
      <c r="D430" s="2">
        <v>-6.4306725954903703</v>
      </c>
      <c r="E430" s="3">
        <v>6.7346173125834905E-7</v>
      </c>
      <c r="F430" s="3">
        <v>4.2865564792258701E-5</v>
      </c>
      <c r="G430" s="2">
        <v>7.7006346461020598</v>
      </c>
      <c r="H430" s="1" t="str">
        <f>"CAV1"</f>
        <v>CAV1</v>
      </c>
    </row>
    <row r="431" spans="1:8">
      <c r="A431" s="2" t="str">
        <f>"236918_s_at"</f>
        <v>236918_s_at</v>
      </c>
      <c r="B431" s="2">
        <v>-1.6423558062678301</v>
      </c>
      <c r="C431" s="2">
        <v>6.1926539071195199</v>
      </c>
      <c r="D431" s="2">
        <v>-5.1964008009721097</v>
      </c>
      <c r="E431" s="3">
        <v>1.7775430825620599E-5</v>
      </c>
      <c r="F431" s="2">
        <v>4.9806728942387304E-4</v>
      </c>
      <c r="G431" s="2">
        <v>4.5935696365365102</v>
      </c>
      <c r="H431" s="1" t="str">
        <f>"LRRC34"</f>
        <v>LRRC34</v>
      </c>
    </row>
    <row r="432" spans="1:8">
      <c r="A432" s="2" t="str">
        <f>"1552708_a_at"</f>
        <v>1552708_a_at</v>
      </c>
      <c r="B432" s="2">
        <v>-1.64022375305819</v>
      </c>
      <c r="C432" s="2">
        <v>4.3013208607755002</v>
      </c>
      <c r="D432" s="2">
        <v>-4.23673203272058</v>
      </c>
      <c r="E432" s="2">
        <v>2.34429298867865E-4</v>
      </c>
      <c r="F432" s="2">
        <v>3.5475842556325801E-3</v>
      </c>
      <c r="G432" s="2">
        <v>2.1475558014733598</v>
      </c>
      <c r="H432" s="1" t="str">
        <f>"DUSP19"</f>
        <v>DUSP19</v>
      </c>
    </row>
    <row r="433" spans="1:8">
      <c r="A433" s="2" t="str">
        <f>"227084_at"</f>
        <v>227084_at</v>
      </c>
      <c r="B433" s="2">
        <v>-1.6399372793293201</v>
      </c>
      <c r="C433" s="2">
        <v>10.3392970632194</v>
      </c>
      <c r="D433" s="2">
        <v>-6.8192656600374404</v>
      </c>
      <c r="E433" s="3">
        <v>2.4702925433321498E-7</v>
      </c>
      <c r="F433" s="3">
        <v>2.10868221795602E-5</v>
      </c>
      <c r="G433" s="2">
        <v>8.64901750521663</v>
      </c>
      <c r="H433" s="1" t="str">
        <f>"DTNA"</f>
        <v>DTNA</v>
      </c>
    </row>
    <row r="434" spans="1:8">
      <c r="A434" s="2" t="str">
        <f>"202007_at"</f>
        <v>202007_at</v>
      </c>
      <c r="B434" s="2">
        <v>-1.6390004782358401</v>
      </c>
      <c r="C434" s="2">
        <v>11.0776003178434</v>
      </c>
      <c r="D434" s="2">
        <v>-7.4825414005450197</v>
      </c>
      <c r="E434" s="3">
        <v>4.64135009682733E-8</v>
      </c>
      <c r="F434" s="3">
        <v>6.6257393353533796E-6</v>
      </c>
      <c r="G434" s="2">
        <v>10.223204718757399</v>
      </c>
      <c r="H434" s="1" t="str">
        <f>"NID1"</f>
        <v>NID1</v>
      </c>
    </row>
    <row r="435" spans="1:8">
      <c r="A435" s="2" t="str">
        <f>"213630_at"</f>
        <v>213630_at</v>
      </c>
      <c r="B435" s="2">
        <v>-1.63850845204405</v>
      </c>
      <c r="C435" s="2">
        <v>7.5181482938973199</v>
      </c>
      <c r="D435" s="2">
        <v>-4.4422764474221799</v>
      </c>
      <c r="E435" s="2">
        <v>1.3520715154970099E-4</v>
      </c>
      <c r="F435" s="2">
        <v>2.3535342282648601E-3</v>
      </c>
      <c r="G435" s="2">
        <v>2.6681265770778602</v>
      </c>
      <c r="H435" s="1" t="str">
        <f>"NACAD"</f>
        <v>NACAD</v>
      </c>
    </row>
    <row r="436" spans="1:8">
      <c r="A436" s="2" t="str">
        <f>"230015_at"</f>
        <v>230015_at</v>
      </c>
      <c r="B436" s="2">
        <v>-1.6378407563431201</v>
      </c>
      <c r="C436" s="2">
        <v>5.4315315146472196</v>
      </c>
      <c r="D436" s="2">
        <v>-4.5373763382360304</v>
      </c>
      <c r="E436" s="2">
        <v>1.04734451207525E-4</v>
      </c>
      <c r="F436" s="2">
        <v>1.93335109188126E-3</v>
      </c>
      <c r="G436" s="2">
        <v>2.9100258126091001</v>
      </c>
      <c r="H436" s="1" t="str">
        <f>"PRCD"</f>
        <v>PRCD</v>
      </c>
    </row>
    <row r="437" spans="1:8">
      <c r="A437" s="2" t="str">
        <f>"230102_at"</f>
        <v>230102_at</v>
      </c>
      <c r="B437" s="2">
        <v>-1.63679048387252</v>
      </c>
      <c r="C437" s="2">
        <v>7.9032929857011602</v>
      </c>
      <c r="D437" s="2">
        <v>-6.6816381095274</v>
      </c>
      <c r="E437" s="3">
        <v>3.5172555282012202E-7</v>
      </c>
      <c r="F437" s="3">
        <v>2.7047249789648699E-5</v>
      </c>
      <c r="G437" s="2">
        <v>8.3151902562906592</v>
      </c>
      <c r="H437" s="1" t="str">
        <f>"ETV5"</f>
        <v>ETV5</v>
      </c>
    </row>
    <row r="438" spans="1:8">
      <c r="A438" s="2" t="str">
        <f>"1559352_a_at"</f>
        <v>1559352_a_at</v>
      </c>
      <c r="B438" s="2">
        <v>-1.6361103195231099</v>
      </c>
      <c r="C438" s="2">
        <v>6.0249192328448498</v>
      </c>
      <c r="D438" s="2">
        <v>-4.2732233217086604</v>
      </c>
      <c r="E438" s="2">
        <v>2.1264948676517E-4</v>
      </c>
      <c r="F438" s="2">
        <v>3.3024926629926401E-3</v>
      </c>
      <c r="G438" s="2">
        <v>2.2397078928419498</v>
      </c>
      <c r="H438" s="1" t="str">
        <f>"MAFG-DT"</f>
        <v>MAFG-DT</v>
      </c>
    </row>
    <row r="439" spans="1:8">
      <c r="A439" s="2" t="str">
        <f>"1569956_at"</f>
        <v>1569956_at</v>
      </c>
      <c r="B439" s="2">
        <v>-1.63594769361633</v>
      </c>
      <c r="C439" s="2">
        <v>8.1813174441189194</v>
      </c>
      <c r="D439" s="2">
        <v>-6.1081101223654697</v>
      </c>
      <c r="E439" s="3">
        <v>1.56642084693734E-6</v>
      </c>
      <c r="F439" s="3">
        <v>7.8213753247761601E-5</v>
      </c>
      <c r="G439" s="2">
        <v>6.9006313259912897</v>
      </c>
      <c r="H439" s="1" t="str">
        <f>"MYLK"</f>
        <v>MYLK</v>
      </c>
    </row>
    <row r="440" spans="1:8">
      <c r="A440" s="2" t="str">
        <f>"204557_s_at"</f>
        <v>204557_s_at</v>
      </c>
      <c r="B440" s="2">
        <v>-1.6353721610129299</v>
      </c>
      <c r="C440" s="2">
        <v>7.7615084571901702</v>
      </c>
      <c r="D440" s="2">
        <v>-7.5202466747055396</v>
      </c>
      <c r="E440" s="3">
        <v>4.2273513280299103E-8</v>
      </c>
      <c r="F440" s="3">
        <v>6.1470860069158402E-6</v>
      </c>
      <c r="G440" s="2">
        <v>10.3108765130674</v>
      </c>
      <c r="H440" s="1" t="str">
        <f>"DZIP1"</f>
        <v>DZIP1</v>
      </c>
    </row>
    <row r="441" spans="1:8">
      <c r="A441" s="2" t="str">
        <f>"204114_at"</f>
        <v>204114_at</v>
      </c>
      <c r="B441" s="2">
        <v>-1.63489530703198</v>
      </c>
      <c r="C441" s="2">
        <v>9.1366300343382196</v>
      </c>
      <c r="D441" s="2">
        <v>-8.5841694993885707</v>
      </c>
      <c r="E441" s="3">
        <v>3.2658089929434E-9</v>
      </c>
      <c r="F441" s="3">
        <v>1.00880286265074E-6</v>
      </c>
      <c r="G441" s="2">
        <v>12.698737270848101</v>
      </c>
      <c r="H441" s="1" t="str">
        <f>"NID2"</f>
        <v>NID2</v>
      </c>
    </row>
    <row r="442" spans="1:8">
      <c r="A442" s="2" t="str">
        <f>"230290_at"</f>
        <v>230290_at</v>
      </c>
      <c r="B442" s="2">
        <v>-1.63380862816494</v>
      </c>
      <c r="C442" s="2">
        <v>7.3828574869767598</v>
      </c>
      <c r="D442" s="2">
        <v>-3.6794962601432601</v>
      </c>
      <c r="E442" s="2">
        <v>1.02210336011629E-3</v>
      </c>
      <c r="F442" s="2">
        <v>1.09425300987582E-2</v>
      </c>
      <c r="G442" s="2">
        <v>0.76186513042885096</v>
      </c>
      <c r="H442" s="1" t="str">
        <f>"SCUBE3"</f>
        <v>SCUBE3</v>
      </c>
    </row>
    <row r="443" spans="1:8">
      <c r="A443" s="2" t="str">
        <f>"213417_at"</f>
        <v>213417_at</v>
      </c>
      <c r="B443" s="2">
        <v>-1.6330694849584999</v>
      </c>
      <c r="C443" s="2">
        <v>8.2241499110825895</v>
      </c>
      <c r="D443" s="2">
        <v>-5.1260849039940499</v>
      </c>
      <c r="E443" s="3">
        <v>2.1475124870906801E-5</v>
      </c>
      <c r="F443" s="2">
        <v>5.78685289461228E-4</v>
      </c>
      <c r="G443" s="2">
        <v>4.41391644981588</v>
      </c>
      <c r="H443" s="1" t="str">
        <f>"TBX2"</f>
        <v>TBX2</v>
      </c>
    </row>
    <row r="444" spans="1:8">
      <c r="A444" s="2" t="str">
        <f>"205624_at"</f>
        <v>205624_at</v>
      </c>
      <c r="B444" s="2">
        <v>-1.6320663533009101</v>
      </c>
      <c r="C444" s="2">
        <v>9.5008915235374403</v>
      </c>
      <c r="D444" s="2">
        <v>-5.1481012096749099</v>
      </c>
      <c r="E444" s="3">
        <v>2.0240381147323798E-5</v>
      </c>
      <c r="F444" s="2">
        <v>5.5111695180773304E-4</v>
      </c>
      <c r="G444" s="2">
        <v>4.4701782850790499</v>
      </c>
      <c r="H444" s="1" t="str">
        <f>"CPA3"</f>
        <v>CPA3</v>
      </c>
    </row>
    <row r="445" spans="1:8">
      <c r="A445" s="2" t="str">
        <f>"211124_s_at"</f>
        <v>211124_s_at</v>
      </c>
      <c r="B445" s="2">
        <v>-1.63183724525419</v>
      </c>
      <c r="C445" s="2">
        <v>4.5647848301949496</v>
      </c>
      <c r="D445" s="2">
        <v>-3.16074806317976</v>
      </c>
      <c r="E445" s="2">
        <v>3.8494557007748599E-3</v>
      </c>
      <c r="F445" s="2">
        <v>2.97945909456208E-2</v>
      </c>
      <c r="G445" s="2">
        <v>-0.47159157573681698</v>
      </c>
      <c r="H445" s="1" t="str">
        <f>"KITLG"</f>
        <v>KITLG</v>
      </c>
    </row>
    <row r="446" spans="1:8">
      <c r="A446" s="2" t="str">
        <f>"244070_at"</f>
        <v>244070_at</v>
      </c>
      <c r="B446" s="2">
        <v>-1.63160267378887</v>
      </c>
      <c r="C446" s="2">
        <v>4.8993792625047501</v>
      </c>
      <c r="D446" s="2">
        <v>-3.2506959843632601</v>
      </c>
      <c r="E446" s="2">
        <v>3.0716533846242501E-3</v>
      </c>
      <c r="F446" s="2">
        <v>2.5096032397538999E-2</v>
      </c>
      <c r="G446" s="2">
        <v>-0.26299094698149</v>
      </c>
      <c r="H446" s="1" t="str">
        <f>"SYNE1"</f>
        <v>SYNE1</v>
      </c>
    </row>
    <row r="447" spans="1:8">
      <c r="A447" s="2" t="str">
        <f>"213479_at"</f>
        <v>213479_at</v>
      </c>
      <c r="B447" s="2">
        <v>-1.6302231023626299</v>
      </c>
      <c r="C447" s="2">
        <v>7.6160308826245302</v>
      </c>
      <c r="D447" s="2">
        <v>-5.4441129642019499</v>
      </c>
      <c r="E447" s="3">
        <v>9.1439465482278092E-6</v>
      </c>
      <c r="F447" s="2">
        <v>3.0281361449082701E-4</v>
      </c>
      <c r="G447" s="2">
        <v>5.2252365177200604</v>
      </c>
      <c r="H447" s="1" t="str">
        <f>"NPTX2"</f>
        <v>NPTX2</v>
      </c>
    </row>
    <row r="448" spans="1:8">
      <c r="A448" s="2" t="str">
        <f>"232878_at"</f>
        <v>232878_at</v>
      </c>
      <c r="B448" s="2">
        <v>-1.6301445473388001</v>
      </c>
      <c r="C448" s="2">
        <v>7.3196559905530396</v>
      </c>
      <c r="D448" s="2">
        <v>-4.3459488436497402</v>
      </c>
      <c r="E448" s="2">
        <v>1.7504521403505401E-4</v>
      </c>
      <c r="F448" s="2">
        <v>2.8504137137597601E-3</v>
      </c>
      <c r="G448" s="2">
        <v>2.42372724897346</v>
      </c>
      <c r="H448" s="1" t="str">
        <f>"NR2F2-AS1"</f>
        <v>NR2F2-AS1</v>
      </c>
    </row>
    <row r="449" spans="1:8">
      <c r="A449" s="2" t="str">
        <f>"212233_at"</f>
        <v>212233_at</v>
      </c>
      <c r="B449" s="2">
        <v>-1.62803983082213</v>
      </c>
      <c r="C449" s="2">
        <v>11.887966864119701</v>
      </c>
      <c r="D449" s="2">
        <v>-9.6072988991129602</v>
      </c>
      <c r="E449" s="3">
        <v>3.2030594961097298E-10</v>
      </c>
      <c r="F449" s="3">
        <v>2.13569851158292E-7</v>
      </c>
      <c r="G449" s="2">
        <v>14.8339434616188</v>
      </c>
      <c r="H449" s="1" t="str">
        <f>"MAP1B"</f>
        <v>MAP1B</v>
      </c>
    </row>
    <row r="450" spans="1:8">
      <c r="A450" s="2" t="str">
        <f>"211756_at"</f>
        <v>211756_at</v>
      </c>
      <c r="B450" s="2">
        <v>-1.62791092566828</v>
      </c>
      <c r="C450" s="2">
        <v>6.2080823848955697</v>
      </c>
      <c r="D450" s="2">
        <v>-4.0617752971541101</v>
      </c>
      <c r="E450" s="2">
        <v>3.7358995818691498E-4</v>
      </c>
      <c r="F450" s="2">
        <v>5.0647237698660001E-3</v>
      </c>
      <c r="G450" s="2">
        <v>1.70772020852974</v>
      </c>
      <c r="H450" s="1" t="str">
        <f>"PTHLH"</f>
        <v>PTHLH</v>
      </c>
    </row>
    <row r="451" spans="1:8">
      <c r="A451" s="2" t="str">
        <f>"221914_at"</f>
        <v>221914_at</v>
      </c>
      <c r="B451" s="2">
        <v>-1.6277666371811399</v>
      </c>
      <c r="C451" s="2">
        <v>6.3774212659050704</v>
      </c>
      <c r="D451" s="2">
        <v>-3.6813047820792599</v>
      </c>
      <c r="E451" s="2">
        <v>1.0172970772071E-3</v>
      </c>
      <c r="F451" s="2">
        <v>1.0906023077705501E-2</v>
      </c>
      <c r="G451" s="2">
        <v>0.76627876235255898</v>
      </c>
      <c r="H451" s="1" t="str">
        <f>"SYN1"</f>
        <v>SYN1</v>
      </c>
    </row>
    <row r="452" spans="1:8">
      <c r="A452" s="2" t="str">
        <f>"203766_s_at"</f>
        <v>203766_s_at</v>
      </c>
      <c r="B452" s="2">
        <v>-1.6275504710917501</v>
      </c>
      <c r="C452" s="2">
        <v>12.8379689191877</v>
      </c>
      <c r="D452" s="2">
        <v>-6.4314533228439696</v>
      </c>
      <c r="E452" s="3">
        <v>6.7209538902342998E-7</v>
      </c>
      <c r="F452" s="3">
        <v>4.2853553313773798E-5</v>
      </c>
      <c r="G452" s="2">
        <v>7.7025576232508302</v>
      </c>
      <c r="H452" s="1" t="str">
        <f>"LMOD1"</f>
        <v>LMOD1</v>
      </c>
    </row>
    <row r="453" spans="1:8">
      <c r="A453" s="2" t="str">
        <f>"227307_at"</f>
        <v>227307_at</v>
      </c>
      <c r="B453" s="2">
        <v>-1.6268883463050701</v>
      </c>
      <c r="C453" s="2">
        <v>9.4174474864516799</v>
      </c>
      <c r="D453" s="2">
        <v>-6.8244249285648797</v>
      </c>
      <c r="E453" s="3">
        <v>2.4378872401206002E-7</v>
      </c>
      <c r="F453" s="3">
        <v>2.0924879882824802E-5</v>
      </c>
      <c r="G453" s="2">
        <v>8.6614860565898706</v>
      </c>
      <c r="H453" s="1" t="str">
        <f>"TSPAN18"</f>
        <v>TSPAN18</v>
      </c>
    </row>
    <row r="454" spans="1:8">
      <c r="A454" s="2" t="str">
        <f>"220301_at"</f>
        <v>220301_at</v>
      </c>
      <c r="B454" s="2">
        <v>-1.6255787258549901</v>
      </c>
      <c r="C454" s="2">
        <v>5.6156530688827004</v>
      </c>
      <c r="D454" s="2">
        <v>-3.0668669104940398</v>
      </c>
      <c r="E454" s="2">
        <v>4.8612097945703696E-3</v>
      </c>
      <c r="F454" s="2">
        <v>3.5700019545753497E-2</v>
      </c>
      <c r="G454" s="2">
        <v>-0.68653433691615295</v>
      </c>
      <c r="H454" s="1" t="str">
        <f>"CCDC102B"</f>
        <v>CCDC102B</v>
      </c>
    </row>
    <row r="455" spans="1:8">
      <c r="A455" s="2" t="str">
        <f>"204271_s_at"</f>
        <v>204271_s_at</v>
      </c>
      <c r="B455" s="2">
        <v>-1.6253194811662199</v>
      </c>
      <c r="C455" s="2">
        <v>9.5723664414871799</v>
      </c>
      <c r="D455" s="2">
        <v>-6.2906392486225</v>
      </c>
      <c r="E455" s="3">
        <v>9.7036706818337208E-7</v>
      </c>
      <c r="F455" s="3">
        <v>5.5554784767461698E-5</v>
      </c>
      <c r="G455" s="2">
        <v>7.3546532284749002</v>
      </c>
      <c r="H455" s="1" t="str">
        <f>"EDNRB"</f>
        <v>EDNRB</v>
      </c>
    </row>
    <row r="456" spans="1:8">
      <c r="A456" s="2" t="str">
        <f>"209291_at"</f>
        <v>209291_at</v>
      </c>
      <c r="B456" s="2">
        <v>-1.6252216042560199</v>
      </c>
      <c r="C456" s="2">
        <v>11.962245347389301</v>
      </c>
      <c r="D456" s="2">
        <v>-4.3119088885547701</v>
      </c>
      <c r="E456" s="2">
        <v>1.91746062481331E-4</v>
      </c>
      <c r="F456" s="2">
        <v>3.05736831909208E-3</v>
      </c>
      <c r="G456" s="2">
        <v>2.3375372697441299</v>
      </c>
      <c r="H456" s="1" t="str">
        <f>"ID4"</f>
        <v>ID4</v>
      </c>
    </row>
    <row r="457" spans="1:8">
      <c r="A457" s="2" t="str">
        <f>"203798_s_at"</f>
        <v>203798_s_at</v>
      </c>
      <c r="B457" s="2">
        <v>-1.6242108696670401</v>
      </c>
      <c r="C457" s="2">
        <v>5.3642144361647102</v>
      </c>
      <c r="D457" s="2">
        <v>-3.12296810990218</v>
      </c>
      <c r="E457" s="2">
        <v>4.2296636797145301E-3</v>
      </c>
      <c r="F457" s="2">
        <v>3.2101174581953301E-2</v>
      </c>
      <c r="G457" s="2">
        <v>-0.55844209701261005</v>
      </c>
      <c r="H457" s="1" t="str">
        <f>"VSNL1"</f>
        <v>VSNL1</v>
      </c>
    </row>
    <row r="458" spans="1:8">
      <c r="A458" s="2" t="str">
        <f>"209877_at"</f>
        <v>209877_at</v>
      </c>
      <c r="B458" s="2">
        <v>-1.62378813999928</v>
      </c>
      <c r="C458" s="2">
        <v>7.8282301753797698</v>
      </c>
      <c r="D458" s="2">
        <v>-4.2868281014258596</v>
      </c>
      <c r="E458" s="2">
        <v>2.0505282422963301E-4</v>
      </c>
      <c r="F458" s="2">
        <v>3.2179285777138899E-3</v>
      </c>
      <c r="G458" s="2">
        <v>2.2740966208139999</v>
      </c>
      <c r="H458" s="1" t="str">
        <f>"SNCG"</f>
        <v>SNCG</v>
      </c>
    </row>
    <row r="459" spans="1:8">
      <c r="A459" s="2" t="str">
        <f>"215565_at"</f>
        <v>215565_at</v>
      </c>
      <c r="B459" s="2">
        <v>-1.62361786256913</v>
      </c>
      <c r="C459" s="2">
        <v>4.2116355234349898</v>
      </c>
      <c r="D459" s="2">
        <v>-2.9521634699033301</v>
      </c>
      <c r="E459" s="2">
        <v>6.4434554945715702E-3</v>
      </c>
      <c r="F459" s="2">
        <v>4.4152892488494903E-2</v>
      </c>
      <c r="G459" s="2">
        <v>-0.94499756681455205</v>
      </c>
      <c r="H459" s="1" t="str">
        <f>"DTNB-AS1"</f>
        <v>DTNB-AS1</v>
      </c>
    </row>
    <row r="460" spans="1:8">
      <c r="A460" s="2" t="str">
        <f>"1558378_a_at"</f>
        <v>1558378_a_at</v>
      </c>
      <c r="B460" s="2">
        <v>-1.6231320980652499</v>
      </c>
      <c r="C460" s="2">
        <v>7.11913907609856</v>
      </c>
      <c r="D460" s="2">
        <v>-3.5778514925031502</v>
      </c>
      <c r="E460" s="2">
        <v>1.33095497807523E-3</v>
      </c>
      <c r="F460" s="2">
        <v>1.33861992954035E-2</v>
      </c>
      <c r="G460" s="2">
        <v>0.51491043643108203</v>
      </c>
      <c r="H460" s="1" t="str">
        <f>"AHNAK2"</f>
        <v>AHNAK2</v>
      </c>
    </row>
    <row r="461" spans="1:8">
      <c r="A461" s="2" t="str">
        <f>"232298_at"</f>
        <v>232298_at</v>
      </c>
      <c r="B461" s="2">
        <v>-1.62266367627193</v>
      </c>
      <c r="C461" s="2">
        <v>7.7120107628989798</v>
      </c>
      <c r="D461" s="2">
        <v>-5.4267407328855199</v>
      </c>
      <c r="E461" s="3">
        <v>9.5794921026581606E-6</v>
      </c>
      <c r="F461" s="2">
        <v>3.13627982462775E-4</v>
      </c>
      <c r="G461" s="2">
        <v>5.1810181969753097</v>
      </c>
      <c r="H461" s="1" t="str">
        <f>"MBNL1-AS1"</f>
        <v>MBNL1-AS1</v>
      </c>
    </row>
    <row r="462" spans="1:8">
      <c r="A462" s="2" t="str">
        <f>"208747_s_at"</f>
        <v>208747_s_at</v>
      </c>
      <c r="B462" s="2">
        <v>-1.6209700466375201</v>
      </c>
      <c r="C462" s="2">
        <v>12.602972605222</v>
      </c>
      <c r="D462" s="2">
        <v>-8.3368322495740799</v>
      </c>
      <c r="E462" s="3">
        <v>5.8449335121201803E-9</v>
      </c>
      <c r="F462" s="3">
        <v>1.52127272461894E-6</v>
      </c>
      <c r="G462" s="2">
        <v>12.158704688340199</v>
      </c>
      <c r="H462" s="1" t="str">
        <f>"C1S"</f>
        <v>C1S</v>
      </c>
    </row>
    <row r="463" spans="1:8">
      <c r="A463" s="2" t="str">
        <f>"236264_at"</f>
        <v>236264_at</v>
      </c>
      <c r="B463" s="2">
        <v>-1.6206248223919799</v>
      </c>
      <c r="C463" s="2">
        <v>5.3387254553066299</v>
      </c>
      <c r="D463" s="2">
        <v>-3.09231557191388</v>
      </c>
      <c r="E463" s="2">
        <v>4.5643004798727703E-3</v>
      </c>
      <c r="F463" s="2">
        <v>3.39990638606327E-2</v>
      </c>
      <c r="G463" s="2">
        <v>-0.62856104950487002</v>
      </c>
      <c r="H463" s="1" t="str">
        <f>"ADGRL3"</f>
        <v>ADGRL3</v>
      </c>
    </row>
    <row r="464" spans="1:8">
      <c r="A464" s="2" t="str">
        <f>"239568_at"</f>
        <v>239568_at</v>
      </c>
      <c r="B464" s="2">
        <v>-1.62050979112022</v>
      </c>
      <c r="C464" s="2">
        <v>5.8489314132725099</v>
      </c>
      <c r="D464" s="2">
        <v>-3.93578586651725</v>
      </c>
      <c r="E464" s="2">
        <v>5.2159582555662601E-4</v>
      </c>
      <c r="F464" s="2">
        <v>6.5274094214485103E-3</v>
      </c>
      <c r="G464" s="2">
        <v>1.3933904648114199</v>
      </c>
      <c r="H464" s="1" t="str">
        <f>"PLEKHH2"</f>
        <v>PLEKHH2</v>
      </c>
    </row>
    <row r="465" spans="1:8">
      <c r="A465" s="2" t="str">
        <f>"238263_at"</f>
        <v>238263_at</v>
      </c>
      <c r="B465" s="2">
        <v>-1.61824864218383</v>
      </c>
      <c r="C465" s="2">
        <v>4.2789497806995298</v>
      </c>
      <c r="D465" s="2">
        <v>-3.59694960181745</v>
      </c>
      <c r="E465" s="2">
        <v>1.2667092574265701E-3</v>
      </c>
      <c r="F465" s="2">
        <v>1.28850843999624E-2</v>
      </c>
      <c r="G465" s="2">
        <v>0.56114047854002402</v>
      </c>
      <c r="H465" s="1" t="str">
        <f>"EPHA1-AS1"</f>
        <v>EPHA1-AS1</v>
      </c>
    </row>
    <row r="466" spans="1:8">
      <c r="A466" s="2" t="str">
        <f>"209286_at"</f>
        <v>209286_at</v>
      </c>
      <c r="B466" s="2">
        <v>-1.6178710363230799</v>
      </c>
      <c r="C466" s="2">
        <v>11.614767208168301</v>
      </c>
      <c r="D466" s="2">
        <v>-7.9464255816093203</v>
      </c>
      <c r="E466" s="3">
        <v>1.4890580939943E-8</v>
      </c>
      <c r="F466" s="3">
        <v>2.8973043163394499E-6</v>
      </c>
      <c r="G466" s="2">
        <v>11.287553695732599</v>
      </c>
      <c r="H466" s="1" t="str">
        <f>"CDC42EP3"</f>
        <v>CDC42EP3</v>
      </c>
    </row>
    <row r="467" spans="1:8">
      <c r="A467" s="2" t="str">
        <f>"237206_at"</f>
        <v>237206_at</v>
      </c>
      <c r="B467" s="2">
        <v>-1.61684167677645</v>
      </c>
      <c r="C467" s="2">
        <v>10.9915950206474</v>
      </c>
      <c r="D467" s="2">
        <v>-5.7694588211686604</v>
      </c>
      <c r="E467" s="3">
        <v>3.83727447737292E-6</v>
      </c>
      <c r="F467" s="2">
        <v>1.5633605219848301E-4</v>
      </c>
      <c r="G467" s="2">
        <v>6.0501936927134601</v>
      </c>
      <c r="H467" s="1" t="str">
        <f>"MYOCD"</f>
        <v>MYOCD</v>
      </c>
    </row>
    <row r="468" spans="1:8">
      <c r="A468" s="2" t="str">
        <f>"210119_at"</f>
        <v>210119_at</v>
      </c>
      <c r="B468" s="2">
        <v>-1.61651496098897</v>
      </c>
      <c r="C468" s="2">
        <v>6.0257419232077298</v>
      </c>
      <c r="D468" s="2">
        <v>-3.2108097178242598</v>
      </c>
      <c r="E468" s="2">
        <v>3.3958537380831899E-3</v>
      </c>
      <c r="F468" s="2">
        <v>2.70295044261652E-2</v>
      </c>
      <c r="G468" s="2">
        <v>-0.35580202115536502</v>
      </c>
      <c r="H468" s="1" t="str">
        <f>"KCNJ15"</f>
        <v>KCNJ15</v>
      </c>
    </row>
    <row r="469" spans="1:8">
      <c r="A469" s="2" t="str">
        <f>"228329_at"</f>
        <v>228329_at</v>
      </c>
      <c r="B469" s="2">
        <v>-1.6160218901629899</v>
      </c>
      <c r="C469" s="2">
        <v>7.89766952843416</v>
      </c>
      <c r="D469" s="2">
        <v>-6.2208229862941096</v>
      </c>
      <c r="E469" s="3">
        <v>1.16500313694512E-6</v>
      </c>
      <c r="F469" s="3">
        <v>6.36590201851957E-5</v>
      </c>
      <c r="G469" s="2">
        <v>7.1813860299611099</v>
      </c>
      <c r="H469" s="1" t="str">
        <f>"DAB1"</f>
        <v>DAB1</v>
      </c>
    </row>
    <row r="470" spans="1:8">
      <c r="A470" s="2" t="str">
        <f>"219456_s_at"</f>
        <v>219456_s_at</v>
      </c>
      <c r="B470" s="2">
        <v>-1.61597778431482</v>
      </c>
      <c r="C470" s="2">
        <v>6.2351352210563604</v>
      </c>
      <c r="D470" s="2">
        <v>-3.24323931389192</v>
      </c>
      <c r="E470" s="2">
        <v>3.1299081208117298E-3</v>
      </c>
      <c r="F470" s="2">
        <v>2.5465435491872201E-2</v>
      </c>
      <c r="G470" s="2">
        <v>-0.28037852491252102</v>
      </c>
      <c r="H470" s="1" t="str">
        <f>"RIN3"</f>
        <v>RIN3</v>
      </c>
    </row>
    <row r="471" spans="1:8">
      <c r="A471" s="2" t="str">
        <f>"206666_at"</f>
        <v>206666_at</v>
      </c>
      <c r="B471" s="2">
        <v>-1.6141769561420001</v>
      </c>
      <c r="C471" s="2">
        <v>7.7624042942019003</v>
      </c>
      <c r="D471" s="2">
        <v>-4.5386674575967403</v>
      </c>
      <c r="E471" s="2">
        <v>1.0437169051569599E-4</v>
      </c>
      <c r="F471" s="2">
        <v>1.92918261627644E-3</v>
      </c>
      <c r="G471" s="2">
        <v>2.9133135613494199</v>
      </c>
      <c r="H471" s="1" t="str">
        <f>"GZMK"</f>
        <v>GZMK</v>
      </c>
    </row>
    <row r="472" spans="1:8">
      <c r="A472" s="2" t="str">
        <f>"1557169_x_at"</f>
        <v>1557169_x_at</v>
      </c>
      <c r="B472" s="2">
        <v>-1.61376415815247</v>
      </c>
      <c r="C472" s="2">
        <v>7.2819651495486504</v>
      </c>
      <c r="D472" s="2">
        <v>-8.0285038014727697</v>
      </c>
      <c r="E472" s="3">
        <v>1.2212583284771201E-8</v>
      </c>
      <c r="F472" s="3">
        <v>2.5565613325275399E-6</v>
      </c>
      <c r="G472" s="2">
        <v>11.4725927523653</v>
      </c>
      <c r="H472" s="1" t="str">
        <f>"HCG11"</f>
        <v>HCG11</v>
      </c>
    </row>
    <row r="473" spans="1:8">
      <c r="A473" s="2" t="str">
        <f>"209859_at"</f>
        <v>209859_at</v>
      </c>
      <c r="B473" s="2">
        <v>-1.6131705897109101</v>
      </c>
      <c r="C473" s="2">
        <v>4.9618363677949899</v>
      </c>
      <c r="D473" s="2">
        <v>-3.73894942489718</v>
      </c>
      <c r="E473" s="2">
        <v>8.7515343797511195E-4</v>
      </c>
      <c r="F473" s="2">
        <v>9.7155358824952808E-3</v>
      </c>
      <c r="G473" s="2">
        <v>0.90729953630781701</v>
      </c>
      <c r="H473" s="1" t="str">
        <f>"TRIM9"</f>
        <v>TRIM9</v>
      </c>
    </row>
    <row r="474" spans="1:8">
      <c r="A474" s="2" t="str">
        <f>"232570_s_at"</f>
        <v>232570_s_at</v>
      </c>
      <c r="B474" s="2">
        <v>-1.61296872467693</v>
      </c>
      <c r="C474" s="2">
        <v>7.0486853350617604</v>
      </c>
      <c r="D474" s="2">
        <v>-5.1495279804608103</v>
      </c>
      <c r="E474" s="3">
        <v>2.0162866516127001E-5</v>
      </c>
      <c r="F474" s="2">
        <v>5.4955370227778805E-4</v>
      </c>
      <c r="G474" s="2">
        <v>4.47382401163157</v>
      </c>
      <c r="H474" s="1" t="str">
        <f>"ADAM33"</f>
        <v>ADAM33</v>
      </c>
    </row>
    <row r="475" spans="1:8">
      <c r="A475" s="2" t="str">
        <f>"235468_at"</f>
        <v>235468_at</v>
      </c>
      <c r="B475" s="2">
        <v>-1.6121707554720499</v>
      </c>
      <c r="C475" s="2">
        <v>10.557801610725299</v>
      </c>
      <c r="D475" s="2">
        <v>-4.4191990578445699</v>
      </c>
      <c r="E475" s="2">
        <v>1.4384247300543699E-4</v>
      </c>
      <c r="F475" s="2">
        <v>2.4669345080214101E-3</v>
      </c>
      <c r="G475" s="2">
        <v>2.60951329617478</v>
      </c>
      <c r="H475" s="1" t="str">
        <f>"RBFOX3"</f>
        <v>RBFOX3</v>
      </c>
    </row>
    <row r="476" spans="1:8">
      <c r="A476" s="2" t="str">
        <f>"217757_at"</f>
        <v>217757_at</v>
      </c>
      <c r="B476" s="2">
        <v>-1.61084594366</v>
      </c>
      <c r="C476" s="2">
        <v>13.0621869059992</v>
      </c>
      <c r="D476" s="2">
        <v>-7.5216005430656798</v>
      </c>
      <c r="E476" s="3">
        <v>4.2132074327182398E-8</v>
      </c>
      <c r="F476" s="3">
        <v>6.1428564369031997E-6</v>
      </c>
      <c r="G476" s="2">
        <v>10.314020749473</v>
      </c>
      <c r="H476" s="1" t="str">
        <f>"A2M"</f>
        <v>A2M</v>
      </c>
    </row>
    <row r="477" spans="1:8">
      <c r="A477" s="2" t="str">
        <f>"1559970_at"</f>
        <v>1559970_at</v>
      </c>
      <c r="B477" s="2">
        <v>-1.6106896568448399</v>
      </c>
      <c r="C477" s="2">
        <v>4.2835009818067098</v>
      </c>
      <c r="D477" s="2">
        <v>-3.5018594690623099</v>
      </c>
      <c r="E477" s="2">
        <v>1.61946960708628E-3</v>
      </c>
      <c r="F477" s="2">
        <v>1.5568724348418999E-2</v>
      </c>
      <c r="G477" s="2">
        <v>0.33178691124851301</v>
      </c>
      <c r="H477" s="1" t="str">
        <f>"LOC100506731"</f>
        <v>LOC100506731</v>
      </c>
    </row>
    <row r="478" spans="1:8">
      <c r="A478" s="2" t="str">
        <f>"223734_at"</f>
        <v>223734_at</v>
      </c>
      <c r="B478" s="2">
        <v>-1.609230169036</v>
      </c>
      <c r="C478" s="2">
        <v>7.5261641957874303</v>
      </c>
      <c r="D478" s="2">
        <v>-7.7447756057641204</v>
      </c>
      <c r="E478" s="3">
        <v>2.4325667684593801E-8</v>
      </c>
      <c r="F478" s="3">
        <v>4.2088793691619202E-6</v>
      </c>
      <c r="G478" s="2">
        <v>10.828726707281801</v>
      </c>
      <c r="H478" s="1" t="str">
        <f>"MGARP"</f>
        <v>MGARP</v>
      </c>
    </row>
    <row r="479" spans="1:8">
      <c r="A479" s="2" t="str">
        <f>"213790_at"</f>
        <v>213790_at</v>
      </c>
      <c r="B479" s="2">
        <v>-1.60889670070205</v>
      </c>
      <c r="C479" s="2">
        <v>5.5094341898441703</v>
      </c>
      <c r="D479" s="2">
        <v>-3.8537834800419501</v>
      </c>
      <c r="E479" s="2">
        <v>6.4749816708739203E-4</v>
      </c>
      <c r="F479" s="2">
        <v>7.7094865604318804E-3</v>
      </c>
      <c r="G479" s="2">
        <v>1.1900817822294001</v>
      </c>
      <c r="H479" s="1" t="str">
        <f>"ADAM12"</f>
        <v>ADAM12</v>
      </c>
    </row>
    <row r="480" spans="1:8">
      <c r="A480" s="2" t="str">
        <f>"1553423_a_at"</f>
        <v>1553423_a_at</v>
      </c>
      <c r="B480" s="2">
        <v>-1.60884940512827</v>
      </c>
      <c r="C480" s="2">
        <v>4.5652355161935203</v>
      </c>
      <c r="D480" s="2">
        <v>-3.0351292552469</v>
      </c>
      <c r="E480" s="2">
        <v>5.2573740852328897E-3</v>
      </c>
      <c r="F480" s="2">
        <v>3.7785999566753499E-2</v>
      </c>
      <c r="G480" s="2">
        <v>-0.75852041681621396</v>
      </c>
      <c r="H480" s="1" t="str">
        <f>"SLFN13"</f>
        <v>SLFN13</v>
      </c>
    </row>
    <row r="481" spans="1:8">
      <c r="A481" s="2" t="str">
        <f>"201496_x_at"</f>
        <v>201496_x_at</v>
      </c>
      <c r="B481" s="2">
        <v>-1.6086881024102999</v>
      </c>
      <c r="C481" s="2">
        <v>13.396163884931401</v>
      </c>
      <c r="D481" s="2">
        <v>-5.6743897914288004</v>
      </c>
      <c r="E481" s="3">
        <v>4.9422607730870801E-6</v>
      </c>
      <c r="F481" s="2">
        <v>1.8909594665397899E-4</v>
      </c>
      <c r="G481" s="2">
        <v>5.8098254446987099</v>
      </c>
      <c r="H481" s="1" t="str">
        <f>"MYH11"</f>
        <v>MYH11</v>
      </c>
    </row>
    <row r="482" spans="1:8">
      <c r="A482" s="2" t="str">
        <f>"202765_s_at"</f>
        <v>202765_s_at</v>
      </c>
      <c r="B482" s="2">
        <v>-1.60852291066704</v>
      </c>
      <c r="C482" s="2">
        <v>8.5298781105732093</v>
      </c>
      <c r="D482" s="2">
        <v>-8.8842177706261793</v>
      </c>
      <c r="E482" s="3">
        <v>1.62947338087094E-9</v>
      </c>
      <c r="F482" s="3">
        <v>6.50302606562908E-7</v>
      </c>
      <c r="G482" s="2">
        <v>13.341392904694899</v>
      </c>
      <c r="H482" s="1" t="str">
        <f>"FBN1"</f>
        <v>FBN1</v>
      </c>
    </row>
    <row r="483" spans="1:8">
      <c r="A483" s="2" t="str">
        <f>"231720_s_at"</f>
        <v>231720_s_at</v>
      </c>
      <c r="B483" s="2">
        <v>-1.6079685171975</v>
      </c>
      <c r="C483" s="2">
        <v>6.8667482853344204</v>
      </c>
      <c r="D483" s="2">
        <v>-4.6509068823464697</v>
      </c>
      <c r="E483" s="3">
        <v>7.7179589402695203E-5</v>
      </c>
      <c r="F483" s="2">
        <v>1.53001959774922E-3</v>
      </c>
      <c r="G483" s="2">
        <v>3.1994310490756801</v>
      </c>
      <c r="H483" s="1" t="str">
        <f>"JAM3"</f>
        <v>JAM3</v>
      </c>
    </row>
    <row r="484" spans="1:8">
      <c r="A484" s="2" t="str">
        <f>"203323_at"</f>
        <v>203323_at</v>
      </c>
      <c r="B484" s="2">
        <v>-1.6075536161482999</v>
      </c>
      <c r="C484" s="2">
        <v>10.1636242929389</v>
      </c>
      <c r="D484" s="2">
        <v>-6.7689234353599002</v>
      </c>
      <c r="E484" s="3">
        <v>2.8104400182970899E-7</v>
      </c>
      <c r="F484" s="3">
        <v>2.3106888421111799E-5</v>
      </c>
      <c r="G484" s="2">
        <v>8.5271793518302399</v>
      </c>
      <c r="H484" s="1" t="str">
        <f>"CAV2"</f>
        <v>CAV2</v>
      </c>
    </row>
    <row r="485" spans="1:8">
      <c r="A485" s="2" t="str">
        <f>"227628_at"</f>
        <v>227628_at</v>
      </c>
      <c r="B485" s="2">
        <v>-1.60745220877256</v>
      </c>
      <c r="C485" s="2">
        <v>8.3829290451022906</v>
      </c>
      <c r="D485" s="2">
        <v>-6.92131785656162</v>
      </c>
      <c r="E485" s="3">
        <v>1.90351576303236E-7</v>
      </c>
      <c r="F485" s="3">
        <v>1.74329521513893E-5</v>
      </c>
      <c r="G485" s="2">
        <v>8.8950237779984302</v>
      </c>
      <c r="H485" s="1" t="str">
        <f>"GPX8"</f>
        <v>GPX8</v>
      </c>
    </row>
    <row r="486" spans="1:8">
      <c r="A486" s="2" t="str">
        <f>"205121_at"</f>
        <v>205121_at</v>
      </c>
      <c r="B486" s="2">
        <v>-1.6070115025016101</v>
      </c>
      <c r="C486" s="2">
        <v>6.6423561659549399</v>
      </c>
      <c r="D486" s="2">
        <v>-4.5146149711556296</v>
      </c>
      <c r="E486" s="2">
        <v>1.11339578702071E-4</v>
      </c>
      <c r="F486" s="2">
        <v>2.0284876592921602E-3</v>
      </c>
      <c r="G486" s="2">
        <v>2.8520804699310598</v>
      </c>
      <c r="H486" s="1" t="str">
        <f>"SGCB"</f>
        <v>SGCB</v>
      </c>
    </row>
    <row r="487" spans="1:8">
      <c r="A487" s="2" t="str">
        <f>"211923_s_at"</f>
        <v>211923_s_at</v>
      </c>
      <c r="B487" s="2">
        <v>-1.6038484629632599</v>
      </c>
      <c r="C487" s="2">
        <v>4.835649997</v>
      </c>
      <c r="D487" s="2">
        <v>-3.3635020994718299</v>
      </c>
      <c r="E487" s="2">
        <v>2.3080640945796799E-3</v>
      </c>
      <c r="F487" s="2">
        <v>2.0207110387693201E-2</v>
      </c>
      <c r="G487" s="2">
        <v>2.02834529285578E-3</v>
      </c>
      <c r="H487" s="1" t="str">
        <f>"ZNF471"</f>
        <v>ZNF471</v>
      </c>
    </row>
    <row r="488" spans="1:8">
      <c r="A488" s="2" t="str">
        <f>"1553317_s_at"</f>
        <v>1553317_s_at</v>
      </c>
      <c r="B488" s="2">
        <v>-1.60375425622864</v>
      </c>
      <c r="C488" s="2">
        <v>4.2194424355632103</v>
      </c>
      <c r="D488" s="2">
        <v>-4.1135880801887001</v>
      </c>
      <c r="E488" s="2">
        <v>3.25523885421822E-4</v>
      </c>
      <c r="F488" s="2">
        <v>4.5647649231695502E-3</v>
      </c>
      <c r="G488" s="2">
        <v>1.83760465247029</v>
      </c>
      <c r="H488" s="1" t="str">
        <f>"GPR82"</f>
        <v>GPR82</v>
      </c>
    </row>
    <row r="489" spans="1:8">
      <c r="A489" s="2" t="str">
        <f>"226280_at"</f>
        <v>226280_at</v>
      </c>
      <c r="B489" s="2">
        <v>-1.60340745454545</v>
      </c>
      <c r="C489" s="2">
        <v>9.4155650764228103</v>
      </c>
      <c r="D489" s="2">
        <v>-8.3006296832686495</v>
      </c>
      <c r="E489" s="3">
        <v>6.3690473908899804E-9</v>
      </c>
      <c r="F489" s="3">
        <v>1.5998034870501699E-6</v>
      </c>
      <c r="G489" s="2">
        <v>12.0788844618616</v>
      </c>
      <c r="H489" s="1" t="str">
        <f>"BNIP2"</f>
        <v>BNIP2</v>
      </c>
    </row>
    <row r="490" spans="1:8">
      <c r="A490" s="2" t="str">
        <f>"210973_s_at"</f>
        <v>210973_s_at</v>
      </c>
      <c r="B490" s="2">
        <v>-1.6020315868656101</v>
      </c>
      <c r="C490" s="2">
        <v>9.25298366531276</v>
      </c>
      <c r="D490" s="2">
        <v>-5.9446219087246899</v>
      </c>
      <c r="E490" s="3">
        <v>2.4113744236839901E-6</v>
      </c>
      <c r="F490" s="2">
        <v>1.0887026970679E-4</v>
      </c>
      <c r="G490" s="2">
        <v>6.4912853583743804</v>
      </c>
      <c r="H490" s="1" t="str">
        <f>"FGFR1"</f>
        <v>FGFR1</v>
      </c>
    </row>
    <row r="491" spans="1:8">
      <c r="A491" s="2" t="str">
        <f>"1552760_at"</f>
        <v>1552760_at</v>
      </c>
      <c r="B491" s="2">
        <v>-1.5999505212840499</v>
      </c>
      <c r="C491" s="2">
        <v>6.4643926518301198</v>
      </c>
      <c r="D491" s="2">
        <v>-3.3927095813677401</v>
      </c>
      <c r="E491" s="2">
        <v>2.1424387094584399E-3</v>
      </c>
      <c r="F491" s="2">
        <v>1.9152869881464699E-2</v>
      </c>
      <c r="G491" s="2">
        <v>7.1226271073213901E-2</v>
      </c>
      <c r="H491" s="1" t="str">
        <f>"HDAC9"</f>
        <v>HDAC9</v>
      </c>
    </row>
    <row r="492" spans="1:8">
      <c r="A492" s="2" t="str">
        <f>"1562295_at"</f>
        <v>1562295_at</v>
      </c>
      <c r="B492" s="2">
        <v>-1.5979489304341901</v>
      </c>
      <c r="C492" s="2">
        <v>6.7929495880059001</v>
      </c>
      <c r="D492" s="2">
        <v>-3.6011548028597802</v>
      </c>
      <c r="E492" s="2">
        <v>1.25297415684326E-3</v>
      </c>
      <c r="F492" s="2">
        <v>1.27835826289591E-2</v>
      </c>
      <c r="G492" s="2">
        <v>0.57133071189630802</v>
      </c>
      <c r="H492" s="1" t="str">
        <f>"ADAMTS9-AS2"</f>
        <v>ADAMTS9-AS2</v>
      </c>
    </row>
    <row r="493" spans="1:8">
      <c r="A493" s="2" t="str">
        <f>"207978_s_at"</f>
        <v>207978_s_at</v>
      </c>
      <c r="B493" s="2">
        <v>-1.59653570223521</v>
      </c>
      <c r="C493" s="2">
        <v>6.35408334008011</v>
      </c>
      <c r="D493" s="2">
        <v>-3.0039261682626499</v>
      </c>
      <c r="E493" s="2">
        <v>5.6767434494328396E-3</v>
      </c>
      <c r="F493" s="2">
        <v>4.0089892546853599E-2</v>
      </c>
      <c r="G493" s="2">
        <v>-0.82894701948162197</v>
      </c>
      <c r="H493" s="1" t="str">
        <f>"NR4A3"</f>
        <v>NR4A3</v>
      </c>
    </row>
    <row r="494" spans="1:8">
      <c r="A494" s="2" t="str">
        <f>"222803_at"</f>
        <v>222803_at</v>
      </c>
      <c r="B494" s="2">
        <v>-1.5957368458427601</v>
      </c>
      <c r="C494" s="2">
        <v>8.7787605261766402</v>
      </c>
      <c r="D494" s="2">
        <v>-10.548429297638799</v>
      </c>
      <c r="E494" s="3">
        <v>4.2649082524189501E-11</v>
      </c>
      <c r="F494" s="3">
        <v>4.9080914061004299E-8</v>
      </c>
      <c r="G494" s="2">
        <v>16.659434060878599</v>
      </c>
      <c r="H494" s="1" t="str">
        <f>"PRTFDC1"</f>
        <v>PRTFDC1</v>
      </c>
    </row>
    <row r="495" spans="1:8">
      <c r="A495" s="2" t="str">
        <f>"212713_at"</f>
        <v>212713_at</v>
      </c>
      <c r="B495" s="2">
        <v>-1.59499965889276</v>
      </c>
      <c r="C495" s="2">
        <v>10.534080917671499</v>
      </c>
      <c r="D495" s="2">
        <v>-5.6012619437927897</v>
      </c>
      <c r="E495" s="3">
        <v>6.0067143568817499E-6</v>
      </c>
      <c r="F495" s="2">
        <v>2.2011870473358599E-4</v>
      </c>
      <c r="G495" s="2">
        <v>5.6245189058098299</v>
      </c>
      <c r="H495" s="1" t="str">
        <f>"MFAP4"</f>
        <v>MFAP4</v>
      </c>
    </row>
    <row r="496" spans="1:8">
      <c r="A496" s="2" t="str">
        <f>"241369_at"</f>
        <v>241369_at</v>
      </c>
      <c r="B496" s="2">
        <v>-1.5945998804021699</v>
      </c>
      <c r="C496" s="2">
        <v>6.4336292876497501</v>
      </c>
      <c r="D496" s="2">
        <v>-4.0281057984709001</v>
      </c>
      <c r="E496" s="2">
        <v>4.0850875545574199E-4</v>
      </c>
      <c r="F496" s="2">
        <v>5.4255460861556901E-3</v>
      </c>
      <c r="G496" s="2">
        <v>1.62350228074379</v>
      </c>
      <c r="H496" s="1" t="str">
        <f>"ADAMTS9-AS1"</f>
        <v>ADAMTS9-AS1</v>
      </c>
    </row>
    <row r="497" spans="1:8">
      <c r="A497" s="2" t="str">
        <f>"220115_s_at"</f>
        <v>220115_s_at</v>
      </c>
      <c r="B497" s="2">
        <v>-1.59391510978914</v>
      </c>
      <c r="C497" s="2">
        <v>8.7669748527929006</v>
      </c>
      <c r="D497" s="2">
        <v>-5.2552386859247804</v>
      </c>
      <c r="E497" s="3">
        <v>1.51760128068974E-5</v>
      </c>
      <c r="F497" s="2">
        <v>4.4347862117429898E-4</v>
      </c>
      <c r="G497" s="2">
        <v>4.7438020486903802</v>
      </c>
      <c r="H497" s="1" t="str">
        <f>"CDH10"</f>
        <v>CDH10</v>
      </c>
    </row>
    <row r="498" spans="1:8">
      <c r="A498" s="2" t="str">
        <f>"228394_at"</f>
        <v>228394_at</v>
      </c>
      <c r="B498" s="2">
        <v>-1.5935869901231099</v>
      </c>
      <c r="C498" s="2">
        <v>6.0015079324667999</v>
      </c>
      <c r="D498" s="2">
        <v>-4.2662182238037598</v>
      </c>
      <c r="E498" s="2">
        <v>2.1666903668484099E-4</v>
      </c>
      <c r="F498" s="2">
        <v>3.3502204696673398E-3</v>
      </c>
      <c r="G498" s="2">
        <v>2.22200788039319</v>
      </c>
      <c r="H498" s="1" t="str">
        <f>"STK10"</f>
        <v>STK10</v>
      </c>
    </row>
    <row r="499" spans="1:8">
      <c r="A499" s="2" t="str">
        <f>"211492_s_at"</f>
        <v>211492_s_at</v>
      </c>
      <c r="B499" s="2">
        <v>-1.5929829846133099</v>
      </c>
      <c r="C499" s="2">
        <v>6.1434168069751802</v>
      </c>
      <c r="D499" s="2">
        <v>-3.4099143133843901</v>
      </c>
      <c r="E499" s="2">
        <v>2.0503204837909999E-3</v>
      </c>
      <c r="F499" s="2">
        <v>1.85567410116327E-2</v>
      </c>
      <c r="G499" s="2">
        <v>0.11209412903699301</v>
      </c>
      <c r="H499" s="1" t="str">
        <f>"ADRA1A"</f>
        <v>ADRA1A</v>
      </c>
    </row>
    <row r="500" spans="1:8">
      <c r="A500" s="2" t="str">
        <f>"206914_at"</f>
        <v>206914_at</v>
      </c>
      <c r="B500" s="2">
        <v>-1.5925424001173201</v>
      </c>
      <c r="C500" s="2">
        <v>4.9790524750245799</v>
      </c>
      <c r="D500" s="2">
        <v>-3.1983890958971801</v>
      </c>
      <c r="E500" s="2">
        <v>3.5033544214345901E-3</v>
      </c>
      <c r="F500" s="2">
        <v>2.76361135466652E-2</v>
      </c>
      <c r="G500" s="2">
        <v>-0.384603687994095</v>
      </c>
      <c r="H500" s="1" t="str">
        <f>"CRTAM"</f>
        <v>CRTAM</v>
      </c>
    </row>
    <row r="501" spans="1:8">
      <c r="A501" s="2" t="str">
        <f>"1557795_s_at"</f>
        <v>1557795_s_at</v>
      </c>
      <c r="B501" s="2">
        <v>-1.5924384131478999</v>
      </c>
      <c r="C501" s="2">
        <v>6.0373807537394599</v>
      </c>
      <c r="D501" s="2">
        <v>-3.7300285512122699</v>
      </c>
      <c r="E501" s="2">
        <v>8.9580651170078805E-4</v>
      </c>
      <c r="F501" s="2">
        <v>9.8896065555915298E-3</v>
      </c>
      <c r="G501" s="2">
        <v>0.88543316821284301</v>
      </c>
      <c r="H501" s="1" t="str">
        <f>"NTRK3"</f>
        <v>NTRK3</v>
      </c>
    </row>
    <row r="502" spans="1:8">
      <c r="A502" s="2" t="str">
        <f>"226103_at"</f>
        <v>226103_at</v>
      </c>
      <c r="B502" s="2">
        <v>-1.5919880434905</v>
      </c>
      <c r="C502" s="2">
        <v>10.9472400368027</v>
      </c>
      <c r="D502" s="2">
        <v>-7.0923825306661099</v>
      </c>
      <c r="E502" s="3">
        <v>1.2330858481032199E-7</v>
      </c>
      <c r="F502" s="3">
        <v>1.2768744080500601E-5</v>
      </c>
      <c r="G502" s="2">
        <v>9.3043698596426694</v>
      </c>
      <c r="H502" s="1" t="str">
        <f>"NEXN"</f>
        <v>NEXN</v>
      </c>
    </row>
    <row r="503" spans="1:8">
      <c r="A503" s="2" t="str">
        <f>"201148_s_at"</f>
        <v>201148_s_at</v>
      </c>
      <c r="B503" s="2">
        <v>-1.59168587444082</v>
      </c>
      <c r="C503" s="2">
        <v>10.4029522957529</v>
      </c>
      <c r="D503" s="2">
        <v>-6.9365304389313396</v>
      </c>
      <c r="E503" s="3">
        <v>1.83116596843545E-7</v>
      </c>
      <c r="F503" s="3">
        <v>1.6940609022708699E-5</v>
      </c>
      <c r="G503" s="2">
        <v>8.9315811172130104</v>
      </c>
      <c r="H503" s="1" t="str">
        <f>"TIMP3"</f>
        <v>TIMP3</v>
      </c>
    </row>
    <row r="504" spans="1:8">
      <c r="A504" s="2" t="str">
        <f>"223730_at"</f>
        <v>223730_at</v>
      </c>
      <c r="B504" s="2">
        <v>-1.5912887537597</v>
      </c>
      <c r="C504" s="2">
        <v>8.6551743037497797</v>
      </c>
      <c r="D504" s="2">
        <v>-5.1469732995333102</v>
      </c>
      <c r="E504" s="3">
        <v>2.03018706703745E-5</v>
      </c>
      <c r="F504" s="2">
        <v>5.5196657329822105E-4</v>
      </c>
      <c r="G504" s="2">
        <v>4.4672961863674496</v>
      </c>
      <c r="H504" s="1" t="str">
        <f>"GPC6"</f>
        <v>GPC6</v>
      </c>
    </row>
    <row r="505" spans="1:8">
      <c r="A505" s="2" t="str">
        <f>"234994_at"</f>
        <v>234994_at</v>
      </c>
      <c r="B505" s="2">
        <v>-1.59123835075376</v>
      </c>
      <c r="C505" s="2">
        <v>7.9930938061359296</v>
      </c>
      <c r="D505" s="2">
        <v>-3.6351969395741999</v>
      </c>
      <c r="E505" s="2">
        <v>1.14700057778911E-3</v>
      </c>
      <c r="F505" s="2">
        <v>1.19291187998089E-2</v>
      </c>
      <c r="G505" s="2">
        <v>0.65396489745086095</v>
      </c>
      <c r="H505" s="1" t="str">
        <f>"TMEM200A"</f>
        <v>TMEM200A</v>
      </c>
    </row>
    <row r="506" spans="1:8">
      <c r="A506" s="2" t="str">
        <f>"203698_s_at"</f>
        <v>203698_s_at</v>
      </c>
      <c r="B506" s="2">
        <v>-1.58883116846533</v>
      </c>
      <c r="C506" s="2">
        <v>8.8454711770644199</v>
      </c>
      <c r="D506" s="2">
        <v>-6.30914041626946</v>
      </c>
      <c r="E506" s="3">
        <v>9.2455169874013E-7</v>
      </c>
      <c r="F506" s="3">
        <v>5.3671231528255798E-5</v>
      </c>
      <c r="G506" s="2">
        <v>7.4004842148107803</v>
      </c>
      <c r="H506" s="1" t="str">
        <f>"FRZB"</f>
        <v>FRZB</v>
      </c>
    </row>
    <row r="507" spans="1:8">
      <c r="A507" s="2" t="str">
        <f>"219737_s_at"</f>
        <v>219737_s_at</v>
      </c>
      <c r="B507" s="2">
        <v>-1.5888101248687001</v>
      </c>
      <c r="C507" s="2">
        <v>9.3712346496823393</v>
      </c>
      <c r="D507" s="2">
        <v>-6.6799265295958303</v>
      </c>
      <c r="E507" s="3">
        <v>3.53279185054001E-7</v>
      </c>
      <c r="F507" s="3">
        <v>2.7070610079415799E-5</v>
      </c>
      <c r="G507" s="2">
        <v>8.3110240799428894</v>
      </c>
      <c r="H507" s="1" t="str">
        <f>"PCDH9"</f>
        <v>PCDH9</v>
      </c>
    </row>
    <row r="508" spans="1:8">
      <c r="A508" s="2" t="str">
        <f>"209156_s_at"</f>
        <v>209156_s_at</v>
      </c>
      <c r="B508" s="2">
        <v>-1.5887191748370499</v>
      </c>
      <c r="C508" s="2">
        <v>13.2741703866034</v>
      </c>
      <c r="D508" s="2">
        <v>-7.1725618257477404</v>
      </c>
      <c r="E508" s="3">
        <v>1.00723330503872E-7</v>
      </c>
      <c r="F508" s="3">
        <v>1.12841795985663E-5</v>
      </c>
      <c r="G508" s="2">
        <v>9.4948978333157399</v>
      </c>
      <c r="H508" s="1" t="str">
        <f>"COL6A2"</f>
        <v>COL6A2</v>
      </c>
    </row>
    <row r="509" spans="1:8">
      <c r="A509" s="2" t="str">
        <f>"232462_s_at"</f>
        <v>232462_s_at</v>
      </c>
      <c r="B509" s="2">
        <v>-1.58802631065933</v>
      </c>
      <c r="C509" s="2">
        <v>5.3568034287277504</v>
      </c>
      <c r="D509" s="2">
        <v>-4.3759724577874097</v>
      </c>
      <c r="E509" s="2">
        <v>1.6151708315885301E-4</v>
      </c>
      <c r="F509" s="2">
        <v>2.6856099697216002E-3</v>
      </c>
      <c r="G509" s="2">
        <v>2.4998269346978401</v>
      </c>
      <c r="H509" s="1" t="str">
        <f>"A1BG-AS1"</f>
        <v>A1BG-AS1</v>
      </c>
    </row>
    <row r="510" spans="1:8">
      <c r="A510" s="2" t="str">
        <f>"223843_at"</f>
        <v>223843_at</v>
      </c>
      <c r="B510" s="2">
        <v>-1.5870460979923</v>
      </c>
      <c r="C510" s="2">
        <v>9.1525523700419207</v>
      </c>
      <c r="D510" s="2">
        <v>-6.6314722961600001</v>
      </c>
      <c r="E510" s="3">
        <v>4.0027972739716602E-7</v>
      </c>
      <c r="F510" s="3">
        <v>2.95201461638945E-5</v>
      </c>
      <c r="G510" s="2">
        <v>8.1929350359376496</v>
      </c>
      <c r="H510" s="1" t="str">
        <f>"SCARA3"</f>
        <v>SCARA3</v>
      </c>
    </row>
    <row r="511" spans="1:8">
      <c r="A511" s="2" t="str">
        <f>"212190_at"</f>
        <v>212190_at</v>
      </c>
      <c r="B511" s="2">
        <v>-1.5869099190981</v>
      </c>
      <c r="C511" s="2">
        <v>9.9684396736566292</v>
      </c>
      <c r="D511" s="2">
        <v>-9.2577800295669608</v>
      </c>
      <c r="E511" s="3">
        <v>6.9717553098823103E-10</v>
      </c>
      <c r="F511" s="3">
        <v>3.7007837045418998E-7</v>
      </c>
      <c r="G511" s="2">
        <v>14.1223732854726</v>
      </c>
      <c r="H511" s="1" t="str">
        <f>"SERPINE2"</f>
        <v>SERPINE2</v>
      </c>
    </row>
    <row r="512" spans="1:8">
      <c r="A512" s="2" t="str">
        <f>"226047_at"</f>
        <v>226047_at</v>
      </c>
      <c r="B512" s="2">
        <v>-1.5862027070739899</v>
      </c>
      <c r="C512" s="2">
        <v>11.9418168101441</v>
      </c>
      <c r="D512" s="2">
        <v>-7.1276287422080902</v>
      </c>
      <c r="E512" s="3">
        <v>1.1280493838632601E-7</v>
      </c>
      <c r="F512" s="3">
        <v>1.21088110396877E-5</v>
      </c>
      <c r="G512" s="2">
        <v>9.3882309302224201</v>
      </c>
      <c r="H512" s="1" t="str">
        <f>"MRVI1"</f>
        <v>MRVI1</v>
      </c>
    </row>
    <row r="513" spans="1:8">
      <c r="A513" s="2" t="str">
        <f>"240869_at"</f>
        <v>240869_at</v>
      </c>
      <c r="B513" s="2">
        <v>-1.58504716640598</v>
      </c>
      <c r="C513" s="2">
        <v>8.7795850423153592</v>
      </c>
      <c r="D513" s="2">
        <v>-5.7363525274436498</v>
      </c>
      <c r="E513" s="3">
        <v>4.1904886792255802E-6</v>
      </c>
      <c r="F513" s="2">
        <v>1.6711522139799999E-4</v>
      </c>
      <c r="G513" s="2">
        <v>5.9665615590998096</v>
      </c>
      <c r="H513" s="1" t="str">
        <f>"KCNB1"</f>
        <v>KCNB1</v>
      </c>
    </row>
    <row r="514" spans="1:8">
      <c r="A514" s="2" t="str">
        <f>"204162_at"</f>
        <v>204162_at</v>
      </c>
      <c r="B514" s="2">
        <v>-1.5848320437111101</v>
      </c>
      <c r="C514" s="2">
        <v>8.5764400777371392</v>
      </c>
      <c r="D514" s="2">
        <v>-5.5476269444911503</v>
      </c>
      <c r="E514" s="3">
        <v>6.93197017279988E-6</v>
      </c>
      <c r="F514" s="2">
        <v>2.4462748635358E-4</v>
      </c>
      <c r="G514" s="2">
        <v>5.4883978661638597</v>
      </c>
      <c r="H514" s="1" t="str">
        <f>"NDC80"</f>
        <v>NDC80</v>
      </c>
    </row>
    <row r="515" spans="1:8">
      <c r="A515" s="2" t="str">
        <f>"229404_at"</f>
        <v>229404_at</v>
      </c>
      <c r="B515" s="2">
        <v>-1.5846857664854499</v>
      </c>
      <c r="C515" s="2">
        <v>10.344890541283</v>
      </c>
      <c r="D515" s="2">
        <v>-5.9575396185194602</v>
      </c>
      <c r="E515" s="3">
        <v>2.33037687637009E-6</v>
      </c>
      <c r="F515" s="2">
        <v>1.06089388605774E-4</v>
      </c>
      <c r="G515" s="2">
        <v>6.5237152687907702</v>
      </c>
      <c r="H515" s="1" t="str">
        <f>"TWIST2"</f>
        <v>TWIST2</v>
      </c>
    </row>
    <row r="516" spans="1:8">
      <c r="A516" s="2" t="str">
        <f>"220821_at"</f>
        <v>220821_at</v>
      </c>
      <c r="B516" s="2">
        <v>-1.5840360727529199</v>
      </c>
      <c r="C516" s="2">
        <v>4.5056626804348197</v>
      </c>
      <c r="D516" s="2">
        <v>-3.3071522830612499</v>
      </c>
      <c r="E516" s="2">
        <v>2.6632368494107499E-3</v>
      </c>
      <c r="F516" s="2">
        <v>2.2565082092287799E-2</v>
      </c>
      <c r="G516" s="2">
        <v>-0.13081157955270201</v>
      </c>
      <c r="H516" s="1" t="str">
        <f>"GALR1"</f>
        <v>GALR1</v>
      </c>
    </row>
    <row r="517" spans="1:8">
      <c r="A517" s="2" t="str">
        <f>"226997_at"</f>
        <v>226997_at</v>
      </c>
      <c r="B517" s="2">
        <v>-1.5838881198706201</v>
      </c>
      <c r="C517" s="2">
        <v>6.6044089658353498</v>
      </c>
      <c r="D517" s="2">
        <v>-4.1972144704793104</v>
      </c>
      <c r="E517" s="2">
        <v>2.6050894124179502E-4</v>
      </c>
      <c r="F517" s="2">
        <v>3.8267937566886499E-3</v>
      </c>
      <c r="G517" s="2">
        <v>2.0479112646660602</v>
      </c>
      <c r="H517" s="1" t="str">
        <f>"ADAMTS12"</f>
        <v>ADAMTS12</v>
      </c>
    </row>
    <row r="518" spans="1:8">
      <c r="A518" s="2" t="str">
        <f>"227486_at"</f>
        <v>227486_at</v>
      </c>
      <c r="B518" s="2">
        <v>-1.5834384304176501</v>
      </c>
      <c r="C518" s="2">
        <v>7.7744743488038104</v>
      </c>
      <c r="D518" s="2">
        <v>-6.6873802088305103</v>
      </c>
      <c r="E518" s="3">
        <v>3.4656389176998099E-7</v>
      </c>
      <c r="F518" s="3">
        <v>2.67632496928301E-5</v>
      </c>
      <c r="G518" s="2">
        <v>8.3291645800827308</v>
      </c>
      <c r="H518" s="1" t="str">
        <f>"NT5E"</f>
        <v>NT5E</v>
      </c>
    </row>
    <row r="519" spans="1:8">
      <c r="A519" s="2" t="str">
        <f>"224506_s_at"</f>
        <v>224506_s_at</v>
      </c>
      <c r="B519" s="2">
        <v>-1.5823935734110901</v>
      </c>
      <c r="C519" s="2">
        <v>7.6230249589414401</v>
      </c>
      <c r="D519" s="2">
        <v>-5.2254549558677201</v>
      </c>
      <c r="E519" s="3">
        <v>1.644025372174E-5</v>
      </c>
      <c r="F519" s="2">
        <v>4.71353367716904E-4</v>
      </c>
      <c r="G519" s="2">
        <v>4.6677666689375696</v>
      </c>
      <c r="H519" s="1" t="str">
        <f>"PLPP7"</f>
        <v>PLPP7</v>
      </c>
    </row>
    <row r="520" spans="1:8">
      <c r="A520" s="2" t="str">
        <f>"223987_at"</f>
        <v>223987_at</v>
      </c>
      <c r="B520" s="2">
        <v>-1.58152327045555</v>
      </c>
      <c r="C520" s="2">
        <v>7.9471958548015804</v>
      </c>
      <c r="D520" s="2">
        <v>-3.5122305887209602</v>
      </c>
      <c r="E520" s="2">
        <v>1.5767810377206499E-3</v>
      </c>
      <c r="F520" s="2">
        <v>1.5261197245065699E-2</v>
      </c>
      <c r="G520" s="2">
        <v>0.35669893093055699</v>
      </c>
      <c r="H520" s="1" t="str">
        <f>"CHRDL2"</f>
        <v>CHRDL2</v>
      </c>
    </row>
    <row r="521" spans="1:8">
      <c r="A521" s="2" t="str">
        <f>"203680_at"</f>
        <v>203680_at</v>
      </c>
      <c r="B521" s="2">
        <v>-1.58143171570164</v>
      </c>
      <c r="C521" s="2">
        <v>10.491261045085899</v>
      </c>
      <c r="D521" s="2">
        <v>-7.57307256665504</v>
      </c>
      <c r="E521" s="3">
        <v>3.7098077513188702E-8</v>
      </c>
      <c r="F521" s="3">
        <v>5.6454358259308799E-6</v>
      </c>
      <c r="G521" s="2">
        <v>10.433365833265601</v>
      </c>
      <c r="H521" s="1" t="str">
        <f>"PRKAR2B"</f>
        <v>PRKAR2B</v>
      </c>
    </row>
    <row r="522" spans="1:8">
      <c r="A522" s="2" t="str">
        <f>"240947_at"</f>
        <v>240947_at</v>
      </c>
      <c r="B522" s="2">
        <v>-1.5813292348093599</v>
      </c>
      <c r="C522" s="2">
        <v>4.8468359759536099</v>
      </c>
      <c r="D522" s="2">
        <v>-3.2503940319047802</v>
      </c>
      <c r="E522" s="2">
        <v>3.0739919659170199E-3</v>
      </c>
      <c r="F522" s="2">
        <v>2.5111386633275501E-2</v>
      </c>
      <c r="G522" s="2">
        <v>-0.26369536878801902</v>
      </c>
      <c r="H522" s="1" t="str">
        <f>"ANO6"</f>
        <v>ANO6</v>
      </c>
    </row>
    <row r="523" spans="1:8">
      <c r="A523" s="2" t="str">
        <f>"205884_at"</f>
        <v>205884_at</v>
      </c>
      <c r="B523" s="2">
        <v>-1.58113208623367</v>
      </c>
      <c r="C523" s="2">
        <v>4.5668717381535204</v>
      </c>
      <c r="D523" s="2">
        <v>-3.0952019341617101</v>
      </c>
      <c r="E523" s="2">
        <v>4.5317409286694497E-3</v>
      </c>
      <c r="F523" s="2">
        <v>3.3834894889389899E-2</v>
      </c>
      <c r="G523" s="2">
        <v>-0.62197184165997699</v>
      </c>
      <c r="H523" s="1" t="str">
        <f>"ITGA4"</f>
        <v>ITGA4</v>
      </c>
    </row>
    <row r="524" spans="1:8">
      <c r="A524" s="2" t="str">
        <f>"1556325_at"</f>
        <v>1556325_at</v>
      </c>
      <c r="B524" s="2">
        <v>-1.5810764018855801</v>
      </c>
      <c r="C524" s="2">
        <v>5.9819416550005098</v>
      </c>
      <c r="D524" s="2">
        <v>-2.9356443539033101</v>
      </c>
      <c r="E524" s="2">
        <v>6.7081713678833104E-3</v>
      </c>
      <c r="F524" s="2">
        <v>4.5482300290057003E-2</v>
      </c>
      <c r="G524" s="2">
        <v>-0.98182326978422996</v>
      </c>
      <c r="H524" s="1" t="str">
        <f>"FILIP1"</f>
        <v>FILIP1</v>
      </c>
    </row>
    <row r="525" spans="1:8">
      <c r="A525" s="2" t="str">
        <f>"231969_at"</f>
        <v>231969_at</v>
      </c>
      <c r="B525" s="2">
        <v>-1.5798201416447799</v>
      </c>
      <c r="C525" s="2">
        <v>9.1915943045505806</v>
      </c>
      <c r="D525" s="2">
        <v>-5.7833820249190504</v>
      </c>
      <c r="E525" s="3">
        <v>3.6978541972244599E-6</v>
      </c>
      <c r="F525" s="2">
        <v>1.5178692059553101E-4</v>
      </c>
      <c r="G525" s="2">
        <v>6.0853421426376402</v>
      </c>
      <c r="H525" s="1" t="str">
        <f>"STOX2"</f>
        <v>STOX2</v>
      </c>
    </row>
    <row r="526" spans="1:8">
      <c r="A526" s="2" t="str">
        <f>"244108_at"</f>
        <v>244108_at</v>
      </c>
      <c r="B526" s="2">
        <v>-1.57971378962298</v>
      </c>
      <c r="C526" s="2">
        <v>8.5026948970876202</v>
      </c>
      <c r="D526" s="2">
        <v>-3.9031316770359199</v>
      </c>
      <c r="E526" s="2">
        <v>5.6855367998596897E-4</v>
      </c>
      <c r="F526" s="2">
        <v>6.9854912572480396E-3</v>
      </c>
      <c r="G526" s="2">
        <v>1.3123021089520299</v>
      </c>
      <c r="H526" s="1" t="str">
        <f>"SYNPO2"</f>
        <v>SYNPO2</v>
      </c>
    </row>
    <row r="527" spans="1:8">
      <c r="A527" s="2" t="str">
        <f>"222920_s_at"</f>
        <v>222920_s_at</v>
      </c>
      <c r="B527" s="2">
        <v>-1.5790888405859</v>
      </c>
      <c r="C527" s="2">
        <v>5.2955885158178502</v>
      </c>
      <c r="D527" s="2">
        <v>-4.3552467972432103</v>
      </c>
      <c r="E527" s="2">
        <v>1.7073978342884E-4</v>
      </c>
      <c r="F527" s="2">
        <v>2.8033626603518901E-3</v>
      </c>
      <c r="G527" s="2">
        <v>2.4472866942035201</v>
      </c>
      <c r="H527" s="1" t="str">
        <f>"TESPA1"</f>
        <v>TESPA1</v>
      </c>
    </row>
    <row r="528" spans="1:8">
      <c r="A528" s="2" t="str">
        <f>"204058_at"</f>
        <v>204058_at</v>
      </c>
      <c r="B528" s="2">
        <v>-1.57866543219723</v>
      </c>
      <c r="C528" s="2">
        <v>8.8576707176821792</v>
      </c>
      <c r="D528" s="2">
        <v>-5.3939760412442999</v>
      </c>
      <c r="E528" s="3">
        <v>1.04586109112674E-5</v>
      </c>
      <c r="F528" s="2">
        <v>3.3628394615620199E-4</v>
      </c>
      <c r="G528" s="2">
        <v>5.0975826688941401</v>
      </c>
      <c r="H528" s="1" t="str">
        <f>"ME1"</f>
        <v>ME1</v>
      </c>
    </row>
    <row r="529" spans="1:8">
      <c r="A529" s="2" t="str">
        <f>"231220_at"</f>
        <v>231220_at</v>
      </c>
      <c r="B529" s="2">
        <v>-1.57819410242796</v>
      </c>
      <c r="C529" s="2">
        <v>4.4846103691392996</v>
      </c>
      <c r="D529" s="2">
        <v>-3.53290901711043</v>
      </c>
      <c r="E529" s="2">
        <v>1.4949045471917199E-3</v>
      </c>
      <c r="F529" s="2">
        <v>1.4657739757426E-2</v>
      </c>
      <c r="G529" s="2">
        <v>0.40644624679789898</v>
      </c>
      <c r="H529" s="1" t="str">
        <f>"CELF4"</f>
        <v>CELF4</v>
      </c>
    </row>
    <row r="530" spans="1:8">
      <c r="A530" s="2" t="str">
        <f>"225566_at"</f>
        <v>225566_at</v>
      </c>
      <c r="B530" s="2">
        <v>-1.5781751504874</v>
      </c>
      <c r="C530" s="2">
        <v>7.8599393279094496</v>
      </c>
      <c r="D530" s="2">
        <v>-5.7450201559324698</v>
      </c>
      <c r="E530" s="3">
        <v>4.0949568529982397E-6</v>
      </c>
      <c r="F530" s="2">
        <v>1.6462629848358699E-4</v>
      </c>
      <c r="G530" s="2">
        <v>5.9884651111102496</v>
      </c>
      <c r="H530" s="1" t="str">
        <f>"NRP2"</f>
        <v>NRP2</v>
      </c>
    </row>
    <row r="531" spans="1:8">
      <c r="A531" s="2" t="str">
        <f>"209829_at"</f>
        <v>209829_at</v>
      </c>
      <c r="B531" s="2">
        <v>-1.57644567709688</v>
      </c>
      <c r="C531" s="2">
        <v>7.5888552311693998</v>
      </c>
      <c r="D531" s="2">
        <v>-4.7464835479359904</v>
      </c>
      <c r="E531" s="3">
        <v>5.9673280592954202E-5</v>
      </c>
      <c r="F531" s="2">
        <v>1.25582625728244E-3</v>
      </c>
      <c r="G531" s="2">
        <v>3.44345700121962</v>
      </c>
      <c r="H531" s="1" t="str">
        <f>"RIPOR2"</f>
        <v>RIPOR2</v>
      </c>
    </row>
    <row r="532" spans="1:8">
      <c r="A532" s="2" t="str">
        <f>"204428_s_at"</f>
        <v>204428_s_at</v>
      </c>
      <c r="B532" s="2">
        <v>-1.57578698348062</v>
      </c>
      <c r="C532" s="2">
        <v>7.7122905857466399</v>
      </c>
      <c r="D532" s="2">
        <v>-4.76839546430383</v>
      </c>
      <c r="E532" s="3">
        <v>5.6254581391645602E-5</v>
      </c>
      <c r="F532" s="2">
        <v>1.20051492489782E-3</v>
      </c>
      <c r="G532" s="2">
        <v>3.4994392352749699</v>
      </c>
      <c r="H532" s="1" t="str">
        <f>"LCAT"</f>
        <v>LCAT</v>
      </c>
    </row>
    <row r="533" spans="1:8">
      <c r="A533" s="2" t="str">
        <f>"1553911_at"</f>
        <v>1553911_at</v>
      </c>
      <c r="B533" s="2">
        <v>-1.5750410410754501</v>
      </c>
      <c r="C533" s="2">
        <v>5.5257811014008702</v>
      </c>
      <c r="D533" s="2">
        <v>-3.9354388816422499</v>
      </c>
      <c r="E533" s="2">
        <v>5.2207417562243497E-4</v>
      </c>
      <c r="F533" s="2">
        <v>6.5319005840175299E-3</v>
      </c>
      <c r="G533" s="2">
        <v>1.3925279495948899</v>
      </c>
      <c r="H533" s="1" t="str">
        <f>"ZNF663P"</f>
        <v>ZNF663P</v>
      </c>
    </row>
    <row r="534" spans="1:8">
      <c r="A534" s="2" t="str">
        <f>"217452_s_at"</f>
        <v>217452_s_at</v>
      </c>
      <c r="B534" s="2">
        <v>-1.5749343740908499</v>
      </c>
      <c r="C534" s="2">
        <v>7.4699462831649797</v>
      </c>
      <c r="D534" s="2">
        <v>-4.6332075530035901</v>
      </c>
      <c r="E534" s="3">
        <v>8.0943690548654799E-5</v>
      </c>
      <c r="F534" s="2">
        <v>1.58851266358496E-3</v>
      </c>
      <c r="G534" s="2">
        <v>3.1542757706819802</v>
      </c>
      <c r="H534" s="1" t="str">
        <f>"B3GALT2"</f>
        <v>B3GALT2</v>
      </c>
    </row>
    <row r="535" spans="1:8">
      <c r="A535" s="2" t="str">
        <f>"227976_at"</f>
        <v>227976_at</v>
      </c>
      <c r="B535" s="2">
        <v>-1.5735068269938199</v>
      </c>
      <c r="C535" s="2">
        <v>7.26963774774649</v>
      </c>
      <c r="D535" s="2">
        <v>-4.7368066005968297</v>
      </c>
      <c r="E535" s="3">
        <v>6.1248371759406605E-5</v>
      </c>
      <c r="F535" s="2">
        <v>1.27912709165224E-3</v>
      </c>
      <c r="G535" s="2">
        <v>3.4187374062767502</v>
      </c>
      <c r="H535" s="1" t="str">
        <f>"SMIM10"</f>
        <v>SMIM10</v>
      </c>
    </row>
    <row r="536" spans="1:8">
      <c r="A536" s="2" t="str">
        <f>"239367_at"</f>
        <v>239367_at</v>
      </c>
      <c r="B536" s="2">
        <v>-1.5734674252192</v>
      </c>
      <c r="C536" s="2">
        <v>6.4756619586415898</v>
      </c>
      <c r="D536" s="2">
        <v>-4.6294722736715199</v>
      </c>
      <c r="E536" s="3">
        <v>8.1761153909724706E-5</v>
      </c>
      <c r="F536" s="2">
        <v>1.5999610200480301E-3</v>
      </c>
      <c r="G536" s="2">
        <v>3.14474775646323</v>
      </c>
      <c r="H536" s="1" t="str">
        <f>"BDNF"</f>
        <v>BDNF</v>
      </c>
    </row>
    <row r="537" spans="1:8">
      <c r="A537" s="2" t="str">
        <f>"206589_at"</f>
        <v>206589_at</v>
      </c>
      <c r="B537" s="2">
        <v>-1.57288603154628</v>
      </c>
      <c r="C537" s="2">
        <v>4.7482751924298103</v>
      </c>
      <c r="D537" s="2">
        <v>-3.8447650714442898</v>
      </c>
      <c r="E537" s="2">
        <v>6.63045168155646E-4</v>
      </c>
      <c r="F537" s="2">
        <v>7.8569559100368294E-3</v>
      </c>
      <c r="G537" s="2">
        <v>1.1677895450164899</v>
      </c>
      <c r="H537" s="1" t="str">
        <f>"GFI1"</f>
        <v>GFI1</v>
      </c>
    </row>
    <row r="538" spans="1:8">
      <c r="A538" s="2" t="str">
        <f>"200931_s_at"</f>
        <v>200931_s_at</v>
      </c>
      <c r="B538" s="2">
        <v>-1.5708134565060401</v>
      </c>
      <c r="C538" s="2">
        <v>13.346426671285601</v>
      </c>
      <c r="D538" s="2">
        <v>-8.3977942504835905</v>
      </c>
      <c r="E538" s="3">
        <v>5.0599693326634901E-9</v>
      </c>
      <c r="F538" s="3">
        <v>1.3695733824919599E-6</v>
      </c>
      <c r="G538" s="2">
        <v>12.2926680199886</v>
      </c>
      <c r="H538" s="1" t="str">
        <f>"VCL"</f>
        <v>VCL</v>
      </c>
    </row>
    <row r="539" spans="1:8">
      <c r="A539" s="2" t="str">
        <f>"207763_at"</f>
        <v>207763_at</v>
      </c>
      <c r="B539" s="2">
        <v>-1.56983618560586</v>
      </c>
      <c r="C539" s="2">
        <v>4.6502212554976001</v>
      </c>
      <c r="D539" s="2">
        <v>-3.0984477960802099</v>
      </c>
      <c r="E539" s="2">
        <v>4.4953912807767704E-3</v>
      </c>
      <c r="F539" s="2">
        <v>3.3609396728629802E-2</v>
      </c>
      <c r="G539" s="2">
        <v>-0.61455857576941197</v>
      </c>
      <c r="H539" s="1" t="str">
        <f>"S100A5"</f>
        <v>S100A5</v>
      </c>
    </row>
    <row r="540" spans="1:8">
      <c r="A540" s="2" t="str">
        <f>"1562389_at"</f>
        <v>1562389_at</v>
      </c>
      <c r="B540" s="2">
        <v>-1.5690050559873601</v>
      </c>
      <c r="C540" s="2">
        <v>5.28420837433743</v>
      </c>
      <c r="D540" s="2">
        <v>-4.5333288777765004</v>
      </c>
      <c r="E540" s="2">
        <v>1.05879800461255E-4</v>
      </c>
      <c r="F540" s="2">
        <v>1.94915087212765E-3</v>
      </c>
      <c r="G540" s="2">
        <v>2.89971980682482</v>
      </c>
      <c r="H540" s="1" t="str">
        <f>"LOC101927359"</f>
        <v>LOC101927359</v>
      </c>
    </row>
    <row r="541" spans="1:8">
      <c r="A541" s="2" t="str">
        <f>"238584_at"</f>
        <v>238584_at</v>
      </c>
      <c r="B541" s="2">
        <v>-1.568805934854</v>
      </c>
      <c r="C541" s="2">
        <v>6.1625797747280204</v>
      </c>
      <c r="D541" s="2">
        <v>-5.1173225695989704</v>
      </c>
      <c r="E541" s="3">
        <v>2.19873210706184E-5</v>
      </c>
      <c r="F541" s="2">
        <v>5.8987084373702799E-4</v>
      </c>
      <c r="G541" s="2">
        <v>4.3915221069499699</v>
      </c>
      <c r="H541" s="1" t="str">
        <f>"IQCA1"</f>
        <v>IQCA1</v>
      </c>
    </row>
    <row r="542" spans="1:8">
      <c r="A542" s="2" t="str">
        <f>"239093_at"</f>
        <v>239093_at</v>
      </c>
      <c r="B542" s="2">
        <v>-1.5684767386223899</v>
      </c>
      <c r="C542" s="2">
        <v>7.2368275844274201</v>
      </c>
      <c r="D542" s="2">
        <v>-6.7361265765029499</v>
      </c>
      <c r="E542" s="3">
        <v>3.0573138988825702E-7</v>
      </c>
      <c r="F542" s="3">
        <v>2.4557537201012399E-5</v>
      </c>
      <c r="G542" s="2">
        <v>8.4476353427815791</v>
      </c>
      <c r="H542" s="1" t="str">
        <f>"HOGA1"</f>
        <v>HOGA1</v>
      </c>
    </row>
    <row r="543" spans="1:8">
      <c r="A543" s="2" t="str">
        <f>"208399_s_at"</f>
        <v>208399_s_at</v>
      </c>
      <c r="B543" s="2">
        <v>-1.56825487292822</v>
      </c>
      <c r="C543" s="2">
        <v>7.4432067657946996</v>
      </c>
      <c r="D543" s="2">
        <v>-4.5438356994773201</v>
      </c>
      <c r="E543" s="2">
        <v>1.02932066159557E-4</v>
      </c>
      <c r="F543" s="2">
        <v>1.90886081735839E-3</v>
      </c>
      <c r="G543" s="2">
        <v>2.9264750306826901</v>
      </c>
      <c r="H543" s="1" t="str">
        <f>"EDN3"</f>
        <v>EDN3</v>
      </c>
    </row>
    <row r="544" spans="1:8">
      <c r="A544" s="2" t="str">
        <f>"231118_at"</f>
        <v>231118_at</v>
      </c>
      <c r="B544" s="2">
        <v>-1.5680829417036599</v>
      </c>
      <c r="C544" s="2">
        <v>8.9238719884375595</v>
      </c>
      <c r="D544" s="2">
        <v>-7.6318177368494897</v>
      </c>
      <c r="E544" s="3">
        <v>3.2096629020472499E-8</v>
      </c>
      <c r="F544" s="3">
        <v>5.1984552280173998E-6</v>
      </c>
      <c r="G544" s="2">
        <v>10.5691107849684</v>
      </c>
      <c r="H544" s="1" t="str">
        <f>"ANKRD35"</f>
        <v>ANKRD35</v>
      </c>
    </row>
    <row r="545" spans="1:8">
      <c r="A545" s="2" t="str">
        <f>"232434_at"</f>
        <v>232434_at</v>
      </c>
      <c r="B545" s="2">
        <v>-1.5671054711956101</v>
      </c>
      <c r="C545" s="2">
        <v>3.5105519104555398</v>
      </c>
      <c r="D545" s="2">
        <v>-4.0579865673838098</v>
      </c>
      <c r="E545" s="2">
        <v>3.7736744577992099E-4</v>
      </c>
      <c r="F545" s="2">
        <v>5.1020190647915898E-3</v>
      </c>
      <c r="G545" s="2">
        <v>1.6982359543057199</v>
      </c>
      <c r="H545" s="1" t="str">
        <f>"DIRC3"</f>
        <v>DIRC3</v>
      </c>
    </row>
    <row r="546" spans="1:8">
      <c r="A546" s="2" t="str">
        <f>"32094_at"</f>
        <v>32094_at</v>
      </c>
      <c r="B546" s="2">
        <v>-1.56710347340279</v>
      </c>
      <c r="C546" s="2">
        <v>9.0590320745593491</v>
      </c>
      <c r="D546" s="2">
        <v>-6.3413807201705596</v>
      </c>
      <c r="E546" s="3">
        <v>8.4988896161667205E-7</v>
      </c>
      <c r="F546" s="3">
        <v>5.0673586670001703E-5</v>
      </c>
      <c r="G546" s="2">
        <v>7.4802635357448199</v>
      </c>
      <c r="H546" s="1" t="str">
        <f>"CHST3"</f>
        <v>CHST3</v>
      </c>
    </row>
    <row r="547" spans="1:8">
      <c r="A547" s="2" t="str">
        <f>"220002_at"</f>
        <v>220002_at</v>
      </c>
      <c r="B547" s="2">
        <v>-1.5669859649309199</v>
      </c>
      <c r="C547" s="2">
        <v>5.5658652384124103</v>
      </c>
      <c r="D547" s="2">
        <v>-4.0024554724807304</v>
      </c>
      <c r="E547" s="2">
        <v>4.3725071307209798E-4</v>
      </c>
      <c r="F547" s="2">
        <v>5.6974935026732499E-3</v>
      </c>
      <c r="G547" s="2">
        <v>1.5594455790667401</v>
      </c>
      <c r="H547" s="1" t="str">
        <f>"KIF26B"</f>
        <v>KIF26B</v>
      </c>
    </row>
    <row r="548" spans="1:8">
      <c r="A548" s="2" t="str">
        <f>"233496_s_at"</f>
        <v>233496_s_at</v>
      </c>
      <c r="B548" s="2">
        <v>-1.56681997703473</v>
      </c>
      <c r="C548" s="2">
        <v>9.5966948802843604</v>
      </c>
      <c r="D548" s="2">
        <v>-4.9223067171329404</v>
      </c>
      <c r="E548" s="3">
        <v>3.7166637713291201E-5</v>
      </c>
      <c r="F548" s="2">
        <v>8.7817023205453602E-4</v>
      </c>
      <c r="G548" s="2">
        <v>3.8928964723244701</v>
      </c>
      <c r="H548" s="1" t="str">
        <f>"CFL2"</f>
        <v>CFL2</v>
      </c>
    </row>
    <row r="549" spans="1:8">
      <c r="A549" s="2" t="str">
        <f>"216733_s_at"</f>
        <v>216733_s_at</v>
      </c>
      <c r="B549" s="2">
        <v>-1.5635285167845601</v>
      </c>
      <c r="C549" s="2">
        <v>8.9759743117838795</v>
      </c>
      <c r="D549" s="2">
        <v>-5.5929447996182899</v>
      </c>
      <c r="E549" s="3">
        <v>6.1415863697995802E-6</v>
      </c>
      <c r="F549" s="2">
        <v>2.2386082317919499E-4</v>
      </c>
      <c r="G549" s="2">
        <v>5.6034219242598198</v>
      </c>
      <c r="H549" s="1" t="str">
        <f>"GATM"</f>
        <v>GATM</v>
      </c>
    </row>
    <row r="550" spans="1:8">
      <c r="A550" s="2" t="str">
        <f>"226911_at"</f>
        <v>226911_at</v>
      </c>
      <c r="B550" s="2">
        <v>-1.56332665444914</v>
      </c>
      <c r="C550" s="2">
        <v>8.6871827958986607</v>
      </c>
      <c r="D550" s="2">
        <v>-7.9877399289175699</v>
      </c>
      <c r="E550" s="3">
        <v>1.347482646418E-8</v>
      </c>
      <c r="F550" s="3">
        <v>2.72865235899645E-6</v>
      </c>
      <c r="G550" s="2">
        <v>11.3808187157851</v>
      </c>
      <c r="H550" s="1" t="str">
        <f>"EGFLAM"</f>
        <v>EGFLAM</v>
      </c>
    </row>
    <row r="551" spans="1:8">
      <c r="A551" s="2" t="str">
        <f>"206737_at"</f>
        <v>206737_at</v>
      </c>
      <c r="B551" s="2">
        <v>-1.5629267941098699</v>
      </c>
      <c r="C551" s="2">
        <v>5.0053074410224898</v>
      </c>
      <c r="D551" s="2">
        <v>-4.0170198455437003</v>
      </c>
      <c r="E551" s="2">
        <v>4.2069511279580997E-4</v>
      </c>
      <c r="F551" s="2">
        <v>5.5318675546202302E-3</v>
      </c>
      <c r="G551" s="2">
        <v>1.59580614594345</v>
      </c>
      <c r="H551" s="1" t="str">
        <f>"WNT11"</f>
        <v>WNT11</v>
      </c>
    </row>
    <row r="552" spans="1:8">
      <c r="A552" s="2" t="str">
        <f>"225687_at"</f>
        <v>225687_at</v>
      </c>
      <c r="B552" s="2">
        <v>-1.5628736175951701</v>
      </c>
      <c r="C552" s="2">
        <v>8.5848522309388091</v>
      </c>
      <c r="D552" s="2">
        <v>-3.9769802415181799</v>
      </c>
      <c r="E552" s="2">
        <v>4.6776468975684503E-4</v>
      </c>
      <c r="F552" s="2">
        <v>6.0077600217184699E-3</v>
      </c>
      <c r="G552" s="2">
        <v>1.4959174512750799</v>
      </c>
      <c r="H552" s="1" t="str">
        <f>"FAM83D"</f>
        <v>FAM83D</v>
      </c>
    </row>
    <row r="553" spans="1:8">
      <c r="A553" s="2" t="str">
        <f>"213381_at"</f>
        <v>213381_at</v>
      </c>
      <c r="B553" s="2">
        <v>-1.56285179926939</v>
      </c>
      <c r="C553" s="2">
        <v>8.2880633532217907</v>
      </c>
      <c r="D553" s="2">
        <v>-7.8026987176599603</v>
      </c>
      <c r="E553" s="3">
        <v>2.11156210609069E-8</v>
      </c>
      <c r="F553" s="3">
        <v>3.7241825209841502E-6</v>
      </c>
      <c r="G553" s="2">
        <v>10.9611338550471</v>
      </c>
      <c r="H553" s="1" t="str">
        <f>"VSTM4"</f>
        <v>VSTM4</v>
      </c>
    </row>
    <row r="554" spans="1:8">
      <c r="A554" s="2" t="str">
        <f>"228554_at"</f>
        <v>228554_at</v>
      </c>
      <c r="B554" s="2">
        <v>-1.56178291478971</v>
      </c>
      <c r="C554" s="2">
        <v>9.16962286664433</v>
      </c>
      <c r="D554" s="2">
        <v>-7.0966306260478902</v>
      </c>
      <c r="E554" s="3">
        <v>1.2199154441945999E-7</v>
      </c>
      <c r="F554" s="3">
        <v>1.2704547983112301E-5</v>
      </c>
      <c r="G554" s="2">
        <v>9.3144861306234503</v>
      </c>
      <c r="H554" s="1" t="str">
        <f>"PGR"</f>
        <v>PGR</v>
      </c>
    </row>
    <row r="555" spans="1:8">
      <c r="A555" s="2" t="str">
        <f>"217220_at"</f>
        <v>217220_at</v>
      </c>
      <c r="B555" s="2">
        <v>-1.5608021670952199</v>
      </c>
      <c r="C555" s="2">
        <v>7.8455731691353296</v>
      </c>
      <c r="D555" s="2">
        <v>-6.3104656374288899</v>
      </c>
      <c r="E555" s="3">
        <v>9.2135541128964505E-7</v>
      </c>
      <c r="F555" s="3">
        <v>5.3590539481129101E-5</v>
      </c>
      <c r="G555" s="2">
        <v>7.4037656675205401</v>
      </c>
      <c r="H555" s="1" t="str">
        <f>"LOC100287387"</f>
        <v>LOC100287387</v>
      </c>
    </row>
    <row r="556" spans="1:8">
      <c r="A556" s="2" t="str">
        <f>"204345_at"</f>
        <v>204345_at</v>
      </c>
      <c r="B556" s="2">
        <v>-1.5603248204879001</v>
      </c>
      <c r="C556" s="2">
        <v>10.4615217504391</v>
      </c>
      <c r="D556" s="2">
        <v>-9.4158753753455606</v>
      </c>
      <c r="E556" s="3">
        <v>4.8944116751278904E-10</v>
      </c>
      <c r="F556" s="3">
        <v>2.9406808608529302E-7</v>
      </c>
      <c r="G556" s="2">
        <v>14.4465170962527</v>
      </c>
      <c r="H556" s="1" t="str">
        <f>"COL16A1"</f>
        <v>COL16A1</v>
      </c>
    </row>
    <row r="557" spans="1:8">
      <c r="A557" s="2" t="str">
        <f>"226625_at"</f>
        <v>226625_at</v>
      </c>
      <c r="B557" s="2">
        <v>-1.5601475963202001</v>
      </c>
      <c r="C557" s="2">
        <v>10.8957705079089</v>
      </c>
      <c r="D557" s="2">
        <v>-9.1695709160633907</v>
      </c>
      <c r="E557" s="3">
        <v>8.50520342020182E-10</v>
      </c>
      <c r="F557" s="3">
        <v>4.2023336858024101E-7</v>
      </c>
      <c r="G557" s="2">
        <v>13.939872178764301</v>
      </c>
      <c r="H557" s="1" t="str">
        <f>"TGFBR3"</f>
        <v>TGFBR3</v>
      </c>
    </row>
    <row r="558" spans="1:8">
      <c r="A558" s="2" t="str">
        <f>"230673_at"</f>
        <v>230673_at</v>
      </c>
      <c r="B558" s="2">
        <v>-1.5595883391098999</v>
      </c>
      <c r="C558" s="2">
        <v>3.2382895771311802</v>
      </c>
      <c r="D558" s="2">
        <v>-3.5967297405005501</v>
      </c>
      <c r="E558" s="2">
        <v>1.2674313918429601E-3</v>
      </c>
      <c r="F558" s="2">
        <v>1.28900318729564E-2</v>
      </c>
      <c r="G558" s="2">
        <v>0.56060780789874898</v>
      </c>
      <c r="H558" s="1" t="str">
        <f>"PKHD1L1"</f>
        <v>PKHD1L1</v>
      </c>
    </row>
    <row r="559" spans="1:8">
      <c r="A559" s="2" t="str">
        <f>"202995_s_at"</f>
        <v>202995_s_at</v>
      </c>
      <c r="B559" s="2">
        <v>-1.55915901702371</v>
      </c>
      <c r="C559" s="2">
        <v>12.2006627306481</v>
      </c>
      <c r="D559" s="2">
        <v>-8.6957664499458804</v>
      </c>
      <c r="E559" s="3">
        <v>2.5181676334983199E-9</v>
      </c>
      <c r="F559" s="3">
        <v>8.4988157630568401E-7</v>
      </c>
      <c r="G559" s="2">
        <v>12.9393589021354</v>
      </c>
      <c r="H559" s="1" t="str">
        <f>"FBLN1"</f>
        <v>FBLN1</v>
      </c>
    </row>
    <row r="560" spans="1:8">
      <c r="A560" s="2" t="str">
        <f>"203998_s_at"</f>
        <v>203998_s_at</v>
      </c>
      <c r="B560" s="2">
        <v>-1.55852890620061</v>
      </c>
      <c r="C560" s="2">
        <v>6.5178448169013103</v>
      </c>
      <c r="D560" s="2">
        <v>-4.3567355853235803</v>
      </c>
      <c r="E560" s="2">
        <v>1.7006022140962301E-4</v>
      </c>
      <c r="F560" s="2">
        <v>2.7930437385314398E-3</v>
      </c>
      <c r="G560" s="2">
        <v>2.4510596829173101</v>
      </c>
      <c r="H560" s="1" t="str">
        <f>"SYT1"</f>
        <v>SYT1</v>
      </c>
    </row>
    <row r="561" spans="1:8">
      <c r="A561" s="2" t="str">
        <f>"205438_at"</f>
        <v>205438_at</v>
      </c>
      <c r="B561" s="2">
        <v>-1.5582497663327599</v>
      </c>
      <c r="C561" s="2">
        <v>5.6307589574214996</v>
      </c>
      <c r="D561" s="2">
        <v>-3.7733196444781201</v>
      </c>
      <c r="E561" s="2">
        <v>7.9984750318988105E-4</v>
      </c>
      <c r="F561" s="2">
        <v>9.0579250697818397E-3</v>
      </c>
      <c r="G561" s="2">
        <v>0.991686842104193</v>
      </c>
      <c r="H561" s="1" t="str">
        <f>"PTPN21"</f>
        <v>PTPN21</v>
      </c>
    </row>
    <row r="562" spans="1:8">
      <c r="A562" s="2" t="str">
        <f>"231166_at"</f>
        <v>231166_at</v>
      </c>
      <c r="B562" s="2">
        <v>-1.5580157801133701</v>
      </c>
      <c r="C562" s="2">
        <v>8.5579260275497209</v>
      </c>
      <c r="D562" s="2">
        <v>-6.4925995174660702</v>
      </c>
      <c r="E562" s="3">
        <v>5.7337141341347198E-7</v>
      </c>
      <c r="F562" s="3">
        <v>3.8137569377593099E-5</v>
      </c>
      <c r="G562" s="2">
        <v>7.8529528992375903</v>
      </c>
      <c r="H562" s="1" t="str">
        <f>"GPR155"</f>
        <v>GPR155</v>
      </c>
    </row>
    <row r="563" spans="1:8">
      <c r="A563" s="2" t="str">
        <f>"209948_at"</f>
        <v>209948_at</v>
      </c>
      <c r="B563" s="2">
        <v>-1.5578269255221699</v>
      </c>
      <c r="C563" s="2">
        <v>12.2683814180815</v>
      </c>
      <c r="D563" s="2">
        <v>-5.8567337979990199</v>
      </c>
      <c r="E563" s="3">
        <v>3.0434903512035098E-6</v>
      </c>
      <c r="F563" s="2">
        <v>1.3040974526022899E-4</v>
      </c>
      <c r="G563" s="2">
        <v>6.2702722700764202</v>
      </c>
      <c r="H563" s="1" t="str">
        <f>"KCNMB1"</f>
        <v>KCNMB1</v>
      </c>
    </row>
    <row r="564" spans="1:8">
      <c r="A564" s="2" t="str">
        <f>"212732_at"</f>
        <v>212732_at</v>
      </c>
      <c r="B564" s="2">
        <v>-1.55755027634023</v>
      </c>
      <c r="C564" s="2">
        <v>7.0384262176496399</v>
      </c>
      <c r="D564" s="2">
        <v>-4.8635380861189903</v>
      </c>
      <c r="E564" s="3">
        <v>4.3539885770943197E-5</v>
      </c>
      <c r="F564" s="2">
        <v>9.8614053625779591E-4</v>
      </c>
      <c r="G564" s="2">
        <v>3.7426260994249501</v>
      </c>
      <c r="H564" s="1" t="str">
        <f>"MEG3"</f>
        <v>MEG3</v>
      </c>
    </row>
    <row r="565" spans="1:8">
      <c r="A565" s="2" t="str">
        <f>"231741_at"</f>
        <v>231741_at</v>
      </c>
      <c r="B565" s="2">
        <v>-1.55721584393021</v>
      </c>
      <c r="C565" s="2">
        <v>6.6225927884512297</v>
      </c>
      <c r="D565" s="2">
        <v>-5.1813398432571303</v>
      </c>
      <c r="E565" s="3">
        <v>1.8509874313657001E-5</v>
      </c>
      <c r="F565" s="2">
        <v>5.1502665552122099E-4</v>
      </c>
      <c r="G565" s="2">
        <v>4.5550991234609404</v>
      </c>
      <c r="H565" s="1" t="str">
        <f>"S1PR3"</f>
        <v>S1PR3</v>
      </c>
    </row>
    <row r="566" spans="1:8">
      <c r="A566" s="2" t="str">
        <f>"205364_at"</f>
        <v>205364_at</v>
      </c>
      <c r="B566" s="2">
        <v>-1.55714428376309</v>
      </c>
      <c r="C566" s="2">
        <v>9.3222751407325397</v>
      </c>
      <c r="D566" s="2">
        <v>-6.7288375148227999</v>
      </c>
      <c r="E566" s="3">
        <v>3.1151125269212201E-7</v>
      </c>
      <c r="F566" s="3">
        <v>2.4900406054008399E-5</v>
      </c>
      <c r="G566" s="2">
        <v>8.4299388116974097</v>
      </c>
      <c r="H566" s="1" t="str">
        <f>"ACOX2"</f>
        <v>ACOX2</v>
      </c>
    </row>
    <row r="567" spans="1:8">
      <c r="A567" s="2" t="str">
        <f>"215847_at"</f>
        <v>215847_at</v>
      </c>
      <c r="B567" s="2">
        <v>-1.5571091345411501</v>
      </c>
      <c r="C567" s="2">
        <v>3.7722610665619101</v>
      </c>
      <c r="D567" s="2">
        <v>-3.49602755269393</v>
      </c>
      <c r="E567" s="2">
        <v>1.64396511400498E-3</v>
      </c>
      <c r="F567" s="2">
        <v>1.5746985390368302E-2</v>
      </c>
      <c r="G567" s="2">
        <v>0.31778971171817499</v>
      </c>
      <c r="H567" s="1" t="str">
        <f>"HERC2P3"</f>
        <v>HERC2P3</v>
      </c>
    </row>
    <row r="568" spans="1:8">
      <c r="A568" s="2" t="str">
        <f>"1554418_s_at"</f>
        <v>1554418_s_at</v>
      </c>
      <c r="B568" s="2">
        <v>-1.5564285851042901</v>
      </c>
      <c r="C568" s="2">
        <v>7.3666142522132896</v>
      </c>
      <c r="D568" s="2">
        <v>-5.7339804341122704</v>
      </c>
      <c r="E568" s="3">
        <v>4.2170231558118496E-6</v>
      </c>
      <c r="F568" s="2">
        <v>1.68050831664732E-4</v>
      </c>
      <c r="G568" s="2">
        <v>5.9605662203856102</v>
      </c>
      <c r="H568" s="1" t="str">
        <f>"SPOCK3"</f>
        <v>SPOCK3</v>
      </c>
    </row>
    <row r="569" spans="1:8">
      <c r="A569" s="2" t="str">
        <f>"201896_s_at"</f>
        <v>201896_s_at</v>
      </c>
      <c r="B569" s="2">
        <v>-1.5552164288791299</v>
      </c>
      <c r="C569" s="2">
        <v>8.4100532672422794</v>
      </c>
      <c r="D569" s="2">
        <v>-7.5428182145107403</v>
      </c>
      <c r="E569" s="3">
        <v>3.9977488187290901E-8</v>
      </c>
      <c r="F569" s="3">
        <v>5.90748423416251E-6</v>
      </c>
      <c r="G569" s="2">
        <v>10.3632627322965</v>
      </c>
      <c r="H569" s="1" t="str">
        <f>"PSRC1"</f>
        <v>PSRC1</v>
      </c>
    </row>
    <row r="570" spans="1:8">
      <c r="A570" s="2" t="str">
        <f>"232838_at"</f>
        <v>232838_at</v>
      </c>
      <c r="B570" s="2">
        <v>-1.55491188908106</v>
      </c>
      <c r="C570" s="2">
        <v>5.6517681210435704</v>
      </c>
      <c r="D570" s="2">
        <v>-4.4553006244864504</v>
      </c>
      <c r="E570" s="2">
        <v>1.3056304694769201E-4</v>
      </c>
      <c r="F570" s="2">
        <v>2.28475923958492E-3</v>
      </c>
      <c r="G570" s="2">
        <v>2.70122210090552</v>
      </c>
      <c r="H570" s="1" t="str">
        <f>"ASXL3"</f>
        <v>ASXL3</v>
      </c>
    </row>
    <row r="571" spans="1:8">
      <c r="A571" s="2" t="str">
        <f>"214348_at"</f>
        <v>214348_at</v>
      </c>
      <c r="B571" s="2">
        <v>-1.5549100935268001</v>
      </c>
      <c r="C571" s="2">
        <v>7.1742375572597199</v>
      </c>
      <c r="D571" s="2">
        <v>-3.1871533937061098</v>
      </c>
      <c r="E571" s="2">
        <v>3.6034082990736901E-3</v>
      </c>
      <c r="F571" s="2">
        <v>2.82744472950422E-2</v>
      </c>
      <c r="G571" s="2">
        <v>-0.41061618029147801</v>
      </c>
      <c r="H571" s="1" t="str">
        <f>"TACR2"</f>
        <v>TACR2</v>
      </c>
    </row>
    <row r="572" spans="1:8">
      <c r="A572" s="2" t="str">
        <f>"241752_at"</f>
        <v>241752_at</v>
      </c>
      <c r="B572" s="2">
        <v>-1.55443356452637</v>
      </c>
      <c r="C572" s="2">
        <v>7.6017989666243304</v>
      </c>
      <c r="D572" s="2">
        <v>-6.4205252541127003</v>
      </c>
      <c r="E572" s="3">
        <v>6.9147907521528695E-7</v>
      </c>
      <c r="F572" s="3">
        <v>4.35560120246495E-5</v>
      </c>
      <c r="G572" s="2">
        <v>7.6756350184540398</v>
      </c>
      <c r="H572" s="1" t="str">
        <f>"SLC8A1"</f>
        <v>SLC8A1</v>
      </c>
    </row>
    <row r="573" spans="1:8">
      <c r="A573" s="2" t="str">
        <f>"206262_at"</f>
        <v>206262_at</v>
      </c>
      <c r="B573" s="2">
        <v>-1.5537964469322201</v>
      </c>
      <c r="C573" s="2">
        <v>7.1485908324986296</v>
      </c>
      <c r="D573" s="2">
        <v>-5.5739665751762901</v>
      </c>
      <c r="E573" s="3">
        <v>6.4608867067863601E-6</v>
      </c>
      <c r="F573" s="2">
        <v>2.3255364100957499E-4</v>
      </c>
      <c r="G573" s="2">
        <v>5.5552668155814704</v>
      </c>
      <c r="H573" s="1" t="str">
        <f>"ADH1C"</f>
        <v>ADH1C</v>
      </c>
    </row>
    <row r="574" spans="1:8">
      <c r="A574" s="2" t="str">
        <f>"1569785_at"</f>
        <v>1569785_at</v>
      </c>
      <c r="B574" s="2">
        <v>-1.5532917195289599</v>
      </c>
      <c r="C574" s="2">
        <v>6.1726878949687602</v>
      </c>
      <c r="D574" s="2">
        <v>-4.9075822794816704</v>
      </c>
      <c r="E574" s="3">
        <v>3.8669994640057801E-5</v>
      </c>
      <c r="F574" s="2">
        <v>9.0131027386302395E-4</v>
      </c>
      <c r="G574" s="2">
        <v>3.8552441018219601</v>
      </c>
      <c r="H574" s="1" t="str">
        <f>"LOC101927943"</f>
        <v>LOC101927943</v>
      </c>
    </row>
    <row r="575" spans="1:8">
      <c r="A575" s="2" t="str">
        <f>"1553228_at"</f>
        <v>1553228_at</v>
      </c>
      <c r="B575" s="2">
        <v>-1.5517194460795101</v>
      </c>
      <c r="C575" s="2">
        <v>5.7231662897421298</v>
      </c>
      <c r="D575" s="2">
        <v>-5.0291328243448401</v>
      </c>
      <c r="E575" s="3">
        <v>2.7876558401885998E-5</v>
      </c>
      <c r="F575" s="2">
        <v>7.0791956833400702E-4</v>
      </c>
      <c r="G575" s="2">
        <v>4.16606865974234</v>
      </c>
      <c r="H575" s="1" t="str">
        <f>"CCDC89"</f>
        <v>CCDC89</v>
      </c>
    </row>
    <row r="576" spans="1:8">
      <c r="A576" s="2" t="str">
        <f>"1553322_s_at"</f>
        <v>1553322_s_at</v>
      </c>
      <c r="B576" s="2">
        <v>-1.55168687099168</v>
      </c>
      <c r="C576" s="2">
        <v>5.8906044947397396</v>
      </c>
      <c r="D576" s="2">
        <v>-6.1178248084365698</v>
      </c>
      <c r="E576" s="3">
        <v>1.5268860672909301E-6</v>
      </c>
      <c r="F576" s="3">
        <v>7.6941271994754201E-5</v>
      </c>
      <c r="G576" s="2">
        <v>6.9248779849897</v>
      </c>
      <c r="H576" s="1" t="str">
        <f>"TEAD1"</f>
        <v>TEAD1</v>
      </c>
    </row>
    <row r="577" spans="1:8">
      <c r="A577" s="2" t="str">
        <f>"235557_at"</f>
        <v>235557_at</v>
      </c>
      <c r="B577" s="2">
        <v>-1.5514307070005999</v>
      </c>
      <c r="C577" s="2">
        <v>6.0480865025112598</v>
      </c>
      <c r="D577" s="2">
        <v>-3.6325666709637199</v>
      </c>
      <c r="E577" s="2">
        <v>1.15486711697713E-3</v>
      </c>
      <c r="F577" s="2">
        <v>1.1995129107280501E-2</v>
      </c>
      <c r="G577" s="2">
        <v>0.64757127023919903</v>
      </c>
      <c r="H577" s="1" t="str">
        <f>"GPAT2"</f>
        <v>GPAT2</v>
      </c>
    </row>
    <row r="578" spans="1:8">
      <c r="A578" s="2" t="str">
        <f>"204844_at"</f>
        <v>204844_at</v>
      </c>
      <c r="B578" s="2">
        <v>-1.5513535663440701</v>
      </c>
      <c r="C578" s="2">
        <v>7.3804344938392497</v>
      </c>
      <c r="D578" s="2">
        <v>-5.8403438440478901</v>
      </c>
      <c r="E578" s="3">
        <v>3.1787428788510399E-6</v>
      </c>
      <c r="F578" s="2">
        <v>1.35356516278178E-4</v>
      </c>
      <c r="G578" s="2">
        <v>6.2289870580002598</v>
      </c>
      <c r="H578" s="1" t="str">
        <f>"ENPEP"</f>
        <v>ENPEP</v>
      </c>
    </row>
    <row r="579" spans="1:8">
      <c r="A579" s="2" t="str">
        <f>"200762_at"</f>
        <v>200762_at</v>
      </c>
      <c r="B579" s="2">
        <v>-1.5512854614406999</v>
      </c>
      <c r="C579" s="2">
        <v>11.4871806808304</v>
      </c>
      <c r="D579" s="2">
        <v>-10.7749738306689</v>
      </c>
      <c r="E579" s="3">
        <v>2.6687532505495201E-11</v>
      </c>
      <c r="F579" s="3">
        <v>3.3427337608212997E-8</v>
      </c>
      <c r="G579" s="2">
        <v>17.0795760940319</v>
      </c>
      <c r="H579" s="1" t="str">
        <f>"DPYSL2"</f>
        <v>DPYSL2</v>
      </c>
    </row>
    <row r="580" spans="1:8">
      <c r="A580" s="2" t="str">
        <f>"229799_s_at"</f>
        <v>229799_s_at</v>
      </c>
      <c r="B580" s="2">
        <v>-1.55092749641022</v>
      </c>
      <c r="C580" s="2">
        <v>6.5075844973208898</v>
      </c>
      <c r="D580" s="2">
        <v>-4.4366864267498096</v>
      </c>
      <c r="E580" s="2">
        <v>1.3725040570067E-4</v>
      </c>
      <c r="F580" s="2">
        <v>2.38076330319929E-3</v>
      </c>
      <c r="G580" s="2">
        <v>2.6539253556895002</v>
      </c>
      <c r="H580" s="1" t="str">
        <f>"NCAM1"</f>
        <v>NCAM1</v>
      </c>
    </row>
    <row r="581" spans="1:8">
      <c r="A581" s="2" t="str">
        <f>"213428_s_at"</f>
        <v>213428_s_at</v>
      </c>
      <c r="B581" s="2">
        <v>-1.5504731421972899</v>
      </c>
      <c r="C581" s="2">
        <v>12.961065479966599</v>
      </c>
      <c r="D581" s="2">
        <v>-8.8635323768713903</v>
      </c>
      <c r="E581" s="3">
        <v>1.7088239572650801E-9</v>
      </c>
      <c r="F581" s="3">
        <v>6.7008436724509596E-7</v>
      </c>
      <c r="G581" s="2">
        <v>13.297527516132501</v>
      </c>
      <c r="H581" s="1" t="str">
        <f>"COL6A1"</f>
        <v>COL6A1</v>
      </c>
    </row>
    <row r="582" spans="1:8">
      <c r="A582" s="2" t="str">
        <f>"221276_s_at"</f>
        <v>221276_s_at</v>
      </c>
      <c r="B582" s="2">
        <v>-1.5499014705412399</v>
      </c>
      <c r="C582" s="2">
        <v>8.4045061074243002</v>
      </c>
      <c r="D582" s="2">
        <v>-6.9697572636852696</v>
      </c>
      <c r="E582" s="3">
        <v>1.6827179074132701E-7</v>
      </c>
      <c r="F582" s="3">
        <v>1.6028327802756202E-5</v>
      </c>
      <c r="G582" s="2">
        <v>9.0113243960897709</v>
      </c>
      <c r="H582" s="1" t="str">
        <f>"SYNC"</f>
        <v>SYNC</v>
      </c>
    </row>
    <row r="583" spans="1:8">
      <c r="A583" s="2" t="str">
        <f>"214767_s_at"</f>
        <v>214767_s_at</v>
      </c>
      <c r="B583" s="2">
        <v>-1.54989733508114</v>
      </c>
      <c r="C583" s="2">
        <v>9.8536152392115195</v>
      </c>
      <c r="D583" s="2">
        <v>-5.3021083102953499</v>
      </c>
      <c r="E583" s="3">
        <v>1.33813219133271E-5</v>
      </c>
      <c r="F583" s="2">
        <v>4.0600653474537102E-4</v>
      </c>
      <c r="G583" s="2">
        <v>4.8633993272210096</v>
      </c>
      <c r="H583" s="1" t="str">
        <f>"HSPB6"</f>
        <v>HSPB6</v>
      </c>
    </row>
    <row r="584" spans="1:8">
      <c r="A584" s="2" t="str">
        <f>"230288_at"</f>
        <v>230288_at</v>
      </c>
      <c r="B584" s="2">
        <v>-1.5498502855644001</v>
      </c>
      <c r="C584" s="2">
        <v>6.4372101765807797</v>
      </c>
      <c r="D584" s="2">
        <v>-3.51605105495383</v>
      </c>
      <c r="E584" s="2">
        <v>1.5613327308459601E-3</v>
      </c>
      <c r="F584" s="2">
        <v>1.5132930201753301E-2</v>
      </c>
      <c r="G584" s="2">
        <v>0.36588240654973903</v>
      </c>
      <c r="H584" s="1" t="str">
        <f>"FGF14"</f>
        <v>FGF14</v>
      </c>
    </row>
    <row r="585" spans="1:8">
      <c r="A585" s="2" t="str">
        <f>"213519_s_at"</f>
        <v>213519_s_at</v>
      </c>
      <c r="B585" s="2">
        <v>-1.5497107661645899</v>
      </c>
      <c r="C585" s="2">
        <v>7.8333669561228199</v>
      </c>
      <c r="D585" s="2">
        <v>-7.3207821250652403</v>
      </c>
      <c r="E585" s="3">
        <v>6.9437543046452094E-8</v>
      </c>
      <c r="F585" s="3">
        <v>8.7284348283592392E-6</v>
      </c>
      <c r="G585" s="2">
        <v>9.8448093726828496</v>
      </c>
      <c r="H585" s="1" t="str">
        <f>"LAMA2"</f>
        <v>LAMA2</v>
      </c>
    </row>
    <row r="586" spans="1:8">
      <c r="A586" s="2" t="str">
        <f>"227899_at"</f>
        <v>227899_at</v>
      </c>
      <c r="B586" s="2">
        <v>-1.5492260997001099</v>
      </c>
      <c r="C586" s="2">
        <v>8.0841998969009499</v>
      </c>
      <c r="D586" s="2">
        <v>-7.2325321804689997</v>
      </c>
      <c r="E586" s="3">
        <v>8.6622813339998195E-8</v>
      </c>
      <c r="F586" s="3">
        <v>1.00124082527458E-5</v>
      </c>
      <c r="G586" s="2">
        <v>9.6368355343229499</v>
      </c>
      <c r="H586" s="1" t="str">
        <f>"VIT"</f>
        <v>VIT</v>
      </c>
    </row>
    <row r="587" spans="1:8">
      <c r="A587" s="2" t="str">
        <f>"220518_at"</f>
        <v>220518_at</v>
      </c>
      <c r="B587" s="2">
        <v>-1.5490870698236301</v>
      </c>
      <c r="C587" s="2">
        <v>4.9725356060015704</v>
      </c>
      <c r="D587" s="2">
        <v>-3.1739760454133901</v>
      </c>
      <c r="E587" s="2">
        <v>3.7242477829412101E-3</v>
      </c>
      <c r="F587" s="2">
        <v>2.9006160617138298E-2</v>
      </c>
      <c r="G587" s="2">
        <v>-0.44107317238920402</v>
      </c>
      <c r="H587" s="1" t="str">
        <f>"ABI3BP"</f>
        <v>ABI3BP</v>
      </c>
    </row>
    <row r="588" spans="1:8">
      <c r="A588" s="2" t="str">
        <f>"240187_at"</f>
        <v>240187_at</v>
      </c>
      <c r="B588" s="2">
        <v>-1.5485395440921099</v>
      </c>
      <c r="C588" s="2">
        <v>6.4782258570114104</v>
      </c>
      <c r="D588" s="2">
        <v>-4.44839718530321</v>
      </c>
      <c r="E588" s="2">
        <v>1.3300455386269699E-4</v>
      </c>
      <c r="F588" s="2">
        <v>2.3211056439332799E-3</v>
      </c>
      <c r="G588" s="2">
        <v>2.6836784797128002</v>
      </c>
      <c r="H588" s="1" t="str">
        <f>"PPP1R3C"</f>
        <v>PPP1R3C</v>
      </c>
    </row>
    <row r="589" spans="1:8">
      <c r="A589" s="2" t="str">
        <f>"244119_at"</f>
        <v>244119_at</v>
      </c>
      <c r="B589" s="2">
        <v>-1.54799831641297</v>
      </c>
      <c r="C589" s="2">
        <v>3.49579757735204</v>
      </c>
      <c r="D589" s="2">
        <v>-3.1027837082270202</v>
      </c>
      <c r="E589" s="2">
        <v>4.4472690950304204E-3</v>
      </c>
      <c r="F589" s="2">
        <v>3.3354518212728203E-2</v>
      </c>
      <c r="G589" s="2">
        <v>-0.60465018731204001</v>
      </c>
      <c r="H589" s="1" t="str">
        <f>"LINC00551"</f>
        <v>LINC00551</v>
      </c>
    </row>
    <row r="590" spans="1:8">
      <c r="A590" s="2" t="str">
        <f>"243954_at"</f>
        <v>243954_at</v>
      </c>
      <c r="B590" s="2">
        <v>-1.5475676372726599</v>
      </c>
      <c r="C590" s="2">
        <v>5.1013583903259097</v>
      </c>
      <c r="D590" s="2">
        <v>-3.0837888558920801</v>
      </c>
      <c r="E590" s="2">
        <v>4.6617968260370497E-3</v>
      </c>
      <c r="F590" s="2">
        <v>3.4551137517090297E-2</v>
      </c>
      <c r="G590" s="2">
        <v>-0.64800997599021803</v>
      </c>
      <c r="H590" s="1" t="str">
        <f>"LINC00877"</f>
        <v>LINC00877</v>
      </c>
    </row>
    <row r="591" spans="1:8">
      <c r="A591" s="2" t="str">
        <f>"206797_at"</f>
        <v>206797_at</v>
      </c>
      <c r="B591" s="2">
        <v>-1.54704410077299</v>
      </c>
      <c r="C591" s="2">
        <v>4.9102498153521497</v>
      </c>
      <c r="D591" s="2">
        <v>-3.6070895532201601</v>
      </c>
      <c r="E591" s="2">
        <v>1.2338365270169499E-3</v>
      </c>
      <c r="F591" s="2">
        <v>1.26376942889943E-2</v>
      </c>
      <c r="G591" s="2">
        <v>0.58571867870715499</v>
      </c>
      <c r="H591" s="1" t="str">
        <f>"NAT2"</f>
        <v>NAT2</v>
      </c>
    </row>
    <row r="592" spans="1:8">
      <c r="A592" s="2" t="str">
        <f>"1562234_a_at"</f>
        <v>1562234_a_at</v>
      </c>
      <c r="B592" s="2">
        <v>-1.5469281248576801</v>
      </c>
      <c r="C592" s="2">
        <v>3.7273882503433202</v>
      </c>
      <c r="D592" s="2">
        <v>-3.2754195509717099</v>
      </c>
      <c r="E592" s="2">
        <v>2.88587423510082E-3</v>
      </c>
      <c r="F592" s="2">
        <v>2.3997745065268101E-2</v>
      </c>
      <c r="G592" s="2">
        <v>-0.20522146763833199</v>
      </c>
      <c r="H592" s="1" t="str">
        <f>"NAV3"</f>
        <v>NAV3</v>
      </c>
    </row>
    <row r="593" spans="1:8">
      <c r="A593" s="2" t="str">
        <f>"209298_s_at"</f>
        <v>209298_s_at</v>
      </c>
      <c r="B593" s="2">
        <v>-1.5458671935236099</v>
      </c>
      <c r="C593" s="2">
        <v>9.3284628782382892</v>
      </c>
      <c r="D593" s="2">
        <v>-7.8392049761870197</v>
      </c>
      <c r="E593" s="3">
        <v>1.93180988555158E-8</v>
      </c>
      <c r="F593" s="3">
        <v>3.4830468544528698E-6</v>
      </c>
      <c r="G593" s="2">
        <v>11.044331660232499</v>
      </c>
      <c r="H593" s="1" t="str">
        <f>"ITSN1"</f>
        <v>ITSN1</v>
      </c>
    </row>
    <row r="594" spans="1:8">
      <c r="A594" s="2" t="str">
        <f>"206912_at"</f>
        <v>206912_at</v>
      </c>
      <c r="B594" s="2">
        <v>-1.54514481876596</v>
      </c>
      <c r="C594" s="2">
        <v>5.08060060419447</v>
      </c>
      <c r="D594" s="2">
        <v>-3.6393770908113998</v>
      </c>
      <c r="E594" s="2">
        <v>1.1346060694277999E-3</v>
      </c>
      <c r="F594" s="2">
        <v>1.1827375947753099E-2</v>
      </c>
      <c r="G594" s="2">
        <v>0.66412898644239404</v>
      </c>
      <c r="H594" s="1" t="str">
        <f>"FOXE1"</f>
        <v>FOXE1</v>
      </c>
    </row>
    <row r="595" spans="1:8">
      <c r="A595" s="2" t="str">
        <f>"209847_at"</f>
        <v>209847_at</v>
      </c>
      <c r="B595" s="2">
        <v>-1.54375554732891</v>
      </c>
      <c r="C595" s="2">
        <v>5.4673771669658304</v>
      </c>
      <c r="D595" s="2">
        <v>-3.5938414989506402</v>
      </c>
      <c r="E595" s="2">
        <v>1.2769551287206101E-3</v>
      </c>
      <c r="F595" s="2">
        <v>1.2977234509814001E-2</v>
      </c>
      <c r="G595" s="2">
        <v>0.55361129109995799</v>
      </c>
      <c r="H595" s="1" t="str">
        <f>"CDH17"</f>
        <v>CDH17</v>
      </c>
    </row>
    <row r="596" spans="1:8">
      <c r="A596" s="2" t="str">
        <f>"238360_s_at"</f>
        <v>238360_s_at</v>
      </c>
      <c r="B596" s="2">
        <v>-1.54340557455247</v>
      </c>
      <c r="C596" s="2">
        <v>7.6470387600344498</v>
      </c>
      <c r="D596" s="2">
        <v>-7.2508648994417699</v>
      </c>
      <c r="E596" s="3">
        <v>8.2727078861577206E-8</v>
      </c>
      <c r="F596" s="3">
        <v>9.7216377697475196E-6</v>
      </c>
      <c r="G596" s="2">
        <v>9.6801274204945003</v>
      </c>
      <c r="H596" s="1" t="str">
        <f>"LINC00672"</f>
        <v>LINC00672</v>
      </c>
    </row>
    <row r="597" spans="1:8">
      <c r="A597" s="2" t="str">
        <f>"228923_at"</f>
        <v>228923_at</v>
      </c>
      <c r="B597" s="2">
        <v>-1.5429042024216499</v>
      </c>
      <c r="C597" s="2">
        <v>5.6549897397625601</v>
      </c>
      <c r="D597" s="2">
        <v>-3.6343958516781099</v>
      </c>
      <c r="E597" s="2">
        <v>1.14939090126092E-3</v>
      </c>
      <c r="F597" s="2">
        <v>1.1949600214193E-2</v>
      </c>
      <c r="G597" s="2">
        <v>0.65201746610671096</v>
      </c>
      <c r="H597" s="1" t="str">
        <f>"S100A6"</f>
        <v>S100A6</v>
      </c>
    </row>
    <row r="598" spans="1:8">
      <c r="A598" s="2" t="str">
        <f>"243481_at"</f>
        <v>243481_at</v>
      </c>
      <c r="B598" s="2">
        <v>-1.5427956564559</v>
      </c>
      <c r="C598" s="2">
        <v>7.23114154759649</v>
      </c>
      <c r="D598" s="2">
        <v>-6.69098324530996</v>
      </c>
      <c r="E598" s="3">
        <v>3.4336444582397301E-7</v>
      </c>
      <c r="F598" s="3">
        <v>2.6712509594437101E-5</v>
      </c>
      <c r="G598" s="2">
        <v>8.3379311131908995</v>
      </c>
      <c r="H598" s="1" t="str">
        <f>"RHOJ"</f>
        <v>RHOJ</v>
      </c>
    </row>
    <row r="599" spans="1:8">
      <c r="A599" s="2" t="str">
        <f>"220609_at"</f>
        <v>220609_at</v>
      </c>
      <c r="B599" s="2">
        <v>-1.54247864184707</v>
      </c>
      <c r="C599" s="2">
        <v>8.3547594395840701</v>
      </c>
      <c r="D599" s="2">
        <v>-3.3748815790110198</v>
      </c>
      <c r="E599" s="2">
        <v>2.2421137697113801E-3</v>
      </c>
      <c r="F599" s="2">
        <v>1.9769934554832801E-2</v>
      </c>
      <c r="G599" s="2">
        <v>2.8961062658131798E-2</v>
      </c>
      <c r="H599" s="1" t="str">
        <f>"LOC202181"</f>
        <v>LOC202181</v>
      </c>
    </row>
    <row r="600" spans="1:8">
      <c r="A600" s="2" t="str">
        <f>"214104_at"</f>
        <v>214104_at</v>
      </c>
      <c r="B600" s="2">
        <v>-1.54207815696936</v>
      </c>
      <c r="C600" s="2">
        <v>10.5051296483458</v>
      </c>
      <c r="D600" s="2">
        <v>-4.9260752099443401</v>
      </c>
      <c r="E600" s="3">
        <v>3.6791368511786103E-5</v>
      </c>
      <c r="F600" s="2">
        <v>8.72319199211582E-4</v>
      </c>
      <c r="G600" s="2">
        <v>3.9025331715378599</v>
      </c>
      <c r="H600" s="1" t="str">
        <f>"GPR161"</f>
        <v>GPR161</v>
      </c>
    </row>
    <row r="601" spans="1:8">
      <c r="A601" s="2" t="str">
        <f>"224102_at"</f>
        <v>224102_at</v>
      </c>
      <c r="B601" s="2">
        <v>-1.54181629789956</v>
      </c>
      <c r="C601" s="2">
        <v>3.2576309998487898</v>
      </c>
      <c r="D601" s="2">
        <v>-3.4556130766279001</v>
      </c>
      <c r="E601" s="2">
        <v>1.8238729916665499E-3</v>
      </c>
      <c r="F601" s="2">
        <v>1.70084011290071E-2</v>
      </c>
      <c r="G601" s="2">
        <v>0.221020135489923</v>
      </c>
      <c r="H601" s="1" t="str">
        <f>"P2RY12"</f>
        <v>P2RY12</v>
      </c>
    </row>
    <row r="602" spans="1:8">
      <c r="A602" s="2" t="str">
        <f>"209283_at"</f>
        <v>209283_at</v>
      </c>
      <c r="B602" s="2">
        <v>-1.54166919169842</v>
      </c>
      <c r="C602" s="2">
        <v>11.7767241603961</v>
      </c>
      <c r="D602" s="2">
        <v>-4.78461058636986</v>
      </c>
      <c r="E602" s="3">
        <v>5.3851257776197398E-5</v>
      </c>
      <c r="F602" s="2">
        <v>1.16050050952035E-3</v>
      </c>
      <c r="G602" s="2">
        <v>3.5408739421306201</v>
      </c>
      <c r="H602" s="1" t="str">
        <f>"CRYAB"</f>
        <v>CRYAB</v>
      </c>
    </row>
    <row r="603" spans="1:8">
      <c r="A603" s="2" t="str">
        <f>"213817_at"</f>
        <v>213817_at</v>
      </c>
      <c r="B603" s="2">
        <v>-1.5408176275793499</v>
      </c>
      <c r="C603" s="2">
        <v>7.9497281634654602</v>
      </c>
      <c r="D603" s="2">
        <v>-9.3840936376231099</v>
      </c>
      <c r="E603" s="3">
        <v>5.2537922064695299E-10</v>
      </c>
      <c r="F603" s="3">
        <v>3.0558626477523602E-7</v>
      </c>
      <c r="G603" s="2">
        <v>14.381658403611199</v>
      </c>
      <c r="H603" s="1" t="str">
        <f>"IRAK3"</f>
        <v>IRAK3</v>
      </c>
    </row>
    <row r="604" spans="1:8">
      <c r="A604" s="2" t="str">
        <f>"212962_at"</f>
        <v>212962_at</v>
      </c>
      <c r="B604" s="2">
        <v>-1.5405409952283</v>
      </c>
      <c r="C604" s="2">
        <v>6.4008263724907097</v>
      </c>
      <c r="D604" s="2">
        <v>-3.52707328353205</v>
      </c>
      <c r="E604" s="2">
        <v>1.51758312178068E-3</v>
      </c>
      <c r="F604" s="2">
        <v>1.48088269111831E-2</v>
      </c>
      <c r="G604" s="2">
        <v>0.39239663074160702</v>
      </c>
      <c r="H604" s="1" t="str">
        <f>"SYDE1"</f>
        <v>SYDE1</v>
      </c>
    </row>
    <row r="605" spans="1:8">
      <c r="A605" s="2" t="str">
        <f>"222717_at"</f>
        <v>222717_at</v>
      </c>
      <c r="B605" s="2">
        <v>-1.54053962374916</v>
      </c>
      <c r="C605" s="2">
        <v>9.3900986961174695</v>
      </c>
      <c r="D605" s="2">
        <v>-5.4893603023862001</v>
      </c>
      <c r="E605" s="3">
        <v>8.1008182864816704E-6</v>
      </c>
      <c r="F605" s="2">
        <v>2.7493000609148701E-4</v>
      </c>
      <c r="G605" s="2">
        <v>5.3403370352726096</v>
      </c>
      <c r="H605" s="1" t="str">
        <f>"CAVIN2"</f>
        <v>CAVIN2</v>
      </c>
    </row>
    <row r="606" spans="1:8">
      <c r="A606" s="2" t="str">
        <f>"213982_s_at"</f>
        <v>213982_s_at</v>
      </c>
      <c r="B606" s="2">
        <v>-1.54005615811959</v>
      </c>
      <c r="C606" s="2">
        <v>8.5625791570642793</v>
      </c>
      <c r="D606" s="2">
        <v>-6.4648371697331299</v>
      </c>
      <c r="E606" s="3">
        <v>6.16228008316902E-7</v>
      </c>
      <c r="F606" s="3">
        <v>4.0109840898484103E-5</v>
      </c>
      <c r="G606" s="2">
        <v>7.7847205509796602</v>
      </c>
      <c r="H606" s="1" t="str">
        <f>"RABGAP1L"</f>
        <v>RABGAP1L</v>
      </c>
    </row>
    <row r="607" spans="1:8">
      <c r="A607" s="2" t="str">
        <f>"212886_at"</f>
        <v>212886_at</v>
      </c>
      <c r="B607" s="2">
        <v>-1.5397419263268499</v>
      </c>
      <c r="C607" s="2">
        <v>10.0944810481052</v>
      </c>
      <c r="D607" s="2">
        <v>-4.6544267423405996</v>
      </c>
      <c r="E607" s="3">
        <v>7.6452087846998304E-5</v>
      </c>
      <c r="F607" s="2">
        <v>1.5183501282363401E-3</v>
      </c>
      <c r="G607" s="2">
        <v>3.2084125049956098</v>
      </c>
      <c r="H607" s="1" t="str">
        <f>"CCDC69"</f>
        <v>CCDC69</v>
      </c>
    </row>
    <row r="608" spans="1:8">
      <c r="A608" s="2" t="str">
        <f>"1560496_at"</f>
        <v>1560496_at</v>
      </c>
      <c r="B608" s="2">
        <v>-1.53961899336526</v>
      </c>
      <c r="C608" s="2">
        <v>5.6052939373394102</v>
      </c>
      <c r="D608" s="2">
        <v>-4.0813517623114501</v>
      </c>
      <c r="E608" s="2">
        <v>3.5465771824337599E-4</v>
      </c>
      <c r="F608" s="2">
        <v>4.8623146301295401E-3</v>
      </c>
      <c r="G608" s="2">
        <v>1.75675500702808</v>
      </c>
      <c r="H608" s="1" t="str">
        <f>"MRGPRF-AS1"</f>
        <v>MRGPRF-AS1</v>
      </c>
    </row>
    <row r="609" spans="1:8">
      <c r="A609" s="2" t="str">
        <f>"210751_s_at"</f>
        <v>210751_s_at</v>
      </c>
      <c r="B609" s="2">
        <v>-1.5388158511730601</v>
      </c>
      <c r="C609" s="2">
        <v>8.8407883680564403</v>
      </c>
      <c r="D609" s="2">
        <v>-6.3942954681958701</v>
      </c>
      <c r="E609" s="3">
        <v>7.4035239999116201E-7</v>
      </c>
      <c r="F609" s="3">
        <v>4.5998599397178202E-5</v>
      </c>
      <c r="G609" s="2">
        <v>7.6109611682671803</v>
      </c>
      <c r="H609" s="1" t="str">
        <f>"RGN"</f>
        <v>RGN</v>
      </c>
    </row>
    <row r="610" spans="1:8">
      <c r="A610" s="2" t="str">
        <f>"1555819_s_at"</f>
        <v>1555819_s_at</v>
      </c>
      <c r="B610" s="2">
        <v>-1.5387908742936101</v>
      </c>
      <c r="C610" s="2">
        <v>6.5296878698305703</v>
      </c>
      <c r="D610" s="2">
        <v>-4.87295448638152</v>
      </c>
      <c r="E610" s="3">
        <v>4.2449635320646399E-5</v>
      </c>
      <c r="F610" s="2">
        <v>9.6625054586025997E-4</v>
      </c>
      <c r="G610" s="2">
        <v>3.7667017519061399</v>
      </c>
      <c r="H610" s="1" t="str">
        <f>"SAMD14"</f>
        <v>SAMD14</v>
      </c>
    </row>
    <row r="611" spans="1:8">
      <c r="A611" s="2" t="str">
        <f>"225913_at"</f>
        <v>225913_at</v>
      </c>
      <c r="B611" s="2">
        <v>-1.53799118081943</v>
      </c>
      <c r="C611" s="2">
        <v>10.2069959735562</v>
      </c>
      <c r="D611" s="2">
        <v>-9.08226654711385</v>
      </c>
      <c r="E611" s="3">
        <v>1.03652345871869E-9</v>
      </c>
      <c r="F611" s="3">
        <v>4.6452393529052702E-7</v>
      </c>
      <c r="G611" s="2">
        <v>13.7580801979007</v>
      </c>
      <c r="H611" s="1" t="str">
        <f>"PEAK1"</f>
        <v>PEAK1</v>
      </c>
    </row>
    <row r="612" spans="1:8">
      <c r="A612" s="2" t="str">
        <f>"209676_at"</f>
        <v>209676_at</v>
      </c>
      <c r="B612" s="2">
        <v>-1.5371690219204901</v>
      </c>
      <c r="C612" s="2">
        <v>6.6299515393213504</v>
      </c>
      <c r="D612" s="2">
        <v>-5.1957023007445704</v>
      </c>
      <c r="E612" s="3">
        <v>1.7808836825179998E-5</v>
      </c>
      <c r="F612" s="2">
        <v>4.9856536273257398E-4</v>
      </c>
      <c r="G612" s="2">
        <v>4.5917855680133597</v>
      </c>
      <c r="H612" s="1" t="str">
        <f>"TFPI"</f>
        <v>TFPI</v>
      </c>
    </row>
    <row r="613" spans="1:8">
      <c r="A613" s="2" t="str">
        <f>"227705_at"</f>
        <v>227705_at</v>
      </c>
      <c r="B613" s="2">
        <v>-1.5364159582460699</v>
      </c>
      <c r="C613" s="2">
        <v>8.7900390853118502</v>
      </c>
      <c r="D613" s="2">
        <v>-4.8859429145793696</v>
      </c>
      <c r="E613" s="3">
        <v>4.0990467934438199E-5</v>
      </c>
      <c r="F613" s="2">
        <v>9.4205709723220205E-4</v>
      </c>
      <c r="G613" s="2">
        <v>3.7999117006106702</v>
      </c>
      <c r="H613" s="1" t="str">
        <f>"TCEAL7"</f>
        <v>TCEAL7</v>
      </c>
    </row>
    <row r="614" spans="1:8">
      <c r="A614" s="2" t="str">
        <f>"205475_at"</f>
        <v>205475_at</v>
      </c>
      <c r="B614" s="2">
        <v>-1.53611883903807</v>
      </c>
      <c r="C614" s="2">
        <v>9.5453695647814492</v>
      </c>
      <c r="D614" s="2">
        <v>-5.3389483302672698</v>
      </c>
      <c r="E614" s="3">
        <v>1.21216669414272E-5</v>
      </c>
      <c r="F614" s="2">
        <v>3.7592293818634903E-4</v>
      </c>
      <c r="G614" s="2">
        <v>4.9573496398742796</v>
      </c>
      <c r="H614" s="1" t="str">
        <f>"SCRG1"</f>
        <v>SCRG1</v>
      </c>
    </row>
    <row r="615" spans="1:8">
      <c r="A615" s="2" t="str">
        <f>"1564274_at"</f>
        <v>1564274_at</v>
      </c>
      <c r="B615" s="2">
        <v>-1.53565021923769</v>
      </c>
      <c r="C615" s="2">
        <v>6.6197693177156998</v>
      </c>
      <c r="D615" s="2">
        <v>-4.0569233088501502</v>
      </c>
      <c r="E615" s="2">
        <v>3.7843429876960598E-4</v>
      </c>
      <c r="F615" s="2">
        <v>5.1126501816724E-3</v>
      </c>
      <c r="G615" s="2">
        <v>1.6955746551477699</v>
      </c>
      <c r="H615" s="1" t="str">
        <f>"C9orf47"</f>
        <v>C9orf47</v>
      </c>
    </row>
    <row r="616" spans="1:8">
      <c r="A616" s="2" t="str">
        <f>"213643_s_at"</f>
        <v>213643_s_at</v>
      </c>
      <c r="B616" s="2">
        <v>-1.53557716477224</v>
      </c>
      <c r="C616" s="2">
        <v>5.0375864538623301</v>
      </c>
      <c r="D616" s="2">
        <v>-3.3842008364940401</v>
      </c>
      <c r="E616" s="2">
        <v>2.189463904614E-3</v>
      </c>
      <c r="F616" s="2">
        <v>1.9449920822383698E-2</v>
      </c>
      <c r="G616" s="2">
        <v>5.1043780202144597E-2</v>
      </c>
      <c r="H616" s="1" t="str">
        <f>"INPP5B"</f>
        <v>INPP5B</v>
      </c>
    </row>
    <row r="617" spans="1:8">
      <c r="A617" s="2" t="str">
        <f>"230730_at"</f>
        <v>230730_at</v>
      </c>
      <c r="B617" s="2">
        <v>-1.5355149529065799</v>
      </c>
      <c r="C617" s="2">
        <v>8.5611313882497306</v>
      </c>
      <c r="D617" s="2">
        <v>-7.9668648892623004</v>
      </c>
      <c r="E617" s="3">
        <v>1.4172098089904E-8</v>
      </c>
      <c r="F617" s="3">
        <v>2.80746182270109E-6</v>
      </c>
      <c r="G617" s="2">
        <v>11.3337260091981</v>
      </c>
      <c r="H617" s="1" t="str">
        <f>"SGCD"</f>
        <v>SGCD</v>
      </c>
    </row>
    <row r="618" spans="1:8">
      <c r="A618" s="2" t="str">
        <f>"203706_s_at"</f>
        <v>203706_s_at</v>
      </c>
      <c r="B618" s="2">
        <v>-1.53539689088697</v>
      </c>
      <c r="C618" s="2">
        <v>11.629165521938299</v>
      </c>
      <c r="D618" s="2">
        <v>-8.2808175110164193</v>
      </c>
      <c r="E618" s="3">
        <v>6.6759982678153503E-9</v>
      </c>
      <c r="F618" s="3">
        <v>1.64419011393155E-6</v>
      </c>
      <c r="G618" s="2">
        <v>12.0351184944611</v>
      </c>
      <c r="H618" s="1" t="str">
        <f>"FZD7"</f>
        <v>FZD7</v>
      </c>
    </row>
    <row r="619" spans="1:8">
      <c r="A619" s="2" t="str">
        <f>"1558849_at"</f>
        <v>1558849_at</v>
      </c>
      <c r="B619" s="2">
        <v>-1.53459725016221</v>
      </c>
      <c r="C619" s="2">
        <v>6.3857447460943497</v>
      </c>
      <c r="D619" s="2">
        <v>-4.0923705417734402</v>
      </c>
      <c r="E619" s="2">
        <v>3.4442106937909402E-4</v>
      </c>
      <c r="F619" s="2">
        <v>4.7613709148677501E-3</v>
      </c>
      <c r="G619" s="2">
        <v>1.7843759938194901</v>
      </c>
      <c r="H619" s="1" t="str">
        <f>"LINC00908"</f>
        <v>LINC00908</v>
      </c>
    </row>
    <row r="620" spans="1:8">
      <c r="A620" s="2" t="str">
        <f>"239265_at"</f>
        <v>239265_at</v>
      </c>
      <c r="B620" s="2">
        <v>-1.5336035147401701</v>
      </c>
      <c r="C620" s="2">
        <v>5.9456817720746997</v>
      </c>
      <c r="D620" s="2">
        <v>-5.1922128830106997</v>
      </c>
      <c r="E620" s="3">
        <v>1.7976665832562099E-5</v>
      </c>
      <c r="F620" s="2">
        <v>5.0223515809674605E-4</v>
      </c>
      <c r="G620" s="2">
        <v>4.5828729162320396</v>
      </c>
      <c r="H620" s="1" t="str">
        <f>"SLC35G1"</f>
        <v>SLC35G1</v>
      </c>
    </row>
    <row r="621" spans="1:8">
      <c r="A621" s="2" t="str">
        <f>"57588_at"</f>
        <v>57588_at</v>
      </c>
      <c r="B621" s="2">
        <v>-1.5334935299611001</v>
      </c>
      <c r="C621" s="2">
        <v>10.032861251821201</v>
      </c>
      <c r="D621" s="2">
        <v>-6.0964566199758696</v>
      </c>
      <c r="E621" s="3">
        <v>1.6152162227743101E-6</v>
      </c>
      <c r="F621" s="3">
        <v>8.0065228449850603E-5</v>
      </c>
      <c r="G621" s="2">
        <v>6.8715338318827799</v>
      </c>
      <c r="H621" s="1" t="str">
        <f>"SLC24A3"</f>
        <v>SLC24A3</v>
      </c>
    </row>
    <row r="622" spans="1:8">
      <c r="A622" s="2" t="str">
        <f>"232530_at"</f>
        <v>232530_at</v>
      </c>
      <c r="B622" s="2">
        <v>-1.53347908698213</v>
      </c>
      <c r="C622" s="2">
        <v>6.02108989676971</v>
      </c>
      <c r="D622" s="2">
        <v>-3.12878164093524</v>
      </c>
      <c r="E622" s="2">
        <v>4.1689031136889097E-3</v>
      </c>
      <c r="F622" s="2">
        <v>3.1716841943652797E-2</v>
      </c>
      <c r="G622" s="2">
        <v>-0.54510808228243701</v>
      </c>
      <c r="H622" s="1" t="str">
        <f>"PLD1"</f>
        <v>PLD1</v>
      </c>
    </row>
    <row r="623" spans="1:8">
      <c r="A623" s="2" t="str">
        <f>"220462_at"</f>
        <v>220462_at</v>
      </c>
      <c r="B623" s="2">
        <v>-1.5332837845520899</v>
      </c>
      <c r="C623" s="2">
        <v>7.3629929029657903</v>
      </c>
      <c r="D623" s="2">
        <v>-6.7539869328933504</v>
      </c>
      <c r="E623" s="3">
        <v>2.92025532578366E-7</v>
      </c>
      <c r="F623" s="3">
        <v>2.3795075996605302E-5</v>
      </c>
      <c r="G623" s="2">
        <v>8.4909694860612106</v>
      </c>
      <c r="H623" s="1" t="str">
        <f>"CSRNP3"</f>
        <v>CSRNP3</v>
      </c>
    </row>
    <row r="624" spans="1:8">
      <c r="A624" s="2" t="str">
        <f>"214846_s_at"</f>
        <v>214846_s_at</v>
      </c>
      <c r="B624" s="2">
        <v>-1.5326286249385599</v>
      </c>
      <c r="C624" s="2">
        <v>5.6561915041412298</v>
      </c>
      <c r="D624" s="2">
        <v>-3.7968818363265102</v>
      </c>
      <c r="E624" s="2">
        <v>7.51926092103672E-4</v>
      </c>
      <c r="F624" s="2">
        <v>8.6532433352490608E-3</v>
      </c>
      <c r="G624" s="2">
        <v>1.04966395144348</v>
      </c>
      <c r="H624" s="1" t="str">
        <f>"ALPK3"</f>
        <v>ALPK3</v>
      </c>
    </row>
    <row r="625" spans="1:8">
      <c r="A625" s="2" t="str">
        <f>"204619_s_at"</f>
        <v>204619_s_at</v>
      </c>
      <c r="B625" s="2">
        <v>-1.5319022011887</v>
      </c>
      <c r="C625" s="2">
        <v>8.4686109510346093</v>
      </c>
      <c r="D625" s="2">
        <v>-3.6504156880828602</v>
      </c>
      <c r="E625" s="2">
        <v>1.1025002081537E-3</v>
      </c>
      <c r="F625" s="2">
        <v>1.1578793484595401E-2</v>
      </c>
      <c r="G625" s="2">
        <v>0.69098721370455296</v>
      </c>
      <c r="H625" s="1" t="str">
        <f>"VCAN"</f>
        <v>VCAN</v>
      </c>
    </row>
    <row r="626" spans="1:8">
      <c r="A626" s="2" t="str">
        <f>"204993_at"</f>
        <v>204993_at</v>
      </c>
      <c r="B626" s="2">
        <v>-1.53142322324059</v>
      </c>
      <c r="C626" s="2">
        <v>9.2484566280608895</v>
      </c>
      <c r="D626" s="2">
        <v>-6.5424714518980096</v>
      </c>
      <c r="E626" s="3">
        <v>5.03832470566279E-7</v>
      </c>
      <c r="F626" s="3">
        <v>3.4825588278396102E-5</v>
      </c>
      <c r="G626" s="2">
        <v>7.9753045162251199</v>
      </c>
      <c r="H626" s="1" t="str">
        <f>"GNAZ"</f>
        <v>GNAZ</v>
      </c>
    </row>
    <row r="627" spans="1:8">
      <c r="A627" s="2" t="str">
        <f>"212274_at"</f>
        <v>212274_at</v>
      </c>
      <c r="B627" s="2">
        <v>-1.5307069510962901</v>
      </c>
      <c r="C627" s="2">
        <v>10.128077351232401</v>
      </c>
      <c r="D627" s="2">
        <v>-7.9648985401380399</v>
      </c>
      <c r="E627" s="3">
        <v>1.42396511452539E-8</v>
      </c>
      <c r="F627" s="3">
        <v>2.8106603839955199E-6</v>
      </c>
      <c r="G627" s="2">
        <v>11.3292867254803</v>
      </c>
      <c r="H627" s="1" t="str">
        <f>"LPIN1"</f>
        <v>LPIN1</v>
      </c>
    </row>
    <row r="628" spans="1:8">
      <c r="A628" s="2" t="str">
        <f>"230188_at"</f>
        <v>230188_at</v>
      </c>
      <c r="B628" s="2">
        <v>-1.5306579975663901</v>
      </c>
      <c r="C628" s="2">
        <v>5.9658975657096898</v>
      </c>
      <c r="D628" s="2">
        <v>-3.8739017537899798</v>
      </c>
      <c r="E628" s="2">
        <v>6.1409335764007404E-4</v>
      </c>
      <c r="F628" s="2">
        <v>7.4134586727690596E-3</v>
      </c>
      <c r="G628" s="2">
        <v>1.23986041941724</v>
      </c>
      <c r="H628" s="1" t="str">
        <f>"NIPAL4"</f>
        <v>NIPAL4</v>
      </c>
    </row>
    <row r="629" spans="1:8">
      <c r="A629" s="2" t="str">
        <f>"201482_at"</f>
        <v>201482_at</v>
      </c>
      <c r="B629" s="2">
        <v>-1.5284697935237099</v>
      </c>
      <c r="C629" s="2">
        <v>9.4245409552943507</v>
      </c>
      <c r="D629" s="2">
        <v>-8.2413326778720499</v>
      </c>
      <c r="E629" s="3">
        <v>7.3336928521218202E-9</v>
      </c>
      <c r="F629" s="3">
        <v>1.7433463334337401E-6</v>
      </c>
      <c r="G629" s="2">
        <v>11.9477184770137</v>
      </c>
      <c r="H629" s="1" t="str">
        <f>"QSOX1"</f>
        <v>QSOX1</v>
      </c>
    </row>
    <row r="630" spans="1:8">
      <c r="A630" s="2" t="str">
        <f>"230548_at"</f>
        <v>230548_at</v>
      </c>
      <c r="B630" s="2">
        <v>-1.5276048851925299</v>
      </c>
      <c r="C630" s="2">
        <v>5.5138260624802999</v>
      </c>
      <c r="D630" s="2">
        <v>-5.7160831607753897</v>
      </c>
      <c r="E630" s="3">
        <v>4.4227698240391999E-6</v>
      </c>
      <c r="F630" s="2">
        <v>1.74256311393637E-4</v>
      </c>
      <c r="G630" s="2">
        <v>5.9153190027014801</v>
      </c>
      <c r="H630" s="1" t="str">
        <f>"LOC100505942"</f>
        <v>LOC100505942</v>
      </c>
    </row>
    <row r="631" spans="1:8">
      <c r="A631" s="2" t="str">
        <f>"218934_s_at"</f>
        <v>218934_s_at</v>
      </c>
      <c r="B631" s="2">
        <v>-1.5264669904636401</v>
      </c>
      <c r="C631" s="2">
        <v>9.3807524468134904</v>
      </c>
      <c r="D631" s="2">
        <v>-5.7561031862328296</v>
      </c>
      <c r="E631" s="3">
        <v>3.9759991938630601E-6</v>
      </c>
      <c r="F631" s="2">
        <v>1.6102796735145399E-4</v>
      </c>
      <c r="G631" s="2">
        <v>6.0164646423916599</v>
      </c>
      <c r="H631" s="1" t="str">
        <f>"HSPB7"</f>
        <v>HSPB7</v>
      </c>
    </row>
    <row r="632" spans="1:8">
      <c r="A632" s="2" t="str">
        <f>"45297_at"</f>
        <v>45297_at</v>
      </c>
      <c r="B632" s="2">
        <v>-1.5264301464278001</v>
      </c>
      <c r="C632" s="2">
        <v>10.5689389124577</v>
      </c>
      <c r="D632" s="2">
        <v>-6.4346978985182899</v>
      </c>
      <c r="E632" s="3">
        <v>6.6644716718375499E-7</v>
      </c>
      <c r="F632" s="3">
        <v>4.26175425330664E-5</v>
      </c>
      <c r="G632" s="2">
        <v>7.71054847937451</v>
      </c>
      <c r="H632" s="1" t="str">
        <f>"EHD2"</f>
        <v>EHD2</v>
      </c>
    </row>
    <row r="633" spans="1:8">
      <c r="A633" s="2" t="str">
        <f>"209747_at"</f>
        <v>209747_at</v>
      </c>
      <c r="B633" s="2">
        <v>-1.52615877881189</v>
      </c>
      <c r="C633" s="2">
        <v>10.790763377314001</v>
      </c>
      <c r="D633" s="2">
        <v>-5.7465801148421498</v>
      </c>
      <c r="E633" s="3">
        <v>4.0779984244500201E-6</v>
      </c>
      <c r="F633" s="2">
        <v>1.64441212187358E-4</v>
      </c>
      <c r="G633" s="2">
        <v>5.9924066374671003</v>
      </c>
      <c r="H633" s="1" t="str">
        <f>"TGFB3"</f>
        <v>TGFB3</v>
      </c>
    </row>
    <row r="634" spans="1:8">
      <c r="A634" s="2" t="str">
        <f>"203151_at"</f>
        <v>203151_at</v>
      </c>
      <c r="B634" s="2">
        <v>-1.52518549598862</v>
      </c>
      <c r="C634" s="2">
        <v>10.1459958958259</v>
      </c>
      <c r="D634" s="2">
        <v>-5.5693831117125399</v>
      </c>
      <c r="E634" s="3">
        <v>6.5404788240786798E-6</v>
      </c>
      <c r="F634" s="2">
        <v>2.3476519366866E-4</v>
      </c>
      <c r="G634" s="2">
        <v>5.5436335861515502</v>
      </c>
      <c r="H634" s="1" t="str">
        <f>"MAP1A"</f>
        <v>MAP1A</v>
      </c>
    </row>
    <row r="635" spans="1:8">
      <c r="A635" s="2" t="str">
        <f>"211237_s_at"</f>
        <v>211237_s_at</v>
      </c>
      <c r="B635" s="2">
        <v>-1.52509797527336</v>
      </c>
      <c r="C635" s="2">
        <v>4.1059892449265902</v>
      </c>
      <c r="D635" s="2">
        <v>-4.1097851956123597</v>
      </c>
      <c r="E635" s="2">
        <v>3.2883394188199102E-4</v>
      </c>
      <c r="F635" s="2">
        <v>4.6005618660178698E-3</v>
      </c>
      <c r="G635" s="2">
        <v>1.8280602808934501</v>
      </c>
      <c r="H635" s="1" t="str">
        <f>"FGFR4"</f>
        <v>FGFR4</v>
      </c>
    </row>
    <row r="636" spans="1:8">
      <c r="A636" s="2" t="str">
        <f>"209473_at"</f>
        <v>209473_at</v>
      </c>
      <c r="B636" s="2">
        <v>-1.52347547968257</v>
      </c>
      <c r="C636" s="2">
        <v>8.8881242347901797</v>
      </c>
      <c r="D636" s="2">
        <v>-5.5628091629546503</v>
      </c>
      <c r="E636" s="3">
        <v>6.6563646375531098E-6</v>
      </c>
      <c r="F636" s="2">
        <v>2.3702521765341599E-4</v>
      </c>
      <c r="G636" s="2">
        <v>5.5269461828540898</v>
      </c>
      <c r="H636" s="1" t="str">
        <f>"ENTPD1"</f>
        <v>ENTPD1</v>
      </c>
    </row>
    <row r="637" spans="1:8">
      <c r="A637" s="2" t="str">
        <f>"235129_at"</f>
        <v>235129_at</v>
      </c>
      <c r="B637" s="2">
        <v>-1.5233587780659501</v>
      </c>
      <c r="C637" s="2">
        <v>6.6901239000895201</v>
      </c>
      <c r="D637" s="2">
        <v>-5.12220723229506</v>
      </c>
      <c r="E637" s="3">
        <v>2.1700298137902701E-5</v>
      </c>
      <c r="F637" s="2">
        <v>5.8388966569381505E-4</v>
      </c>
      <c r="G637" s="2">
        <v>4.4040062565789304</v>
      </c>
      <c r="H637" s="1" t="str">
        <f>"PPP1R1A"</f>
        <v>PPP1R1A</v>
      </c>
    </row>
    <row r="638" spans="1:8">
      <c r="A638" s="2" t="str">
        <f>"227860_at"</f>
        <v>227860_at</v>
      </c>
      <c r="B638" s="2">
        <v>-1.52288559871119</v>
      </c>
      <c r="C638" s="2">
        <v>7.7571007028768104</v>
      </c>
      <c r="D638" s="2">
        <v>-3.4464749601667699</v>
      </c>
      <c r="E638" s="2">
        <v>1.8671234427602801E-3</v>
      </c>
      <c r="F638" s="2">
        <v>1.7302538005579401E-2</v>
      </c>
      <c r="G638" s="2">
        <v>0.19919606566205</v>
      </c>
      <c r="H638" s="1" t="str">
        <f>"CPXM1"</f>
        <v>CPXM1</v>
      </c>
    </row>
    <row r="639" spans="1:8">
      <c r="A639" s="2" t="str">
        <f>"228737_at"</f>
        <v>228737_at</v>
      </c>
      <c r="B639" s="2">
        <v>-1.5225829707409699</v>
      </c>
      <c r="C639" s="2">
        <v>8.8677187379718596</v>
      </c>
      <c r="D639" s="2">
        <v>-6.2436451859256996</v>
      </c>
      <c r="E639" s="3">
        <v>1.0973701458474599E-6</v>
      </c>
      <c r="F639" s="3">
        <v>6.0974301548993698E-5</v>
      </c>
      <c r="G639" s="2">
        <v>7.23808011123025</v>
      </c>
      <c r="H639" s="1" t="str">
        <f>"TOX2"</f>
        <v>TOX2</v>
      </c>
    </row>
    <row r="640" spans="1:8">
      <c r="A640" s="2" t="str">
        <f>"244315_at"</f>
        <v>244315_at</v>
      </c>
      <c r="B640" s="2">
        <v>-1.5225244236817199</v>
      </c>
      <c r="C640" s="2">
        <v>3.3993918746326801</v>
      </c>
      <c r="D640" s="2">
        <v>-3.29920514846334</v>
      </c>
      <c r="E640" s="2">
        <v>2.7173872692148999E-3</v>
      </c>
      <c r="F640" s="2">
        <v>2.29208807380939E-2</v>
      </c>
      <c r="G640" s="2">
        <v>-0.14947411769583099</v>
      </c>
      <c r="H640" s="1" t="str">
        <f>"PLSCR1"</f>
        <v>PLSCR1</v>
      </c>
    </row>
    <row r="641" spans="1:8">
      <c r="A641" s="2" t="str">
        <f>"219102_at"</f>
        <v>219102_at</v>
      </c>
      <c r="B641" s="2">
        <v>-1.5222300552254699</v>
      </c>
      <c r="C641" s="2">
        <v>6.7036268999687101</v>
      </c>
      <c r="D641" s="2">
        <v>-2.9221010391368099</v>
      </c>
      <c r="E641" s="2">
        <v>6.93286413922842E-3</v>
      </c>
      <c r="F641" s="2">
        <v>4.6606952761873099E-2</v>
      </c>
      <c r="G641" s="2">
        <v>-1.0119379387782499</v>
      </c>
      <c r="H641" s="1" t="str">
        <f>"RCN3"</f>
        <v>RCN3</v>
      </c>
    </row>
    <row r="642" spans="1:8">
      <c r="A642" s="2" t="str">
        <f>"204472_at"</f>
        <v>204472_at</v>
      </c>
      <c r="B642" s="2">
        <v>-1.5222298922316599</v>
      </c>
      <c r="C642" s="2">
        <v>10.5175267175955</v>
      </c>
      <c r="D642" s="2">
        <v>-6.0670750659939596</v>
      </c>
      <c r="E642" s="3">
        <v>1.74518796921896E-6</v>
      </c>
      <c r="F642" s="3">
        <v>8.5042916414480003E-5</v>
      </c>
      <c r="G642" s="2">
        <v>6.7981148660937398</v>
      </c>
      <c r="H642" s="1" t="str">
        <f>"GEM"</f>
        <v>GEM</v>
      </c>
    </row>
    <row r="643" spans="1:8">
      <c r="A643" s="2" t="str">
        <f>"225243_s_at"</f>
        <v>225243_s_at</v>
      </c>
      <c r="B643" s="2">
        <v>-1.5202725077928501</v>
      </c>
      <c r="C643" s="2">
        <v>11.588606506098699</v>
      </c>
      <c r="D643" s="2">
        <v>-7.0100054416200104</v>
      </c>
      <c r="E643" s="3">
        <v>1.5191859529213601E-7</v>
      </c>
      <c r="F643" s="3">
        <v>1.48589431084035E-5</v>
      </c>
      <c r="G643" s="2">
        <v>9.1077262234009595</v>
      </c>
      <c r="H643" s="1" t="str">
        <f>"SLMAP"</f>
        <v>SLMAP</v>
      </c>
    </row>
    <row r="644" spans="1:8">
      <c r="A644" s="2" t="str">
        <f>"228410_at"</f>
        <v>228410_at</v>
      </c>
      <c r="B644" s="2">
        <v>-1.5196968761418701</v>
      </c>
      <c r="C644" s="2">
        <v>5.69707453397751</v>
      </c>
      <c r="D644" s="2">
        <v>-3.3729255209145901</v>
      </c>
      <c r="E644" s="2">
        <v>2.2533190627027099E-3</v>
      </c>
      <c r="F644" s="2">
        <v>1.9845396223142801E-2</v>
      </c>
      <c r="G644" s="2">
        <v>2.43290034644277E-2</v>
      </c>
      <c r="H644" s="1" t="str">
        <f>"GAB3"</f>
        <v>GAB3</v>
      </c>
    </row>
    <row r="645" spans="1:8">
      <c r="A645" s="2" t="str">
        <f>"223923_at"</f>
        <v>223923_at</v>
      </c>
      <c r="B645" s="2">
        <v>-1.51962176143224</v>
      </c>
      <c r="C645" s="2">
        <v>4.4573390551770897</v>
      </c>
      <c r="D645" s="2">
        <v>-3.1653049585329698</v>
      </c>
      <c r="E645" s="2">
        <v>3.80587400500628E-3</v>
      </c>
      <c r="F645" s="2">
        <v>2.9536715574693902E-2</v>
      </c>
      <c r="G645" s="2">
        <v>-0.461084646711307</v>
      </c>
      <c r="H645" s="1" t="str">
        <f>"C21orf62"</f>
        <v>C21orf62</v>
      </c>
    </row>
    <row r="646" spans="1:8">
      <c r="A646" s="2" t="str">
        <f>"213400_s_at"</f>
        <v>213400_s_at</v>
      </c>
      <c r="B646" s="2">
        <v>-1.5189068656500599</v>
      </c>
      <c r="C646" s="2">
        <v>12.2651822455774</v>
      </c>
      <c r="D646" s="2">
        <v>-7.3309468363736503</v>
      </c>
      <c r="E646" s="3">
        <v>6.7695415499542705E-8</v>
      </c>
      <c r="F646" s="3">
        <v>8.6680253921252792E-6</v>
      </c>
      <c r="G646" s="2">
        <v>9.8686948998231294</v>
      </c>
      <c r="H646" s="1" t="str">
        <f>"TBL1X"</f>
        <v>TBL1X</v>
      </c>
    </row>
    <row r="647" spans="1:8">
      <c r="A647" s="2" t="str">
        <f>"240913_at"</f>
        <v>240913_at</v>
      </c>
      <c r="B647" s="2">
        <v>-1.5184957727919901</v>
      </c>
      <c r="C647" s="2">
        <v>6.5738144404868599</v>
      </c>
      <c r="D647" s="2">
        <v>-3.5910262692573198</v>
      </c>
      <c r="E647" s="2">
        <v>1.2863051673126301E-3</v>
      </c>
      <c r="F647" s="2">
        <v>1.3045582456467799E-2</v>
      </c>
      <c r="G647" s="2">
        <v>0.54679341681739901</v>
      </c>
      <c r="H647" s="1" t="str">
        <f>"FGFR2"</f>
        <v>FGFR2</v>
      </c>
    </row>
    <row r="648" spans="1:8">
      <c r="A648" s="2" t="str">
        <f>"204135_at"</f>
        <v>204135_at</v>
      </c>
      <c r="B648" s="2">
        <v>-1.5170505180804601</v>
      </c>
      <c r="C648" s="2">
        <v>10.5660296075171</v>
      </c>
      <c r="D648" s="2">
        <v>-7.1063975164986797</v>
      </c>
      <c r="E648" s="3">
        <v>1.19017581531725E-7</v>
      </c>
      <c r="F648" s="3">
        <v>1.24722664763791E-5</v>
      </c>
      <c r="G648" s="2">
        <v>9.3377355318042099</v>
      </c>
      <c r="H648" s="1" t="str">
        <f>"FILIP1L"</f>
        <v>FILIP1L</v>
      </c>
    </row>
    <row r="649" spans="1:8">
      <c r="A649" s="2" t="str">
        <f>"207876_s_at"</f>
        <v>207876_s_at</v>
      </c>
      <c r="B649" s="2">
        <v>-1.51554520963876</v>
      </c>
      <c r="C649" s="2">
        <v>11.344124497701801</v>
      </c>
      <c r="D649" s="2">
        <v>-5.0224544124624098</v>
      </c>
      <c r="E649" s="3">
        <v>2.8382237994648E-5</v>
      </c>
      <c r="F649" s="2">
        <v>7.16030993008646E-4</v>
      </c>
      <c r="G649" s="2">
        <v>4.1489921146342699</v>
      </c>
      <c r="H649" s="1" t="str">
        <f>"FLNC"</f>
        <v>FLNC</v>
      </c>
    </row>
    <row r="650" spans="1:8">
      <c r="A650" s="2" t="str">
        <f>"202465_at"</f>
        <v>202465_at</v>
      </c>
      <c r="B650" s="2">
        <v>-1.51529794378621</v>
      </c>
      <c r="C650" s="2">
        <v>10.792957126032499</v>
      </c>
      <c r="D650" s="2">
        <v>-5.6531121786296001</v>
      </c>
      <c r="E650" s="3">
        <v>5.2306864300398401E-6</v>
      </c>
      <c r="F650" s="2">
        <v>1.9723295211201901E-4</v>
      </c>
      <c r="G650" s="2">
        <v>5.7559432984616699</v>
      </c>
      <c r="H650" s="1" t="str">
        <f>"PCOLCE"</f>
        <v>PCOLCE</v>
      </c>
    </row>
    <row r="651" spans="1:8">
      <c r="A651" s="2" t="str">
        <f>"225381_at"</f>
        <v>225381_at</v>
      </c>
      <c r="B651" s="2">
        <v>-1.5151771141397199</v>
      </c>
      <c r="C651" s="2">
        <v>10.230451114745399</v>
      </c>
      <c r="D651" s="2">
        <v>-7.6412481202892701</v>
      </c>
      <c r="E651" s="3">
        <v>3.1360364020936002E-8</v>
      </c>
      <c r="F651" s="3">
        <v>5.1182922472975399E-6</v>
      </c>
      <c r="G651" s="2">
        <v>10.590855704588</v>
      </c>
      <c r="H651" s="1" t="str">
        <f>"MIR100HG"</f>
        <v>MIR100HG</v>
      </c>
    </row>
    <row r="652" spans="1:8">
      <c r="A652" s="2" t="str">
        <f>"233576_at"</f>
        <v>233576_at</v>
      </c>
      <c r="B652" s="2">
        <v>-1.5138439450013901</v>
      </c>
      <c r="C652" s="2">
        <v>5.5390512055385202</v>
      </c>
      <c r="D652" s="2">
        <v>-5.4561349359039903</v>
      </c>
      <c r="E652" s="3">
        <v>8.8542645603978796E-6</v>
      </c>
      <c r="F652" s="2">
        <v>2.9608985617110399E-4</v>
      </c>
      <c r="G652" s="2">
        <v>5.2558280729</v>
      </c>
      <c r="H652" s="1" t="str">
        <f>"HMGCLL1"</f>
        <v>HMGCLL1</v>
      </c>
    </row>
    <row r="653" spans="1:8">
      <c r="A653" s="2" t="str">
        <f>"234861_at"</f>
        <v>234861_at</v>
      </c>
      <c r="B653" s="2">
        <v>-1.51250052721251</v>
      </c>
      <c r="C653" s="2">
        <v>3.7305174489872202</v>
      </c>
      <c r="D653" s="2">
        <v>-3.7852670279324201</v>
      </c>
      <c r="E653" s="2">
        <v>7.7518635452658395E-4</v>
      </c>
      <c r="F653" s="2">
        <v>8.8556861541456301E-3</v>
      </c>
      <c r="G653" s="2">
        <v>1.02107195351598</v>
      </c>
      <c r="H653" s="1" t="str">
        <f>"LOC93463"</f>
        <v>LOC93463</v>
      </c>
    </row>
    <row r="654" spans="1:8">
      <c r="A654" s="2" t="str">
        <f>"228720_at"</f>
        <v>228720_at</v>
      </c>
      <c r="B654" s="2">
        <v>-1.5121981552989201</v>
      </c>
      <c r="C654" s="2">
        <v>7.9059618790339403</v>
      </c>
      <c r="D654" s="2">
        <v>-7.3702536332660102</v>
      </c>
      <c r="E654" s="3">
        <v>6.1367559177224094E-8</v>
      </c>
      <c r="F654" s="3">
        <v>8.0849910795535496E-6</v>
      </c>
      <c r="G654" s="2">
        <v>9.9609246618804406</v>
      </c>
      <c r="H654" s="1" t="str">
        <f>"SORCS2"</f>
        <v>SORCS2</v>
      </c>
    </row>
    <row r="655" spans="1:8">
      <c r="A655" s="2" t="str">
        <f>"226709_at"</f>
        <v>226709_at</v>
      </c>
      <c r="B655" s="2">
        <v>-1.51196374835604</v>
      </c>
      <c r="C655" s="2">
        <v>5.9126163732740498</v>
      </c>
      <c r="D655" s="2">
        <v>-6.9580863180582702</v>
      </c>
      <c r="E655" s="3">
        <v>1.7334113508946399E-7</v>
      </c>
      <c r="F655" s="3">
        <v>1.6368612367904001E-5</v>
      </c>
      <c r="G655" s="2">
        <v>8.9833308244366297</v>
      </c>
      <c r="H655" s="1" t="str">
        <f>"ROBO2"</f>
        <v>ROBO2</v>
      </c>
    </row>
    <row r="656" spans="1:8">
      <c r="A656" s="2" t="str">
        <f>"1558964_at"</f>
        <v>1558964_at</v>
      </c>
      <c r="B656" s="2">
        <v>-1.5109788160454301</v>
      </c>
      <c r="C656" s="2">
        <v>8.0107002711376101</v>
      </c>
      <c r="D656" s="2">
        <v>-5.0775942125439704</v>
      </c>
      <c r="E656" s="3">
        <v>2.4467773221865599E-5</v>
      </c>
      <c r="F656" s="2">
        <v>6.4039037860483695E-4</v>
      </c>
      <c r="G656" s="2">
        <v>4.2899706146652603</v>
      </c>
      <c r="H656" s="1" t="str">
        <f>"FAT3"</f>
        <v>FAT3</v>
      </c>
    </row>
    <row r="657" spans="1:8">
      <c r="A657" s="2" t="str">
        <f>"205168_at"</f>
        <v>205168_at</v>
      </c>
      <c r="B657" s="2">
        <v>-1.5108781769375901</v>
      </c>
      <c r="C657" s="2">
        <v>10.155211922287901</v>
      </c>
      <c r="D657" s="2">
        <v>-8.7749017777289904</v>
      </c>
      <c r="E657" s="3">
        <v>2.0963061414772701E-9</v>
      </c>
      <c r="F657" s="3">
        <v>7.6410358856846595E-7</v>
      </c>
      <c r="G657" s="2">
        <v>13.1088407420908</v>
      </c>
      <c r="H657" s="1" t="str">
        <f>"DDR2"</f>
        <v>DDR2</v>
      </c>
    </row>
    <row r="658" spans="1:8">
      <c r="A658" s="2" t="str">
        <f>"235570_at"</f>
        <v>235570_at</v>
      </c>
      <c r="B658" s="2">
        <v>-1.5106777787544901</v>
      </c>
      <c r="C658" s="2">
        <v>10.096797379506199</v>
      </c>
      <c r="D658" s="2">
        <v>-11.0196552776376</v>
      </c>
      <c r="E658" s="3">
        <v>1.6197495621306701E-11</v>
      </c>
      <c r="F658" s="3">
        <v>2.4599946474859599E-8</v>
      </c>
      <c r="G658" s="2">
        <v>17.525161390008201</v>
      </c>
      <c r="H658" s="1" t="str">
        <f>"RBMS3"</f>
        <v>RBMS3</v>
      </c>
    </row>
    <row r="659" spans="1:8">
      <c r="A659" s="2" t="str">
        <f>"206022_at"</f>
        <v>206022_at</v>
      </c>
      <c r="B659" s="2">
        <v>-1.51027892227765</v>
      </c>
      <c r="C659" s="2">
        <v>8.0654626350263197</v>
      </c>
      <c r="D659" s="2">
        <v>-5.0396590790814999</v>
      </c>
      <c r="E659" s="3">
        <v>2.70977926691303E-5</v>
      </c>
      <c r="F659" s="2">
        <v>6.9426982857764797E-4</v>
      </c>
      <c r="G659" s="2">
        <v>4.1929833139706698</v>
      </c>
      <c r="H659" s="1" t="str">
        <f>"NDP"</f>
        <v>NDP</v>
      </c>
    </row>
    <row r="660" spans="1:8">
      <c r="A660" s="2" t="str">
        <f>"242414_at"</f>
        <v>242414_at</v>
      </c>
      <c r="B660" s="2">
        <v>-1.51007498918528</v>
      </c>
      <c r="C660" s="2">
        <v>9.4616340266833507</v>
      </c>
      <c r="D660" s="2">
        <v>-5.9284960574294097</v>
      </c>
      <c r="E660" s="3">
        <v>2.51649694401232E-6</v>
      </c>
      <c r="F660" s="2">
        <v>1.1296344040547899E-4</v>
      </c>
      <c r="G660" s="2">
        <v>6.4507814962632199</v>
      </c>
      <c r="H660" s="1" t="str">
        <f>"QPRT"</f>
        <v>QPRT</v>
      </c>
    </row>
    <row r="661" spans="1:8">
      <c r="A661" s="2" t="str">
        <f>"228692_at"</f>
        <v>228692_at</v>
      </c>
      <c r="B661" s="2">
        <v>-1.50843442998985</v>
      </c>
      <c r="C661" s="2">
        <v>7.5755841891307796</v>
      </c>
      <c r="D661" s="2">
        <v>-5.8079784188635601</v>
      </c>
      <c r="E661" s="3">
        <v>3.46393791319738E-6</v>
      </c>
      <c r="F661" s="2">
        <v>1.4445721136450499E-4</v>
      </c>
      <c r="G661" s="2">
        <v>6.1473991255014599</v>
      </c>
      <c r="H661" s="1" t="str">
        <f>"PREX2"</f>
        <v>PREX2</v>
      </c>
    </row>
    <row r="662" spans="1:8">
      <c r="A662" s="2" t="str">
        <f>"203069_at"</f>
        <v>203069_at</v>
      </c>
      <c r="B662" s="2">
        <v>-1.50787066094122</v>
      </c>
      <c r="C662" s="2">
        <v>8.2295747169071802</v>
      </c>
      <c r="D662" s="2">
        <v>-8.3632848975750598</v>
      </c>
      <c r="E662" s="3">
        <v>5.4900493590858998E-9</v>
      </c>
      <c r="F662" s="3">
        <v>1.45008912419334E-6</v>
      </c>
      <c r="G662" s="2">
        <v>12.2169030356932</v>
      </c>
      <c r="H662" s="1" t="str">
        <f>"SV2A"</f>
        <v>SV2A</v>
      </c>
    </row>
    <row r="663" spans="1:8">
      <c r="A663" s="2" t="str">
        <f>"230309_at"</f>
        <v>230309_at</v>
      </c>
      <c r="B663" s="2">
        <v>-1.5078242947338301</v>
      </c>
      <c r="C663" s="2">
        <v>8.5017602243358095</v>
      </c>
      <c r="D663" s="2">
        <v>-6.6493338824174302</v>
      </c>
      <c r="E663" s="3">
        <v>3.8225602967095198E-7</v>
      </c>
      <c r="F663" s="3">
        <v>2.8669202225321401E-5</v>
      </c>
      <c r="G663" s="2">
        <v>8.2364986828574995</v>
      </c>
      <c r="H663" s="1" t="str">
        <f>"BHMT2"</f>
        <v>BHMT2</v>
      </c>
    </row>
    <row r="664" spans="1:8">
      <c r="A664" s="2" t="str">
        <f>"231137_at"</f>
        <v>231137_at</v>
      </c>
      <c r="B664" s="2">
        <v>-1.5072848646601</v>
      </c>
      <c r="C664" s="2">
        <v>7.5026343278775203</v>
      </c>
      <c r="D664" s="2">
        <v>-8.71793988811622</v>
      </c>
      <c r="E664" s="3">
        <v>2.3918630978583002E-9</v>
      </c>
      <c r="F664" s="3">
        <v>8.2248499921636701E-7</v>
      </c>
      <c r="G664" s="2">
        <v>12.9869431434552</v>
      </c>
      <c r="H664" s="1" t="str">
        <f>"IDH3A"</f>
        <v>IDH3A</v>
      </c>
    </row>
    <row r="665" spans="1:8">
      <c r="A665" s="2" t="str">
        <f>"221348_at"</f>
        <v>221348_at</v>
      </c>
      <c r="B665" s="2">
        <v>-1.50616765361602</v>
      </c>
      <c r="C665" s="2">
        <v>5.8232645725357299</v>
      </c>
      <c r="D665" s="2">
        <v>-3.3799065209232202</v>
      </c>
      <c r="E665" s="2">
        <v>2.2135747388301601E-3</v>
      </c>
      <c r="F665" s="2">
        <v>1.95963728700678E-2</v>
      </c>
      <c r="G665" s="2">
        <v>4.0865154825128001E-2</v>
      </c>
      <c r="H665" s="1" t="str">
        <f>"NPPC"</f>
        <v>NPPC</v>
      </c>
    </row>
    <row r="666" spans="1:8">
      <c r="A666" s="2" t="str">
        <f>"234472_at"</f>
        <v>234472_at</v>
      </c>
      <c r="B666" s="2">
        <v>-1.5059798644975799</v>
      </c>
      <c r="C666" s="2">
        <v>5.2232588366009702</v>
      </c>
      <c r="D666" s="2">
        <v>-3.9946338599701199</v>
      </c>
      <c r="E666" s="2">
        <v>4.4640474734424998E-4</v>
      </c>
      <c r="F666" s="2">
        <v>5.7891792127720198E-3</v>
      </c>
      <c r="G666" s="2">
        <v>1.5399308359508601</v>
      </c>
      <c r="H666" s="1" t="str">
        <f>"GALNT13"</f>
        <v>GALNT13</v>
      </c>
    </row>
    <row r="667" spans="1:8">
      <c r="A667" s="2" t="str">
        <f>"235333_at"</f>
        <v>235333_at</v>
      </c>
      <c r="B667" s="2">
        <v>-1.50545153317369</v>
      </c>
      <c r="C667" s="2">
        <v>9.8381885293122107</v>
      </c>
      <c r="D667" s="2">
        <v>-7.2959531770902801</v>
      </c>
      <c r="E667" s="3">
        <v>7.3887767002436101E-8</v>
      </c>
      <c r="F667" s="3">
        <v>9.0352660359499198E-6</v>
      </c>
      <c r="G667" s="2">
        <v>9.7864049114314806</v>
      </c>
      <c r="H667" s="1" t="str">
        <f>"B4GALT6"</f>
        <v>B4GALT6</v>
      </c>
    </row>
    <row r="668" spans="1:8">
      <c r="A668" s="2" t="str">
        <f>"239675_at"</f>
        <v>239675_at</v>
      </c>
      <c r="B668" s="2">
        <v>-1.5050938121237201</v>
      </c>
      <c r="C668" s="2">
        <v>6.9048076577357298</v>
      </c>
      <c r="D668" s="2">
        <v>-8.4102656535698603</v>
      </c>
      <c r="E668" s="3">
        <v>4.9131628584466602E-9</v>
      </c>
      <c r="F668" s="3">
        <v>1.3498853230430699E-6</v>
      </c>
      <c r="G668" s="2">
        <v>12.320004594496</v>
      </c>
      <c r="H668" s="1" t="str">
        <f>"LINC00900"</f>
        <v>LINC00900</v>
      </c>
    </row>
    <row r="669" spans="1:8">
      <c r="A669" s="2" t="str">
        <f>"209209_s_at"</f>
        <v>209209_s_at</v>
      </c>
      <c r="B669" s="2">
        <v>-1.50356428972514</v>
      </c>
      <c r="C669" s="2">
        <v>8.9348976957522108</v>
      </c>
      <c r="D669" s="2">
        <v>-4.1610824777402904</v>
      </c>
      <c r="E669" s="2">
        <v>2.8685420821763803E-4</v>
      </c>
      <c r="F669" s="2">
        <v>4.1175515448409897E-3</v>
      </c>
      <c r="G669" s="2">
        <v>1.9569483668749399</v>
      </c>
      <c r="H669" s="1" t="str">
        <f>"FERMT2"</f>
        <v>FERMT2</v>
      </c>
    </row>
    <row r="670" spans="1:8">
      <c r="A670" s="2" t="str">
        <f>"220975_s_at"</f>
        <v>220975_s_at</v>
      </c>
      <c r="B670" s="2">
        <v>-1.50349376667734</v>
      </c>
      <c r="C670" s="2">
        <v>9.62603495814583</v>
      </c>
      <c r="D670" s="2">
        <v>-8.3349655701699508</v>
      </c>
      <c r="E670" s="3">
        <v>5.8708467287534599E-9</v>
      </c>
      <c r="F670" s="3">
        <v>1.52127272461894E-6</v>
      </c>
      <c r="G670" s="2">
        <v>12.1545938259494</v>
      </c>
      <c r="H670" s="1" t="str">
        <f>"C1QTNF1"</f>
        <v>C1QTNF1</v>
      </c>
    </row>
    <row r="671" spans="1:8">
      <c r="A671" s="2" t="str">
        <f>"223316_at"</f>
        <v>223316_at</v>
      </c>
      <c r="B671" s="2">
        <v>-1.5029801210803699</v>
      </c>
      <c r="C671" s="2">
        <v>10.571115999078099</v>
      </c>
      <c r="D671" s="2">
        <v>-4.6225439994796602</v>
      </c>
      <c r="E671" s="3">
        <v>8.3299244033256794E-5</v>
      </c>
      <c r="F671" s="2">
        <v>1.62308844173853E-3</v>
      </c>
      <c r="G671" s="2">
        <v>3.1270765095846</v>
      </c>
      <c r="H671" s="1" t="str">
        <f>"CCDC3"</f>
        <v>CCDC3</v>
      </c>
    </row>
    <row r="672" spans="1:8">
      <c r="A672" s="2" t="str">
        <f>"213568_at"</f>
        <v>213568_at</v>
      </c>
      <c r="B672" s="2">
        <v>-1.5027570647020501</v>
      </c>
      <c r="C672" s="2">
        <v>10.9089728071362</v>
      </c>
      <c r="D672" s="2">
        <v>-8.1207340076899097</v>
      </c>
      <c r="E672" s="3">
        <v>9.7838434904282397E-9</v>
      </c>
      <c r="F672" s="3">
        <v>2.1923427985211601E-6</v>
      </c>
      <c r="G672" s="2">
        <v>11.679322381114201</v>
      </c>
      <c r="H672" s="1" t="str">
        <f>"OSR2"</f>
        <v>OSR2</v>
      </c>
    </row>
    <row r="673" spans="1:8">
      <c r="A673" s="2" t="str">
        <f>"200982_s_at"</f>
        <v>200982_s_at</v>
      </c>
      <c r="B673" s="2">
        <v>-1.5024400064443399</v>
      </c>
      <c r="C673" s="2">
        <v>11.899559671821001</v>
      </c>
      <c r="D673" s="2">
        <v>-7.1717318656598801</v>
      </c>
      <c r="E673" s="3">
        <v>1.00934087191953E-7</v>
      </c>
      <c r="F673" s="3">
        <v>1.12841795985663E-5</v>
      </c>
      <c r="G673" s="2">
        <v>9.4929300577051698</v>
      </c>
      <c r="H673" s="1" t="str">
        <f>"ANXA6"</f>
        <v>ANXA6</v>
      </c>
    </row>
    <row r="674" spans="1:8">
      <c r="A674" s="2" t="str">
        <f>"220233_at"</f>
        <v>220233_at</v>
      </c>
      <c r="B674" s="2">
        <v>-1.5012478203755999</v>
      </c>
      <c r="C674" s="2">
        <v>8.9962974719013893</v>
      </c>
      <c r="D674" s="2">
        <v>-4.1723005542335496</v>
      </c>
      <c r="E674" s="2">
        <v>2.7840461215320801E-4</v>
      </c>
      <c r="F674" s="2">
        <v>4.0216042719885504E-3</v>
      </c>
      <c r="G674" s="2">
        <v>1.9851747493890599</v>
      </c>
      <c r="H674" s="1" t="str">
        <f>"FBXO17"</f>
        <v>FBXO17</v>
      </c>
    </row>
    <row r="675" spans="1:8">
      <c r="A675" s="2" t="str">
        <f>"205824_at"</f>
        <v>205824_at</v>
      </c>
      <c r="B675" s="2">
        <v>-1.5010697566941</v>
      </c>
      <c r="C675" s="2">
        <v>7.7641629009182704</v>
      </c>
      <c r="D675" s="2">
        <v>-5.0502966482796099</v>
      </c>
      <c r="E675" s="3">
        <v>2.63329400475222E-5</v>
      </c>
      <c r="F675" s="2">
        <v>6.7912900806522502E-4</v>
      </c>
      <c r="G675" s="2">
        <v>4.2201815598608396</v>
      </c>
      <c r="H675" s="1" t="str">
        <f>"HSPB2"</f>
        <v>HSPB2</v>
      </c>
    </row>
    <row r="676" spans="1:8">
      <c r="A676" s="2" t="str">
        <f>"241598_at"</f>
        <v>241598_at</v>
      </c>
      <c r="B676" s="2">
        <v>-1.5010132335389399</v>
      </c>
      <c r="C676" s="2">
        <v>5.9309615540656999</v>
      </c>
      <c r="D676" s="2">
        <v>-3.8267542930308101</v>
      </c>
      <c r="E676" s="2">
        <v>6.9519776800788401E-4</v>
      </c>
      <c r="F676" s="2">
        <v>8.1512281072907491E-3</v>
      </c>
      <c r="G676" s="2">
        <v>1.1233109521698801</v>
      </c>
      <c r="H676" s="1" t="str">
        <f>"NUDT10"</f>
        <v>NUDT10</v>
      </c>
    </row>
  </sheetData>
  <sortState xmlns:xlrd2="http://schemas.microsoft.com/office/spreadsheetml/2017/richdata2" ref="A3:H675">
    <sortCondition ref="B2:B675"/>
  </sortState>
  <mergeCells count="1">
    <mergeCell ref="A1:H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S2 Detailed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</dc:creator>
  <cp:lastModifiedBy>MDPI</cp:lastModifiedBy>
  <dcterms:created xsi:type="dcterms:W3CDTF">2021-05-12T12:50:42Z</dcterms:created>
  <dcterms:modified xsi:type="dcterms:W3CDTF">2022-05-08T09:08:17Z</dcterms:modified>
</cp:coreProperties>
</file>