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0508\skip pub\跳发\2\genes-1667281-supplementary\"/>
    </mc:Choice>
  </mc:AlternateContent>
  <xr:revisionPtr revIDLastSave="0" documentId="13_ncr:1_{235AD13B-D0A7-4D9B-9A60-E5A56B7B77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Table S4 Detail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B2" i="1"/>
  <c r="G2" i="1"/>
  <c r="H2" i="1"/>
  <c r="I2" i="1"/>
  <c r="F2" i="1"/>
  <c r="J2" i="1"/>
  <c r="K2" i="1"/>
  <c r="D2" i="1"/>
  <c r="E2" i="1"/>
  <c r="A3" i="1"/>
  <c r="C3" i="1"/>
  <c r="B3" i="1"/>
  <c r="G3" i="1"/>
  <c r="H3" i="1"/>
  <c r="A4" i="1"/>
  <c r="C4" i="1"/>
  <c r="B4" i="1"/>
  <c r="G4" i="1"/>
  <c r="H4" i="1"/>
  <c r="A5" i="1"/>
  <c r="C5" i="1"/>
  <c r="B5" i="1"/>
  <c r="G5" i="1"/>
  <c r="H5" i="1"/>
  <c r="A6" i="1"/>
  <c r="C6" i="1"/>
  <c r="B6" i="1"/>
  <c r="G6" i="1"/>
  <c r="H6" i="1"/>
  <c r="K6" i="1"/>
  <c r="A7" i="1"/>
  <c r="C7" i="1"/>
  <c r="B7" i="1"/>
  <c r="G7" i="1"/>
  <c r="H7" i="1"/>
  <c r="K7" i="1"/>
  <c r="A8" i="1"/>
  <c r="C8" i="1"/>
  <c r="B8" i="1"/>
  <c r="G8" i="1"/>
  <c r="H8" i="1"/>
  <c r="K8" i="1"/>
  <c r="A9" i="1"/>
  <c r="C9" i="1"/>
  <c r="B9" i="1"/>
  <c r="G9" i="1"/>
  <c r="H9" i="1"/>
  <c r="K9" i="1"/>
  <c r="A10" i="1"/>
  <c r="C10" i="1"/>
  <c r="B10" i="1"/>
  <c r="G10" i="1"/>
  <c r="H10" i="1"/>
  <c r="K10" i="1"/>
  <c r="A11" i="1"/>
  <c r="C11" i="1"/>
  <c r="B11" i="1"/>
  <c r="G11" i="1"/>
  <c r="H11" i="1"/>
  <c r="K11" i="1"/>
  <c r="A12" i="1"/>
  <c r="C12" i="1"/>
  <c r="B12" i="1"/>
  <c r="G12" i="1"/>
  <c r="H12" i="1"/>
  <c r="A13" i="1"/>
  <c r="C13" i="1"/>
  <c r="B13" i="1"/>
  <c r="G13" i="1"/>
  <c r="H13" i="1"/>
  <c r="A14" i="1"/>
  <c r="C14" i="1"/>
  <c r="B14" i="1"/>
  <c r="G14" i="1"/>
  <c r="H14" i="1"/>
  <c r="K14" i="1"/>
  <c r="A15" i="1"/>
  <c r="C15" i="1"/>
  <c r="B15" i="1"/>
  <c r="G15" i="1"/>
  <c r="H15" i="1"/>
  <c r="A16" i="1"/>
  <c r="C16" i="1"/>
  <c r="B16" i="1"/>
  <c r="G16" i="1"/>
  <c r="H16" i="1"/>
  <c r="K16" i="1"/>
  <c r="A17" i="1"/>
  <c r="C17" i="1"/>
  <c r="B17" i="1"/>
  <c r="G17" i="1"/>
  <c r="H17" i="1"/>
  <c r="K17" i="1"/>
  <c r="A18" i="1"/>
  <c r="C18" i="1"/>
  <c r="B18" i="1"/>
  <c r="G18" i="1"/>
  <c r="H18" i="1"/>
  <c r="K18" i="1"/>
  <c r="A19" i="1"/>
  <c r="C19" i="1"/>
  <c r="B19" i="1"/>
  <c r="G19" i="1"/>
  <c r="H19" i="1"/>
  <c r="K19" i="1"/>
  <c r="A20" i="1"/>
  <c r="C20" i="1"/>
  <c r="B20" i="1"/>
  <c r="G20" i="1"/>
  <c r="H20" i="1"/>
  <c r="K20" i="1"/>
  <c r="A21" i="1"/>
  <c r="C21" i="1"/>
  <c r="B21" i="1"/>
  <c r="G21" i="1"/>
  <c r="H21" i="1"/>
  <c r="K21" i="1"/>
  <c r="A22" i="1"/>
  <c r="C22" i="1"/>
  <c r="B22" i="1"/>
  <c r="G22" i="1"/>
  <c r="H22" i="1"/>
  <c r="K22" i="1"/>
  <c r="A23" i="1"/>
  <c r="C23" i="1"/>
  <c r="B23" i="1"/>
  <c r="G23" i="1"/>
  <c r="H23" i="1"/>
  <c r="K23" i="1"/>
  <c r="A24" i="1"/>
  <c r="C24" i="1"/>
  <c r="B24" i="1"/>
  <c r="G24" i="1"/>
  <c r="H24" i="1"/>
  <c r="K24" i="1"/>
  <c r="A25" i="1"/>
  <c r="C25" i="1"/>
  <c r="B25" i="1"/>
  <c r="G25" i="1"/>
  <c r="H25" i="1"/>
  <c r="A26" i="1"/>
  <c r="C26" i="1"/>
  <c r="B26" i="1"/>
  <c r="G26" i="1"/>
  <c r="H26" i="1"/>
  <c r="K26" i="1"/>
  <c r="A27" i="1"/>
  <c r="C27" i="1"/>
  <c r="B27" i="1"/>
  <c r="G27" i="1"/>
  <c r="H27" i="1"/>
  <c r="K27" i="1"/>
  <c r="A28" i="1"/>
  <c r="C28" i="1"/>
  <c r="B28" i="1"/>
  <c r="G28" i="1"/>
  <c r="H28" i="1"/>
  <c r="K28" i="1"/>
  <c r="A29" i="1"/>
  <c r="C29" i="1"/>
  <c r="B29" i="1"/>
  <c r="G29" i="1"/>
  <c r="H29" i="1"/>
  <c r="K29" i="1"/>
  <c r="A30" i="1"/>
  <c r="C30" i="1"/>
  <c r="B30" i="1"/>
  <c r="G30" i="1"/>
  <c r="H30" i="1"/>
  <c r="K30" i="1"/>
  <c r="A31" i="1"/>
  <c r="C31" i="1"/>
  <c r="B31" i="1"/>
  <c r="G31" i="1"/>
  <c r="H31" i="1"/>
  <c r="K31" i="1"/>
  <c r="A32" i="1"/>
  <c r="C32" i="1"/>
  <c r="B32" i="1"/>
  <c r="G32" i="1"/>
  <c r="H32" i="1"/>
  <c r="K32" i="1"/>
  <c r="A33" i="1"/>
  <c r="C33" i="1"/>
  <c r="B33" i="1"/>
  <c r="G33" i="1"/>
  <c r="H33" i="1"/>
  <c r="K33" i="1"/>
  <c r="A34" i="1"/>
  <c r="C34" i="1"/>
  <c r="B34" i="1"/>
  <c r="G34" i="1"/>
  <c r="H34" i="1"/>
  <c r="K34" i="1"/>
  <c r="A35" i="1"/>
  <c r="C35" i="1"/>
  <c r="B35" i="1"/>
  <c r="G35" i="1"/>
  <c r="H35" i="1"/>
  <c r="K35" i="1"/>
  <c r="A36" i="1"/>
  <c r="C36" i="1"/>
  <c r="B36" i="1"/>
  <c r="G36" i="1"/>
  <c r="H36" i="1"/>
  <c r="K36" i="1"/>
  <c r="A37" i="1"/>
  <c r="C37" i="1"/>
  <c r="B37" i="1"/>
  <c r="G37" i="1"/>
  <c r="H37" i="1"/>
  <c r="K37" i="1"/>
  <c r="A38" i="1"/>
  <c r="C38" i="1"/>
  <c r="B38" i="1"/>
  <c r="G38" i="1"/>
  <c r="H38" i="1"/>
  <c r="K38" i="1"/>
  <c r="A39" i="1"/>
  <c r="C39" i="1"/>
  <c r="B39" i="1"/>
  <c r="G39" i="1"/>
  <c r="H39" i="1"/>
  <c r="A40" i="1"/>
  <c r="C40" i="1"/>
  <c r="B40" i="1"/>
  <c r="G40" i="1"/>
  <c r="H40" i="1"/>
  <c r="K40" i="1"/>
  <c r="A41" i="1"/>
  <c r="C41" i="1"/>
  <c r="B41" i="1"/>
  <c r="G41" i="1"/>
  <c r="H41" i="1"/>
  <c r="K41" i="1"/>
  <c r="A42" i="1"/>
  <c r="C42" i="1"/>
  <c r="B42" i="1"/>
  <c r="G42" i="1"/>
  <c r="H42" i="1"/>
  <c r="K42" i="1"/>
  <c r="A43" i="1"/>
  <c r="C43" i="1"/>
  <c r="B43" i="1"/>
  <c r="G43" i="1"/>
  <c r="H43" i="1"/>
  <c r="K43" i="1"/>
  <c r="A44" i="1"/>
  <c r="C44" i="1"/>
  <c r="B44" i="1"/>
  <c r="G44" i="1"/>
  <c r="H44" i="1"/>
  <c r="K44" i="1"/>
  <c r="A45" i="1"/>
  <c r="C45" i="1"/>
  <c r="B45" i="1"/>
  <c r="G45" i="1"/>
  <c r="H45" i="1"/>
  <c r="K45" i="1"/>
  <c r="A46" i="1"/>
  <c r="C46" i="1"/>
  <c r="B46" i="1"/>
  <c r="G46" i="1"/>
  <c r="H46" i="1"/>
  <c r="K46" i="1"/>
  <c r="A47" i="1"/>
  <c r="C47" i="1"/>
  <c r="B47" i="1"/>
  <c r="G47" i="1"/>
  <c r="H47" i="1"/>
  <c r="K47" i="1"/>
  <c r="A48" i="1"/>
  <c r="C48" i="1"/>
  <c r="B48" i="1"/>
  <c r="G48" i="1"/>
  <c r="H48" i="1"/>
  <c r="K48" i="1"/>
  <c r="A49" i="1"/>
  <c r="C49" i="1"/>
  <c r="B49" i="1"/>
  <c r="G49" i="1"/>
  <c r="H49" i="1"/>
  <c r="K49" i="1"/>
  <c r="A50" i="1"/>
  <c r="C50" i="1"/>
  <c r="B50" i="1"/>
  <c r="G50" i="1"/>
  <c r="H50" i="1"/>
  <c r="K50" i="1"/>
  <c r="A51" i="1"/>
  <c r="C51" i="1"/>
  <c r="B51" i="1"/>
  <c r="G51" i="1"/>
  <c r="H51" i="1"/>
  <c r="K51" i="1"/>
  <c r="A52" i="1"/>
  <c r="C52" i="1"/>
  <c r="B52" i="1"/>
  <c r="G52" i="1"/>
  <c r="H52" i="1"/>
  <c r="K52" i="1"/>
  <c r="A53" i="1"/>
  <c r="C53" i="1"/>
  <c r="B53" i="1"/>
  <c r="G53" i="1"/>
  <c r="H53" i="1"/>
  <c r="K53" i="1"/>
  <c r="A54" i="1"/>
  <c r="C54" i="1"/>
  <c r="B54" i="1"/>
  <c r="G54" i="1"/>
  <c r="H54" i="1"/>
  <c r="K54" i="1"/>
  <c r="A55" i="1"/>
  <c r="C55" i="1"/>
  <c r="B55" i="1"/>
  <c r="G55" i="1"/>
  <c r="H55" i="1"/>
  <c r="K55" i="1"/>
  <c r="A56" i="1"/>
  <c r="C56" i="1"/>
  <c r="B56" i="1"/>
  <c r="G56" i="1"/>
  <c r="H56" i="1"/>
  <c r="K56" i="1"/>
  <c r="A57" i="1"/>
  <c r="C57" i="1"/>
  <c r="B57" i="1"/>
  <c r="G57" i="1"/>
  <c r="H57" i="1"/>
  <c r="K57" i="1"/>
  <c r="A58" i="1"/>
  <c r="C58" i="1"/>
  <c r="B58" i="1"/>
  <c r="G58" i="1"/>
  <c r="H58" i="1"/>
  <c r="K58" i="1"/>
  <c r="A59" i="1"/>
  <c r="C59" i="1"/>
  <c r="B59" i="1"/>
  <c r="G59" i="1"/>
  <c r="H59" i="1"/>
  <c r="K59" i="1"/>
  <c r="A60" i="1"/>
  <c r="C60" i="1"/>
  <c r="B60" i="1"/>
  <c r="G60" i="1"/>
  <c r="H60" i="1"/>
  <c r="K60" i="1"/>
  <c r="A61" i="1"/>
  <c r="C61" i="1"/>
  <c r="B61" i="1"/>
  <c r="G61" i="1"/>
  <c r="H61" i="1"/>
  <c r="K61" i="1"/>
  <c r="A62" i="1"/>
  <c r="C62" i="1"/>
  <c r="B62" i="1"/>
  <c r="G62" i="1"/>
  <c r="H62" i="1"/>
  <c r="K62" i="1"/>
  <c r="A63" i="1"/>
  <c r="C63" i="1"/>
  <c r="B63" i="1"/>
  <c r="G63" i="1"/>
  <c r="H63" i="1"/>
  <c r="K63" i="1"/>
  <c r="A64" i="1"/>
  <c r="C64" i="1"/>
  <c r="B64" i="1"/>
  <c r="G64" i="1"/>
  <c r="H64" i="1"/>
  <c r="K64" i="1"/>
  <c r="A65" i="1"/>
  <c r="C65" i="1"/>
  <c r="B65" i="1"/>
  <c r="G65" i="1"/>
  <c r="H65" i="1"/>
  <c r="K65" i="1"/>
  <c r="A66" i="1"/>
  <c r="C66" i="1"/>
  <c r="B66" i="1"/>
  <c r="G66" i="1"/>
  <c r="H66" i="1"/>
  <c r="K66" i="1"/>
  <c r="A67" i="1"/>
  <c r="C67" i="1"/>
  <c r="B67" i="1"/>
  <c r="G67" i="1"/>
  <c r="H67" i="1"/>
  <c r="K67" i="1"/>
  <c r="A68" i="1"/>
  <c r="C68" i="1"/>
  <c r="B68" i="1"/>
  <c r="G68" i="1"/>
  <c r="H68" i="1"/>
  <c r="K68" i="1"/>
  <c r="A69" i="1"/>
  <c r="C69" i="1"/>
  <c r="B69" i="1"/>
  <c r="G69" i="1"/>
  <c r="H69" i="1"/>
  <c r="K69" i="1"/>
  <c r="A70" i="1"/>
  <c r="C70" i="1"/>
  <c r="B70" i="1"/>
  <c r="G70" i="1"/>
  <c r="H70" i="1"/>
  <c r="K70" i="1"/>
  <c r="A71" i="1"/>
  <c r="C71" i="1"/>
  <c r="B71" i="1"/>
  <c r="G71" i="1"/>
  <c r="H71" i="1"/>
  <c r="K71" i="1"/>
  <c r="A72" i="1"/>
  <c r="C72" i="1"/>
  <c r="B72" i="1"/>
  <c r="G72" i="1"/>
  <c r="H72" i="1"/>
  <c r="K72" i="1"/>
  <c r="A73" i="1"/>
  <c r="C73" i="1"/>
  <c r="B73" i="1"/>
  <c r="G73" i="1"/>
  <c r="H73" i="1"/>
  <c r="K73" i="1"/>
  <c r="A74" i="1"/>
  <c r="C74" i="1"/>
  <c r="B74" i="1"/>
  <c r="G74" i="1"/>
  <c r="H74" i="1"/>
  <c r="K74" i="1"/>
  <c r="A75" i="1"/>
  <c r="C75" i="1"/>
  <c r="B75" i="1"/>
  <c r="G75" i="1"/>
  <c r="H75" i="1"/>
  <c r="K75" i="1"/>
  <c r="A76" i="1"/>
  <c r="C76" i="1"/>
  <c r="B76" i="1"/>
  <c r="G76" i="1"/>
  <c r="H76" i="1"/>
  <c r="K76" i="1"/>
  <c r="A77" i="1"/>
  <c r="C77" i="1"/>
  <c r="B77" i="1"/>
  <c r="G77" i="1"/>
  <c r="H77" i="1"/>
  <c r="K77" i="1"/>
  <c r="A78" i="1"/>
  <c r="C78" i="1"/>
  <c r="B78" i="1"/>
  <c r="G78" i="1"/>
  <c r="H78" i="1"/>
  <c r="K78" i="1"/>
  <c r="A79" i="1"/>
  <c r="C79" i="1"/>
  <c r="B79" i="1"/>
  <c r="G79" i="1"/>
  <c r="H79" i="1"/>
  <c r="K79" i="1"/>
  <c r="A80" i="1"/>
  <c r="C80" i="1"/>
  <c r="B80" i="1"/>
  <c r="G80" i="1"/>
  <c r="H80" i="1"/>
  <c r="K80" i="1"/>
  <c r="A81" i="1"/>
  <c r="C81" i="1"/>
  <c r="B81" i="1"/>
  <c r="G81" i="1"/>
  <c r="H81" i="1"/>
  <c r="K81" i="1"/>
  <c r="A82" i="1"/>
  <c r="C82" i="1"/>
  <c r="B82" i="1"/>
  <c r="G82" i="1"/>
  <c r="H82" i="1"/>
  <c r="K82" i="1"/>
  <c r="A83" i="1"/>
  <c r="C83" i="1"/>
  <c r="B83" i="1"/>
  <c r="G83" i="1"/>
  <c r="H83" i="1"/>
  <c r="K83" i="1"/>
  <c r="A84" i="1"/>
  <c r="C84" i="1"/>
  <c r="B84" i="1"/>
  <c r="G84" i="1"/>
  <c r="H84" i="1"/>
  <c r="K84" i="1"/>
  <c r="A85" i="1"/>
  <c r="C85" i="1"/>
  <c r="B85" i="1"/>
  <c r="G85" i="1"/>
  <c r="H85" i="1"/>
  <c r="K85" i="1"/>
  <c r="A86" i="1"/>
  <c r="C86" i="1"/>
  <c r="B86" i="1"/>
  <c r="G86" i="1"/>
  <c r="H86" i="1"/>
  <c r="K86" i="1"/>
  <c r="A87" i="1"/>
  <c r="C87" i="1"/>
  <c r="B87" i="1"/>
  <c r="G87" i="1"/>
  <c r="H87" i="1"/>
  <c r="K87" i="1"/>
  <c r="A88" i="1"/>
  <c r="C88" i="1"/>
  <c r="B88" i="1"/>
  <c r="G88" i="1"/>
  <c r="H88" i="1"/>
  <c r="K88" i="1"/>
  <c r="A89" i="1"/>
  <c r="C89" i="1"/>
  <c r="B89" i="1"/>
  <c r="G89" i="1"/>
  <c r="H89" i="1"/>
  <c r="K89" i="1"/>
  <c r="A90" i="1"/>
  <c r="C90" i="1"/>
  <c r="B90" i="1"/>
  <c r="G90" i="1"/>
  <c r="H90" i="1"/>
  <c r="K90" i="1"/>
  <c r="A91" i="1"/>
  <c r="C91" i="1"/>
  <c r="B91" i="1"/>
  <c r="G91" i="1"/>
  <c r="H91" i="1"/>
  <c r="K91" i="1"/>
  <c r="A92" i="1"/>
  <c r="C92" i="1"/>
  <c r="B92" i="1"/>
  <c r="G92" i="1"/>
  <c r="H92" i="1"/>
  <c r="K92" i="1"/>
  <c r="A93" i="1"/>
  <c r="C93" i="1"/>
  <c r="B93" i="1"/>
  <c r="G93" i="1"/>
  <c r="H93" i="1"/>
  <c r="K93" i="1"/>
  <c r="A94" i="1"/>
  <c r="C94" i="1"/>
  <c r="B94" i="1"/>
  <c r="G94" i="1"/>
  <c r="H94" i="1"/>
  <c r="K94" i="1"/>
  <c r="A95" i="1"/>
  <c r="C95" i="1"/>
  <c r="B95" i="1"/>
  <c r="G95" i="1"/>
  <c r="H95" i="1"/>
  <c r="K95" i="1"/>
  <c r="A96" i="1"/>
  <c r="C96" i="1"/>
  <c r="B96" i="1"/>
  <c r="G96" i="1"/>
  <c r="H96" i="1"/>
  <c r="K96" i="1"/>
  <c r="A97" i="1"/>
  <c r="C97" i="1"/>
  <c r="B97" i="1"/>
  <c r="G97" i="1"/>
  <c r="H97" i="1"/>
  <c r="K97" i="1"/>
  <c r="A98" i="1"/>
  <c r="C98" i="1"/>
  <c r="B98" i="1"/>
  <c r="G98" i="1"/>
  <c r="H98" i="1"/>
  <c r="K98" i="1"/>
  <c r="A99" i="1"/>
  <c r="C99" i="1"/>
  <c r="B99" i="1"/>
  <c r="G99" i="1"/>
  <c r="H99" i="1"/>
  <c r="K99" i="1"/>
  <c r="A100" i="1"/>
  <c r="C100" i="1"/>
  <c r="B100" i="1"/>
  <c r="G100" i="1"/>
  <c r="H100" i="1"/>
  <c r="K100" i="1"/>
  <c r="A101" i="1"/>
  <c r="C101" i="1"/>
  <c r="B101" i="1"/>
  <c r="G101" i="1"/>
  <c r="H101" i="1"/>
  <c r="K101" i="1"/>
  <c r="A102" i="1"/>
  <c r="C102" i="1"/>
  <c r="B102" i="1"/>
  <c r="G102" i="1"/>
  <c r="H102" i="1"/>
  <c r="K102" i="1"/>
  <c r="A103" i="1"/>
  <c r="C103" i="1"/>
  <c r="B103" i="1"/>
  <c r="G103" i="1"/>
  <c r="H103" i="1"/>
  <c r="K103" i="1"/>
  <c r="A104" i="1"/>
  <c r="C104" i="1"/>
  <c r="B104" i="1"/>
  <c r="G104" i="1"/>
  <c r="H104" i="1"/>
  <c r="K104" i="1"/>
  <c r="A105" i="1"/>
  <c r="C105" i="1"/>
  <c r="B105" i="1"/>
  <c r="G105" i="1"/>
  <c r="H105" i="1"/>
  <c r="K105" i="1"/>
  <c r="A106" i="1"/>
  <c r="C106" i="1"/>
  <c r="B106" i="1"/>
  <c r="G106" i="1"/>
  <c r="H106" i="1"/>
  <c r="K106" i="1"/>
  <c r="A107" i="1"/>
  <c r="C107" i="1"/>
  <c r="B107" i="1"/>
  <c r="G107" i="1"/>
  <c r="H107" i="1"/>
  <c r="K107" i="1"/>
  <c r="A108" i="1"/>
  <c r="C108" i="1"/>
  <c r="B108" i="1"/>
  <c r="G108" i="1"/>
  <c r="H108" i="1"/>
  <c r="K108" i="1"/>
  <c r="A109" i="1"/>
  <c r="C109" i="1"/>
  <c r="B109" i="1"/>
  <c r="G109" i="1"/>
  <c r="H109" i="1"/>
  <c r="K109" i="1"/>
  <c r="A110" i="1"/>
  <c r="C110" i="1"/>
  <c r="B110" i="1"/>
  <c r="G110" i="1"/>
  <c r="H110" i="1"/>
  <c r="K110" i="1"/>
  <c r="A111" i="1"/>
  <c r="C111" i="1"/>
  <c r="B111" i="1"/>
  <c r="G111" i="1"/>
  <c r="H111" i="1"/>
  <c r="K111" i="1"/>
  <c r="A112" i="1"/>
  <c r="C112" i="1"/>
  <c r="B112" i="1"/>
  <c r="G112" i="1"/>
  <c r="H112" i="1"/>
  <c r="K112" i="1"/>
  <c r="A113" i="1"/>
  <c r="C113" i="1"/>
  <c r="B113" i="1"/>
  <c r="G113" i="1"/>
  <c r="H113" i="1"/>
  <c r="K113" i="1"/>
  <c r="A114" i="1"/>
  <c r="C114" i="1"/>
  <c r="B114" i="1"/>
  <c r="G114" i="1"/>
  <c r="H114" i="1"/>
  <c r="K114" i="1"/>
  <c r="A115" i="1"/>
  <c r="C115" i="1"/>
  <c r="B115" i="1"/>
  <c r="G115" i="1"/>
  <c r="H115" i="1"/>
  <c r="K115" i="1"/>
  <c r="A116" i="1"/>
  <c r="C116" i="1"/>
  <c r="B116" i="1"/>
  <c r="G116" i="1"/>
  <c r="H116" i="1"/>
  <c r="K116" i="1"/>
  <c r="A117" i="1"/>
  <c r="C117" i="1"/>
  <c r="B117" i="1"/>
  <c r="G117" i="1"/>
  <c r="H117" i="1"/>
  <c r="K117" i="1"/>
  <c r="A118" i="1"/>
  <c r="C118" i="1"/>
  <c r="B118" i="1"/>
  <c r="G118" i="1"/>
  <c r="H118" i="1"/>
  <c r="K118" i="1"/>
  <c r="A119" i="1"/>
  <c r="C119" i="1"/>
  <c r="B119" i="1"/>
  <c r="G119" i="1"/>
  <c r="H119" i="1"/>
  <c r="K119" i="1"/>
  <c r="A120" i="1"/>
  <c r="C120" i="1"/>
  <c r="B120" i="1"/>
  <c r="G120" i="1"/>
  <c r="H120" i="1"/>
  <c r="K120" i="1"/>
  <c r="A121" i="1"/>
  <c r="C121" i="1"/>
  <c r="B121" i="1"/>
  <c r="G121" i="1"/>
  <c r="H121" i="1"/>
  <c r="K121" i="1"/>
  <c r="A122" i="1"/>
  <c r="C122" i="1"/>
  <c r="B122" i="1"/>
  <c r="G122" i="1"/>
  <c r="H122" i="1"/>
  <c r="K122" i="1"/>
  <c r="A123" i="1"/>
  <c r="C123" i="1"/>
  <c r="B123" i="1"/>
  <c r="G123" i="1"/>
  <c r="H123" i="1"/>
  <c r="K123" i="1"/>
  <c r="A124" i="1"/>
  <c r="C124" i="1"/>
  <c r="B124" i="1"/>
  <c r="G124" i="1"/>
  <c r="H124" i="1"/>
  <c r="K124" i="1"/>
  <c r="A125" i="1"/>
  <c r="C125" i="1"/>
  <c r="B125" i="1"/>
  <c r="G125" i="1"/>
  <c r="H125" i="1"/>
  <c r="K125" i="1"/>
  <c r="A126" i="1"/>
  <c r="C126" i="1"/>
  <c r="B126" i="1"/>
  <c r="G126" i="1"/>
  <c r="H126" i="1"/>
  <c r="K126" i="1"/>
  <c r="A127" i="1"/>
  <c r="C127" i="1"/>
  <c r="B127" i="1"/>
  <c r="G127" i="1"/>
  <c r="H127" i="1"/>
  <c r="K127" i="1"/>
  <c r="A128" i="1"/>
  <c r="C128" i="1"/>
  <c r="B128" i="1"/>
  <c r="G128" i="1"/>
  <c r="H128" i="1"/>
  <c r="K128" i="1"/>
  <c r="A129" i="1"/>
  <c r="C129" i="1"/>
  <c r="B129" i="1"/>
  <c r="G129" i="1"/>
  <c r="H129" i="1"/>
  <c r="K129" i="1"/>
  <c r="A130" i="1"/>
  <c r="C130" i="1"/>
  <c r="B130" i="1"/>
  <c r="G130" i="1"/>
  <c r="H130" i="1"/>
  <c r="K130" i="1"/>
  <c r="A131" i="1"/>
  <c r="C131" i="1"/>
  <c r="B131" i="1"/>
  <c r="G131" i="1"/>
  <c r="H131" i="1"/>
  <c r="K131" i="1"/>
  <c r="A132" i="1"/>
  <c r="C132" i="1"/>
  <c r="B132" i="1"/>
  <c r="G132" i="1"/>
  <c r="H132" i="1"/>
  <c r="K132" i="1"/>
  <c r="A133" i="1"/>
  <c r="C133" i="1"/>
  <c r="B133" i="1"/>
  <c r="G133" i="1"/>
  <c r="H133" i="1"/>
  <c r="K133" i="1"/>
  <c r="A134" i="1"/>
  <c r="C134" i="1"/>
  <c r="B134" i="1"/>
  <c r="G134" i="1"/>
  <c r="H134" i="1"/>
  <c r="K134" i="1"/>
  <c r="A135" i="1"/>
  <c r="C135" i="1"/>
  <c r="B135" i="1"/>
  <c r="G135" i="1"/>
  <c r="H135" i="1"/>
  <c r="K135" i="1"/>
  <c r="A136" i="1"/>
  <c r="C136" i="1"/>
  <c r="B136" i="1"/>
  <c r="G136" i="1"/>
  <c r="H136" i="1"/>
  <c r="K136" i="1"/>
  <c r="A137" i="1"/>
  <c r="C137" i="1"/>
  <c r="B137" i="1"/>
  <c r="G137" i="1"/>
  <c r="H137" i="1"/>
  <c r="K137" i="1"/>
  <c r="A138" i="1"/>
  <c r="C138" i="1"/>
  <c r="B138" i="1"/>
  <c r="G138" i="1"/>
  <c r="H138" i="1"/>
  <c r="K138" i="1"/>
  <c r="A139" i="1"/>
  <c r="C139" i="1"/>
  <c r="B139" i="1"/>
  <c r="G139" i="1"/>
  <c r="H139" i="1"/>
  <c r="K139" i="1"/>
  <c r="A140" i="1"/>
  <c r="C140" i="1"/>
  <c r="B140" i="1"/>
  <c r="G140" i="1"/>
  <c r="H140" i="1"/>
  <c r="K140" i="1"/>
  <c r="A141" i="1"/>
  <c r="C141" i="1"/>
  <c r="B141" i="1"/>
  <c r="G141" i="1"/>
  <c r="H141" i="1"/>
  <c r="K141" i="1"/>
  <c r="A142" i="1"/>
  <c r="C142" i="1"/>
  <c r="B142" i="1"/>
  <c r="G142" i="1"/>
  <c r="H142" i="1"/>
  <c r="K142" i="1"/>
  <c r="A143" i="1"/>
  <c r="C143" i="1"/>
  <c r="B143" i="1"/>
  <c r="G143" i="1"/>
  <c r="H143" i="1"/>
  <c r="K143" i="1"/>
  <c r="A144" i="1"/>
  <c r="C144" i="1"/>
  <c r="B144" i="1"/>
  <c r="G144" i="1"/>
  <c r="H144" i="1"/>
  <c r="K144" i="1"/>
  <c r="A145" i="1"/>
  <c r="C145" i="1"/>
  <c r="B145" i="1"/>
  <c r="G145" i="1"/>
  <c r="H145" i="1"/>
  <c r="K145" i="1"/>
  <c r="A146" i="1"/>
  <c r="C146" i="1"/>
  <c r="B146" i="1"/>
  <c r="G146" i="1"/>
  <c r="H146" i="1"/>
  <c r="K146" i="1"/>
  <c r="A147" i="1"/>
  <c r="C147" i="1"/>
  <c r="B147" i="1"/>
  <c r="G147" i="1"/>
  <c r="H147" i="1"/>
  <c r="K147" i="1"/>
  <c r="A148" i="1"/>
  <c r="C148" i="1"/>
  <c r="B148" i="1"/>
  <c r="G148" i="1"/>
  <c r="H148" i="1"/>
  <c r="K148" i="1"/>
  <c r="A149" i="1"/>
  <c r="C149" i="1"/>
  <c r="B149" i="1"/>
  <c r="G149" i="1"/>
  <c r="H149" i="1"/>
  <c r="K149" i="1"/>
  <c r="A150" i="1"/>
  <c r="C150" i="1"/>
  <c r="B150" i="1"/>
  <c r="G150" i="1"/>
  <c r="H150" i="1"/>
  <c r="K150" i="1"/>
  <c r="A151" i="1"/>
  <c r="C151" i="1"/>
  <c r="B151" i="1"/>
  <c r="G151" i="1"/>
  <c r="H151" i="1"/>
  <c r="K151" i="1"/>
  <c r="A152" i="1"/>
  <c r="C152" i="1"/>
  <c r="B152" i="1"/>
  <c r="G152" i="1"/>
  <c r="H152" i="1"/>
  <c r="K152" i="1"/>
  <c r="A153" i="1"/>
  <c r="C153" i="1"/>
  <c r="B153" i="1"/>
  <c r="G153" i="1"/>
  <c r="H153" i="1"/>
  <c r="K153" i="1"/>
  <c r="A154" i="1"/>
  <c r="C154" i="1"/>
  <c r="B154" i="1"/>
  <c r="G154" i="1"/>
  <c r="H154" i="1"/>
  <c r="K154" i="1"/>
  <c r="A155" i="1"/>
  <c r="C155" i="1"/>
  <c r="B155" i="1"/>
  <c r="G155" i="1"/>
  <c r="H155" i="1"/>
  <c r="K155" i="1"/>
  <c r="A156" i="1"/>
  <c r="C156" i="1"/>
  <c r="B156" i="1"/>
  <c r="G156" i="1"/>
  <c r="H156" i="1"/>
  <c r="K156" i="1"/>
  <c r="A157" i="1"/>
  <c r="C157" i="1"/>
  <c r="B157" i="1"/>
  <c r="G157" i="1"/>
  <c r="H157" i="1"/>
  <c r="K157" i="1"/>
  <c r="A158" i="1"/>
  <c r="C158" i="1"/>
  <c r="B158" i="1"/>
  <c r="G158" i="1"/>
  <c r="H158" i="1"/>
  <c r="K158" i="1"/>
  <c r="A159" i="1"/>
  <c r="C159" i="1"/>
  <c r="B159" i="1"/>
  <c r="G159" i="1"/>
  <c r="H159" i="1"/>
  <c r="K159" i="1"/>
  <c r="A160" i="1"/>
  <c r="C160" i="1"/>
  <c r="B160" i="1"/>
  <c r="G160" i="1"/>
  <c r="H160" i="1"/>
  <c r="K160" i="1"/>
  <c r="A161" i="1"/>
  <c r="C161" i="1"/>
  <c r="B161" i="1"/>
  <c r="G161" i="1"/>
  <c r="H161" i="1"/>
  <c r="K161" i="1"/>
  <c r="A162" i="1"/>
  <c r="C162" i="1"/>
  <c r="B162" i="1"/>
  <c r="G162" i="1"/>
  <c r="H162" i="1"/>
  <c r="K162" i="1"/>
  <c r="A163" i="1"/>
  <c r="C163" i="1"/>
  <c r="B163" i="1"/>
  <c r="G163" i="1"/>
  <c r="H163" i="1"/>
  <c r="K163" i="1"/>
  <c r="A164" i="1"/>
  <c r="C164" i="1"/>
  <c r="B164" i="1"/>
  <c r="G164" i="1"/>
  <c r="H164" i="1"/>
  <c r="K164" i="1"/>
  <c r="A165" i="1"/>
  <c r="C165" i="1"/>
  <c r="B165" i="1"/>
  <c r="G165" i="1"/>
  <c r="H165" i="1"/>
  <c r="K165" i="1"/>
  <c r="A166" i="1"/>
  <c r="C166" i="1"/>
  <c r="B166" i="1"/>
  <c r="G166" i="1"/>
  <c r="H166" i="1"/>
  <c r="K166" i="1"/>
  <c r="A167" i="1"/>
  <c r="C167" i="1"/>
  <c r="B167" i="1"/>
  <c r="G167" i="1"/>
  <c r="H167" i="1"/>
  <c r="K167" i="1"/>
  <c r="A168" i="1"/>
  <c r="C168" i="1"/>
  <c r="B168" i="1"/>
  <c r="G168" i="1"/>
  <c r="H168" i="1"/>
  <c r="K168" i="1"/>
  <c r="A169" i="1"/>
  <c r="C169" i="1"/>
  <c r="B169" i="1"/>
  <c r="G169" i="1"/>
  <c r="H169" i="1"/>
  <c r="K169" i="1"/>
  <c r="A170" i="1"/>
  <c r="C170" i="1"/>
  <c r="B170" i="1"/>
  <c r="G170" i="1"/>
  <c r="H170" i="1"/>
  <c r="K170" i="1"/>
  <c r="A171" i="1"/>
  <c r="C171" i="1"/>
  <c r="B171" i="1"/>
  <c r="G171" i="1"/>
  <c r="H171" i="1"/>
  <c r="K171" i="1"/>
  <c r="A172" i="1"/>
  <c r="C172" i="1"/>
  <c r="B172" i="1"/>
  <c r="G172" i="1"/>
  <c r="H172" i="1"/>
  <c r="K172" i="1"/>
  <c r="A173" i="1"/>
  <c r="C173" i="1"/>
  <c r="B173" i="1"/>
  <c r="G173" i="1"/>
  <c r="H173" i="1"/>
  <c r="K173" i="1"/>
  <c r="A174" i="1"/>
  <c r="C174" i="1"/>
  <c r="B174" i="1"/>
  <c r="G174" i="1"/>
  <c r="H174" i="1"/>
  <c r="K174" i="1"/>
  <c r="A175" i="1"/>
  <c r="C175" i="1"/>
  <c r="B175" i="1"/>
  <c r="G175" i="1"/>
  <c r="H175" i="1"/>
  <c r="K175" i="1"/>
  <c r="A176" i="1"/>
  <c r="C176" i="1"/>
  <c r="B176" i="1"/>
  <c r="G176" i="1"/>
  <c r="H176" i="1"/>
  <c r="K176" i="1"/>
  <c r="A177" i="1"/>
  <c r="C177" i="1"/>
  <c r="B177" i="1"/>
  <c r="G177" i="1"/>
  <c r="H177" i="1"/>
  <c r="K177" i="1"/>
  <c r="A178" i="1"/>
  <c r="C178" i="1"/>
  <c r="B178" i="1"/>
  <c r="G178" i="1"/>
  <c r="H178" i="1"/>
  <c r="K178" i="1"/>
  <c r="A179" i="1"/>
  <c r="C179" i="1"/>
  <c r="B179" i="1"/>
  <c r="G179" i="1"/>
  <c r="H179" i="1"/>
  <c r="K179" i="1"/>
  <c r="A180" i="1"/>
  <c r="C180" i="1"/>
  <c r="B180" i="1"/>
  <c r="G180" i="1"/>
  <c r="H180" i="1"/>
  <c r="K180" i="1"/>
  <c r="A181" i="1"/>
  <c r="C181" i="1"/>
  <c r="B181" i="1"/>
  <c r="G181" i="1"/>
  <c r="H181" i="1"/>
  <c r="K181" i="1"/>
  <c r="A182" i="1"/>
  <c r="C182" i="1"/>
  <c r="B182" i="1"/>
  <c r="G182" i="1"/>
  <c r="H182" i="1"/>
  <c r="K182" i="1"/>
  <c r="A183" i="1"/>
  <c r="C183" i="1"/>
  <c r="B183" i="1"/>
  <c r="G183" i="1"/>
  <c r="H183" i="1"/>
  <c r="K183" i="1"/>
  <c r="A184" i="1"/>
  <c r="C184" i="1"/>
  <c r="B184" i="1"/>
  <c r="G184" i="1"/>
  <c r="H184" i="1"/>
  <c r="K184" i="1"/>
  <c r="A185" i="1"/>
  <c r="C185" i="1"/>
  <c r="B185" i="1"/>
  <c r="G185" i="1"/>
  <c r="H185" i="1"/>
  <c r="K185" i="1"/>
  <c r="A186" i="1"/>
  <c r="C186" i="1"/>
  <c r="B186" i="1"/>
  <c r="G186" i="1"/>
  <c r="H186" i="1"/>
  <c r="K186" i="1"/>
  <c r="A187" i="1"/>
  <c r="C187" i="1"/>
  <c r="B187" i="1"/>
  <c r="G187" i="1"/>
  <c r="H187" i="1"/>
  <c r="K187" i="1"/>
  <c r="A188" i="1"/>
  <c r="C188" i="1"/>
  <c r="B188" i="1"/>
  <c r="G188" i="1"/>
  <c r="H188" i="1"/>
  <c r="K188" i="1"/>
  <c r="A189" i="1"/>
  <c r="C189" i="1"/>
  <c r="B189" i="1"/>
  <c r="G189" i="1"/>
  <c r="H189" i="1"/>
  <c r="K189" i="1"/>
  <c r="A190" i="1"/>
  <c r="C190" i="1"/>
  <c r="B190" i="1"/>
  <c r="G190" i="1"/>
  <c r="H190" i="1"/>
  <c r="K190" i="1"/>
  <c r="A191" i="1"/>
  <c r="C191" i="1"/>
  <c r="B191" i="1"/>
  <c r="G191" i="1"/>
  <c r="H191" i="1"/>
  <c r="K191" i="1"/>
  <c r="A192" i="1"/>
  <c r="C192" i="1"/>
  <c r="B192" i="1"/>
  <c r="G192" i="1"/>
  <c r="H192" i="1"/>
  <c r="K192" i="1"/>
  <c r="A193" i="1"/>
  <c r="C193" i="1"/>
  <c r="B193" i="1"/>
  <c r="G193" i="1"/>
  <c r="H193" i="1"/>
  <c r="K193" i="1"/>
  <c r="A194" i="1"/>
  <c r="C194" i="1"/>
  <c r="B194" i="1"/>
  <c r="G194" i="1"/>
  <c r="H194" i="1"/>
  <c r="K194" i="1"/>
  <c r="A195" i="1"/>
  <c r="C195" i="1"/>
  <c r="B195" i="1"/>
  <c r="G195" i="1"/>
  <c r="H195" i="1"/>
  <c r="K195" i="1"/>
  <c r="A196" i="1"/>
  <c r="C196" i="1"/>
  <c r="B196" i="1"/>
  <c r="G196" i="1"/>
  <c r="H196" i="1"/>
  <c r="K196" i="1"/>
  <c r="A197" i="1"/>
  <c r="C197" i="1"/>
  <c r="B197" i="1"/>
  <c r="G197" i="1"/>
  <c r="H197" i="1"/>
  <c r="K197" i="1"/>
  <c r="A198" i="1"/>
  <c r="C198" i="1"/>
  <c r="B198" i="1"/>
  <c r="G198" i="1"/>
  <c r="H198" i="1"/>
  <c r="K198" i="1"/>
  <c r="A199" i="1"/>
  <c r="C199" i="1"/>
  <c r="B199" i="1"/>
  <c r="G199" i="1"/>
  <c r="H199" i="1"/>
  <c r="K199" i="1"/>
  <c r="A200" i="1"/>
  <c r="C200" i="1"/>
  <c r="B200" i="1"/>
  <c r="G200" i="1"/>
  <c r="H200" i="1"/>
  <c r="K200" i="1"/>
  <c r="A201" i="1"/>
  <c r="C201" i="1"/>
  <c r="B201" i="1"/>
  <c r="G201" i="1"/>
  <c r="H201" i="1"/>
  <c r="K201" i="1"/>
  <c r="A202" i="1"/>
  <c r="C202" i="1"/>
  <c r="B202" i="1"/>
  <c r="G202" i="1"/>
  <c r="H202" i="1"/>
  <c r="K202" i="1"/>
  <c r="A203" i="1"/>
  <c r="C203" i="1"/>
  <c r="B203" i="1"/>
  <c r="G203" i="1"/>
  <c r="H203" i="1"/>
  <c r="K203" i="1"/>
  <c r="A204" i="1"/>
  <c r="C204" i="1"/>
  <c r="B204" i="1"/>
  <c r="G204" i="1"/>
  <c r="H204" i="1"/>
  <c r="K204" i="1"/>
  <c r="A205" i="1"/>
  <c r="C205" i="1"/>
  <c r="B205" i="1"/>
  <c r="G205" i="1"/>
  <c r="H205" i="1"/>
  <c r="K205" i="1"/>
  <c r="A206" i="1"/>
  <c r="C206" i="1"/>
  <c r="B206" i="1"/>
  <c r="G206" i="1"/>
  <c r="H206" i="1"/>
  <c r="K206" i="1"/>
  <c r="A207" i="1"/>
  <c r="C207" i="1"/>
  <c r="B207" i="1"/>
  <c r="G207" i="1"/>
  <c r="H207" i="1"/>
  <c r="K207" i="1"/>
  <c r="A208" i="1"/>
  <c r="C208" i="1"/>
  <c r="B208" i="1"/>
  <c r="G208" i="1"/>
  <c r="H208" i="1"/>
  <c r="K208" i="1"/>
  <c r="A209" i="1"/>
  <c r="C209" i="1"/>
  <c r="B209" i="1"/>
  <c r="G209" i="1"/>
  <c r="H209" i="1"/>
  <c r="K209" i="1"/>
  <c r="A210" i="1"/>
  <c r="C210" i="1"/>
  <c r="B210" i="1"/>
  <c r="G210" i="1"/>
  <c r="H210" i="1"/>
  <c r="K210" i="1"/>
  <c r="A211" i="1"/>
  <c r="C211" i="1"/>
  <c r="B211" i="1"/>
  <c r="G211" i="1"/>
  <c r="H211" i="1"/>
  <c r="K211" i="1"/>
  <c r="A212" i="1"/>
  <c r="C212" i="1"/>
  <c r="B212" i="1"/>
  <c r="G212" i="1"/>
  <c r="H212" i="1"/>
  <c r="K212" i="1"/>
  <c r="A213" i="1"/>
  <c r="C213" i="1"/>
  <c r="B213" i="1"/>
  <c r="G213" i="1"/>
  <c r="H213" i="1"/>
  <c r="K213" i="1"/>
  <c r="A214" i="1"/>
  <c r="C214" i="1"/>
  <c r="B214" i="1"/>
  <c r="G214" i="1"/>
  <c r="H214" i="1"/>
  <c r="K214" i="1"/>
  <c r="A215" i="1"/>
  <c r="C215" i="1"/>
  <c r="B215" i="1"/>
  <c r="G215" i="1"/>
  <c r="H215" i="1"/>
  <c r="K215" i="1"/>
  <c r="A216" i="1"/>
  <c r="C216" i="1"/>
  <c r="B216" i="1"/>
  <c r="G216" i="1"/>
  <c r="H216" i="1"/>
  <c r="K216" i="1"/>
  <c r="A217" i="1"/>
  <c r="C217" i="1"/>
  <c r="B217" i="1"/>
  <c r="G217" i="1"/>
  <c r="H217" i="1"/>
  <c r="K217" i="1"/>
  <c r="A218" i="1"/>
  <c r="C218" i="1"/>
  <c r="B218" i="1"/>
  <c r="G218" i="1"/>
  <c r="H218" i="1"/>
  <c r="K218" i="1"/>
  <c r="A219" i="1"/>
  <c r="C219" i="1"/>
  <c r="B219" i="1"/>
  <c r="G219" i="1"/>
  <c r="H219" i="1"/>
  <c r="K219" i="1"/>
  <c r="A220" i="1"/>
  <c r="C220" i="1"/>
  <c r="B220" i="1"/>
  <c r="G220" i="1"/>
  <c r="H220" i="1"/>
  <c r="K220" i="1"/>
  <c r="A221" i="1"/>
  <c r="C221" i="1"/>
  <c r="B221" i="1"/>
  <c r="G221" i="1"/>
  <c r="H221" i="1"/>
  <c r="K221" i="1"/>
  <c r="A222" i="1"/>
  <c r="C222" i="1"/>
  <c r="B222" i="1"/>
  <c r="G222" i="1"/>
  <c r="H222" i="1"/>
  <c r="K222" i="1"/>
  <c r="A223" i="1"/>
  <c r="C223" i="1"/>
  <c r="B223" i="1"/>
  <c r="G223" i="1"/>
  <c r="H223" i="1"/>
  <c r="K223" i="1"/>
  <c r="A224" i="1"/>
  <c r="C224" i="1"/>
  <c r="B224" i="1"/>
  <c r="G224" i="1"/>
  <c r="H224" i="1"/>
  <c r="K224" i="1"/>
  <c r="A225" i="1"/>
  <c r="C225" i="1"/>
  <c r="B225" i="1"/>
  <c r="G225" i="1"/>
  <c r="H225" i="1"/>
  <c r="K225" i="1"/>
  <c r="A226" i="1"/>
  <c r="C226" i="1"/>
  <c r="B226" i="1"/>
  <c r="G226" i="1"/>
  <c r="H226" i="1"/>
  <c r="K226" i="1"/>
  <c r="A227" i="1"/>
  <c r="C227" i="1"/>
  <c r="B227" i="1"/>
  <c r="G227" i="1"/>
  <c r="H227" i="1"/>
  <c r="K227" i="1"/>
  <c r="A228" i="1"/>
  <c r="C228" i="1"/>
  <c r="B228" i="1"/>
  <c r="G228" i="1"/>
  <c r="H228" i="1"/>
  <c r="K228" i="1"/>
  <c r="A229" i="1"/>
  <c r="C229" i="1"/>
  <c r="B229" i="1"/>
  <c r="G229" i="1"/>
  <c r="H229" i="1"/>
  <c r="K229" i="1"/>
  <c r="A230" i="1"/>
  <c r="C230" i="1"/>
  <c r="B230" i="1"/>
  <c r="G230" i="1"/>
  <c r="H230" i="1"/>
  <c r="K230" i="1"/>
  <c r="A231" i="1"/>
  <c r="C231" i="1"/>
  <c r="B231" i="1"/>
  <c r="G231" i="1"/>
  <c r="H231" i="1"/>
  <c r="K231" i="1"/>
  <c r="A232" i="1"/>
  <c r="C232" i="1"/>
  <c r="B232" i="1"/>
  <c r="G232" i="1"/>
  <c r="H232" i="1"/>
  <c r="K232" i="1"/>
  <c r="A233" i="1"/>
  <c r="C233" i="1"/>
  <c r="B233" i="1"/>
  <c r="G233" i="1"/>
  <c r="H233" i="1"/>
  <c r="K233" i="1"/>
  <c r="A234" i="1"/>
  <c r="C234" i="1"/>
  <c r="B234" i="1"/>
  <c r="G234" i="1"/>
  <c r="H234" i="1"/>
  <c r="K234" i="1"/>
  <c r="A235" i="1"/>
  <c r="C235" i="1"/>
  <c r="B235" i="1"/>
  <c r="G235" i="1"/>
  <c r="H235" i="1"/>
  <c r="K235" i="1"/>
  <c r="A236" i="1"/>
  <c r="C236" i="1"/>
  <c r="B236" i="1"/>
  <c r="G236" i="1"/>
  <c r="H236" i="1"/>
  <c r="K236" i="1"/>
  <c r="A237" i="1"/>
  <c r="C237" i="1"/>
  <c r="B237" i="1"/>
  <c r="G237" i="1"/>
  <c r="H237" i="1"/>
  <c r="K237" i="1"/>
  <c r="A238" i="1"/>
  <c r="C238" i="1"/>
  <c r="B238" i="1"/>
  <c r="G238" i="1"/>
  <c r="H238" i="1"/>
  <c r="K238" i="1"/>
  <c r="A239" i="1"/>
  <c r="C239" i="1"/>
  <c r="B239" i="1"/>
  <c r="G239" i="1"/>
  <c r="H239" i="1"/>
  <c r="K239" i="1"/>
  <c r="A240" i="1"/>
  <c r="C240" i="1"/>
  <c r="B240" i="1"/>
  <c r="G240" i="1"/>
  <c r="H240" i="1"/>
  <c r="K240" i="1"/>
  <c r="A241" i="1"/>
  <c r="C241" i="1"/>
  <c r="B241" i="1"/>
  <c r="G241" i="1"/>
  <c r="H241" i="1"/>
  <c r="K241" i="1"/>
  <c r="A242" i="1"/>
  <c r="C242" i="1"/>
  <c r="B242" i="1"/>
  <c r="G242" i="1"/>
  <c r="H242" i="1"/>
  <c r="K242" i="1"/>
  <c r="A243" i="1"/>
  <c r="C243" i="1"/>
  <c r="B243" i="1"/>
  <c r="G243" i="1"/>
  <c r="H243" i="1"/>
  <c r="K243" i="1"/>
  <c r="A244" i="1"/>
  <c r="C244" i="1"/>
  <c r="B244" i="1"/>
  <c r="G244" i="1"/>
  <c r="H244" i="1"/>
  <c r="K244" i="1"/>
  <c r="A245" i="1"/>
  <c r="C245" i="1"/>
  <c r="B245" i="1"/>
  <c r="G245" i="1"/>
  <c r="H245" i="1"/>
  <c r="K245" i="1"/>
  <c r="A246" i="1"/>
  <c r="C246" i="1"/>
  <c r="B246" i="1"/>
  <c r="G246" i="1"/>
  <c r="H246" i="1"/>
  <c r="K246" i="1"/>
  <c r="A247" i="1"/>
  <c r="C247" i="1"/>
  <c r="B247" i="1"/>
  <c r="G247" i="1"/>
  <c r="H247" i="1"/>
  <c r="K247" i="1"/>
  <c r="A248" i="1"/>
  <c r="C248" i="1"/>
  <c r="B248" i="1"/>
  <c r="G248" i="1"/>
  <c r="H248" i="1"/>
  <c r="K248" i="1"/>
  <c r="A249" i="1"/>
  <c r="C249" i="1"/>
  <c r="B249" i="1"/>
  <c r="G249" i="1"/>
  <c r="H249" i="1"/>
  <c r="K249" i="1"/>
  <c r="A250" i="1"/>
  <c r="C250" i="1"/>
  <c r="B250" i="1"/>
  <c r="G250" i="1"/>
  <c r="H250" i="1"/>
  <c r="K250" i="1"/>
  <c r="A251" i="1"/>
  <c r="C251" i="1"/>
  <c r="B251" i="1"/>
  <c r="G251" i="1"/>
  <c r="H251" i="1"/>
  <c r="K251" i="1"/>
  <c r="A252" i="1"/>
  <c r="C252" i="1"/>
  <c r="B252" i="1"/>
  <c r="G252" i="1"/>
  <c r="H252" i="1"/>
  <c r="K252" i="1"/>
  <c r="A253" i="1"/>
  <c r="C253" i="1"/>
  <c r="B253" i="1"/>
  <c r="G253" i="1"/>
  <c r="H253" i="1"/>
  <c r="K253" i="1"/>
  <c r="A254" i="1"/>
  <c r="C254" i="1"/>
  <c r="B254" i="1"/>
  <c r="G254" i="1"/>
  <c r="H254" i="1"/>
  <c r="K254" i="1"/>
  <c r="A255" i="1"/>
  <c r="C255" i="1"/>
  <c r="B255" i="1"/>
  <c r="G255" i="1"/>
  <c r="H255" i="1"/>
  <c r="K255" i="1"/>
  <c r="A256" i="1"/>
  <c r="C256" i="1"/>
  <c r="B256" i="1"/>
  <c r="G256" i="1"/>
  <c r="H256" i="1"/>
  <c r="K256" i="1"/>
  <c r="A257" i="1"/>
  <c r="C257" i="1"/>
  <c r="B257" i="1"/>
  <c r="G257" i="1"/>
  <c r="H257" i="1"/>
  <c r="K257" i="1"/>
  <c r="A258" i="1"/>
  <c r="C258" i="1"/>
  <c r="B258" i="1"/>
  <c r="G258" i="1"/>
  <c r="H258" i="1"/>
  <c r="K258" i="1"/>
  <c r="A259" i="1"/>
  <c r="C259" i="1"/>
  <c r="B259" i="1"/>
  <c r="G259" i="1"/>
  <c r="H259" i="1"/>
  <c r="K259" i="1"/>
  <c r="A260" i="1"/>
  <c r="C260" i="1"/>
  <c r="B260" i="1"/>
  <c r="G260" i="1"/>
  <c r="H260" i="1"/>
  <c r="K260" i="1"/>
  <c r="A261" i="1"/>
  <c r="C261" i="1"/>
  <c r="B261" i="1"/>
  <c r="G261" i="1"/>
  <c r="H261" i="1"/>
  <c r="K261" i="1"/>
  <c r="A262" i="1"/>
  <c r="C262" i="1"/>
  <c r="B262" i="1"/>
  <c r="G262" i="1"/>
  <c r="H262" i="1"/>
  <c r="K262" i="1"/>
  <c r="A263" i="1"/>
  <c r="C263" i="1"/>
  <c r="B263" i="1"/>
  <c r="G263" i="1"/>
  <c r="H263" i="1"/>
  <c r="K263" i="1"/>
  <c r="A264" i="1"/>
  <c r="C264" i="1"/>
  <c r="B264" i="1"/>
  <c r="G264" i="1"/>
  <c r="H264" i="1"/>
  <c r="K264" i="1"/>
  <c r="A265" i="1"/>
  <c r="C265" i="1"/>
  <c r="B265" i="1"/>
  <c r="G265" i="1"/>
  <c r="H265" i="1"/>
  <c r="K265" i="1"/>
  <c r="A266" i="1"/>
  <c r="C266" i="1"/>
  <c r="B266" i="1"/>
  <c r="G266" i="1"/>
  <c r="H266" i="1"/>
  <c r="K266" i="1"/>
  <c r="A267" i="1"/>
  <c r="C267" i="1"/>
  <c r="B267" i="1"/>
  <c r="G267" i="1"/>
  <c r="H267" i="1"/>
  <c r="K267" i="1"/>
  <c r="A268" i="1"/>
  <c r="C268" i="1"/>
  <c r="B268" i="1"/>
  <c r="G268" i="1"/>
  <c r="H268" i="1"/>
  <c r="K268" i="1"/>
  <c r="A269" i="1"/>
  <c r="C269" i="1"/>
  <c r="B269" i="1"/>
  <c r="G269" i="1"/>
  <c r="H269" i="1"/>
  <c r="K269" i="1"/>
  <c r="A270" i="1"/>
  <c r="C270" i="1"/>
  <c r="B270" i="1"/>
  <c r="G270" i="1"/>
  <c r="H270" i="1"/>
  <c r="K270" i="1"/>
  <c r="A271" i="1"/>
  <c r="C271" i="1"/>
  <c r="B271" i="1"/>
  <c r="G271" i="1"/>
  <c r="H271" i="1"/>
  <c r="K271" i="1"/>
  <c r="A272" i="1"/>
  <c r="C272" i="1"/>
  <c r="B272" i="1"/>
  <c r="G272" i="1"/>
  <c r="H272" i="1"/>
  <c r="K272" i="1"/>
  <c r="A273" i="1"/>
  <c r="C273" i="1"/>
  <c r="B273" i="1"/>
  <c r="G273" i="1"/>
  <c r="H273" i="1"/>
  <c r="K273" i="1"/>
  <c r="A274" i="1"/>
  <c r="C274" i="1"/>
  <c r="B274" i="1"/>
  <c r="G274" i="1"/>
  <c r="H274" i="1"/>
  <c r="K274" i="1"/>
  <c r="A275" i="1"/>
  <c r="C275" i="1"/>
  <c r="B275" i="1"/>
  <c r="G275" i="1"/>
  <c r="H275" i="1"/>
  <c r="K275" i="1"/>
  <c r="A276" i="1"/>
  <c r="C276" i="1"/>
  <c r="B276" i="1"/>
  <c r="G276" i="1"/>
  <c r="H276" i="1"/>
  <c r="K276" i="1"/>
  <c r="A277" i="1"/>
  <c r="C277" i="1"/>
  <c r="B277" i="1"/>
  <c r="G277" i="1"/>
  <c r="H277" i="1"/>
  <c r="K277" i="1"/>
  <c r="A278" i="1"/>
  <c r="C278" i="1"/>
  <c r="B278" i="1"/>
  <c r="G278" i="1"/>
  <c r="H278" i="1"/>
  <c r="K278" i="1"/>
  <c r="A279" i="1"/>
  <c r="C279" i="1"/>
  <c r="B279" i="1"/>
  <c r="G279" i="1"/>
  <c r="H279" i="1"/>
  <c r="K279" i="1"/>
  <c r="A280" i="1"/>
  <c r="C280" i="1"/>
  <c r="B280" i="1"/>
  <c r="G280" i="1"/>
  <c r="H280" i="1"/>
  <c r="K280" i="1"/>
  <c r="A281" i="1"/>
  <c r="C281" i="1"/>
  <c r="B281" i="1"/>
  <c r="G281" i="1"/>
  <c r="H281" i="1"/>
  <c r="K281" i="1"/>
  <c r="A282" i="1"/>
  <c r="C282" i="1"/>
  <c r="B282" i="1"/>
  <c r="G282" i="1"/>
  <c r="H282" i="1"/>
  <c r="K282" i="1"/>
  <c r="A283" i="1"/>
  <c r="C283" i="1"/>
  <c r="B283" i="1"/>
  <c r="G283" i="1"/>
  <c r="H283" i="1"/>
  <c r="K283" i="1"/>
  <c r="A284" i="1"/>
  <c r="C284" i="1"/>
  <c r="B284" i="1"/>
  <c r="G284" i="1"/>
  <c r="H284" i="1"/>
  <c r="K284" i="1"/>
  <c r="A285" i="1"/>
  <c r="C285" i="1"/>
  <c r="B285" i="1"/>
  <c r="G285" i="1"/>
  <c r="H285" i="1"/>
  <c r="K285" i="1"/>
  <c r="A286" i="1"/>
  <c r="C286" i="1"/>
  <c r="B286" i="1"/>
  <c r="G286" i="1"/>
  <c r="H286" i="1"/>
  <c r="K286" i="1"/>
  <c r="A287" i="1"/>
  <c r="C287" i="1"/>
  <c r="B287" i="1"/>
  <c r="G287" i="1"/>
  <c r="H287" i="1"/>
  <c r="K287" i="1"/>
  <c r="A288" i="1"/>
  <c r="C288" i="1"/>
  <c r="B288" i="1"/>
  <c r="G288" i="1"/>
  <c r="H288" i="1"/>
  <c r="K288" i="1"/>
  <c r="A289" i="1"/>
  <c r="C289" i="1"/>
  <c r="B289" i="1"/>
  <c r="G289" i="1"/>
  <c r="H289" i="1"/>
  <c r="K289" i="1"/>
  <c r="A290" i="1"/>
  <c r="C290" i="1"/>
  <c r="B290" i="1"/>
  <c r="G290" i="1"/>
  <c r="H290" i="1"/>
  <c r="K290" i="1"/>
  <c r="A291" i="1"/>
  <c r="C291" i="1"/>
  <c r="B291" i="1"/>
  <c r="G291" i="1"/>
  <c r="H291" i="1"/>
  <c r="K291" i="1"/>
  <c r="A292" i="1"/>
  <c r="C292" i="1"/>
  <c r="B292" i="1"/>
  <c r="G292" i="1"/>
  <c r="H292" i="1"/>
  <c r="K292" i="1"/>
  <c r="A293" i="1"/>
  <c r="C293" i="1"/>
  <c r="B293" i="1"/>
  <c r="G293" i="1"/>
  <c r="H293" i="1"/>
  <c r="K293" i="1"/>
  <c r="A294" i="1"/>
  <c r="C294" i="1"/>
  <c r="B294" i="1"/>
  <c r="G294" i="1"/>
  <c r="H294" i="1"/>
  <c r="K294" i="1"/>
  <c r="A295" i="1"/>
  <c r="C295" i="1"/>
  <c r="B295" i="1"/>
  <c r="G295" i="1"/>
  <c r="H295" i="1"/>
  <c r="K295" i="1"/>
  <c r="A296" i="1"/>
  <c r="C296" i="1"/>
  <c r="B296" i="1"/>
  <c r="G296" i="1"/>
  <c r="H296" i="1"/>
  <c r="K296" i="1"/>
  <c r="A297" i="1"/>
  <c r="C297" i="1"/>
  <c r="B297" i="1"/>
  <c r="G297" i="1"/>
  <c r="H297" i="1"/>
  <c r="K297" i="1"/>
  <c r="A298" i="1"/>
  <c r="C298" i="1"/>
  <c r="B298" i="1"/>
  <c r="G298" i="1"/>
  <c r="H298" i="1"/>
  <c r="K298" i="1"/>
  <c r="A299" i="1"/>
  <c r="C299" i="1"/>
  <c r="B299" i="1"/>
  <c r="G299" i="1"/>
  <c r="H299" i="1"/>
  <c r="K299" i="1"/>
  <c r="A300" i="1"/>
  <c r="C300" i="1"/>
  <c r="B300" i="1"/>
  <c r="G300" i="1"/>
  <c r="H300" i="1"/>
  <c r="K300" i="1"/>
  <c r="A301" i="1"/>
  <c r="C301" i="1"/>
  <c r="B301" i="1"/>
  <c r="G301" i="1"/>
  <c r="H301" i="1"/>
  <c r="K301" i="1"/>
  <c r="A302" i="1"/>
  <c r="C302" i="1"/>
  <c r="B302" i="1"/>
  <c r="G302" i="1"/>
  <c r="H302" i="1"/>
  <c r="K302" i="1"/>
  <c r="A303" i="1"/>
  <c r="C303" i="1"/>
  <c r="B303" i="1"/>
  <c r="G303" i="1"/>
  <c r="H303" i="1"/>
  <c r="K303" i="1"/>
  <c r="A304" i="1"/>
  <c r="C304" i="1"/>
  <c r="B304" i="1"/>
  <c r="G304" i="1"/>
  <c r="H304" i="1"/>
  <c r="K304" i="1"/>
  <c r="A305" i="1"/>
  <c r="C305" i="1"/>
  <c r="B305" i="1"/>
  <c r="G305" i="1"/>
  <c r="H305" i="1"/>
  <c r="K305" i="1"/>
  <c r="A306" i="1"/>
  <c r="C306" i="1"/>
  <c r="B306" i="1"/>
  <c r="G306" i="1"/>
  <c r="H306" i="1"/>
  <c r="K306" i="1"/>
  <c r="A307" i="1"/>
  <c r="C307" i="1"/>
  <c r="B307" i="1"/>
  <c r="G307" i="1"/>
  <c r="H307" i="1"/>
  <c r="K307" i="1"/>
  <c r="A308" i="1"/>
  <c r="C308" i="1"/>
  <c r="B308" i="1"/>
  <c r="G308" i="1"/>
  <c r="H308" i="1"/>
  <c r="K308" i="1"/>
  <c r="A309" i="1"/>
  <c r="C309" i="1"/>
  <c r="B309" i="1"/>
  <c r="G309" i="1"/>
  <c r="H309" i="1"/>
  <c r="K309" i="1"/>
  <c r="A310" i="1"/>
  <c r="C310" i="1"/>
  <c r="B310" i="1"/>
  <c r="G310" i="1"/>
  <c r="H310" i="1"/>
  <c r="K310" i="1"/>
  <c r="A311" i="1"/>
  <c r="C311" i="1"/>
  <c r="B311" i="1"/>
  <c r="G311" i="1"/>
  <c r="H311" i="1"/>
  <c r="K311" i="1"/>
  <c r="A312" i="1"/>
  <c r="C312" i="1"/>
  <c r="B312" i="1"/>
  <c r="G312" i="1"/>
  <c r="H312" i="1"/>
  <c r="K312" i="1"/>
  <c r="A313" i="1"/>
  <c r="C313" i="1"/>
  <c r="B313" i="1"/>
  <c r="G313" i="1"/>
  <c r="H313" i="1"/>
  <c r="K313" i="1"/>
  <c r="A314" i="1"/>
  <c r="C314" i="1"/>
  <c r="B314" i="1"/>
  <c r="G314" i="1"/>
  <c r="H314" i="1"/>
  <c r="K314" i="1"/>
  <c r="A315" i="1"/>
  <c r="C315" i="1"/>
  <c r="B315" i="1"/>
  <c r="G315" i="1"/>
  <c r="H315" i="1"/>
  <c r="K315" i="1"/>
  <c r="A316" i="1"/>
  <c r="C316" i="1"/>
  <c r="B316" i="1"/>
  <c r="G316" i="1"/>
  <c r="H316" i="1"/>
  <c r="K316" i="1"/>
  <c r="A317" i="1"/>
  <c r="C317" i="1"/>
  <c r="B317" i="1"/>
  <c r="G317" i="1"/>
  <c r="H317" i="1"/>
  <c r="K317" i="1"/>
  <c r="A318" i="1"/>
  <c r="C318" i="1"/>
  <c r="B318" i="1"/>
  <c r="G318" i="1"/>
  <c r="H318" i="1"/>
  <c r="K318" i="1"/>
  <c r="A319" i="1"/>
  <c r="C319" i="1"/>
  <c r="B319" i="1"/>
  <c r="G319" i="1"/>
  <c r="H319" i="1"/>
  <c r="K319" i="1"/>
  <c r="A320" i="1"/>
  <c r="C320" i="1"/>
  <c r="B320" i="1"/>
  <c r="G320" i="1"/>
  <c r="H320" i="1"/>
  <c r="K320" i="1"/>
  <c r="A321" i="1"/>
  <c r="C321" i="1"/>
  <c r="B321" i="1"/>
  <c r="G321" i="1"/>
  <c r="H321" i="1"/>
  <c r="K321" i="1"/>
  <c r="A322" i="1"/>
  <c r="C322" i="1"/>
  <c r="B322" i="1"/>
  <c r="G322" i="1"/>
  <c r="H322" i="1"/>
  <c r="K322" i="1"/>
  <c r="A323" i="1"/>
  <c r="C323" i="1"/>
  <c r="B323" i="1"/>
  <c r="G323" i="1"/>
  <c r="H323" i="1"/>
  <c r="K323" i="1"/>
  <c r="A324" i="1"/>
  <c r="C324" i="1"/>
  <c r="B324" i="1"/>
  <c r="G324" i="1"/>
  <c r="H324" i="1"/>
  <c r="K324" i="1"/>
  <c r="A325" i="1"/>
  <c r="C325" i="1"/>
  <c r="B325" i="1"/>
  <c r="G325" i="1"/>
  <c r="H325" i="1"/>
  <c r="K325" i="1"/>
  <c r="A326" i="1"/>
  <c r="C326" i="1"/>
  <c r="B326" i="1"/>
  <c r="G326" i="1"/>
  <c r="H326" i="1"/>
  <c r="K326" i="1"/>
  <c r="A327" i="1"/>
  <c r="C327" i="1"/>
  <c r="B327" i="1"/>
  <c r="G327" i="1"/>
  <c r="H327" i="1"/>
  <c r="K327" i="1"/>
  <c r="A328" i="1"/>
  <c r="C328" i="1"/>
  <c r="B328" i="1"/>
  <c r="G328" i="1"/>
  <c r="H328" i="1"/>
  <c r="K328" i="1"/>
  <c r="A329" i="1"/>
  <c r="C329" i="1"/>
  <c r="B329" i="1"/>
  <c r="G329" i="1"/>
  <c r="H329" i="1"/>
  <c r="K329" i="1"/>
  <c r="A330" i="1"/>
  <c r="C330" i="1"/>
  <c r="B330" i="1"/>
  <c r="G330" i="1"/>
  <c r="H330" i="1"/>
  <c r="K330" i="1"/>
  <c r="A331" i="1"/>
  <c r="C331" i="1"/>
  <c r="B331" i="1"/>
  <c r="G331" i="1"/>
  <c r="H331" i="1"/>
  <c r="K331" i="1"/>
  <c r="A332" i="1"/>
  <c r="C332" i="1"/>
  <c r="B332" i="1"/>
  <c r="G332" i="1"/>
  <c r="H332" i="1"/>
  <c r="K332" i="1"/>
  <c r="A333" i="1"/>
  <c r="C333" i="1"/>
  <c r="B333" i="1"/>
  <c r="G333" i="1"/>
  <c r="H333" i="1"/>
  <c r="K333" i="1"/>
  <c r="A334" i="1"/>
  <c r="C334" i="1"/>
  <c r="B334" i="1"/>
  <c r="G334" i="1"/>
  <c r="H334" i="1"/>
  <c r="K334" i="1"/>
  <c r="A335" i="1"/>
  <c r="C335" i="1"/>
  <c r="B335" i="1"/>
  <c r="G335" i="1"/>
  <c r="H335" i="1"/>
  <c r="K335" i="1"/>
  <c r="A336" i="1"/>
  <c r="C336" i="1"/>
  <c r="B336" i="1"/>
  <c r="G336" i="1"/>
  <c r="H336" i="1"/>
  <c r="K336" i="1"/>
  <c r="A337" i="1"/>
  <c r="C337" i="1"/>
  <c r="B337" i="1"/>
  <c r="G337" i="1"/>
  <c r="H337" i="1"/>
  <c r="K337" i="1"/>
  <c r="A338" i="1"/>
  <c r="C338" i="1"/>
  <c r="B338" i="1"/>
  <c r="G338" i="1"/>
  <c r="H338" i="1"/>
  <c r="K338" i="1"/>
  <c r="A339" i="1"/>
  <c r="C339" i="1"/>
  <c r="B339" i="1"/>
  <c r="G339" i="1"/>
  <c r="H339" i="1"/>
  <c r="K339" i="1"/>
  <c r="A340" i="1"/>
  <c r="C340" i="1"/>
  <c r="B340" i="1"/>
  <c r="G340" i="1"/>
  <c r="H340" i="1"/>
  <c r="K340" i="1"/>
  <c r="A341" i="1"/>
  <c r="C341" i="1"/>
  <c r="B341" i="1"/>
  <c r="G341" i="1"/>
  <c r="H341" i="1"/>
  <c r="K341" i="1"/>
  <c r="A342" i="1"/>
  <c r="C342" i="1"/>
  <c r="B342" i="1"/>
  <c r="G342" i="1"/>
  <c r="H342" i="1"/>
  <c r="K342" i="1"/>
  <c r="A343" i="1"/>
  <c r="C343" i="1"/>
  <c r="B343" i="1"/>
  <c r="G343" i="1"/>
  <c r="H343" i="1"/>
  <c r="K343" i="1"/>
  <c r="A344" i="1"/>
  <c r="C344" i="1"/>
  <c r="B344" i="1"/>
  <c r="G344" i="1"/>
  <c r="H344" i="1"/>
  <c r="K344" i="1"/>
  <c r="A345" i="1"/>
  <c r="C345" i="1"/>
  <c r="B345" i="1"/>
  <c r="G345" i="1"/>
  <c r="H345" i="1"/>
  <c r="K345" i="1"/>
  <c r="A346" i="1"/>
  <c r="C346" i="1"/>
  <c r="B346" i="1"/>
  <c r="G346" i="1"/>
  <c r="H346" i="1"/>
  <c r="K346" i="1"/>
  <c r="A347" i="1"/>
  <c r="C347" i="1"/>
  <c r="B347" i="1"/>
  <c r="G347" i="1"/>
  <c r="H347" i="1"/>
  <c r="K347" i="1"/>
  <c r="A348" i="1"/>
  <c r="C348" i="1"/>
  <c r="B348" i="1"/>
  <c r="G348" i="1"/>
  <c r="H348" i="1"/>
  <c r="K348" i="1"/>
  <c r="A349" i="1"/>
  <c r="C349" i="1"/>
  <c r="B349" i="1"/>
  <c r="G349" i="1"/>
  <c r="H349" i="1"/>
  <c r="K349" i="1"/>
  <c r="A350" i="1"/>
  <c r="C350" i="1"/>
  <c r="B350" i="1"/>
  <c r="G350" i="1"/>
  <c r="H350" i="1"/>
  <c r="K350" i="1"/>
  <c r="A351" i="1"/>
  <c r="C351" i="1"/>
  <c r="B351" i="1"/>
  <c r="G351" i="1"/>
  <c r="H351" i="1"/>
  <c r="K351" i="1"/>
  <c r="A352" i="1"/>
  <c r="C352" i="1"/>
  <c r="B352" i="1"/>
  <c r="G352" i="1"/>
  <c r="H352" i="1"/>
  <c r="K352" i="1"/>
  <c r="A353" i="1"/>
  <c r="C353" i="1"/>
  <c r="B353" i="1"/>
  <c r="G353" i="1"/>
  <c r="H353" i="1"/>
  <c r="K353" i="1"/>
  <c r="A354" i="1"/>
  <c r="C354" i="1"/>
  <c r="B354" i="1"/>
  <c r="G354" i="1"/>
  <c r="H354" i="1"/>
  <c r="K354" i="1"/>
  <c r="A355" i="1"/>
  <c r="C355" i="1"/>
  <c r="B355" i="1"/>
  <c r="G355" i="1"/>
  <c r="H355" i="1"/>
  <c r="K355" i="1"/>
  <c r="A356" i="1"/>
  <c r="C356" i="1"/>
  <c r="B356" i="1"/>
  <c r="G356" i="1"/>
  <c r="H356" i="1"/>
  <c r="K356" i="1"/>
  <c r="A357" i="1"/>
  <c r="C357" i="1"/>
  <c r="B357" i="1"/>
  <c r="G357" i="1"/>
  <c r="H357" i="1"/>
  <c r="K357" i="1"/>
  <c r="A358" i="1"/>
  <c r="C358" i="1"/>
  <c r="B358" i="1"/>
  <c r="G358" i="1"/>
  <c r="H358" i="1"/>
  <c r="K358" i="1"/>
  <c r="A359" i="1"/>
  <c r="C359" i="1"/>
  <c r="B359" i="1"/>
  <c r="G359" i="1"/>
  <c r="H359" i="1"/>
  <c r="K359" i="1"/>
  <c r="A360" i="1"/>
  <c r="C360" i="1"/>
  <c r="B360" i="1"/>
  <c r="G360" i="1"/>
  <c r="H360" i="1"/>
  <c r="K360" i="1"/>
  <c r="A361" i="1"/>
  <c r="C361" i="1"/>
  <c r="B361" i="1"/>
  <c r="G361" i="1"/>
  <c r="H361" i="1"/>
  <c r="K361" i="1"/>
  <c r="A362" i="1"/>
  <c r="C362" i="1"/>
  <c r="B362" i="1"/>
  <c r="G362" i="1"/>
  <c r="H362" i="1"/>
  <c r="K362" i="1"/>
  <c r="A363" i="1"/>
  <c r="C363" i="1"/>
  <c r="B363" i="1"/>
  <c r="G363" i="1"/>
  <c r="H363" i="1"/>
  <c r="K363" i="1"/>
  <c r="A364" i="1"/>
  <c r="C364" i="1"/>
  <c r="B364" i="1"/>
  <c r="G364" i="1"/>
  <c r="H364" i="1"/>
  <c r="K364" i="1"/>
  <c r="A365" i="1"/>
  <c r="C365" i="1"/>
  <c r="B365" i="1"/>
  <c r="G365" i="1"/>
  <c r="H365" i="1"/>
  <c r="K365" i="1"/>
  <c r="A366" i="1"/>
  <c r="C366" i="1"/>
  <c r="B366" i="1"/>
  <c r="G366" i="1"/>
  <c r="H366" i="1"/>
  <c r="K366" i="1"/>
  <c r="A367" i="1"/>
  <c r="C367" i="1"/>
  <c r="B367" i="1"/>
  <c r="G367" i="1"/>
  <c r="H367" i="1"/>
  <c r="K367" i="1"/>
  <c r="A368" i="1"/>
  <c r="C368" i="1"/>
  <c r="B368" i="1"/>
  <c r="G368" i="1"/>
  <c r="H368" i="1"/>
  <c r="K368" i="1"/>
  <c r="A369" i="1"/>
  <c r="C369" i="1"/>
  <c r="B369" i="1"/>
  <c r="G369" i="1"/>
  <c r="H369" i="1"/>
  <c r="K369" i="1"/>
  <c r="A370" i="1"/>
  <c r="C370" i="1"/>
  <c r="B370" i="1"/>
  <c r="G370" i="1"/>
  <c r="H370" i="1"/>
  <c r="K370" i="1"/>
  <c r="A371" i="1"/>
  <c r="C371" i="1"/>
  <c r="B371" i="1"/>
  <c r="G371" i="1"/>
  <c r="H371" i="1"/>
  <c r="K371" i="1"/>
  <c r="A372" i="1"/>
  <c r="C372" i="1"/>
  <c r="B372" i="1"/>
  <c r="G372" i="1"/>
  <c r="H372" i="1"/>
  <c r="K372" i="1"/>
  <c r="A373" i="1"/>
  <c r="C373" i="1"/>
  <c r="B373" i="1"/>
  <c r="G373" i="1"/>
  <c r="H373" i="1"/>
  <c r="K373" i="1"/>
  <c r="A374" i="1"/>
  <c r="C374" i="1"/>
  <c r="B374" i="1"/>
  <c r="G374" i="1"/>
  <c r="H374" i="1"/>
  <c r="K374" i="1"/>
  <c r="A375" i="1"/>
  <c r="C375" i="1"/>
  <c r="B375" i="1"/>
  <c r="G375" i="1"/>
  <c r="H375" i="1"/>
  <c r="K375" i="1"/>
  <c r="A376" i="1"/>
  <c r="C376" i="1"/>
  <c r="B376" i="1"/>
  <c r="G376" i="1"/>
  <c r="H376" i="1"/>
  <c r="K376" i="1"/>
  <c r="A377" i="1"/>
  <c r="C377" i="1"/>
  <c r="B377" i="1"/>
  <c r="G377" i="1"/>
  <c r="H377" i="1"/>
  <c r="K377" i="1"/>
  <c r="A378" i="1"/>
  <c r="C378" i="1"/>
  <c r="B378" i="1"/>
  <c r="G378" i="1"/>
  <c r="H378" i="1"/>
  <c r="K378" i="1"/>
  <c r="A379" i="1"/>
  <c r="C379" i="1"/>
  <c r="B379" i="1"/>
  <c r="G379" i="1"/>
  <c r="H379" i="1"/>
  <c r="K379" i="1"/>
  <c r="A380" i="1"/>
  <c r="C380" i="1"/>
  <c r="B380" i="1"/>
  <c r="G380" i="1"/>
  <c r="H380" i="1"/>
  <c r="K380" i="1"/>
  <c r="A381" i="1"/>
  <c r="C381" i="1"/>
  <c r="B381" i="1"/>
  <c r="G381" i="1"/>
  <c r="H381" i="1"/>
  <c r="K381" i="1"/>
  <c r="A382" i="1"/>
  <c r="C382" i="1"/>
  <c r="B382" i="1"/>
  <c r="G382" i="1"/>
  <c r="H382" i="1"/>
  <c r="K382" i="1"/>
  <c r="A383" i="1"/>
  <c r="C383" i="1"/>
  <c r="B383" i="1"/>
  <c r="G383" i="1"/>
  <c r="H383" i="1"/>
  <c r="K383" i="1"/>
  <c r="A384" i="1"/>
  <c r="C384" i="1"/>
  <c r="B384" i="1"/>
  <c r="G384" i="1"/>
  <c r="H384" i="1"/>
  <c r="K384" i="1"/>
  <c r="A385" i="1"/>
  <c r="C385" i="1"/>
  <c r="B385" i="1"/>
  <c r="G385" i="1"/>
  <c r="H385" i="1"/>
  <c r="K385" i="1"/>
  <c r="A386" i="1"/>
  <c r="C386" i="1"/>
  <c r="B386" i="1"/>
  <c r="G386" i="1"/>
  <c r="H386" i="1"/>
  <c r="K386" i="1"/>
  <c r="A387" i="1"/>
  <c r="C387" i="1"/>
  <c r="B387" i="1"/>
  <c r="G387" i="1"/>
  <c r="H387" i="1"/>
  <c r="K387" i="1"/>
  <c r="A388" i="1"/>
  <c r="C388" i="1"/>
  <c r="B388" i="1"/>
  <c r="G388" i="1"/>
  <c r="H388" i="1"/>
  <c r="K388" i="1"/>
  <c r="A389" i="1"/>
  <c r="C389" i="1"/>
  <c r="B389" i="1"/>
  <c r="G389" i="1"/>
  <c r="H389" i="1"/>
  <c r="K389" i="1"/>
  <c r="A390" i="1"/>
  <c r="C390" i="1"/>
  <c r="B390" i="1"/>
  <c r="G390" i="1"/>
  <c r="H390" i="1"/>
  <c r="K390" i="1"/>
  <c r="A391" i="1"/>
  <c r="C391" i="1"/>
  <c r="B391" i="1"/>
  <c r="G391" i="1"/>
  <c r="H391" i="1"/>
  <c r="K391" i="1"/>
  <c r="A392" i="1"/>
  <c r="C392" i="1"/>
  <c r="B392" i="1"/>
  <c r="G392" i="1"/>
  <c r="H392" i="1"/>
  <c r="K392" i="1"/>
  <c r="A393" i="1"/>
  <c r="C393" i="1"/>
  <c r="B393" i="1"/>
  <c r="G393" i="1"/>
  <c r="H393" i="1"/>
  <c r="K393" i="1"/>
  <c r="A394" i="1"/>
  <c r="C394" i="1"/>
  <c r="B394" i="1"/>
  <c r="G394" i="1"/>
  <c r="H394" i="1"/>
  <c r="K394" i="1"/>
  <c r="A395" i="1"/>
  <c r="C395" i="1"/>
  <c r="B395" i="1"/>
  <c r="G395" i="1"/>
  <c r="H395" i="1"/>
  <c r="K395" i="1"/>
  <c r="A396" i="1"/>
  <c r="C396" i="1"/>
  <c r="B396" i="1"/>
  <c r="G396" i="1"/>
  <c r="H396" i="1"/>
  <c r="K396" i="1"/>
  <c r="A397" i="1"/>
  <c r="C397" i="1"/>
  <c r="B397" i="1"/>
  <c r="G397" i="1"/>
  <c r="H397" i="1"/>
  <c r="K397" i="1"/>
  <c r="A398" i="1"/>
  <c r="C398" i="1"/>
  <c r="B398" i="1"/>
  <c r="G398" i="1"/>
  <c r="H398" i="1"/>
  <c r="K398" i="1"/>
  <c r="A399" i="1"/>
  <c r="C399" i="1"/>
  <c r="B399" i="1"/>
  <c r="G399" i="1"/>
  <c r="H399" i="1"/>
  <c r="K399" i="1"/>
  <c r="A400" i="1"/>
  <c r="C400" i="1"/>
  <c r="B400" i="1"/>
  <c r="G400" i="1"/>
  <c r="H400" i="1"/>
  <c r="K400" i="1"/>
  <c r="A401" i="1"/>
  <c r="C401" i="1"/>
  <c r="B401" i="1"/>
  <c r="G401" i="1"/>
  <c r="H401" i="1"/>
  <c r="K401" i="1"/>
  <c r="A402" i="1"/>
  <c r="C402" i="1"/>
  <c r="B402" i="1"/>
  <c r="G402" i="1"/>
  <c r="H402" i="1"/>
  <c r="K402" i="1"/>
  <c r="A403" i="1"/>
  <c r="C403" i="1"/>
  <c r="B403" i="1"/>
  <c r="G403" i="1"/>
  <c r="H403" i="1"/>
  <c r="K403" i="1"/>
  <c r="A404" i="1"/>
  <c r="C404" i="1"/>
  <c r="B404" i="1"/>
  <c r="G404" i="1"/>
  <c r="H404" i="1"/>
  <c r="K404" i="1"/>
  <c r="A405" i="1"/>
  <c r="C405" i="1"/>
  <c r="B405" i="1"/>
  <c r="G405" i="1"/>
  <c r="H405" i="1"/>
  <c r="K405" i="1"/>
  <c r="A406" i="1"/>
  <c r="C406" i="1"/>
  <c r="B406" i="1"/>
  <c r="G406" i="1"/>
  <c r="H406" i="1"/>
  <c r="K406" i="1"/>
  <c r="A407" i="1"/>
  <c r="C407" i="1"/>
  <c r="B407" i="1"/>
  <c r="G407" i="1"/>
  <c r="H407" i="1"/>
  <c r="K407" i="1"/>
  <c r="A408" i="1"/>
  <c r="C408" i="1"/>
  <c r="B408" i="1"/>
  <c r="G408" i="1"/>
  <c r="H408" i="1"/>
  <c r="K408" i="1"/>
  <c r="A409" i="1"/>
  <c r="C409" i="1"/>
  <c r="B409" i="1"/>
  <c r="G409" i="1"/>
  <c r="H409" i="1"/>
  <c r="K409" i="1"/>
  <c r="A410" i="1"/>
  <c r="C410" i="1"/>
  <c r="B410" i="1"/>
  <c r="G410" i="1"/>
  <c r="H410" i="1"/>
  <c r="K410" i="1"/>
  <c r="A411" i="1"/>
  <c r="C411" i="1"/>
  <c r="B411" i="1"/>
  <c r="G411" i="1"/>
  <c r="H411" i="1"/>
  <c r="K411" i="1"/>
  <c r="A412" i="1"/>
  <c r="C412" i="1"/>
  <c r="B412" i="1"/>
  <c r="G412" i="1"/>
  <c r="H412" i="1"/>
  <c r="K412" i="1"/>
  <c r="A413" i="1"/>
  <c r="C413" i="1"/>
  <c r="B413" i="1"/>
  <c r="G413" i="1"/>
  <c r="H413" i="1"/>
  <c r="K413" i="1"/>
  <c r="A414" i="1"/>
  <c r="C414" i="1"/>
  <c r="B414" i="1"/>
  <c r="G414" i="1"/>
  <c r="H414" i="1"/>
  <c r="K414" i="1"/>
  <c r="A415" i="1"/>
  <c r="C415" i="1"/>
  <c r="B415" i="1"/>
  <c r="G415" i="1"/>
  <c r="H415" i="1"/>
  <c r="K415" i="1"/>
  <c r="A416" i="1"/>
  <c r="C416" i="1"/>
  <c r="B416" i="1"/>
  <c r="G416" i="1"/>
  <c r="H416" i="1"/>
  <c r="K416" i="1"/>
  <c r="A417" i="1"/>
  <c r="C417" i="1"/>
  <c r="B417" i="1"/>
  <c r="G417" i="1"/>
  <c r="H417" i="1"/>
  <c r="K417" i="1"/>
  <c r="A418" i="1"/>
  <c r="C418" i="1"/>
  <c r="B418" i="1"/>
  <c r="G418" i="1"/>
  <c r="H418" i="1"/>
  <c r="K418" i="1"/>
  <c r="A419" i="1"/>
  <c r="C419" i="1"/>
  <c r="B419" i="1"/>
  <c r="G419" i="1"/>
  <c r="H419" i="1"/>
  <c r="K419" i="1"/>
  <c r="A420" i="1"/>
  <c r="C420" i="1"/>
  <c r="B420" i="1"/>
  <c r="G420" i="1"/>
  <c r="H420" i="1"/>
  <c r="K420" i="1"/>
  <c r="A421" i="1"/>
  <c r="C421" i="1"/>
  <c r="B421" i="1"/>
  <c r="G421" i="1"/>
  <c r="H421" i="1"/>
  <c r="K421" i="1"/>
  <c r="A422" i="1"/>
  <c r="C422" i="1"/>
  <c r="B422" i="1"/>
  <c r="G422" i="1"/>
  <c r="H422" i="1"/>
  <c r="K422" i="1"/>
  <c r="A423" i="1"/>
  <c r="C423" i="1"/>
  <c r="B423" i="1"/>
  <c r="G423" i="1"/>
  <c r="H423" i="1"/>
  <c r="K423" i="1"/>
  <c r="A424" i="1"/>
  <c r="C424" i="1"/>
  <c r="B424" i="1"/>
  <c r="G424" i="1"/>
  <c r="H424" i="1"/>
  <c r="K424" i="1"/>
  <c r="A425" i="1"/>
  <c r="C425" i="1"/>
  <c r="B425" i="1"/>
  <c r="G425" i="1"/>
  <c r="H425" i="1"/>
  <c r="K425" i="1"/>
  <c r="A426" i="1"/>
  <c r="C426" i="1"/>
  <c r="B426" i="1"/>
  <c r="G426" i="1"/>
  <c r="H426" i="1"/>
  <c r="K426" i="1"/>
  <c r="A427" i="1"/>
  <c r="C427" i="1"/>
  <c r="B427" i="1"/>
  <c r="G427" i="1"/>
  <c r="H427" i="1"/>
  <c r="K427" i="1"/>
  <c r="A428" i="1"/>
  <c r="C428" i="1"/>
  <c r="B428" i="1"/>
  <c r="G428" i="1"/>
  <c r="H428" i="1"/>
  <c r="K428" i="1"/>
  <c r="A429" i="1"/>
  <c r="C429" i="1"/>
  <c r="B429" i="1"/>
  <c r="G429" i="1"/>
  <c r="H429" i="1"/>
  <c r="K429" i="1"/>
  <c r="A430" i="1"/>
  <c r="C430" i="1"/>
  <c r="B430" i="1"/>
  <c r="G430" i="1"/>
  <c r="H430" i="1"/>
  <c r="K430" i="1"/>
  <c r="A431" i="1"/>
  <c r="C431" i="1"/>
  <c r="B431" i="1"/>
  <c r="G431" i="1"/>
  <c r="H431" i="1"/>
  <c r="K431" i="1"/>
  <c r="A432" i="1"/>
  <c r="C432" i="1"/>
  <c r="B432" i="1"/>
  <c r="G432" i="1"/>
  <c r="H432" i="1"/>
  <c r="K432" i="1"/>
  <c r="A433" i="1"/>
  <c r="C433" i="1"/>
  <c r="B433" i="1"/>
  <c r="G433" i="1"/>
  <c r="H433" i="1"/>
  <c r="K433" i="1"/>
  <c r="A434" i="1"/>
  <c r="C434" i="1"/>
  <c r="B434" i="1"/>
  <c r="G434" i="1"/>
  <c r="H434" i="1"/>
  <c r="K434" i="1"/>
  <c r="A435" i="1"/>
  <c r="C435" i="1"/>
  <c r="B435" i="1"/>
  <c r="G435" i="1"/>
  <c r="H435" i="1"/>
  <c r="K435" i="1"/>
  <c r="A436" i="1"/>
  <c r="C436" i="1"/>
  <c r="B436" i="1"/>
  <c r="G436" i="1"/>
  <c r="H436" i="1"/>
  <c r="K436" i="1"/>
  <c r="A437" i="1"/>
  <c r="C437" i="1"/>
  <c r="B437" i="1"/>
  <c r="G437" i="1"/>
  <c r="H437" i="1"/>
  <c r="K437" i="1"/>
  <c r="A438" i="1"/>
  <c r="C438" i="1"/>
  <c r="B438" i="1"/>
  <c r="G438" i="1"/>
  <c r="H438" i="1"/>
  <c r="K438" i="1"/>
  <c r="A439" i="1"/>
  <c r="C439" i="1"/>
  <c r="B439" i="1"/>
  <c r="G439" i="1"/>
  <c r="H439" i="1"/>
  <c r="K439" i="1"/>
  <c r="A440" i="1"/>
  <c r="C440" i="1"/>
  <c r="B440" i="1"/>
  <c r="G440" i="1"/>
  <c r="H440" i="1"/>
  <c r="K440" i="1"/>
  <c r="A441" i="1"/>
  <c r="C441" i="1"/>
  <c r="B441" i="1"/>
  <c r="G441" i="1"/>
  <c r="H441" i="1"/>
  <c r="K441" i="1"/>
  <c r="A442" i="1"/>
  <c r="C442" i="1"/>
  <c r="B442" i="1"/>
  <c r="G442" i="1"/>
  <c r="H442" i="1"/>
  <c r="K442" i="1"/>
  <c r="A443" i="1"/>
  <c r="C443" i="1"/>
  <c r="B443" i="1"/>
  <c r="G443" i="1"/>
  <c r="H443" i="1"/>
  <c r="K443" i="1"/>
  <c r="A444" i="1"/>
  <c r="C444" i="1"/>
  <c r="B444" i="1"/>
  <c r="G444" i="1"/>
  <c r="H444" i="1"/>
  <c r="K444" i="1"/>
  <c r="A445" i="1"/>
  <c r="C445" i="1"/>
  <c r="B445" i="1"/>
  <c r="G445" i="1"/>
  <c r="H445" i="1"/>
  <c r="K445" i="1"/>
  <c r="A446" i="1"/>
  <c r="C446" i="1"/>
  <c r="B446" i="1"/>
  <c r="G446" i="1"/>
  <c r="H446" i="1"/>
  <c r="K446" i="1"/>
  <c r="A447" i="1"/>
  <c r="C447" i="1"/>
  <c r="B447" i="1"/>
  <c r="G447" i="1"/>
  <c r="H447" i="1"/>
  <c r="K447" i="1"/>
  <c r="A448" i="1"/>
  <c r="C448" i="1"/>
  <c r="B448" i="1"/>
  <c r="G448" i="1"/>
  <c r="H448" i="1"/>
  <c r="K448" i="1"/>
  <c r="A449" i="1"/>
  <c r="C449" i="1"/>
  <c r="B449" i="1"/>
  <c r="G449" i="1"/>
  <c r="H449" i="1"/>
  <c r="K449" i="1"/>
  <c r="A450" i="1"/>
  <c r="C450" i="1"/>
  <c r="B450" i="1"/>
  <c r="G450" i="1"/>
  <c r="H450" i="1"/>
  <c r="K450" i="1"/>
  <c r="A451" i="1"/>
  <c r="C451" i="1"/>
  <c r="B451" i="1"/>
  <c r="G451" i="1"/>
  <c r="H451" i="1"/>
  <c r="K451" i="1"/>
  <c r="A452" i="1"/>
  <c r="C452" i="1"/>
  <c r="B452" i="1"/>
  <c r="G452" i="1"/>
  <c r="H452" i="1"/>
  <c r="K452" i="1"/>
  <c r="A453" i="1"/>
  <c r="C453" i="1"/>
  <c r="B453" i="1"/>
  <c r="G453" i="1"/>
  <c r="H453" i="1"/>
  <c r="K453" i="1"/>
  <c r="A454" i="1"/>
  <c r="C454" i="1"/>
  <c r="B454" i="1"/>
  <c r="G454" i="1"/>
  <c r="H454" i="1"/>
  <c r="K454" i="1"/>
  <c r="A455" i="1"/>
  <c r="C455" i="1"/>
  <c r="B455" i="1"/>
  <c r="G455" i="1"/>
  <c r="H455" i="1"/>
  <c r="K455" i="1"/>
  <c r="A456" i="1"/>
  <c r="C456" i="1"/>
  <c r="B456" i="1"/>
  <c r="G456" i="1"/>
  <c r="H456" i="1"/>
  <c r="K456" i="1"/>
  <c r="A457" i="1"/>
  <c r="C457" i="1"/>
  <c r="B457" i="1"/>
  <c r="G457" i="1"/>
  <c r="H457" i="1"/>
  <c r="K457" i="1"/>
  <c r="A458" i="1"/>
  <c r="C458" i="1"/>
  <c r="B458" i="1"/>
  <c r="G458" i="1"/>
  <c r="H458" i="1"/>
  <c r="K458" i="1"/>
  <c r="A459" i="1"/>
  <c r="C459" i="1"/>
  <c r="B459" i="1"/>
  <c r="G459" i="1"/>
  <c r="H459" i="1"/>
  <c r="K459" i="1"/>
  <c r="A460" i="1"/>
  <c r="C460" i="1"/>
  <c r="B460" i="1"/>
  <c r="G460" i="1"/>
  <c r="H460" i="1"/>
  <c r="K460" i="1"/>
  <c r="A461" i="1"/>
  <c r="C461" i="1"/>
  <c r="B461" i="1"/>
  <c r="G461" i="1"/>
  <c r="H461" i="1"/>
  <c r="K461" i="1"/>
  <c r="A462" i="1"/>
  <c r="C462" i="1"/>
  <c r="B462" i="1"/>
  <c r="G462" i="1"/>
  <c r="H462" i="1"/>
  <c r="K462" i="1"/>
  <c r="A463" i="1"/>
  <c r="C463" i="1"/>
  <c r="B463" i="1"/>
  <c r="G463" i="1"/>
  <c r="H463" i="1"/>
  <c r="K463" i="1"/>
  <c r="A464" i="1"/>
  <c r="C464" i="1"/>
  <c r="B464" i="1"/>
  <c r="G464" i="1"/>
  <c r="H464" i="1"/>
  <c r="K464" i="1"/>
  <c r="A465" i="1"/>
  <c r="C465" i="1"/>
  <c r="B465" i="1"/>
  <c r="G465" i="1"/>
  <c r="H465" i="1"/>
  <c r="K465" i="1"/>
  <c r="A466" i="1"/>
  <c r="C466" i="1"/>
  <c r="B466" i="1"/>
  <c r="G466" i="1"/>
  <c r="H466" i="1"/>
  <c r="K466" i="1"/>
  <c r="A467" i="1"/>
  <c r="C467" i="1"/>
  <c r="B467" i="1"/>
  <c r="G467" i="1"/>
  <c r="H467" i="1"/>
  <c r="K467" i="1"/>
  <c r="A468" i="1"/>
  <c r="C468" i="1"/>
  <c r="B468" i="1"/>
  <c r="G468" i="1"/>
  <c r="H468" i="1"/>
  <c r="K468" i="1"/>
  <c r="A469" i="1"/>
  <c r="C469" i="1"/>
  <c r="B469" i="1"/>
  <c r="G469" i="1"/>
  <c r="H469" i="1"/>
  <c r="K469" i="1"/>
  <c r="A470" i="1"/>
  <c r="C470" i="1"/>
  <c r="B470" i="1"/>
  <c r="G470" i="1"/>
  <c r="H470" i="1"/>
  <c r="K470" i="1"/>
  <c r="A471" i="1"/>
  <c r="C471" i="1"/>
  <c r="B471" i="1"/>
  <c r="G471" i="1"/>
  <c r="H471" i="1"/>
  <c r="K471" i="1"/>
  <c r="A472" i="1"/>
  <c r="C472" i="1"/>
  <c r="B472" i="1"/>
  <c r="G472" i="1"/>
  <c r="H472" i="1"/>
  <c r="K472" i="1"/>
  <c r="A473" i="1"/>
  <c r="C473" i="1"/>
  <c r="B473" i="1"/>
  <c r="G473" i="1"/>
  <c r="H473" i="1"/>
  <c r="K473" i="1"/>
  <c r="A474" i="1"/>
  <c r="C474" i="1"/>
  <c r="B474" i="1"/>
  <c r="G474" i="1"/>
  <c r="H474" i="1"/>
  <c r="K474" i="1"/>
  <c r="A475" i="1"/>
  <c r="C475" i="1"/>
  <c r="B475" i="1"/>
  <c r="G475" i="1"/>
  <c r="H475" i="1"/>
  <c r="K475" i="1"/>
  <c r="A476" i="1"/>
  <c r="C476" i="1"/>
  <c r="B476" i="1"/>
  <c r="G476" i="1"/>
  <c r="H476" i="1"/>
  <c r="K476" i="1"/>
  <c r="A477" i="1"/>
  <c r="C477" i="1"/>
  <c r="B477" i="1"/>
  <c r="G477" i="1"/>
  <c r="H477" i="1"/>
  <c r="K477" i="1"/>
  <c r="A478" i="1"/>
  <c r="C478" i="1"/>
  <c r="B478" i="1"/>
  <c r="G478" i="1"/>
  <c r="H478" i="1"/>
  <c r="K478" i="1"/>
  <c r="A479" i="1"/>
  <c r="C479" i="1"/>
  <c r="B479" i="1"/>
  <c r="G479" i="1"/>
  <c r="H479" i="1"/>
  <c r="K479" i="1"/>
  <c r="A480" i="1"/>
  <c r="C480" i="1"/>
  <c r="B480" i="1"/>
  <c r="G480" i="1"/>
  <c r="H480" i="1"/>
  <c r="K480" i="1"/>
  <c r="A481" i="1"/>
  <c r="C481" i="1"/>
  <c r="B481" i="1"/>
  <c r="G481" i="1"/>
  <c r="H481" i="1"/>
  <c r="K481" i="1"/>
  <c r="A482" i="1"/>
  <c r="C482" i="1"/>
  <c r="B482" i="1"/>
  <c r="G482" i="1"/>
  <c r="H482" i="1"/>
  <c r="K482" i="1"/>
  <c r="A483" i="1"/>
  <c r="C483" i="1"/>
  <c r="B483" i="1"/>
  <c r="G483" i="1"/>
  <c r="H483" i="1"/>
  <c r="K483" i="1"/>
  <c r="A484" i="1"/>
  <c r="C484" i="1"/>
  <c r="B484" i="1"/>
  <c r="G484" i="1"/>
  <c r="H484" i="1"/>
  <c r="K484" i="1"/>
  <c r="A485" i="1"/>
  <c r="C485" i="1"/>
  <c r="B485" i="1"/>
  <c r="G485" i="1"/>
  <c r="H485" i="1"/>
  <c r="K485" i="1"/>
  <c r="A486" i="1"/>
  <c r="C486" i="1"/>
  <c r="B486" i="1"/>
  <c r="G486" i="1"/>
  <c r="H486" i="1"/>
  <c r="K486" i="1"/>
  <c r="A487" i="1"/>
  <c r="C487" i="1"/>
  <c r="B487" i="1"/>
  <c r="G487" i="1"/>
  <c r="H487" i="1"/>
  <c r="K487" i="1"/>
  <c r="A488" i="1"/>
  <c r="C488" i="1"/>
  <c r="B488" i="1"/>
  <c r="G488" i="1"/>
  <c r="H488" i="1"/>
  <c r="K488" i="1"/>
  <c r="A489" i="1"/>
  <c r="C489" i="1"/>
  <c r="B489" i="1"/>
  <c r="G489" i="1"/>
  <c r="H489" i="1"/>
  <c r="K489" i="1"/>
  <c r="A490" i="1"/>
  <c r="C490" i="1"/>
  <c r="B490" i="1"/>
  <c r="G490" i="1"/>
  <c r="H490" i="1"/>
  <c r="K490" i="1"/>
  <c r="A491" i="1"/>
  <c r="C491" i="1"/>
  <c r="B491" i="1"/>
  <c r="G491" i="1"/>
  <c r="H491" i="1"/>
  <c r="K491" i="1"/>
  <c r="A492" i="1"/>
  <c r="C492" i="1"/>
  <c r="B492" i="1"/>
  <c r="G492" i="1"/>
  <c r="H492" i="1"/>
  <c r="K492" i="1"/>
  <c r="A493" i="1"/>
  <c r="C493" i="1"/>
  <c r="B493" i="1"/>
  <c r="G493" i="1"/>
  <c r="H493" i="1"/>
  <c r="K493" i="1"/>
  <c r="A494" i="1"/>
  <c r="C494" i="1"/>
  <c r="B494" i="1"/>
  <c r="G494" i="1"/>
  <c r="H494" i="1"/>
  <c r="K494" i="1"/>
  <c r="A495" i="1"/>
  <c r="C495" i="1"/>
  <c r="B495" i="1"/>
  <c r="G495" i="1"/>
  <c r="H495" i="1"/>
  <c r="K495" i="1"/>
  <c r="A496" i="1"/>
  <c r="C496" i="1"/>
  <c r="B496" i="1"/>
  <c r="G496" i="1"/>
  <c r="H496" i="1"/>
  <c r="K496" i="1"/>
  <c r="A497" i="1"/>
  <c r="C497" i="1"/>
  <c r="B497" i="1"/>
  <c r="G497" i="1"/>
  <c r="H497" i="1"/>
  <c r="K497" i="1"/>
  <c r="A498" i="1"/>
  <c r="C498" i="1"/>
  <c r="B498" i="1"/>
  <c r="G498" i="1"/>
  <c r="H498" i="1"/>
  <c r="K498" i="1"/>
  <c r="A499" i="1"/>
  <c r="C499" i="1"/>
  <c r="B499" i="1"/>
  <c r="G499" i="1"/>
  <c r="H499" i="1"/>
  <c r="K499" i="1"/>
  <c r="A500" i="1"/>
  <c r="C500" i="1"/>
  <c r="B500" i="1"/>
  <c r="G500" i="1"/>
  <c r="H500" i="1"/>
  <c r="K500" i="1"/>
  <c r="A501" i="1"/>
  <c r="C501" i="1"/>
  <c r="B501" i="1"/>
  <c r="G501" i="1"/>
  <c r="H501" i="1"/>
  <c r="K501" i="1"/>
  <c r="A502" i="1"/>
  <c r="C502" i="1"/>
  <c r="B502" i="1"/>
  <c r="G502" i="1"/>
  <c r="H502" i="1"/>
  <c r="K502" i="1"/>
  <c r="A503" i="1"/>
  <c r="C503" i="1"/>
  <c r="B503" i="1"/>
  <c r="G503" i="1"/>
  <c r="H503" i="1"/>
  <c r="K503" i="1"/>
  <c r="A504" i="1"/>
  <c r="C504" i="1"/>
  <c r="B504" i="1"/>
  <c r="G504" i="1"/>
  <c r="H504" i="1"/>
  <c r="K504" i="1"/>
  <c r="A505" i="1"/>
  <c r="C505" i="1"/>
  <c r="B505" i="1"/>
  <c r="G505" i="1"/>
  <c r="H505" i="1"/>
  <c r="K505" i="1"/>
  <c r="A506" i="1"/>
  <c r="C506" i="1"/>
  <c r="B506" i="1"/>
  <c r="G506" i="1"/>
  <c r="H506" i="1"/>
  <c r="K506" i="1"/>
  <c r="A507" i="1"/>
  <c r="C507" i="1"/>
  <c r="B507" i="1"/>
  <c r="G507" i="1"/>
  <c r="H507" i="1"/>
  <c r="K507" i="1"/>
  <c r="A508" i="1"/>
  <c r="C508" i="1"/>
  <c r="B508" i="1"/>
  <c r="G508" i="1"/>
  <c r="H508" i="1"/>
  <c r="K508" i="1"/>
  <c r="A509" i="1"/>
  <c r="C509" i="1"/>
  <c r="B509" i="1"/>
  <c r="G509" i="1"/>
  <c r="H509" i="1"/>
  <c r="K509" i="1"/>
  <c r="A510" i="1"/>
  <c r="C510" i="1"/>
  <c r="B510" i="1"/>
  <c r="G510" i="1"/>
  <c r="H510" i="1"/>
  <c r="K510" i="1"/>
  <c r="A511" i="1"/>
  <c r="C511" i="1"/>
  <c r="B511" i="1"/>
  <c r="G511" i="1"/>
  <c r="H511" i="1"/>
  <c r="K511" i="1"/>
  <c r="A512" i="1"/>
  <c r="C512" i="1"/>
  <c r="B512" i="1"/>
  <c r="G512" i="1"/>
  <c r="H512" i="1"/>
  <c r="K512" i="1"/>
  <c r="A513" i="1"/>
  <c r="C513" i="1"/>
  <c r="B513" i="1"/>
  <c r="G513" i="1"/>
  <c r="H513" i="1"/>
  <c r="K513" i="1"/>
  <c r="A514" i="1"/>
  <c r="C514" i="1"/>
  <c r="B514" i="1"/>
  <c r="G514" i="1"/>
  <c r="H514" i="1"/>
  <c r="K514" i="1"/>
  <c r="A515" i="1"/>
  <c r="C515" i="1"/>
  <c r="B515" i="1"/>
  <c r="G515" i="1"/>
  <c r="H515" i="1"/>
  <c r="K515" i="1"/>
  <c r="A516" i="1"/>
  <c r="C516" i="1"/>
  <c r="B516" i="1"/>
  <c r="G516" i="1"/>
  <c r="H516" i="1"/>
  <c r="K516" i="1"/>
  <c r="A517" i="1"/>
  <c r="C517" i="1"/>
  <c r="B517" i="1"/>
  <c r="G517" i="1"/>
  <c r="H517" i="1"/>
  <c r="K517" i="1"/>
  <c r="A518" i="1"/>
  <c r="C518" i="1"/>
  <c r="B518" i="1"/>
  <c r="G518" i="1"/>
  <c r="H518" i="1"/>
  <c r="K518" i="1"/>
  <c r="A519" i="1"/>
  <c r="C519" i="1"/>
  <c r="B519" i="1"/>
  <c r="G519" i="1"/>
  <c r="H519" i="1"/>
  <c r="K519" i="1"/>
  <c r="A520" i="1"/>
  <c r="C520" i="1"/>
  <c r="B520" i="1"/>
  <c r="G520" i="1"/>
  <c r="H520" i="1"/>
  <c r="K520" i="1"/>
  <c r="A521" i="1"/>
  <c r="C521" i="1"/>
  <c r="B521" i="1"/>
  <c r="G521" i="1"/>
  <c r="H521" i="1"/>
  <c r="K521" i="1"/>
  <c r="A522" i="1"/>
  <c r="C522" i="1"/>
  <c r="B522" i="1"/>
  <c r="G522" i="1"/>
  <c r="H522" i="1"/>
  <c r="K522" i="1"/>
  <c r="A523" i="1"/>
  <c r="C523" i="1"/>
  <c r="B523" i="1"/>
  <c r="G523" i="1"/>
  <c r="H523" i="1"/>
  <c r="K523" i="1"/>
  <c r="A524" i="1"/>
  <c r="C524" i="1"/>
  <c r="B524" i="1"/>
  <c r="G524" i="1"/>
  <c r="H524" i="1"/>
  <c r="K524" i="1"/>
  <c r="A525" i="1"/>
  <c r="C525" i="1"/>
  <c r="B525" i="1"/>
  <c r="G525" i="1"/>
  <c r="H525" i="1"/>
  <c r="K525" i="1"/>
  <c r="A526" i="1"/>
  <c r="C526" i="1"/>
  <c r="B526" i="1"/>
  <c r="G526" i="1"/>
  <c r="H526" i="1"/>
  <c r="K526" i="1"/>
  <c r="A527" i="1"/>
  <c r="C527" i="1"/>
  <c r="B527" i="1"/>
  <c r="G527" i="1"/>
  <c r="H527" i="1"/>
  <c r="K527" i="1"/>
  <c r="A528" i="1"/>
  <c r="C528" i="1"/>
  <c r="B528" i="1"/>
  <c r="G528" i="1"/>
  <c r="H528" i="1"/>
  <c r="K528" i="1"/>
  <c r="A529" i="1"/>
  <c r="C529" i="1"/>
  <c r="B529" i="1"/>
  <c r="G529" i="1"/>
  <c r="H529" i="1"/>
  <c r="K529" i="1"/>
  <c r="A530" i="1"/>
  <c r="C530" i="1"/>
  <c r="B530" i="1"/>
  <c r="G530" i="1"/>
  <c r="H530" i="1"/>
  <c r="K530" i="1"/>
  <c r="A531" i="1"/>
  <c r="C531" i="1"/>
  <c r="B531" i="1"/>
  <c r="G531" i="1"/>
  <c r="H531" i="1"/>
  <c r="K531" i="1"/>
  <c r="A532" i="1"/>
  <c r="C532" i="1"/>
  <c r="B532" i="1"/>
  <c r="G532" i="1"/>
  <c r="H532" i="1"/>
  <c r="K532" i="1"/>
  <c r="A533" i="1"/>
  <c r="C533" i="1"/>
  <c r="B533" i="1"/>
  <c r="G533" i="1"/>
  <c r="H533" i="1"/>
  <c r="K533" i="1"/>
  <c r="A534" i="1"/>
  <c r="C534" i="1"/>
  <c r="B534" i="1"/>
  <c r="G534" i="1"/>
  <c r="H534" i="1"/>
  <c r="K534" i="1"/>
  <c r="A535" i="1"/>
  <c r="C535" i="1"/>
  <c r="B535" i="1"/>
  <c r="G535" i="1"/>
  <c r="H535" i="1"/>
  <c r="K535" i="1"/>
  <c r="A536" i="1"/>
  <c r="C536" i="1"/>
  <c r="B536" i="1"/>
  <c r="G536" i="1"/>
  <c r="H536" i="1"/>
  <c r="K536" i="1"/>
  <c r="A537" i="1"/>
  <c r="C537" i="1"/>
  <c r="B537" i="1"/>
  <c r="G537" i="1"/>
  <c r="H537" i="1"/>
  <c r="K537" i="1"/>
  <c r="A538" i="1"/>
  <c r="C538" i="1"/>
  <c r="B538" i="1"/>
  <c r="G538" i="1"/>
  <c r="H538" i="1"/>
  <c r="K538" i="1"/>
  <c r="A539" i="1"/>
  <c r="C539" i="1"/>
  <c r="B539" i="1"/>
  <c r="G539" i="1"/>
  <c r="H539" i="1"/>
  <c r="K539" i="1"/>
  <c r="A540" i="1"/>
  <c r="C540" i="1"/>
  <c r="B540" i="1"/>
  <c r="G540" i="1"/>
  <c r="H540" i="1"/>
  <c r="K540" i="1"/>
  <c r="A541" i="1"/>
  <c r="C541" i="1"/>
  <c r="B541" i="1"/>
  <c r="G541" i="1"/>
  <c r="H541" i="1"/>
  <c r="K541" i="1"/>
  <c r="A542" i="1"/>
  <c r="C542" i="1"/>
  <c r="B542" i="1"/>
  <c r="G542" i="1"/>
  <c r="H542" i="1"/>
  <c r="K542" i="1"/>
  <c r="A543" i="1"/>
  <c r="C543" i="1"/>
  <c r="B543" i="1"/>
  <c r="G543" i="1"/>
  <c r="H543" i="1"/>
  <c r="K543" i="1"/>
  <c r="A544" i="1"/>
  <c r="C544" i="1"/>
  <c r="B544" i="1"/>
  <c r="G544" i="1"/>
  <c r="H544" i="1"/>
  <c r="K544" i="1"/>
  <c r="A545" i="1"/>
  <c r="C545" i="1"/>
  <c r="B545" i="1"/>
  <c r="G545" i="1"/>
  <c r="H545" i="1"/>
  <c r="K545" i="1"/>
  <c r="A546" i="1"/>
  <c r="C546" i="1"/>
  <c r="B546" i="1"/>
  <c r="G546" i="1"/>
  <c r="H546" i="1"/>
  <c r="K546" i="1"/>
  <c r="A547" i="1"/>
  <c r="C547" i="1"/>
  <c r="B547" i="1"/>
  <c r="G547" i="1"/>
  <c r="H547" i="1"/>
  <c r="K547" i="1"/>
  <c r="A548" i="1"/>
  <c r="C548" i="1"/>
  <c r="B548" i="1"/>
  <c r="G548" i="1"/>
  <c r="H548" i="1"/>
  <c r="K548" i="1"/>
  <c r="A549" i="1"/>
  <c r="C549" i="1"/>
  <c r="B549" i="1"/>
  <c r="G549" i="1"/>
  <c r="H549" i="1"/>
  <c r="K549" i="1"/>
  <c r="A550" i="1"/>
  <c r="C550" i="1"/>
  <c r="B550" i="1"/>
  <c r="G550" i="1"/>
  <c r="H550" i="1"/>
  <c r="K550" i="1"/>
  <c r="A551" i="1"/>
  <c r="C551" i="1"/>
  <c r="B551" i="1"/>
  <c r="G551" i="1"/>
  <c r="H551" i="1"/>
  <c r="K551" i="1"/>
  <c r="A552" i="1"/>
  <c r="C552" i="1"/>
  <c r="B552" i="1"/>
  <c r="G552" i="1"/>
  <c r="H552" i="1"/>
  <c r="K552" i="1"/>
  <c r="A553" i="1"/>
  <c r="C553" i="1"/>
  <c r="B553" i="1"/>
  <c r="G553" i="1"/>
  <c r="H553" i="1"/>
  <c r="K553" i="1"/>
  <c r="A554" i="1"/>
  <c r="C554" i="1"/>
  <c r="B554" i="1"/>
  <c r="G554" i="1"/>
  <c r="H554" i="1"/>
  <c r="K554" i="1"/>
  <c r="A555" i="1"/>
  <c r="C555" i="1"/>
  <c r="B555" i="1"/>
  <c r="G555" i="1"/>
  <c r="H555" i="1"/>
  <c r="K555" i="1"/>
  <c r="A556" i="1"/>
  <c r="C556" i="1"/>
  <c r="B556" i="1"/>
  <c r="G556" i="1"/>
  <c r="H556" i="1"/>
  <c r="K556" i="1"/>
  <c r="A557" i="1"/>
  <c r="C557" i="1"/>
  <c r="B557" i="1"/>
  <c r="G557" i="1"/>
  <c r="H557" i="1"/>
  <c r="K557" i="1"/>
  <c r="A558" i="1"/>
  <c r="C558" i="1"/>
  <c r="B558" i="1"/>
  <c r="G558" i="1"/>
  <c r="H558" i="1"/>
  <c r="K558" i="1"/>
  <c r="A559" i="1"/>
  <c r="C559" i="1"/>
  <c r="B559" i="1"/>
  <c r="G559" i="1"/>
  <c r="H559" i="1"/>
  <c r="K559" i="1"/>
  <c r="A560" i="1"/>
  <c r="C560" i="1"/>
  <c r="B560" i="1"/>
  <c r="G560" i="1"/>
  <c r="H560" i="1"/>
  <c r="K560" i="1"/>
  <c r="A561" i="1"/>
  <c r="C561" i="1"/>
  <c r="B561" i="1"/>
  <c r="G561" i="1"/>
  <c r="H561" i="1"/>
  <c r="K561" i="1"/>
  <c r="A562" i="1"/>
  <c r="C562" i="1"/>
  <c r="B562" i="1"/>
  <c r="G562" i="1"/>
  <c r="H562" i="1"/>
  <c r="K562" i="1"/>
  <c r="A563" i="1"/>
  <c r="C563" i="1"/>
  <c r="B563" i="1"/>
  <c r="G563" i="1"/>
  <c r="H563" i="1"/>
  <c r="K563" i="1"/>
  <c r="A564" i="1"/>
  <c r="C564" i="1"/>
  <c r="B564" i="1"/>
  <c r="G564" i="1"/>
  <c r="H564" i="1"/>
  <c r="K564" i="1"/>
  <c r="A565" i="1"/>
  <c r="C565" i="1"/>
  <c r="B565" i="1"/>
  <c r="G565" i="1"/>
  <c r="H565" i="1"/>
  <c r="K565" i="1"/>
  <c r="A566" i="1"/>
  <c r="C566" i="1"/>
  <c r="B566" i="1"/>
  <c r="G566" i="1"/>
  <c r="H566" i="1"/>
  <c r="K566" i="1"/>
  <c r="A567" i="1"/>
  <c r="C567" i="1"/>
  <c r="B567" i="1"/>
  <c r="G567" i="1"/>
  <c r="H567" i="1"/>
  <c r="K567" i="1"/>
  <c r="A568" i="1"/>
  <c r="C568" i="1"/>
  <c r="B568" i="1"/>
  <c r="G568" i="1"/>
  <c r="H568" i="1"/>
  <c r="K568" i="1"/>
  <c r="A569" i="1"/>
  <c r="C569" i="1"/>
  <c r="B569" i="1"/>
  <c r="G569" i="1"/>
  <c r="H569" i="1"/>
  <c r="K569" i="1"/>
  <c r="A570" i="1"/>
  <c r="C570" i="1"/>
  <c r="B570" i="1"/>
  <c r="G570" i="1"/>
  <c r="H570" i="1"/>
  <c r="K570" i="1"/>
  <c r="A571" i="1"/>
  <c r="C571" i="1"/>
  <c r="B571" i="1"/>
  <c r="G571" i="1"/>
  <c r="H571" i="1"/>
  <c r="K571" i="1"/>
  <c r="A572" i="1"/>
  <c r="C572" i="1"/>
  <c r="B572" i="1"/>
  <c r="G572" i="1"/>
  <c r="H572" i="1"/>
  <c r="K572" i="1"/>
  <c r="A573" i="1"/>
  <c r="C573" i="1"/>
  <c r="B573" i="1"/>
  <c r="G573" i="1"/>
  <c r="H573" i="1"/>
  <c r="K573" i="1"/>
  <c r="A574" i="1"/>
  <c r="C574" i="1"/>
  <c r="B574" i="1"/>
  <c r="G574" i="1"/>
  <c r="H574" i="1"/>
  <c r="K574" i="1"/>
  <c r="A575" i="1"/>
  <c r="C575" i="1"/>
  <c r="B575" i="1"/>
  <c r="G575" i="1"/>
  <c r="H575" i="1"/>
  <c r="K575" i="1"/>
  <c r="A576" i="1"/>
  <c r="C576" i="1"/>
  <c r="B576" i="1"/>
  <c r="G576" i="1"/>
  <c r="H576" i="1"/>
  <c r="K576" i="1"/>
  <c r="A577" i="1"/>
  <c r="C577" i="1"/>
  <c r="B577" i="1"/>
  <c r="G577" i="1"/>
  <c r="H577" i="1"/>
  <c r="K577" i="1"/>
  <c r="A578" i="1"/>
  <c r="C578" i="1"/>
  <c r="B578" i="1"/>
  <c r="G578" i="1"/>
  <c r="H578" i="1"/>
  <c r="K578" i="1"/>
  <c r="A579" i="1"/>
  <c r="C579" i="1"/>
  <c r="B579" i="1"/>
  <c r="G579" i="1"/>
  <c r="H579" i="1"/>
  <c r="K579" i="1"/>
  <c r="A580" i="1"/>
  <c r="C580" i="1"/>
  <c r="B580" i="1"/>
  <c r="G580" i="1"/>
  <c r="H580" i="1"/>
  <c r="K580" i="1"/>
  <c r="A581" i="1"/>
  <c r="C581" i="1"/>
  <c r="B581" i="1"/>
  <c r="G581" i="1"/>
  <c r="H581" i="1"/>
  <c r="K581" i="1"/>
  <c r="A582" i="1"/>
  <c r="C582" i="1"/>
  <c r="B582" i="1"/>
  <c r="G582" i="1"/>
  <c r="H582" i="1"/>
  <c r="K582" i="1"/>
  <c r="A583" i="1"/>
  <c r="C583" i="1"/>
  <c r="B583" i="1"/>
  <c r="G583" i="1"/>
  <c r="H583" i="1"/>
  <c r="K583" i="1"/>
  <c r="A584" i="1"/>
  <c r="C584" i="1"/>
  <c r="B584" i="1"/>
  <c r="G584" i="1"/>
  <c r="H584" i="1"/>
  <c r="K584" i="1"/>
  <c r="A585" i="1"/>
  <c r="C585" i="1"/>
  <c r="B585" i="1"/>
  <c r="G585" i="1"/>
  <c r="H585" i="1"/>
  <c r="K585" i="1"/>
  <c r="A586" i="1"/>
  <c r="C586" i="1"/>
  <c r="B586" i="1"/>
  <c r="G586" i="1"/>
  <c r="H586" i="1"/>
  <c r="K586" i="1"/>
  <c r="A587" i="1"/>
  <c r="C587" i="1"/>
  <c r="B587" i="1"/>
  <c r="G587" i="1"/>
  <c r="H587" i="1"/>
  <c r="K587" i="1"/>
  <c r="A588" i="1"/>
  <c r="C588" i="1"/>
  <c r="B588" i="1"/>
  <c r="G588" i="1"/>
  <c r="H588" i="1"/>
  <c r="K588" i="1"/>
  <c r="A589" i="1"/>
  <c r="C589" i="1"/>
  <c r="B589" i="1"/>
  <c r="G589" i="1"/>
  <c r="H589" i="1"/>
  <c r="K589" i="1"/>
  <c r="A590" i="1"/>
  <c r="C590" i="1"/>
  <c r="B590" i="1"/>
  <c r="G590" i="1"/>
  <c r="H590" i="1"/>
  <c r="K590" i="1"/>
  <c r="A591" i="1"/>
  <c r="C591" i="1"/>
  <c r="B591" i="1"/>
  <c r="G591" i="1"/>
  <c r="H591" i="1"/>
  <c r="K591" i="1"/>
  <c r="A592" i="1"/>
  <c r="C592" i="1"/>
  <c r="B592" i="1"/>
  <c r="G592" i="1"/>
  <c r="H592" i="1"/>
  <c r="K592" i="1"/>
  <c r="A593" i="1"/>
  <c r="C593" i="1"/>
  <c r="B593" i="1"/>
  <c r="G593" i="1"/>
  <c r="H593" i="1"/>
  <c r="K593" i="1"/>
  <c r="A594" i="1"/>
  <c r="C594" i="1"/>
  <c r="B594" i="1"/>
  <c r="G594" i="1"/>
  <c r="H594" i="1"/>
  <c r="K594" i="1"/>
  <c r="A595" i="1"/>
  <c r="C595" i="1"/>
  <c r="B595" i="1"/>
  <c r="G595" i="1"/>
  <c r="H595" i="1"/>
  <c r="K595" i="1"/>
  <c r="A596" i="1"/>
  <c r="C596" i="1"/>
  <c r="B596" i="1"/>
  <c r="G596" i="1"/>
  <c r="H596" i="1"/>
  <c r="K596" i="1"/>
  <c r="A597" i="1"/>
  <c r="C597" i="1"/>
  <c r="B597" i="1"/>
  <c r="G597" i="1"/>
  <c r="H597" i="1"/>
  <c r="K597" i="1"/>
  <c r="A598" i="1"/>
  <c r="C598" i="1"/>
  <c r="B598" i="1"/>
  <c r="G598" i="1"/>
  <c r="H598" i="1"/>
  <c r="K598" i="1"/>
  <c r="A599" i="1"/>
  <c r="C599" i="1"/>
  <c r="B599" i="1"/>
  <c r="G599" i="1"/>
  <c r="H599" i="1"/>
  <c r="K599" i="1"/>
  <c r="A600" i="1"/>
  <c r="C600" i="1"/>
  <c r="B600" i="1"/>
  <c r="G600" i="1"/>
  <c r="H600" i="1"/>
  <c r="K600" i="1"/>
  <c r="A601" i="1"/>
  <c r="C601" i="1"/>
  <c r="B601" i="1"/>
  <c r="G601" i="1"/>
  <c r="H601" i="1"/>
  <c r="K601" i="1"/>
  <c r="A602" i="1"/>
  <c r="C602" i="1"/>
  <c r="B602" i="1"/>
  <c r="G602" i="1"/>
  <c r="H602" i="1"/>
  <c r="K602" i="1"/>
  <c r="A603" i="1"/>
  <c r="C603" i="1"/>
  <c r="B603" i="1"/>
  <c r="G603" i="1"/>
  <c r="H603" i="1"/>
  <c r="K603" i="1"/>
  <c r="A604" i="1"/>
  <c r="C604" i="1"/>
  <c r="B604" i="1"/>
  <c r="G604" i="1"/>
  <c r="H604" i="1"/>
  <c r="K604" i="1"/>
  <c r="A605" i="1"/>
  <c r="C605" i="1"/>
  <c r="B605" i="1"/>
  <c r="G605" i="1"/>
  <c r="H605" i="1"/>
  <c r="K605" i="1"/>
  <c r="A606" i="1"/>
  <c r="C606" i="1"/>
  <c r="B606" i="1"/>
  <c r="G606" i="1"/>
  <c r="H606" i="1"/>
  <c r="K606" i="1"/>
  <c r="A607" i="1"/>
  <c r="C607" i="1"/>
  <c r="B607" i="1"/>
  <c r="G607" i="1"/>
  <c r="H607" i="1"/>
  <c r="K607" i="1"/>
  <c r="A608" i="1"/>
  <c r="C608" i="1"/>
  <c r="B608" i="1"/>
  <c r="G608" i="1"/>
  <c r="H608" i="1"/>
  <c r="K608" i="1"/>
  <c r="A609" i="1"/>
  <c r="C609" i="1"/>
  <c r="B609" i="1"/>
  <c r="G609" i="1"/>
  <c r="H609" i="1"/>
  <c r="K609" i="1"/>
  <c r="A610" i="1"/>
  <c r="C610" i="1"/>
  <c r="B610" i="1"/>
  <c r="G610" i="1"/>
  <c r="H610" i="1"/>
  <c r="K610" i="1"/>
  <c r="A611" i="1"/>
  <c r="C611" i="1"/>
  <c r="B611" i="1"/>
  <c r="G611" i="1"/>
  <c r="H611" i="1"/>
  <c r="K611" i="1"/>
  <c r="A612" i="1"/>
  <c r="C612" i="1"/>
  <c r="B612" i="1"/>
  <c r="G612" i="1"/>
  <c r="H612" i="1"/>
  <c r="K612" i="1"/>
  <c r="A613" i="1"/>
  <c r="C613" i="1"/>
  <c r="B613" i="1"/>
  <c r="G613" i="1"/>
  <c r="H613" i="1"/>
  <c r="K613" i="1"/>
  <c r="A614" i="1"/>
  <c r="C614" i="1"/>
  <c r="B614" i="1"/>
  <c r="G614" i="1"/>
  <c r="H614" i="1"/>
  <c r="K614" i="1"/>
  <c r="A615" i="1"/>
  <c r="C615" i="1"/>
  <c r="B615" i="1"/>
  <c r="G615" i="1"/>
  <c r="H615" i="1"/>
  <c r="K615" i="1"/>
  <c r="A616" i="1"/>
  <c r="C616" i="1"/>
  <c r="B616" i="1"/>
  <c r="G616" i="1"/>
  <c r="H616" i="1"/>
  <c r="K616" i="1"/>
  <c r="A617" i="1"/>
  <c r="C617" i="1"/>
  <c r="B617" i="1"/>
  <c r="G617" i="1"/>
  <c r="H617" i="1"/>
  <c r="K617" i="1"/>
  <c r="A618" i="1"/>
  <c r="C618" i="1"/>
  <c r="B618" i="1"/>
  <c r="G618" i="1"/>
  <c r="H618" i="1"/>
  <c r="K618" i="1"/>
  <c r="A619" i="1"/>
  <c r="C619" i="1"/>
  <c r="B619" i="1"/>
  <c r="G619" i="1"/>
  <c r="H619" i="1"/>
  <c r="K619" i="1"/>
  <c r="A620" i="1"/>
  <c r="C620" i="1"/>
  <c r="B620" i="1"/>
  <c r="G620" i="1"/>
  <c r="H620" i="1"/>
  <c r="K620" i="1"/>
  <c r="A621" i="1"/>
  <c r="C621" i="1"/>
  <c r="B621" i="1"/>
  <c r="G621" i="1"/>
  <c r="H621" i="1"/>
  <c r="K621" i="1"/>
  <c r="A622" i="1"/>
  <c r="C622" i="1"/>
  <c r="B622" i="1"/>
  <c r="G622" i="1"/>
  <c r="H622" i="1"/>
  <c r="K622" i="1"/>
  <c r="A623" i="1"/>
  <c r="C623" i="1"/>
  <c r="B623" i="1"/>
  <c r="G623" i="1"/>
  <c r="H623" i="1"/>
  <c r="K623" i="1"/>
  <c r="A624" i="1"/>
  <c r="C624" i="1"/>
  <c r="B624" i="1"/>
  <c r="G624" i="1"/>
  <c r="H624" i="1"/>
  <c r="K624" i="1"/>
  <c r="A625" i="1"/>
  <c r="C625" i="1"/>
  <c r="B625" i="1"/>
  <c r="G625" i="1"/>
  <c r="H625" i="1"/>
  <c r="K625" i="1"/>
  <c r="A626" i="1"/>
  <c r="C626" i="1"/>
  <c r="B626" i="1"/>
  <c r="G626" i="1"/>
  <c r="H626" i="1"/>
  <c r="K626" i="1"/>
  <c r="A627" i="1"/>
  <c r="C627" i="1"/>
  <c r="B627" i="1"/>
  <c r="G627" i="1"/>
  <c r="H627" i="1"/>
  <c r="K627" i="1"/>
  <c r="A628" i="1"/>
  <c r="C628" i="1"/>
  <c r="B628" i="1"/>
  <c r="G628" i="1"/>
  <c r="H628" i="1"/>
  <c r="K628" i="1"/>
  <c r="A629" i="1"/>
  <c r="C629" i="1"/>
  <c r="B629" i="1"/>
  <c r="G629" i="1"/>
  <c r="H629" i="1"/>
  <c r="K629" i="1"/>
  <c r="A630" i="1"/>
  <c r="C630" i="1"/>
  <c r="B630" i="1"/>
  <c r="G630" i="1"/>
  <c r="H630" i="1"/>
  <c r="K630" i="1"/>
  <c r="A631" i="1"/>
  <c r="C631" i="1"/>
  <c r="B631" i="1"/>
  <c r="G631" i="1"/>
  <c r="H631" i="1"/>
  <c r="K631" i="1"/>
  <c r="A632" i="1"/>
  <c r="C632" i="1"/>
  <c r="B632" i="1"/>
  <c r="G632" i="1"/>
  <c r="H632" i="1"/>
  <c r="K632" i="1"/>
  <c r="A633" i="1"/>
  <c r="C633" i="1"/>
  <c r="B633" i="1"/>
  <c r="G633" i="1"/>
  <c r="H633" i="1"/>
  <c r="K633" i="1"/>
  <c r="A634" i="1"/>
  <c r="C634" i="1"/>
  <c r="B634" i="1"/>
  <c r="G634" i="1"/>
  <c r="H634" i="1"/>
  <c r="K634" i="1"/>
  <c r="A635" i="1"/>
  <c r="C635" i="1"/>
  <c r="B635" i="1"/>
  <c r="G635" i="1"/>
  <c r="H635" i="1"/>
  <c r="K635" i="1"/>
  <c r="A636" i="1"/>
  <c r="C636" i="1"/>
  <c r="B636" i="1"/>
  <c r="G636" i="1"/>
  <c r="H636" i="1"/>
  <c r="K636" i="1"/>
  <c r="A637" i="1"/>
  <c r="C637" i="1"/>
  <c r="B637" i="1"/>
  <c r="G637" i="1"/>
  <c r="H637" i="1"/>
  <c r="K637" i="1"/>
  <c r="A638" i="1"/>
  <c r="C638" i="1"/>
  <c r="B638" i="1"/>
  <c r="G638" i="1"/>
  <c r="H638" i="1"/>
  <c r="K638" i="1"/>
  <c r="A639" i="1"/>
  <c r="C639" i="1"/>
  <c r="B639" i="1"/>
  <c r="G639" i="1"/>
  <c r="H639" i="1"/>
  <c r="K639" i="1"/>
  <c r="A640" i="1"/>
  <c r="C640" i="1"/>
  <c r="B640" i="1"/>
  <c r="G640" i="1"/>
  <c r="H640" i="1"/>
  <c r="K640" i="1"/>
  <c r="A641" i="1"/>
  <c r="C641" i="1"/>
  <c r="B641" i="1"/>
  <c r="G641" i="1"/>
  <c r="H641" i="1"/>
  <c r="K641" i="1"/>
  <c r="A642" i="1"/>
  <c r="C642" i="1"/>
  <c r="B642" i="1"/>
  <c r="G642" i="1"/>
  <c r="H642" i="1"/>
  <c r="K642" i="1"/>
  <c r="A643" i="1"/>
  <c r="C643" i="1"/>
  <c r="B643" i="1"/>
  <c r="G643" i="1"/>
  <c r="H643" i="1"/>
  <c r="K643" i="1"/>
  <c r="A644" i="1"/>
  <c r="C644" i="1"/>
  <c r="B644" i="1"/>
  <c r="G644" i="1"/>
  <c r="H644" i="1"/>
  <c r="K644" i="1"/>
  <c r="A645" i="1"/>
  <c r="C645" i="1"/>
  <c r="B645" i="1"/>
  <c r="G645" i="1"/>
  <c r="H645" i="1"/>
  <c r="K645" i="1"/>
  <c r="A646" i="1"/>
  <c r="C646" i="1"/>
  <c r="B646" i="1"/>
  <c r="G646" i="1"/>
  <c r="H646" i="1"/>
  <c r="K646" i="1"/>
  <c r="A647" i="1"/>
  <c r="C647" i="1"/>
  <c r="B647" i="1"/>
  <c r="G647" i="1"/>
  <c r="H647" i="1"/>
  <c r="K647" i="1"/>
  <c r="A648" i="1"/>
  <c r="C648" i="1"/>
  <c r="B648" i="1"/>
  <c r="G648" i="1"/>
  <c r="H648" i="1"/>
  <c r="K648" i="1"/>
  <c r="A649" i="1"/>
  <c r="C649" i="1"/>
  <c r="B649" i="1"/>
  <c r="G649" i="1"/>
  <c r="H649" i="1"/>
  <c r="K649" i="1"/>
  <c r="A650" i="1"/>
  <c r="C650" i="1"/>
  <c r="B650" i="1"/>
  <c r="G650" i="1"/>
  <c r="H650" i="1"/>
  <c r="K650" i="1"/>
  <c r="A651" i="1"/>
  <c r="C651" i="1"/>
  <c r="B651" i="1"/>
  <c r="G651" i="1"/>
  <c r="H651" i="1"/>
  <c r="K651" i="1"/>
  <c r="A652" i="1"/>
  <c r="C652" i="1"/>
  <c r="B652" i="1"/>
  <c r="G652" i="1"/>
  <c r="H652" i="1"/>
  <c r="K652" i="1"/>
  <c r="A653" i="1"/>
  <c r="C653" i="1"/>
  <c r="B653" i="1"/>
  <c r="G653" i="1"/>
  <c r="H653" i="1"/>
  <c r="K653" i="1"/>
  <c r="A654" i="1"/>
  <c r="C654" i="1"/>
  <c r="B654" i="1"/>
  <c r="G654" i="1"/>
  <c r="H654" i="1"/>
  <c r="K654" i="1"/>
  <c r="A655" i="1"/>
  <c r="C655" i="1"/>
  <c r="B655" i="1"/>
  <c r="G655" i="1"/>
  <c r="H655" i="1"/>
  <c r="K655" i="1"/>
  <c r="A656" i="1"/>
  <c r="C656" i="1"/>
  <c r="B656" i="1"/>
  <c r="G656" i="1"/>
  <c r="H656" i="1"/>
  <c r="K656" i="1"/>
  <c r="A657" i="1"/>
  <c r="C657" i="1"/>
  <c r="B657" i="1"/>
  <c r="G657" i="1"/>
  <c r="H657" i="1"/>
  <c r="K657" i="1"/>
  <c r="A658" i="1"/>
  <c r="C658" i="1"/>
  <c r="B658" i="1"/>
  <c r="G658" i="1"/>
  <c r="H658" i="1"/>
  <c r="K658" i="1"/>
  <c r="A659" i="1"/>
  <c r="C659" i="1"/>
  <c r="B659" i="1"/>
  <c r="G659" i="1"/>
  <c r="H659" i="1"/>
  <c r="K659" i="1"/>
</calcChain>
</file>

<file path=xl/sharedStrings.xml><?xml version="1.0" encoding="utf-8"?>
<sst xmlns="http://schemas.openxmlformats.org/spreadsheetml/2006/main" count="10" uniqueCount="9">
  <si>
    <t>="2/25890/11096/309/54829/151887/1000/1191/1305/7373/1307/1308/1278/1280/1288/1290/50509/1291/1292/1298/1359/6387/1634/1805/667/10085/2202/25975/133584/1991/2192/2199/10516/2200/2263/2662/9518/10082/1404/83872/80760/3908/3912/8425/4060/4147/4239/4583/4684/4693/4811/22795/4969/5118/5359/5553/5919/6275/6277/157869/51435/5104/5270/6423/64093/6678/10418/8406/7043/7060/7078/1462/5212/7472/7482"</t>
  </si>
  <si>
    <t>="2/25890/8038/11096/84168/151887/1305/7373/1307/1308/1278/1280/1288/1290/50509/1291/1292/1298/1634/4921/1803/1805/25975/133584/1991/2192/2199/10516/2200/2247/2264/2294/2295/2824/1404/3249/3672/3676/8516/3680/83700/3817/9622/3908/3912/4060/4239/4323/4325/4629/79625/4811/22795/5768/222663/6423/285590/6678/7093/1462/5212/7490"</t>
  </si>
  <si>
    <t>="70/8038/148/57538/287/627/652/663/858/1000/1073/22943/1910/30846/2263/80206/2318/2323/2294/8324/2627/9518/9734/23462/3479/8516/11155/25802/4323/4629/4624/93649/341676/4842/3084/10611/5239/84814/64208/348093/9750/92304/6443/6444/6546/23345/6899/6909/6910/7490"</t>
  </si>
  <si>
    <t>="70/148/57538/652/653/857/858/1073/1634/22943/2047/2065/2247/2260/2263/80206/2317/8324/140628/2627/9734/3236/3479/8516/7881/4629/4624/4638/93649/3084/10611/5239/5307/5350/64208/10891/5950/9750/6262/6443/6444/6445/6546/6899/6909/6910/6943/7049/7093/7472/7490"</t>
  </si>
  <si>
    <t>="100/306/658/773/4345/22866/57699/1410/1501/1524/1600/2045/9638/2288/2317/51083/2823/9455/3249/3672/3676/8516/6453/7881/3745/3747/3750/10008/3781/3783/57565/4130/4131/4642/4885/4914/5137/5179/10891/55607/5577/64284/5881/146713/6276/6456/6623/11075/9900/6863/7043/55273/54795/90249/8633"</t>
  </si>
  <si>
    <t>="70/100/148/287/309/477/857/1131/1410/1824/1837/1908/1910/5348/140628/2627/2628/2775/126393/3479/3672/10008/23630/3760/3764/3778/3781/25802/1241/4629/4624/4638/93649/23327/4842/8013/8654/10611/5350/10891/5578/5592/6262/6332/6442/6444/6546/7871/6769/6865/7169/54795/7414"</t>
  </si>
  <si>
    <t>="79026/287/196527/306/477/773/857/57214/54102/57628/1804/1908/2259/2273/5348/53826/51083/2669/2892/7881/3745/3747/3750/10008/23630/30818/3772/3760/3764/3778/3779/3781/3785/56479/57554/23327/4842/5350/10891/5923/9104/8787/6236/6262/6332/6546/7871/6769/140738/7220/27075"</t>
  </si>
  <si>
    <t>Go term</t>
  </si>
  <si>
    <r>
      <rPr>
        <b/>
        <sz val="11"/>
        <color theme="1"/>
        <rFont val="Calibri"/>
        <family val="3"/>
        <charset val="134"/>
        <scheme val="minor"/>
      </rPr>
      <t xml:space="preserve">Supplementary Table S4. </t>
    </r>
    <r>
      <rPr>
        <i/>
        <sz val="11"/>
        <color theme="1"/>
        <rFont val="Calibri"/>
        <family val="2"/>
        <scheme val="minor"/>
      </rPr>
      <t>Detailed information of GO enrichment results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</si>
</sst>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1" fontId="0" fillId="0" borderId="0" xfId="0" applyNumberFormat="1" applyFont="1" applyAlignment="1">
      <alignment horizontal="left"/>
    </xf>
    <xf numFmtId="0" fontId="0" fillId="0" borderId="0" xfId="0" applyFont="1"/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9"/>
  <sheetViews>
    <sheetView tabSelected="1" workbookViewId="0">
      <selection activeCell="C19" sqref="C19"/>
    </sheetView>
  </sheetViews>
  <sheetFormatPr defaultRowHeight="15"/>
  <cols>
    <col min="1" max="1" width="14.7109375" customWidth="1"/>
    <col min="2" max="2" width="38.85546875" customWidth="1"/>
    <col min="3" max="3" width="13.5703125" style="6" customWidth="1"/>
    <col min="4" max="4" width="8.85546875" style="6"/>
    <col min="5" max="5" width="10.5703125" customWidth="1"/>
    <col min="6" max="6" width="10" customWidth="1"/>
    <col min="7" max="7" width="12.140625" customWidth="1"/>
    <col min="8" max="8" width="12.42578125" customWidth="1"/>
    <col min="11" max="11" width="11.7109375" customWidth="1"/>
  </cols>
  <sheetData>
    <row r="1" spans="1:11">
      <c r="A1" s="11" t="s">
        <v>8</v>
      </c>
      <c r="B1" s="12"/>
      <c r="C1" s="12"/>
      <c r="D1" s="12"/>
      <c r="E1" s="12"/>
      <c r="F1" s="12"/>
      <c r="G1" s="12"/>
      <c r="H1" s="12"/>
    </row>
    <row r="2" spans="1:11" s="1" customFormat="1">
      <c r="A2" s="2" t="s">
        <v>7</v>
      </c>
      <c r="B2" s="2" t="str">
        <f>"Description"</f>
        <v>Description</v>
      </c>
      <c r="C2" s="5" t="str">
        <f>"ONTOLOGY"</f>
        <v>ONTOLOGY</v>
      </c>
      <c r="D2" s="5" t="str">
        <f>"Count"</f>
        <v>Count</v>
      </c>
      <c r="E2" s="2" t="str">
        <f>"richFactor"</f>
        <v>richFactor</v>
      </c>
      <c r="F2" s="2" t="str">
        <f>"p.adjust"</f>
        <v>p.adjust</v>
      </c>
      <c r="G2" s="2" t="str">
        <f>"GeneRatio"</f>
        <v>GeneRatio</v>
      </c>
      <c r="H2" s="2" t="str">
        <f>"BgRatio"</f>
        <v>BgRatio</v>
      </c>
      <c r="I2" s="2" t="str">
        <f>"pvalue"</f>
        <v>pvalue</v>
      </c>
      <c r="J2" s="2" t="str">
        <f>"qvalue"</f>
        <v>qvalue</v>
      </c>
      <c r="K2" s="2" t="str">
        <f>"geneID"</f>
        <v>geneID</v>
      </c>
    </row>
    <row r="3" spans="1:11" s="10" customFormat="1">
      <c r="A3" s="7" t="str">
        <f>"GO:0062023"</f>
        <v>GO:0062023</v>
      </c>
      <c r="B3" s="7" t="str">
        <f>"collagen-containing extracellular matrix"</f>
        <v>collagen-containing extracellular matrix</v>
      </c>
      <c r="C3" s="8" t="str">
        <f>"CC"</f>
        <v>CC</v>
      </c>
      <c r="D3" s="8">
        <v>75</v>
      </c>
      <c r="E3" s="7">
        <v>0.184729064039409</v>
      </c>
      <c r="F3" s="9">
        <v>8.5589170276167105E-24</v>
      </c>
      <c r="G3" s="7" t="str">
        <f>"75/873"</f>
        <v>75/873</v>
      </c>
      <c r="H3" s="7" t="str">
        <f>"406/19717"</f>
        <v>406/19717</v>
      </c>
      <c r="I3" s="9">
        <v>1.79809181252452E-26</v>
      </c>
      <c r="J3" s="9">
        <v>6.7191851941705801E-24</v>
      </c>
      <c r="K3" s="7" t="s">
        <v>0</v>
      </c>
    </row>
    <row r="4" spans="1:11" s="10" customFormat="1">
      <c r="A4" s="7" t="str">
        <f>"GO:0030198"</f>
        <v>GO:0030198</v>
      </c>
      <c r="B4" s="7" t="str">
        <f>"extracellular matrix organization"</f>
        <v>extracellular matrix organization</v>
      </c>
      <c r="C4" s="8" t="str">
        <f>"BP"</f>
        <v>BP</v>
      </c>
      <c r="D4" s="8">
        <v>62</v>
      </c>
      <c r="E4" s="7">
        <v>0.16847826086956499</v>
      </c>
      <c r="F4" s="9">
        <v>3.0342227708314198E-16</v>
      </c>
      <c r="G4" s="7" t="str">
        <f>"62/836"</f>
        <v>62/836</v>
      </c>
      <c r="H4" s="7" t="str">
        <f>"368/18670"</f>
        <v>368/18670</v>
      </c>
      <c r="I4" s="9">
        <v>1.07162465154504E-19</v>
      </c>
      <c r="J4" s="9">
        <v>2.4453135485653199E-16</v>
      </c>
      <c r="K4" s="7" t="s">
        <v>1</v>
      </c>
    </row>
    <row r="5" spans="1:11" s="10" customFormat="1">
      <c r="A5" s="7" t="str">
        <f>"GO:0043062"</f>
        <v>GO:0043062</v>
      </c>
      <c r="B5" s="7" t="str">
        <f>"extracellular structure organization"</f>
        <v>extracellular structure organization</v>
      </c>
      <c r="C5" s="8" t="str">
        <f>"BP"</f>
        <v>BP</v>
      </c>
      <c r="D5" s="8">
        <v>62</v>
      </c>
      <c r="E5" s="7">
        <v>0.168021680216802</v>
      </c>
      <c r="F5" s="9">
        <v>3.0342227708314198E-16</v>
      </c>
      <c r="G5" s="7" t="str">
        <f>"62/836"</f>
        <v>62/836</v>
      </c>
      <c r="H5" s="7" t="str">
        <f>"369/18670"</f>
        <v>369/18670</v>
      </c>
      <c r="I5" s="9">
        <v>1.2346786453027099E-19</v>
      </c>
      <c r="J5" s="9">
        <v>2.4453135485653199E-16</v>
      </c>
      <c r="K5" s="7" t="s">
        <v>1</v>
      </c>
    </row>
    <row r="6" spans="1:11" s="10" customFormat="1">
      <c r="A6" s="7" t="str">
        <f>"GO:0005201"</f>
        <v>GO:0005201</v>
      </c>
      <c r="B6" s="7" t="str">
        <f>"extracellular matrix structural constituent"</f>
        <v>extracellular matrix structural constituent</v>
      </c>
      <c r="C6" s="8" t="str">
        <f>"MF"</f>
        <v>MF</v>
      </c>
      <c r="D6" s="8">
        <v>40</v>
      </c>
      <c r="E6" s="7">
        <v>0.245398773006135</v>
      </c>
      <c r="F6" s="9">
        <v>9.2840627591008409E-16</v>
      </c>
      <c r="G6" s="7" t="str">
        <f>"40/813"</f>
        <v>40/813</v>
      </c>
      <c r="H6" s="7" t="str">
        <f>"163/17696"</f>
        <v>163/17696</v>
      </c>
      <c r="I6" s="9">
        <v>1.1335851964714101E-18</v>
      </c>
      <c r="J6" s="9">
        <v>8.2692056963651196E-16</v>
      </c>
      <c r="K6" s="7" t="str">
        <f>"25890/54829/1305/7373/1307/1308/1278/1280/1288/1290/50509/1291/1292/1298/1634/1805/10085/2202/2192/2199/10516/2200/1404/83872/3908/3912/8425/4060/4147/4239/4811/22795/4969/5118/5553/157869/6678/10418/8406/1462"</f>
        <v>25890/54829/1305/7373/1307/1308/1278/1280/1288/1290/50509/1291/1292/1298/1634/1805/10085/2202/2192/2199/10516/2200/1404/83872/3908/3912/8425/4060/4147/4239/4811/22795/4969/5118/5553/157869/6678/10418/8406/1462</v>
      </c>
    </row>
    <row r="7" spans="1:11" s="10" customFormat="1">
      <c r="A7" s="7" t="str">
        <f>"GO:0042383"</f>
        <v>GO:0042383</v>
      </c>
      <c r="B7" s="7" t="str">
        <f>"sarcolemma"</f>
        <v>sarcolemma</v>
      </c>
      <c r="C7" s="8" t="str">
        <f>"CC"</f>
        <v>CC</v>
      </c>
      <c r="D7" s="8">
        <v>30</v>
      </c>
      <c r="E7" s="7">
        <v>0.220588235294118</v>
      </c>
      <c r="F7" s="9">
        <v>4.8379949432480903E-11</v>
      </c>
      <c r="G7" s="7" t="str">
        <f>"30/873"</f>
        <v>30/873</v>
      </c>
      <c r="H7" s="7" t="str">
        <f>"136/19717"</f>
        <v>136/19717</v>
      </c>
      <c r="I7" s="9">
        <v>2.0327709845580201E-13</v>
      </c>
      <c r="J7" s="9">
        <v>3.7980721027268297E-11</v>
      </c>
      <c r="K7" s="7" t="str">
        <f>"148/79026/113146/287/477/857/858/1000/1291/1292/1837/2318/5348/3745/3760/3908/4842/5239/64208/6262/6442/6443/6444/6445/6546/7871/6769/81493/7043/7414"</f>
        <v>148/79026/113146/287/477/857/858/1000/1291/1292/1837/2318/5348/3745/3760/3908/4842/5239/64208/6262/6442/6443/6444/6445/6546/7871/6769/81493/7043/7414</v>
      </c>
    </row>
    <row r="8" spans="1:11" s="10" customFormat="1">
      <c r="A8" s="7" t="str">
        <f>"GO:0005539"</f>
        <v>GO:0005539</v>
      </c>
      <c r="B8" s="7" t="str">
        <f>"glycosaminoglycan binding"</f>
        <v>glycosaminoglycan binding</v>
      </c>
      <c r="C8" s="8" t="str">
        <f>"MF"</f>
        <v>MF</v>
      </c>
      <c r="D8" s="8">
        <v>39</v>
      </c>
      <c r="E8" s="7">
        <v>0.17030567685589501</v>
      </c>
      <c r="F8" s="9">
        <v>4.73173600946025E-10</v>
      </c>
      <c r="G8" s="7" t="str">
        <f>"39/813"</f>
        <v>39/813</v>
      </c>
      <c r="H8" s="7" t="str">
        <f>"229/17696"</f>
        <v>229/17696</v>
      </c>
      <c r="I8" s="9">
        <v>1.1554910890012801E-12</v>
      </c>
      <c r="J8" s="9">
        <v>4.2145017088309901E-10</v>
      </c>
      <c r="K8" s="7" t="str">
        <f>"25890/11096/309/652/151887/1056/57214/3075/1305/50509/10563/1634/133584/1991/2200/2247/2252/2260/2263/2264/64388/1404/404037/59352/8425/79625/4753/8828/5118/5228/5553/5104/5270/6586/50859/7049/7060/1462/5212"</f>
        <v>25890/11096/309/652/151887/1056/57214/3075/1305/50509/10563/1634/133584/1991/2200/2247/2252/2260/2263/2264/64388/1404/404037/59352/8425/79625/4753/8828/5118/5228/5553/5104/5270/6586/50859/7049/7060/1462/5212</v>
      </c>
    </row>
    <row r="9" spans="1:11" s="10" customFormat="1">
      <c r="A9" s="7" t="str">
        <f>"GO:0060485"</f>
        <v>GO:0060485</v>
      </c>
      <c r="B9" s="7" t="str">
        <f>"mesenchyme development"</f>
        <v>mesenchyme development</v>
      </c>
      <c r="C9" s="8" t="str">
        <f t="shared" ref="C9:C14" si="0">"BP"</f>
        <v>BP</v>
      </c>
      <c r="D9" s="8">
        <v>43</v>
      </c>
      <c r="E9" s="7">
        <v>0.154121863799283</v>
      </c>
      <c r="F9" s="9">
        <v>1.9126560192400699E-9</v>
      </c>
      <c r="G9" s="7" t="str">
        <f>"43/836"</f>
        <v>43/836</v>
      </c>
      <c r="H9" s="7" t="str">
        <f>"279/18670"</f>
        <v>279/18670</v>
      </c>
      <c r="I9" s="9">
        <v>1.1674400931272E-12</v>
      </c>
      <c r="J9" s="9">
        <v>1.54143055103076E-9</v>
      </c>
      <c r="K9" s="7" t="str">
        <f>"70/309/8313/652/653/1908/1910/80237/2042/2065/81610/2260/2263/3169/2294/2295/2487/140628/23462/8091/3249/4254/3084/8828/5308/6092/6275/10371/9723/80031/6423/6591/6899/6909/6910/6943/7043/7049/55273/7481/7472/7490/9839"</f>
        <v>70/309/8313/652/653/1908/1910/80237/2042/2065/81610/2260/2263/3169/2294/2295/2487/140628/23462/8091/3249/4254/3084/8828/5308/6092/6275/10371/9723/80031/6423/6591/6899/6909/6910/6943/7043/7049/55273/7481/7472/7490/9839</v>
      </c>
    </row>
    <row r="10" spans="1:11" s="10" customFormat="1">
      <c r="A10" s="7" t="str">
        <f>"GO:0048762"</f>
        <v>GO:0048762</v>
      </c>
      <c r="B10" s="7" t="str">
        <f>"mesenchymal cell differentiation"</f>
        <v>mesenchymal cell differentiation</v>
      </c>
      <c r="C10" s="8" t="str">
        <f t="shared" si="0"/>
        <v>BP</v>
      </c>
      <c r="D10" s="8">
        <v>37</v>
      </c>
      <c r="E10" s="7">
        <v>0.16818181818181799</v>
      </c>
      <c r="F10" s="9">
        <v>3.8449520345471299E-9</v>
      </c>
      <c r="G10" s="7" t="str">
        <f>"37/836"</f>
        <v>37/836</v>
      </c>
      <c r="H10" s="7" t="str">
        <f>"220/18670"</f>
        <v>220/18670</v>
      </c>
      <c r="I10" s="9">
        <v>3.12915730176775E-12</v>
      </c>
      <c r="J10" s="9">
        <v>3.0986891911979098E-9</v>
      </c>
      <c r="K10" s="7" t="str">
        <f>"309/8313/652/653/1908/1910/80237/2042/81610/2260/2263/3169/2295/2487/140628/23462/8091/3249/4254/3084/8828/5308/6275/10371/9723/80031/6423/6591/6899/6910/6943/7043/7049/55273/7481/7472/9839"</f>
        <v>309/8313/652/653/1908/1910/80237/2042/81610/2260/2263/3169/2295/2487/140628/23462/8091/3249/4254/3084/8828/5308/6275/10371/9723/80031/6423/6591/6899/6910/6943/7043/7049/55273/7481/7472/9839</v>
      </c>
    </row>
    <row r="11" spans="1:11" s="10" customFormat="1">
      <c r="A11" s="7" t="str">
        <f>"GO:0048565"</f>
        <v>GO:0048565</v>
      </c>
      <c r="B11" s="7" t="str">
        <f>"digestive tract development"</f>
        <v>digestive tract development</v>
      </c>
      <c r="C11" s="8" t="str">
        <f t="shared" si="0"/>
        <v>BP</v>
      </c>
      <c r="D11" s="8">
        <v>28</v>
      </c>
      <c r="E11" s="7">
        <v>0.20895522388059701</v>
      </c>
      <c r="F11" s="9">
        <v>6.6261846627708102E-9</v>
      </c>
      <c r="G11" s="7" t="str">
        <f>"28/836"</f>
        <v>28/836</v>
      </c>
      <c r="H11" s="7" t="str">
        <f>"134/18670"</f>
        <v>134/18670</v>
      </c>
      <c r="I11" s="9">
        <v>6.7407778868472102E-12</v>
      </c>
      <c r="J11" s="9">
        <v>5.3401151975170599E-9</v>
      </c>
      <c r="K11" s="7" t="str">
        <f>"100/10551/652/79827/1600/1910/79633/2263/2304/2294/2295/2300/140628/2627/3239/93649/159296/4852/56034/5753/5919/348093/6423/25803/6909/6943/7043/7481"</f>
        <v>100/10551/652/79827/1600/1910/79633/2263/2304/2294/2295/2300/140628/2627/3239/93649/159296/4852/56034/5753/5919/348093/6423/25803/6909/6943/7043/7481</v>
      </c>
    </row>
    <row r="12" spans="1:11" s="10" customFormat="1">
      <c r="A12" s="7" t="str">
        <f>"GO:0042692"</f>
        <v>GO:0042692</v>
      </c>
      <c r="B12" s="7" t="str">
        <f>"muscle cell differentiation"</f>
        <v>muscle cell differentiation</v>
      </c>
      <c r="C12" s="8" t="str">
        <f t="shared" si="0"/>
        <v>BP</v>
      </c>
      <c r="D12" s="8">
        <v>50</v>
      </c>
      <c r="E12" s="7">
        <v>0.12987012987013</v>
      </c>
      <c r="F12" s="9">
        <v>1.0173536889320099E-8</v>
      </c>
      <c r="G12" s="7" t="str">
        <f>"50/836"</f>
        <v>50/836</v>
      </c>
      <c r="H12" s="7" t="str">
        <f>"385/18670"</f>
        <v>385/18670</v>
      </c>
      <c r="I12" s="9">
        <v>1.2419373618702001E-11</v>
      </c>
      <c r="J12" s="9">
        <v>8.1989654258203006E-9</v>
      </c>
      <c r="K12" s="7" t="s">
        <v>2</v>
      </c>
    </row>
    <row r="13" spans="1:11" s="10" customFormat="1">
      <c r="A13" s="7" t="str">
        <f>"GO:0060537"</f>
        <v>GO:0060537</v>
      </c>
      <c r="B13" s="7" t="str">
        <f>"muscle tissue development"</f>
        <v>muscle tissue development</v>
      </c>
      <c r="C13" s="8" t="str">
        <f t="shared" si="0"/>
        <v>BP</v>
      </c>
      <c r="D13" s="8">
        <v>51</v>
      </c>
      <c r="E13" s="7">
        <v>0.125</v>
      </c>
      <c r="F13" s="9">
        <v>2.2583107979678799E-8</v>
      </c>
      <c r="G13" s="7" t="str">
        <f>"51/836"</f>
        <v>51/836</v>
      </c>
      <c r="H13" s="7" t="str">
        <f>"408/18670"</f>
        <v>408/18670</v>
      </c>
      <c r="I13" s="9">
        <v>3.2163124284384897E-11</v>
      </c>
      <c r="J13" s="9">
        <v>1.8199975440923301E-8</v>
      </c>
      <c r="K13" s="7" t="s">
        <v>3</v>
      </c>
    </row>
    <row r="14" spans="1:11">
      <c r="A14" s="3" t="str">
        <f>"GO:0055123"</f>
        <v>GO:0055123</v>
      </c>
      <c r="B14" s="3" t="str">
        <f>"digestive system development"</f>
        <v>digestive system development</v>
      </c>
      <c r="C14" s="6" t="str">
        <f t="shared" si="0"/>
        <v>BP</v>
      </c>
      <c r="D14" s="6">
        <v>28</v>
      </c>
      <c r="E14" s="3">
        <v>0.19178082191780799</v>
      </c>
      <c r="F14" s="4">
        <v>3.5791253081093198E-8</v>
      </c>
      <c r="G14" s="3" t="str">
        <f>"28/836"</f>
        <v>28/836</v>
      </c>
      <c r="H14" s="3" t="str">
        <f>"146/18670"</f>
        <v>146/18670</v>
      </c>
      <c r="I14" s="4">
        <v>5.8256363102491505E-11</v>
      </c>
      <c r="J14" s="4">
        <v>2.8844565046667801E-8</v>
      </c>
      <c r="K14" s="3" t="str">
        <f>"100/10551/652/79827/1600/1910/79633/2263/2304/2294/2295/2300/140628/2627/3239/93649/159296/4852/56034/5753/5919/348093/6423/25803/6909/6943/7043/7481"</f>
        <v>100/10551/652/79827/1600/1910/79633/2263/2304/2294/2295/2300/140628/2627/3239/93649/159296/4852/56034/5753/5919/348093/6423/25803/6909/6943/7043/7481</v>
      </c>
    </row>
    <row r="15" spans="1:11">
      <c r="A15" s="3" t="str">
        <f>"GO:0043025"</f>
        <v>GO:0043025</v>
      </c>
      <c r="B15" s="3" t="str">
        <f>"neuronal cell body"</f>
        <v>neuronal cell body</v>
      </c>
      <c r="C15" s="6" t="str">
        <f>"CC"</f>
        <v>CC</v>
      </c>
      <c r="D15" s="6">
        <v>55</v>
      </c>
      <c r="E15" s="3">
        <v>0.110663983903421</v>
      </c>
      <c r="F15" s="4">
        <v>6.3021077598958405E-8</v>
      </c>
      <c r="G15" s="3" t="str">
        <f>"55/873"</f>
        <v>55/873</v>
      </c>
      <c r="H15" s="3" t="str">
        <f>"497/19717"</f>
        <v>497/19717</v>
      </c>
      <c r="I15" s="4">
        <v>3.9719166553965302E-10</v>
      </c>
      <c r="J15" s="4">
        <v>4.9474751321605997E-8</v>
      </c>
      <c r="K15" s="3" t="s">
        <v>4</v>
      </c>
    </row>
    <row r="16" spans="1:11">
      <c r="A16" s="3" t="str">
        <f>"GO:0005581"</f>
        <v>GO:0005581</v>
      </c>
      <c r="B16" s="3" t="str">
        <f>"collagen trimer"</f>
        <v>collagen trimer</v>
      </c>
      <c r="C16" s="6" t="str">
        <f>"CC"</f>
        <v>CC</v>
      </c>
      <c r="D16" s="6">
        <v>20</v>
      </c>
      <c r="E16" s="3">
        <v>0.229885057471264</v>
      </c>
      <c r="F16" s="4">
        <v>1.1496427730233E-7</v>
      </c>
      <c r="G16" s="3" t="str">
        <f>"20/873"</f>
        <v>20/873</v>
      </c>
      <c r="H16" s="3" t="str">
        <f>"87/19717"</f>
        <v>87/19717</v>
      </c>
      <c r="I16" s="4">
        <v>9.6608636388512696E-10</v>
      </c>
      <c r="J16" s="4">
        <v>9.0252805047163206E-8</v>
      </c>
      <c r="K16" s="3" t="str">
        <f>"10882/114897/114898/114905/1305/7373/1307/1308/1278/1280/1288/1290/50509/1291/1292/1298/81035/1634/4060/51435"</f>
        <v>10882/114897/114898/114905/1305/7373/1307/1308/1278/1280/1288/1290/50509/1291/1292/1298/81035/1634/4060/51435</v>
      </c>
    </row>
    <row r="17" spans="1:11">
      <c r="A17" s="3" t="str">
        <f>"GO:0014706"</f>
        <v>GO:0014706</v>
      </c>
      <c r="B17" s="3" t="str">
        <f>"striated muscle tissue development"</f>
        <v>striated muscle tissue development</v>
      </c>
      <c r="C17" s="6" t="str">
        <f>"BP"</f>
        <v>BP</v>
      </c>
      <c r="D17" s="6">
        <v>48</v>
      </c>
      <c r="E17" s="3">
        <v>0.123076923076923</v>
      </c>
      <c r="F17" s="4">
        <v>1.15583216032675E-7</v>
      </c>
      <c r="G17" s="3" t="str">
        <f>"48/836"</f>
        <v>48/836</v>
      </c>
      <c r="H17" s="3" t="str">
        <f>"390/18670"</f>
        <v>390/18670</v>
      </c>
      <c r="I17" s="4">
        <v>2.1164780148404299E-10</v>
      </c>
      <c r="J17" s="4">
        <v>9.3149786781807402E-8</v>
      </c>
      <c r="K17" s="3" t="str">
        <f>"70/148/57538/652/653/857/858/1073/1634/22943/2047/2065/2247/2260/2263/80206/2317/8324/140628/2627/9734/3236/3479/7881/4629/4624/93649/3084/10611/5239/5307/5350/64208/5950/9750/6262/6443/6444/6445/6546/6899/6909/6910/6943/7049/7093/7472/7490"</f>
        <v>70/148/57538/652/653/857/858/1073/1634/22943/2047/2065/2247/2260/2263/80206/2317/8324/140628/2627/9734/3236/3479/7881/4629/4624/93649/3084/10611/5239/5307/5350/64208/5950/9750/6262/6443/6444/6445/6546/6899/6909/6910/6943/7049/7093/7472/7490</v>
      </c>
    </row>
    <row r="18" spans="1:11">
      <c r="A18" s="3" t="str">
        <f>"GO:0051146"</f>
        <v>GO:0051146</v>
      </c>
      <c r="B18" s="3" t="str">
        <f>"striated muscle cell differentiation"</f>
        <v>striated muscle cell differentiation</v>
      </c>
      <c r="C18" s="6" t="str">
        <f>"BP"</f>
        <v>BP</v>
      </c>
      <c r="D18" s="6">
        <v>40</v>
      </c>
      <c r="E18" s="3">
        <v>0.136518771331058</v>
      </c>
      <c r="F18" s="4">
        <v>1.5873153233935101E-7</v>
      </c>
      <c r="G18" s="3" t="str">
        <f>"40/836"</f>
        <v>40/836</v>
      </c>
      <c r="H18" s="3" t="str">
        <f>"293/18670"</f>
        <v>293/18670</v>
      </c>
      <c r="I18" s="4">
        <v>3.2295327027335E-10</v>
      </c>
      <c r="J18" s="4">
        <v>1.27923490109328E-7</v>
      </c>
      <c r="K18" s="3" t="str">
        <f>"70/8038/148/57538/627/652/858/1000/1073/22943/30846/80206/2318/2323/8324/2627/9518/9734/3479/11155/25802/4323/4629/4624/93649/341676/4842/3084/10611/5239/84814/64208/9750/92304/6443/6444/6546/6899/6910/7490"</f>
        <v>70/8038/148/57538/627/652/858/1000/1073/22943/30846/80206/2318/2323/8324/2627/9518/9734/3479/11155/25802/4323/4629/4624/93649/341676/4842/3084/10611/5239/84814/64208/9750/92304/6443/6444/6546/6899/6910/7490</v>
      </c>
    </row>
    <row r="19" spans="1:11">
      <c r="A19" s="3" t="str">
        <f>"GO:0045121"</f>
        <v>GO:0045121</v>
      </c>
      <c r="B19" s="3" t="str">
        <f>"membrane raft"</f>
        <v>membrane raft</v>
      </c>
      <c r="C19" s="6" t="str">
        <f>"CC"</f>
        <v>CC</v>
      </c>
      <c r="D19" s="6">
        <v>40</v>
      </c>
      <c r="E19" s="3">
        <v>0.126984126984127</v>
      </c>
      <c r="F19" s="4">
        <v>1.80883027209993E-7</v>
      </c>
      <c r="G19" s="3" t="str">
        <f>"40/873"</f>
        <v>40/873</v>
      </c>
      <c r="H19" s="3" t="str">
        <f>"315/19717"</f>
        <v>315/19717</v>
      </c>
      <c r="I19" s="4">
        <v>2.0775583850514301E-9</v>
      </c>
      <c r="J19" s="4">
        <v>1.42002376513816E-7</v>
      </c>
      <c r="K19" s="3" t="str">
        <f>"148/79026/284/287/477/684/857/858/8436/23624/1000/25999/1272/1803/1910/30846/2047/5348/199920/2824/3635/3672/10008/3778/1241/4118/114569/23209/931/4642/4842/64805/5359/5577/5740/6442/7035/7223/79054/90249"</f>
        <v>148/79026/284/287/477/684/857/858/8436/23624/1000/25999/1272/1803/1910/30846/2047/5348/199920/2824/3635/3672/10008/3778/1241/4118/114569/23209/931/4642/4842/64805/5359/5577/5740/6442/7035/7223/79054/90249</v>
      </c>
    </row>
    <row r="20" spans="1:11">
      <c r="A20" s="3" t="str">
        <f>"GO:0098857"</f>
        <v>GO:0098857</v>
      </c>
      <c r="B20" s="3" t="str">
        <f>"membrane microdomain"</f>
        <v>membrane microdomain</v>
      </c>
      <c r="C20" s="6" t="str">
        <f>"CC"</f>
        <v>CC</v>
      </c>
      <c r="D20" s="6">
        <v>40</v>
      </c>
      <c r="E20" s="3">
        <v>0.126582278481013</v>
      </c>
      <c r="F20" s="4">
        <v>1.80883027209993E-7</v>
      </c>
      <c r="G20" s="3" t="str">
        <f>"40/873"</f>
        <v>40/873</v>
      </c>
      <c r="H20" s="3" t="str">
        <f>"316/19717"</f>
        <v>316/19717</v>
      </c>
      <c r="I20" s="4">
        <v>2.2800381581091598E-9</v>
      </c>
      <c r="J20" s="4">
        <v>1.42002376513816E-7</v>
      </c>
      <c r="K20" s="3" t="str">
        <f>"148/79026/284/287/477/684/857/858/8436/23624/1000/25999/1272/1803/1910/30846/2047/5348/199920/2824/3635/3672/10008/3778/1241/4118/114569/23209/931/4642/4842/64805/5359/5577/5740/6442/7035/7223/79054/90249"</f>
        <v>148/79026/284/287/477/684/857/858/8436/23624/1000/25999/1272/1803/1910/30846/2047/5348/199920/2824/3635/3672/10008/3778/1241/4118/114569/23209/931/4642/4842/64805/5359/5577/5740/6442/7035/7223/79054/90249</v>
      </c>
    </row>
    <row r="21" spans="1:11">
      <c r="A21" s="3" t="str">
        <f>"GO:0008201"</f>
        <v>GO:0008201</v>
      </c>
      <c r="B21" s="3" t="str">
        <f>"heparin binding"</f>
        <v>heparin binding</v>
      </c>
      <c r="C21" s="6" t="str">
        <f>"MF"</f>
        <v>MF</v>
      </c>
      <c r="D21" s="6">
        <v>29</v>
      </c>
      <c r="E21" s="3">
        <v>0.171597633136095</v>
      </c>
      <c r="F21" s="4">
        <v>2.0909880279843799E-7</v>
      </c>
      <c r="G21" s="3" t="str">
        <f>"29/813"</f>
        <v>29/813</v>
      </c>
      <c r="H21" s="3" t="str">
        <f>"169/17696"</f>
        <v>169/17696</v>
      </c>
      <c r="I21" s="4">
        <v>7.6592968058035796E-10</v>
      </c>
      <c r="J21" s="4">
        <v>1.86241848646382E-7</v>
      </c>
      <c r="K21" s="3" t="str">
        <f>"25890/11096/652/151887/1056/3075/1305/50509/10563/1991/2200/2247/2252/2260/2263/2264/64388/59352/79625/4753/8828/5118/5228/5553/5104/5270/6586/7049/7060"</f>
        <v>25890/11096/652/151887/1056/3075/1305/50509/10563/1991/2200/2247/2252/2260/2263/2264/64388/59352/79625/4753/8828/5118/5228/5553/5104/5270/6586/7049/7060</v>
      </c>
    </row>
    <row r="22" spans="1:11">
      <c r="A22" s="3" t="str">
        <f>"GO:0061448"</f>
        <v>GO:0061448</v>
      </c>
      <c r="B22" s="3" t="str">
        <f>"connective tissue development"</f>
        <v>connective tissue development</v>
      </c>
      <c r="C22" s="6" t="str">
        <f>"BP"</f>
        <v>BP</v>
      </c>
      <c r="D22" s="6">
        <v>38</v>
      </c>
      <c r="E22" s="3">
        <v>0.139194139194139</v>
      </c>
      <c r="F22" s="4">
        <v>2.2840153522053301E-7</v>
      </c>
      <c r="G22" s="3" t="str">
        <f>"38/836"</f>
        <v>38/836</v>
      </c>
      <c r="H22" s="3" t="str">
        <f>"273/18670"</f>
        <v>273/18670</v>
      </c>
      <c r="I22" s="4">
        <v>5.1117332399305498E-10</v>
      </c>
      <c r="J22" s="4">
        <v>1.84071312745059E-7</v>
      </c>
      <c r="K22" s="3" t="str">
        <f>"81792/309/8313/652/653/658/25884/7373/1280/1291/1292/1746/64641/2202/2247/2260/3169/2487/8091/3400/4060/4147/4880/116039/5307/10891/5744/6097/51435/6423/285590/6591/6660/54795/5212/7481/7482/7490"</f>
        <v>81792/309/8313/652/653/658/25884/7373/1280/1291/1292/1746/64641/2202/2247/2260/3169/2487/8091/3400/4060/4147/4880/116039/5307/10891/5744/6097/51435/6423/285590/6591/6660/54795/5212/7481/7482/7490</v>
      </c>
    </row>
    <row r="23" spans="1:11">
      <c r="A23" s="3" t="str">
        <f>"GO:0031674"</f>
        <v>GO:0031674</v>
      </c>
      <c r="B23" s="3" t="str">
        <f>"I band"</f>
        <v>I band</v>
      </c>
      <c r="C23" s="6" t="str">
        <f>"CC"</f>
        <v>CC</v>
      </c>
      <c r="D23" s="6">
        <v>25</v>
      </c>
      <c r="E23" s="3">
        <v>0.17482517482517501</v>
      </c>
      <c r="F23" s="4">
        <v>2.5316964398273298E-7</v>
      </c>
      <c r="G23" s="3" t="str">
        <f>"25/873"</f>
        <v>25/873</v>
      </c>
      <c r="H23" s="3" t="str">
        <f>"143/19717"</f>
        <v>143/19717</v>
      </c>
      <c r="I23" s="4">
        <v>3.7230829997460701E-9</v>
      </c>
      <c r="J23" s="4">
        <v>1.98751047354865E-7</v>
      </c>
      <c r="K23" s="3" t="str">
        <f>"70/148/113146/287/1073/1410/667/10979/80206/2317/2318/26548/3781/339855/11155/4624/91624/4842/23022/10611/5239/6262/6546/81493/171024"</f>
        <v>70/148/113146/287/1073/1410/667/10979/80206/2317/2318/26548/3781/339855/11155/4624/91624/4842/23022/10611/5239/6262/6546/81493/171024</v>
      </c>
    </row>
    <row r="24" spans="1:11">
      <c r="A24" s="3" t="str">
        <f>"GO:0006936"</f>
        <v>GO:0006936</v>
      </c>
      <c r="B24" s="3" t="str">
        <f>"muscle contraction"</f>
        <v>muscle contraction</v>
      </c>
      <c r="C24" s="6" t="str">
        <f>"BP"</f>
        <v>BP</v>
      </c>
      <c r="D24" s="6">
        <v>45</v>
      </c>
      <c r="E24" s="3">
        <v>0.12396694214876</v>
      </c>
      <c r="F24" s="4">
        <v>2.5440953584727898E-7</v>
      </c>
      <c r="G24" s="3" t="str">
        <f>"45/836"</f>
        <v>45/836</v>
      </c>
      <c r="H24" s="3" t="str">
        <f>"363/18670"</f>
        <v>363/18670</v>
      </c>
      <c r="I24" s="4">
        <v>6.2114230522224897E-10</v>
      </c>
      <c r="J24" s="4">
        <v>2.05031446890467E-7</v>
      </c>
      <c r="K24" s="3" t="str">
        <f>"70/100/148/287/309/477/857/1131/1410/1824/1837/1908/1910/5348/2775/126393/3672/10008/23630/3760/3764/3778/3781/25802/1241/4629/4624/4638/93649/23327/4842/8654/5350/5592/6262/6332/6442/6444/6546/7871/6769/6865/7169/54795/7414"</f>
        <v>70/100/148/287/309/477/857/1131/1410/1824/1837/1908/1910/5348/2775/126393/3672/10008/23630/3760/3764/3778/3781/25802/1241/4629/4624/4638/93649/23327/4842/8654/5350/5592/6262/6332/6442/6444/6546/7871/6769/6865/7169/54795/7414</v>
      </c>
    </row>
    <row r="25" spans="1:11">
      <c r="A25" s="3" t="str">
        <f>"GO:0003012"</f>
        <v>GO:0003012</v>
      </c>
      <c r="B25" s="3" t="str">
        <f>"muscle system process"</f>
        <v>muscle system process</v>
      </c>
      <c r="C25" s="6" t="str">
        <f>"BP"</f>
        <v>BP</v>
      </c>
      <c r="D25" s="6">
        <v>53</v>
      </c>
      <c r="E25" s="3">
        <v>0.11228813559322</v>
      </c>
      <c r="F25" s="4">
        <v>2.6828918434642597E-7</v>
      </c>
      <c r="G25" s="3" t="str">
        <f>"53/836"</f>
        <v>53/836</v>
      </c>
      <c r="H25" s="3" t="str">
        <f>"472/18670"</f>
        <v>472/18670</v>
      </c>
      <c r="I25" s="4">
        <v>7.0961534008210398E-10</v>
      </c>
      <c r="J25" s="4">
        <v>2.16217208480078E-7</v>
      </c>
      <c r="K25" s="3" t="s">
        <v>5</v>
      </c>
    </row>
    <row r="26" spans="1:11">
      <c r="A26" s="3" t="str">
        <f>"GO:0005604"</f>
        <v>GO:0005604</v>
      </c>
      <c r="B26" s="3" t="str">
        <f>"basement membrane"</f>
        <v>basement membrane</v>
      </c>
      <c r="C26" s="6" t="str">
        <f>"CC"</f>
        <v>CC</v>
      </c>
      <c r="D26" s="6">
        <v>20</v>
      </c>
      <c r="E26" s="3">
        <v>0.21052631578947401</v>
      </c>
      <c r="F26" s="4">
        <v>2.9613349788705401E-7</v>
      </c>
      <c r="G26" s="3" t="str">
        <f>"20/873"</f>
        <v>20/873</v>
      </c>
      <c r="H26" s="3" t="str">
        <f>"95/19717"</f>
        <v>95/19717</v>
      </c>
      <c r="I26" s="4">
        <v>4.9770335779336796E-9</v>
      </c>
      <c r="J26" s="4">
        <v>2.32479857916639E-7</v>
      </c>
      <c r="K26" s="3" t="str">
        <f>"151887/1308/1280/1288/1298/667/25975/133584/2192/2200/83872/3908/3912/4147/4811/22795/64093/6678/7060/7078"</f>
        <v>151887/1308/1280/1288/1298/667/25975/133584/2192/2200/83872/3908/3912/4147/4811/22795/64093/6678/7060/7078</v>
      </c>
    </row>
    <row r="27" spans="1:11">
      <c r="A27" s="3" t="str">
        <f>"GO:0098589"</f>
        <v>GO:0098589</v>
      </c>
      <c r="B27" s="3" t="str">
        <f>"membrane region"</f>
        <v>membrane region</v>
      </c>
      <c r="C27" s="6" t="str">
        <f>"CC"</f>
        <v>CC</v>
      </c>
      <c r="D27" s="6">
        <v>40</v>
      </c>
      <c r="E27" s="3">
        <v>0.12195121951219499</v>
      </c>
      <c r="F27" s="4">
        <v>3.5551970557892599E-7</v>
      </c>
      <c r="G27" s="3" t="str">
        <f>"40/873"</f>
        <v>40/873</v>
      </c>
      <c r="H27" s="3" t="str">
        <f>"328/19717"</f>
        <v>328/19717</v>
      </c>
      <c r="I27" s="4">
        <v>6.7220112399376804E-9</v>
      </c>
      <c r="J27" s="4">
        <v>2.79101051482792E-7</v>
      </c>
      <c r="K27" s="3" t="str">
        <f>"148/79026/284/287/477/684/857/858/8436/23624/1000/25999/1272/1803/1910/30846/2047/5348/199920/2824/3635/3672/10008/3778/1241/4118/114569/23209/931/4642/4842/64805/5359/5577/5740/6442/7035/7223/79054/90249"</f>
        <v>148/79026/284/287/477/684/857/858/8436/23624/1000/25999/1272/1803/1910/30846/2047/5348/199920/2824/3635/3672/10008/3778/1241/4118/114569/23209/931/4642/4842/64805/5359/5577/5740/6442/7035/7223/79054/90249</v>
      </c>
    </row>
    <row r="28" spans="1:11">
      <c r="A28" s="3" t="str">
        <f>"GO:0043292"</f>
        <v>GO:0043292</v>
      </c>
      <c r="B28" s="3" t="str">
        <f>"contractile fiber"</f>
        <v>contractile fiber</v>
      </c>
      <c r="C28" s="6" t="str">
        <f>"CC"</f>
        <v>CC</v>
      </c>
      <c r="D28" s="6">
        <v>32</v>
      </c>
      <c r="E28" s="3">
        <v>0.13675213675213699</v>
      </c>
      <c r="F28" s="4">
        <v>6.8213672990669703E-7</v>
      </c>
      <c r="G28" s="3" t="str">
        <f>"32/873"</f>
        <v>32/873</v>
      </c>
      <c r="H28" s="3" t="str">
        <f>"234/19717"</f>
        <v>234/19717</v>
      </c>
      <c r="I28" s="4">
        <v>1.43306035694684E-8</v>
      </c>
      <c r="J28" s="4">
        <v>5.3551202812224105E-7</v>
      </c>
      <c r="K28" s="3" t="str">
        <f>"70/148/79026/113146/287/1073/1410/667/10979/80206/2317/2318/26548/3781/339855/11155/25802/4629/4624/91624/4842/23022/9659/10611/5239/6262/6546/81493/23345/171024/7169/7414"</f>
        <v>70/148/79026/113146/287/1073/1410/667/10979/80206/2317/2318/26548/3781/339855/11155/25802/4629/4624/91624/4842/23022/9659/10611/5239/6262/6546/81493/23345/171024/7169/7414</v>
      </c>
    </row>
    <row r="29" spans="1:11">
      <c r="A29" s="3" t="str">
        <f>"GO:0030018"</f>
        <v>GO:0030018</v>
      </c>
      <c r="B29" s="3" t="str">
        <f>"Z disc"</f>
        <v>Z disc</v>
      </c>
      <c r="C29" s="6" t="str">
        <f>"CC"</f>
        <v>CC</v>
      </c>
      <c r="D29" s="6">
        <v>23</v>
      </c>
      <c r="E29" s="3">
        <v>0.174242424242424</v>
      </c>
      <c r="F29" s="4">
        <v>7.1895767509181097E-7</v>
      </c>
      <c r="G29" s="3" t="str">
        <f>"23/873"</f>
        <v>23/873</v>
      </c>
      <c r="H29" s="3" t="str">
        <f>"132/19717"</f>
        <v>132/19717</v>
      </c>
      <c r="I29" s="4">
        <v>1.6654444794419999E-8</v>
      </c>
      <c r="J29" s="4">
        <v>5.6441834289604798E-7</v>
      </c>
      <c r="K29" s="3" t="str">
        <f>"148/113146/287/1073/1410/667/80206/2317/2318/26548/3781/339855/11155/4624/91624/4842/23022/10611/5239/6262/6546/81493/171024"</f>
        <v>148/113146/287/1073/1410/667/80206/2317/2318/26548/3781/339855/11155/4624/91624/4842/23022/10611/5239/6262/6546/81493/171024</v>
      </c>
    </row>
    <row r="30" spans="1:11">
      <c r="A30" s="3" t="str">
        <f>"GO:0030016"</f>
        <v>GO:0030016</v>
      </c>
      <c r="B30" s="3" t="str">
        <f>"myofibril"</f>
        <v>myofibril</v>
      </c>
      <c r="C30" s="6" t="str">
        <f>"CC"</f>
        <v>CC</v>
      </c>
      <c r="D30" s="6">
        <v>31</v>
      </c>
      <c r="E30" s="3">
        <v>0.13839285714285701</v>
      </c>
      <c r="F30" s="4">
        <v>7.1895767509181097E-7</v>
      </c>
      <c r="G30" s="3" t="str">
        <f>"31/873"</f>
        <v>31/873</v>
      </c>
      <c r="H30" s="3" t="str">
        <f>"224/19717"</f>
        <v>224/19717</v>
      </c>
      <c r="I30" s="4">
        <v>1.8124983405675901E-8</v>
      </c>
      <c r="J30" s="4">
        <v>5.6441834289604798E-7</v>
      </c>
      <c r="K30" s="3" t="str">
        <f>"70/148/79026/113146/287/1073/1410/667/10979/80206/2317/2318/26548/3781/339855/11155/25802/4624/91624/4842/23022/9659/10611/5239/6262/6546/81493/23345/171024/7169/7414"</f>
        <v>70/148/79026/113146/287/1073/1410/667/10979/80206/2317/2318/26548/3781/339855/11155/25802/4624/91624/4842/23022/9659/10611/5239/6262/6546/81493/23345/171024/7169/7414</v>
      </c>
    </row>
    <row r="31" spans="1:11">
      <c r="A31" s="3" t="str">
        <f>"GO:0006813"</f>
        <v>GO:0006813</v>
      </c>
      <c r="B31" s="3" t="str">
        <f>"potassium ion transport"</f>
        <v>potassium ion transport</v>
      </c>
      <c r="C31" s="6" t="str">
        <f t="shared" ref="C31:C45" si="1">"BP"</f>
        <v>BP</v>
      </c>
      <c r="D31" s="6">
        <v>34</v>
      </c>
      <c r="E31" s="3">
        <v>0.141666666666667</v>
      </c>
      <c r="F31" s="4">
        <v>9.2408171480994796E-7</v>
      </c>
      <c r="G31" s="3" t="str">
        <f>"34/836"</f>
        <v>34/836</v>
      </c>
      <c r="H31" s="3" t="str">
        <f>"240/18670"</f>
        <v>240/18670</v>
      </c>
      <c r="I31" s="4">
        <v>2.6336318457455602E-9</v>
      </c>
      <c r="J31" s="4">
        <v>7.4472763138187804E-7</v>
      </c>
      <c r="K31" s="3" t="str">
        <f>"287/196527/477/857/57628/1804/1908/2273/5348/51083/2645/3249/7881/3745/3747/3750/10008/23630/30818/3772/3760/3764/3778/3779/3781/3783/3785/56479/343450/23327/4842/64805/57419/84679"</f>
        <v>287/196527/477/857/57628/1804/1908/2273/5348/51083/2645/3249/7881/3745/3747/3750/10008/23630/30818/3772/3760/3764/3778/3779/3781/3783/3785/56479/343450/23327/4842/64805/57419/84679</v>
      </c>
    </row>
    <row r="32" spans="1:11">
      <c r="A32" s="3" t="str">
        <f>"GO:0010959"</f>
        <v>GO:0010959</v>
      </c>
      <c r="B32" s="3" t="str">
        <f>"regulation of metal ion transport"</f>
        <v>regulation of metal ion transport</v>
      </c>
      <c r="C32" s="6" t="str">
        <f t="shared" si="1"/>
        <v>BP</v>
      </c>
      <c r="D32" s="6">
        <v>46</v>
      </c>
      <c r="E32" s="3">
        <v>0.116751269035533</v>
      </c>
      <c r="F32" s="4">
        <v>9.2408171480994796E-7</v>
      </c>
      <c r="G32" s="3" t="str">
        <f>"46/836"</f>
        <v>46/836</v>
      </c>
      <c r="H32" s="3" t="str">
        <f>"394/18670"</f>
        <v>394/18670</v>
      </c>
      <c r="I32" s="4">
        <v>2.82018834631724E-9</v>
      </c>
      <c r="J32" s="4">
        <v>7.4472763138187804E-7</v>
      </c>
      <c r="K32" s="3" t="str">
        <f>"79026/287/196527/477/857/57214/1272/6387/57628/1804/1908/1950/2259/2273/5348/53826/51083/2645/2669/2775/9455/3603/7881/3747/10008/23630/30818/3779/3781/4638/23327/79570/4842/64805/5350/5652/9104/8787/6236/6262/5270/6546/7871/6769/7220/27075"</f>
        <v>79026/287/196527/477/857/57214/1272/6387/57628/1804/1908/1950/2259/2273/5348/53826/51083/2645/2669/2775/9455/3603/7881/3747/10008/23630/30818/3779/3781/4638/23327/79570/4842/64805/5350/5652/9104/8787/6236/6262/5270/6546/7871/6769/7220/27075</v>
      </c>
    </row>
    <row r="33" spans="1:11">
      <c r="A33" s="3" t="str">
        <f>"GO:0001763"</f>
        <v>GO:0001763</v>
      </c>
      <c r="B33" s="3" t="str">
        <f>"morphogenesis of a branching structure"</f>
        <v>morphogenesis of a branching structure</v>
      </c>
      <c r="C33" s="6" t="str">
        <f t="shared" si="1"/>
        <v>BP</v>
      </c>
      <c r="D33" s="6">
        <v>30</v>
      </c>
      <c r="E33" s="3">
        <v>0.15306122448979601</v>
      </c>
      <c r="F33" s="4">
        <v>1.11491003586885E-6</v>
      </c>
      <c r="G33" s="3" t="str">
        <f>"30/836"</f>
        <v>30/836</v>
      </c>
      <c r="H33" s="3" t="str">
        <f>"196/18670"</f>
        <v>196/18670</v>
      </c>
      <c r="I33" s="4">
        <v>3.6294121208345E-9</v>
      </c>
      <c r="J33" s="4">
        <v>8.9851827701975204E-7</v>
      </c>
      <c r="K33" s="3" t="str">
        <f>"652/1305/1746/1950/2045/2119/79633/2247/2252/2260/2263/3169/2294/64399/10481/3239/4323/4824/5228/5241/10371/9723/6423/6591/6768/4070/6943/7472/7482/7490"</f>
        <v>652/1305/1746/1950/2045/2119/79633/2247/2252/2260/2263/3169/2294/64399/10481/3239/4323/4824/5228/5241/10371/9723/6423/6591/6768/4070/6943/7472/7482/7490</v>
      </c>
    </row>
    <row r="34" spans="1:11">
      <c r="A34" s="3" t="str">
        <f>"GO:0031589"</f>
        <v>GO:0031589</v>
      </c>
      <c r="B34" s="3" t="str">
        <f>"cell-substrate adhesion"</f>
        <v>cell-substrate adhesion</v>
      </c>
      <c r="C34" s="6" t="str">
        <f t="shared" si="1"/>
        <v>BP</v>
      </c>
      <c r="D34" s="6">
        <v>42</v>
      </c>
      <c r="E34" s="3">
        <v>0.11864406779661001</v>
      </c>
      <c r="F34" s="4">
        <v>2.50270814873908E-6</v>
      </c>
      <c r="G34" s="3" t="str">
        <f>"42/836"</f>
        <v>42/836</v>
      </c>
      <c r="H34" s="3" t="str">
        <f>"354/18670"</f>
        <v>354/18670</v>
      </c>
      <c r="I34" s="4">
        <v>8.6563659264627394E-9</v>
      </c>
      <c r="J34" s="4">
        <v>2.0169600607603301E-6</v>
      </c>
      <c r="K34" s="3" t="str">
        <f>"25890/81792/10551/284/84168/151887/6366/4680/1305/1307/1308/50509/4921/10085/25975/133584/2042/2047/11170/2192/2199/10516/10979/2294/8324/2824/3672/3676/8516/83700/3912/4323/79625/4811/22795/9480/79834/5881/9723/4070/7414/5212"</f>
        <v>25890/81792/10551/284/84168/151887/6366/4680/1305/1307/1308/50509/4921/10085/25975/133584/2042/2047/11170/2192/2199/10516/10979/2294/8324/2824/3672/3676/8516/83700/3912/4323/79625/4811/22795/9480/79834/5881/9723/4070/7414/5212</v>
      </c>
    </row>
    <row r="35" spans="1:11">
      <c r="A35" s="3" t="str">
        <f>"GO:0034329"</f>
        <v>GO:0034329</v>
      </c>
      <c r="B35" s="3" t="str">
        <f>"cell junction assembly"</f>
        <v>cell junction assembly</v>
      </c>
      <c r="C35" s="6" t="str">
        <f t="shared" si="1"/>
        <v>BP</v>
      </c>
      <c r="D35" s="6">
        <v>46</v>
      </c>
      <c r="E35" s="3">
        <v>0.112469437652812</v>
      </c>
      <c r="F35" s="4">
        <v>2.51002355200093E-6</v>
      </c>
      <c r="G35" s="3" t="str">
        <f>"46/836"</f>
        <v>46/836</v>
      </c>
      <c r="H35" s="3" t="str">
        <f>"409/18670"</f>
        <v>409/18670</v>
      </c>
      <c r="I35" s="4">
        <v>9.1923548191285197E-9</v>
      </c>
      <c r="J35" s="4">
        <v>2.02285562481758E-6</v>
      </c>
      <c r="K35" s="3" t="str">
        <f>"23284/287/627/857/1008/1015/1000/1056/1365/1307/1308/1501/22943/667/2042/2045/2047/11170/10979/2318/2562/2705/2706/2823/2824/3861/158038/54674/51599/4131/4323/3084/4914/4916/10611/79834/55607/5578/64284/6092/26050/84189/6591/7145/7414/7481"</f>
        <v>23284/287/627/857/1008/1015/1000/1056/1365/1307/1308/1501/22943/667/2042/2045/2047/11170/10979/2318/2562/2705/2706/2823/2824/3861/158038/54674/51599/4131/4323/3084/4914/4916/10611/79834/55607/5578/64284/6092/26050/84189/6591/7145/7414/7481</v>
      </c>
    </row>
    <row r="36" spans="1:11">
      <c r="A36" s="3" t="str">
        <f>"GO:0007517"</f>
        <v>GO:0007517</v>
      </c>
      <c r="B36" s="3" t="str">
        <f>"muscle organ development"</f>
        <v>muscle organ development</v>
      </c>
      <c r="C36" s="6" t="str">
        <f t="shared" si="1"/>
        <v>BP</v>
      </c>
      <c r="D36" s="6">
        <v>46</v>
      </c>
      <c r="E36" s="3">
        <v>0.11219512195122</v>
      </c>
      <c r="F36" s="4">
        <v>2.5316411399660702E-6</v>
      </c>
      <c r="G36" s="3" t="str">
        <f>"46/836"</f>
        <v>46/836</v>
      </c>
      <c r="H36" s="3" t="str">
        <f>"410/18670"</f>
        <v>410/18670</v>
      </c>
      <c r="I36" s="4">
        <v>9.9205272868793602E-9</v>
      </c>
      <c r="J36" s="4">
        <v>2.0402774770449898E-6</v>
      </c>
      <c r="K36" s="3" t="str">
        <f>"70/652/857/858/1073/1410/1634/22943/2047/2065/2247/2260/2263/2273/2317/8324/2627/9734/3236/3479/26548/7881/3908/9215/283078/4624/4638/93649/3084/5307/64208/5950/9750/6262/6442/6443/6444/6445/6899/6909/6910/6943/7049/7093/7472/7490"</f>
        <v>70/652/857/858/1073/1410/1634/22943/2047/2065/2247/2260/2263/2273/2317/8324/2627/9734/3236/3479/26548/7881/3908/9215/283078/4624/4638/93649/3084/5307/64208/5950/9750/6262/6442/6443/6444/6445/6899/6909/6910/6943/7049/7093/7472/7490</v>
      </c>
    </row>
    <row r="37" spans="1:11">
      <c r="A37" s="3" t="str">
        <f>"GO:0060348"</f>
        <v>GO:0060348</v>
      </c>
      <c r="B37" s="3" t="str">
        <f>"bone development"</f>
        <v>bone development</v>
      </c>
      <c r="C37" s="6" t="str">
        <f t="shared" si="1"/>
        <v>BP</v>
      </c>
      <c r="D37" s="6">
        <v>31</v>
      </c>
      <c r="E37" s="3">
        <v>0.14285714285714299</v>
      </c>
      <c r="F37" s="4">
        <v>2.5316411399660702E-6</v>
      </c>
      <c r="G37" s="3" t="str">
        <f>"31/836"</f>
        <v>31/836</v>
      </c>
      <c r="H37" s="3" t="str">
        <f>"217/18670"</f>
        <v>217/18670</v>
      </c>
      <c r="I37" s="4">
        <v>1.08167780140972E-8</v>
      </c>
      <c r="J37" s="4">
        <v>2.0402774770449898E-6</v>
      </c>
      <c r="K37" s="3" t="str">
        <f>"196527/309/8313/652/658/645811/1305/7373/1280/1291/1292/79633/2200/2263/3479/10234/4147/4323/4325/4880/116039/56034/5308/9104/51435/6423/285590/133308/6678/7043/5212"</f>
        <v>196527/309/8313/652/658/645811/1305/7373/1280/1291/1292/79633/2200/2263/3479/10234/4147/4323/4325/4880/116039/56034/5308/9104/51435/6423/285590/133308/6678/7043/5212</v>
      </c>
    </row>
    <row r="38" spans="1:11">
      <c r="A38" s="3" t="str">
        <f>"GO:0071805"</f>
        <v>GO:0071805</v>
      </c>
      <c r="B38" s="3" t="str">
        <f>"potassium ion transmembrane transport"</f>
        <v>potassium ion transmembrane transport</v>
      </c>
      <c r="C38" s="6" t="str">
        <f t="shared" si="1"/>
        <v>BP</v>
      </c>
      <c r="D38" s="6">
        <v>31</v>
      </c>
      <c r="E38" s="3">
        <v>0.14285714285714299</v>
      </c>
      <c r="F38" s="4">
        <v>2.5316411399660702E-6</v>
      </c>
      <c r="G38" s="3" t="str">
        <f>"31/836"</f>
        <v>31/836</v>
      </c>
      <c r="H38" s="3" t="str">
        <f>"217/18670"</f>
        <v>217/18670</v>
      </c>
      <c r="I38" s="4">
        <v>1.08167780140972E-8</v>
      </c>
      <c r="J38" s="4">
        <v>2.0402774770449898E-6</v>
      </c>
      <c r="K38" s="3" t="str">
        <f>"287/196527/477/857/57628/1804/1908/2273/51083/3249/7881/3745/3747/3750/10008/23630/30818/3772/3760/3764/3778/3779/3781/3783/3785/56479/343450/23327/64805/57419/84679"</f>
        <v>287/196527/477/857/57628/1804/1908/2273/51083/3249/7881/3745/3747/3750/10008/23630/30818/3772/3760/3764/3778/3779/3781/3783/3785/56479/343450/23327/64805/57419/84679</v>
      </c>
    </row>
    <row r="39" spans="1:11">
      <c r="A39" s="3" t="str">
        <f>"GO:0034765"</f>
        <v>GO:0034765</v>
      </c>
      <c r="B39" s="3" t="str">
        <f>"regulation of ion transmembrane transport"</f>
        <v>regulation of ion transmembrane transport</v>
      </c>
      <c r="C39" s="6" t="str">
        <f t="shared" si="1"/>
        <v>BP</v>
      </c>
      <c r="D39" s="6">
        <v>51</v>
      </c>
      <c r="E39" s="3">
        <v>0.105590062111801</v>
      </c>
      <c r="F39" s="4">
        <v>2.6906795294952099E-6</v>
      </c>
      <c r="G39" s="3" t="str">
        <f>"51/836"</f>
        <v>51/836</v>
      </c>
      <c r="H39" s="3" t="str">
        <f>"483/18670"</f>
        <v>483/18670</v>
      </c>
      <c r="I39" s="4">
        <v>1.2068056573432801E-8</v>
      </c>
      <c r="J39" s="4">
        <v>2.1684482667431598E-6</v>
      </c>
      <c r="K39" s="3" t="s">
        <v>6</v>
      </c>
    </row>
    <row r="40" spans="1:11">
      <c r="A40" s="3" t="str">
        <f>"GO:0030324"</f>
        <v>GO:0030324</v>
      </c>
      <c r="B40" s="3" t="str">
        <f>"lung development"</f>
        <v>lung development</v>
      </c>
      <c r="C40" s="6" t="str">
        <f t="shared" si="1"/>
        <v>BP</v>
      </c>
      <c r="D40" s="6">
        <v>27</v>
      </c>
      <c r="E40" s="3">
        <v>0.15697674418604701</v>
      </c>
      <c r="F40" s="4">
        <v>2.6906795294952099E-6</v>
      </c>
      <c r="G40" s="3" t="str">
        <f>"27/836"</f>
        <v>27/836</v>
      </c>
      <c r="H40" s="3" t="str">
        <f>"172/18670"</f>
        <v>172/18670</v>
      </c>
      <c r="I40" s="4">
        <v>1.25911758246978E-8</v>
      </c>
      <c r="J40" s="4">
        <v>2.1684482667431598E-6</v>
      </c>
      <c r="K40" s="3" t="str">
        <f>"100/10551/652/2252/2260/2263/3169/2294/2627/64399/3290/4323/93649/5241/5950/57333/6493/23657/6678/25803/9496/6910/6943/7043/7481/7472/7482"</f>
        <v>100/10551/652/2252/2260/2263/3169/2294/2627/64399/3290/4323/93649/5241/5950/57333/6493/23657/6678/25803/9496/6910/6943/7043/7481/7472/7482</v>
      </c>
    </row>
    <row r="41" spans="1:11">
      <c r="A41" s="3" t="str">
        <f>"GO:0048738"</f>
        <v>GO:0048738</v>
      </c>
      <c r="B41" s="3" t="str">
        <f>"cardiac muscle tissue development"</f>
        <v>cardiac muscle tissue development</v>
      </c>
      <c r="C41" s="6" t="str">
        <f t="shared" si="1"/>
        <v>BP</v>
      </c>
      <c r="D41" s="6">
        <v>32</v>
      </c>
      <c r="E41" s="3">
        <v>0.137339055793991</v>
      </c>
      <c r="F41" s="4">
        <v>3.2779269504498699E-6</v>
      </c>
      <c r="G41" s="3" t="str">
        <f>"32/836"</f>
        <v>32/836</v>
      </c>
      <c r="H41" s="3" t="str">
        <f>"233/18670"</f>
        <v>233/18670</v>
      </c>
      <c r="I41" s="4">
        <v>1.6563313876723101E-8</v>
      </c>
      <c r="J41" s="4">
        <v>2.6417174309670401E-6</v>
      </c>
      <c r="K41" s="3" t="str">
        <f>"70/148/57538/652/653/22943/2065/2247/2260/2263/80206/8324/140628/2627/3479/4629/4624/93649/3084/10611/5350/5950/6262/6443/6444/6445/6546/6909/6910/7049/7472/7490"</f>
        <v>70/148/57538/652/653/22943/2065/2247/2260/2263/80206/8324/140628/2627/3479/4629/4624/93649/3084/10611/5350/5950/6262/6443/6444/6445/6546/6909/6910/7049/7472/7490</v>
      </c>
    </row>
    <row r="42" spans="1:11">
      <c r="A42" s="3" t="str">
        <f>"GO:0051216"</f>
        <v>GO:0051216</v>
      </c>
      <c r="B42" s="3" t="str">
        <f>"cartilage development"</f>
        <v>cartilage development</v>
      </c>
      <c r="C42" s="6" t="str">
        <f t="shared" si="1"/>
        <v>BP</v>
      </c>
      <c r="D42" s="6">
        <v>30</v>
      </c>
      <c r="E42" s="3">
        <v>0.143540669856459</v>
      </c>
      <c r="F42" s="4">
        <v>3.2779269504498699E-6</v>
      </c>
      <c r="G42" s="3" t="str">
        <f>"30/836"</f>
        <v>30/836</v>
      </c>
      <c r="H42" s="3" t="str">
        <f>"209/18670"</f>
        <v>209/18670</v>
      </c>
      <c r="I42" s="4">
        <v>1.6673077062308598E-8</v>
      </c>
      <c r="J42" s="4">
        <v>2.6417174309670401E-6</v>
      </c>
      <c r="K42" s="3" t="str">
        <f>"81792/309/8313/652/653/658/25884/7373/1280/1291/1292/1746/2202/2247/2260/2487/8091/4060/4147/4880/116039/5307/5744/51435/6423/6591/6660/5212/7481/7482"</f>
        <v>81792/309/8313/652/653/658/25884/7373/1280/1291/1292/1746/2202/2247/2260/2487/8091/4060/4147/4880/116039/5307/5744/51435/6423/6591/6660/5212/7481/7482</v>
      </c>
    </row>
    <row r="43" spans="1:11">
      <c r="A43" s="3" t="str">
        <f>"GO:0045165"</f>
        <v>GO:0045165</v>
      </c>
      <c r="B43" s="3" t="str">
        <f>"cell fate commitment"</f>
        <v>cell fate commitment</v>
      </c>
      <c r="C43" s="6" t="str">
        <f t="shared" si="1"/>
        <v>BP</v>
      </c>
      <c r="D43" s="6">
        <v>35</v>
      </c>
      <c r="E43" s="3">
        <v>0.12915129151291499</v>
      </c>
      <c r="F43" s="4">
        <v>3.3200645926184701E-6</v>
      </c>
      <c r="G43" s="3" t="str">
        <f>"35/836"</f>
        <v>35/836</v>
      </c>
      <c r="H43" s="3" t="str">
        <f>"271/18670"</f>
        <v>271/18670</v>
      </c>
      <c r="I43" s="4">
        <v>1.77695738227945E-8</v>
      </c>
      <c r="J43" s="4">
        <v>2.67567662087558E-6</v>
      </c>
      <c r="K43" s="3" t="str">
        <f>"652/22943/1745/1746/64641/100170841/54738/2247/2260/2263/3169/8324/2627/3236/64843/3110/23040/3084/4916/9480/5307/5468/6097/6423/285590/6660/25803/6899/6909/9496/6910/7481/7472/7482/7490"</f>
        <v>652/22943/1745/1746/64641/100170841/54738/2247/2260/2263/3169/8324/2627/3236/64843/3110/23040/3084/4916/9480/5307/5468/6097/6423/285590/6660/25803/6899/6909/9496/6910/7481/7472/7482/7490</v>
      </c>
    </row>
    <row r="44" spans="1:11">
      <c r="A44" s="3" t="str">
        <f>"GO:0060541"</f>
        <v>GO:0060541</v>
      </c>
      <c r="B44" s="3" t="str">
        <f>"respiratory system development"</f>
        <v>respiratory system development</v>
      </c>
      <c r="C44" s="6" t="str">
        <f t="shared" si="1"/>
        <v>BP</v>
      </c>
      <c r="D44" s="6">
        <v>29</v>
      </c>
      <c r="E44" s="3">
        <v>0.14646464646464599</v>
      </c>
      <c r="F44" s="4">
        <v>3.3200645926184701E-6</v>
      </c>
      <c r="G44" s="3" t="str">
        <f>"29/836"</f>
        <v>29/836</v>
      </c>
      <c r="H44" s="3" t="str">
        <f>"198/18670"</f>
        <v>198/18670</v>
      </c>
      <c r="I44" s="4">
        <v>1.8238401627812601E-8</v>
      </c>
      <c r="J44" s="4">
        <v>2.67567662087558E-6</v>
      </c>
      <c r="K44" s="3" t="str">
        <f>"100/10551/652/2252/2260/2263/3169/2294/2627/64399/3290/7881/4323/93649/5241/5950/57333/6493/23657/6678/25803/9496/6910/6943/7043/7481/7472/7482/7490"</f>
        <v>100/10551/652/2252/2260/2263/3169/2294/2627/64399/3290/7881/4323/93649/5241/5950/57333/6493/23657/6678/25803/9496/6910/6943/7043/7481/7472/7482/7490</v>
      </c>
    </row>
    <row r="45" spans="1:11">
      <c r="A45" s="3" t="str">
        <f>"GO:0030323"</f>
        <v>GO:0030323</v>
      </c>
      <c r="B45" s="3" t="str">
        <f>"respiratory tube development"</f>
        <v>respiratory tube development</v>
      </c>
      <c r="C45" s="6" t="str">
        <f t="shared" si="1"/>
        <v>BP</v>
      </c>
      <c r="D45" s="6">
        <v>27</v>
      </c>
      <c r="E45" s="3">
        <v>0.15340909090909099</v>
      </c>
      <c r="F45" s="4">
        <v>3.6510514164809898E-6</v>
      </c>
      <c r="G45" s="3" t="str">
        <f>"27/836"</f>
        <v>27/836</v>
      </c>
      <c r="H45" s="3" t="str">
        <f>"176/18670"</f>
        <v>176/18670</v>
      </c>
      <c r="I45" s="4">
        <v>2.0799479076595701E-8</v>
      </c>
      <c r="J45" s="4">
        <v>2.9424225475650198E-6</v>
      </c>
      <c r="K45" s="3" t="str">
        <f>"100/10551/652/2252/2260/2263/3169/2294/2627/64399/3290/4323/93649/5241/5950/57333/6493/23657/6678/25803/9496/6910/6943/7043/7481/7472/7482"</f>
        <v>100/10551/652/2252/2260/2263/3169/2294/2627/64399/3290/4323/93649/5241/5950/57333/6493/23657/6678/25803/9496/6910/6943/7043/7481/7472/7482</v>
      </c>
    </row>
    <row r="46" spans="1:11">
      <c r="A46" s="3" t="str">
        <f>"GO:0030017"</f>
        <v>GO:0030017</v>
      </c>
      <c r="B46" s="3" t="str">
        <f>"sarcomere"</f>
        <v>sarcomere</v>
      </c>
      <c r="C46" s="6" t="str">
        <f>"CC"</f>
        <v>CC</v>
      </c>
      <c r="D46" s="6">
        <v>28</v>
      </c>
      <c r="E46" s="3">
        <v>0.13725490196078399</v>
      </c>
      <c r="F46" s="4">
        <v>3.8269771811134398E-6</v>
      </c>
      <c r="G46" s="3" t="str">
        <f>"28/873"</f>
        <v>28/873</v>
      </c>
      <c r="H46" s="3" t="str">
        <f>"204/19717"</f>
        <v>204/19717</v>
      </c>
      <c r="I46" s="4">
        <v>1.05200251554194E-7</v>
      </c>
      <c r="J46" s="4">
        <v>3.00437173661051E-6</v>
      </c>
      <c r="K46" s="3" t="str">
        <f>"70/148/113146/287/1073/1410/667/10979/80206/2317/2318/26548/3781/339855/11155/25802/4624/91624/4842/23022/10611/5239/6262/6546/81493/23345/171024/7169"</f>
        <v>70/148/113146/287/1073/1410/667/10979/80206/2317/2318/26548/3781/339855/11155/25802/4624/91624/4842/23022/10611/5239/6262/6546/81493/23345/171024/7169</v>
      </c>
    </row>
    <row r="47" spans="1:11">
      <c r="A47" s="3" t="str">
        <f>"GO:0016323"</f>
        <v>GO:0016323</v>
      </c>
      <c r="B47" s="3" t="str">
        <f>"basolateral plasma membrane"</f>
        <v>basolateral plasma membrane</v>
      </c>
      <c r="C47" s="6" t="str">
        <f>"CC"</f>
        <v>CC</v>
      </c>
      <c r="D47" s="6">
        <v>29</v>
      </c>
      <c r="E47" s="3">
        <v>0.13364055299539199</v>
      </c>
      <c r="F47" s="4">
        <v>3.8269771811134398E-6</v>
      </c>
      <c r="G47" s="3" t="str">
        <f>"29/873"</f>
        <v>29/873</v>
      </c>
      <c r="H47" s="3" t="str">
        <f>"217/19717"</f>
        <v>217/19717</v>
      </c>
      <c r="I47" s="4">
        <v>1.1255815238569E-7</v>
      </c>
      <c r="J47" s="4">
        <v>3.00437173661051E-6</v>
      </c>
      <c r="K47" s="3" t="str">
        <f>"10257/287/146894/1015/1000/1131/9635/1364/1366/9073/667/4072/2065/338328/9843/3680/3747/57554/23209/4642/64805/64284/6563/6573/8671/133308/6768/4070/7223"</f>
        <v>10257/287/146894/1015/1000/1131/9635/1364/1366/9073/667/4072/2065/338328/9843/3680/3747/57554/23209/4642/64805/64284/6563/6573/8671/133308/6768/4070/7223</v>
      </c>
    </row>
    <row r="48" spans="1:11">
      <c r="A48" s="3" t="str">
        <f>"GO:0002062"</f>
        <v>GO:0002062</v>
      </c>
      <c r="B48" s="3" t="str">
        <f>"chondrocyte differentiation"</f>
        <v>chondrocyte differentiation</v>
      </c>
      <c r="C48" s="6" t="str">
        <f>"BP"</f>
        <v>BP</v>
      </c>
      <c r="D48" s="6">
        <v>22</v>
      </c>
      <c r="E48" s="3">
        <v>0.17886178861788599</v>
      </c>
      <c r="F48" s="4">
        <v>4.2602229532539896E-6</v>
      </c>
      <c r="G48" s="3" t="str">
        <f>"22/836"</f>
        <v>22/836</v>
      </c>
      <c r="H48" s="3" t="str">
        <f>"123/18670"</f>
        <v>123/18670</v>
      </c>
      <c r="I48" s="4">
        <v>2.51366155939706E-8</v>
      </c>
      <c r="J48" s="4">
        <v>3.43336059818917E-6</v>
      </c>
      <c r="K48" s="3" t="str">
        <f>"81792/309/8313/652/658/7373/1280/1291/1292/2202/2260/8091/4147/4880/116039/5744/51435/6423/6591/6660/5212/7482"</f>
        <v>81792/309/8313/652/658/7373/1280/1291/1292/2202/2260/8091/4147/4880/116039/5744/51435/6423/6591/6660/5212/7482</v>
      </c>
    </row>
    <row r="49" spans="1:11">
      <c r="A49" s="3" t="str">
        <f>"GO:0061138"</f>
        <v>GO:0061138</v>
      </c>
      <c r="B49" s="3" t="str">
        <f>"morphogenesis of a branching epithelium"</f>
        <v>morphogenesis of a branching epithelium</v>
      </c>
      <c r="C49" s="6" t="str">
        <f>"BP"</f>
        <v>BP</v>
      </c>
      <c r="D49" s="6">
        <v>27</v>
      </c>
      <c r="E49" s="3">
        <v>0.14835164835164799</v>
      </c>
      <c r="F49" s="4">
        <v>7.0182288555505504E-6</v>
      </c>
      <c r="G49" s="3" t="str">
        <f>"27/836"</f>
        <v>27/836</v>
      </c>
      <c r="H49" s="3" t="str">
        <f>"182/18670"</f>
        <v>182/18670</v>
      </c>
      <c r="I49" s="4">
        <v>4.2837612546595402E-8</v>
      </c>
      <c r="J49" s="4">
        <v>5.6560679302750404E-6</v>
      </c>
      <c r="K49" s="3" t="str">
        <f>"652/1950/2119/79633/2247/2252/2260/2263/3169/2294/64399/10481/3239/4323/4824/5228/5241/10371/9723/6423/6591/6768/4070/6943/7472/7482/7490"</f>
        <v>652/1950/2119/79633/2247/2252/2260/2263/3169/2294/64399/10481/3239/4323/4824/5228/5241/10371/9723/6423/6591/6768/4070/6943/7472/7482/7490</v>
      </c>
    </row>
    <row r="50" spans="1:11">
      <c r="A50" s="3" t="str">
        <f>"GO:0060047"</f>
        <v>GO:0060047</v>
      </c>
      <c r="B50" s="3" t="str">
        <f>"heart contraction"</f>
        <v>heart contraction</v>
      </c>
      <c r="C50" s="6" t="str">
        <f>"BP"</f>
        <v>BP</v>
      </c>
      <c r="D50" s="6">
        <v>35</v>
      </c>
      <c r="E50" s="3">
        <v>0.124113475177305</v>
      </c>
      <c r="F50" s="4">
        <v>7.7812468147356692E-6</v>
      </c>
      <c r="G50" s="3" t="str">
        <f>"35/836"</f>
        <v>35/836</v>
      </c>
      <c r="H50" s="3" t="str">
        <f>"282/18670"</f>
        <v>282/18670</v>
      </c>
      <c r="I50" s="4">
        <v>4.90780572241721E-8</v>
      </c>
      <c r="J50" s="4">
        <v>6.2709925071157697E-6</v>
      </c>
      <c r="K50" s="3" t="str">
        <f>"70/100/148/153/287/477/857/1824/1908/5348/53826/2775/27129/3750/10008/23630/30818/3760/3764/3781/4624/23327/4842/4880/8654/5350/6262/10371/6444/6445/6546/6863/6909/7220/54795"</f>
        <v>70/100/148/153/287/477/857/1824/1908/5348/53826/2775/27129/3750/10008/23630/30818/3760/3764/3781/4624/23327/4842/4880/8654/5350/6262/10371/6444/6445/6546/6863/6909/7220/54795</v>
      </c>
    </row>
    <row r="51" spans="1:11">
      <c r="A51" s="3" t="str">
        <f>"GO:0005518"</f>
        <v>GO:0005518</v>
      </c>
      <c r="B51" s="3" t="str">
        <f>"collagen binding"</f>
        <v>collagen binding</v>
      </c>
      <c r="C51" s="6" t="str">
        <f>"MF"</f>
        <v>MF</v>
      </c>
      <c r="D51" s="6">
        <v>16</v>
      </c>
      <c r="E51" s="3">
        <v>0.238805970149254</v>
      </c>
      <c r="F51" s="4">
        <v>8.6759616180450892E-6</v>
      </c>
      <c r="G51" s="3" t="str">
        <f>"16/813"</f>
        <v>16/813</v>
      </c>
      <c r="H51" s="3" t="str">
        <f>"67/17696"</f>
        <v>67/17696</v>
      </c>
      <c r="I51" s="4">
        <v>4.2373438915971098E-8</v>
      </c>
      <c r="J51" s="4">
        <v>7.7275771496757895E-6</v>
      </c>
      <c r="K51" s="3" t="str">
        <f>"25890/84168/54829/114897/7373/50509/1634/4921/3672/3680/4060/4811/22795/5118/6678/50859"</f>
        <v>25890/84168/54829/114897/7373/50509/1634/4921/3672/3680/4060/4811/22795/5118/6678/50859</v>
      </c>
    </row>
    <row r="52" spans="1:11">
      <c r="A52" s="3" t="str">
        <f>"GO:1904062"</f>
        <v>GO:1904062</v>
      </c>
      <c r="B52" s="3" t="str">
        <f>"regulation of cation transmembrane transport"</f>
        <v>regulation of cation transmembrane transport</v>
      </c>
      <c r="C52" s="6" t="str">
        <f>"BP"</f>
        <v>BP</v>
      </c>
      <c r="D52" s="6">
        <v>39</v>
      </c>
      <c r="E52" s="3">
        <v>0.114035087719298</v>
      </c>
      <c r="F52" s="4">
        <v>1.3236950018872901E-5</v>
      </c>
      <c r="G52" s="3" t="str">
        <f>"39/836"</f>
        <v>39/836</v>
      </c>
      <c r="H52" s="3" t="str">
        <f>"342/18670"</f>
        <v>342/18670</v>
      </c>
      <c r="I52" s="4">
        <v>8.6181566755632306E-8</v>
      </c>
      <c r="J52" s="4">
        <v>1.06678038059686E-5</v>
      </c>
      <c r="K52" s="3" t="str">
        <f>"79026/287/196527/306/477/857/57214/57628/1804/1908/2259/2273/5348/53826/51083/2669/2892/7881/3747/10008/23630/30818/3779/3781/57554/23327/4842/5350/10891/5923/9104/8787/6236/6262/6546/7871/6769/7220/27075"</f>
        <v>79026/287/196527/306/477/857/57214/57628/1804/1908/2259/2273/5348/53826/51083/2669/2892/7881/3747/10008/23630/30818/3779/3781/57554/23327/4842/5350/10891/5923/9104/8787/6236/6262/6546/7871/6769/7220/27075</v>
      </c>
    </row>
    <row r="53" spans="1:11">
      <c r="A53" s="3" t="str">
        <f>"GO:0001503"</f>
        <v>GO:0001503</v>
      </c>
      <c r="B53" s="3" t="str">
        <f>"ossification"</f>
        <v>ossification</v>
      </c>
      <c r="C53" s="6" t="str">
        <f>"BP"</f>
        <v>BP</v>
      </c>
      <c r="D53" s="6">
        <v>43</v>
      </c>
      <c r="E53" s="3">
        <v>0.108040201005025</v>
      </c>
      <c r="F53" s="4">
        <v>1.3329034681276099E-5</v>
      </c>
      <c r="G53" s="3" t="str">
        <f>"43/836"</f>
        <v>43/836</v>
      </c>
      <c r="H53" s="3" t="str">
        <f>"398/18670"</f>
        <v>398/18670</v>
      </c>
      <c r="I53" s="4">
        <v>8.9493010067570706E-8</v>
      </c>
      <c r="J53" s="4">
        <v>1.0742015849577899E-5</v>
      </c>
      <c r="K53" s="3" t="str">
        <f>"84059/196527/54829/8313/652/653/658/645811/91851/25884/1305/1278/1280/1290/1291/4921/22943/2194/79633/2263/2662/2824/3400/3479/4323/4325/4880/116039/5179/133522/5744/6423/285590/6546/64093/6591/6678/6863/7043/54795/117581/1462/7481"</f>
        <v>84059/196527/54829/8313/652/653/658/645811/91851/25884/1305/1278/1280/1290/1291/4921/22943/2194/79633/2263/2662/2824/3400/3479/4323/4325/4880/116039/5179/133522/5744/6423/285590/6546/64093/6591/6678/6863/7043/54795/117581/1462/7481</v>
      </c>
    </row>
    <row r="54" spans="1:11">
      <c r="A54" s="3" t="str">
        <f>"GO:0003015"</f>
        <v>GO:0003015</v>
      </c>
      <c r="B54" s="3" t="str">
        <f>"heart process"</f>
        <v>heart process</v>
      </c>
      <c r="C54" s="6" t="str">
        <f>"BP"</f>
        <v>BP</v>
      </c>
      <c r="D54" s="6">
        <v>35</v>
      </c>
      <c r="E54" s="3">
        <v>0.11986301369863001</v>
      </c>
      <c r="F54" s="4">
        <v>1.69494985371499E-5</v>
      </c>
      <c r="G54" s="3" t="str">
        <f>"35/836"</f>
        <v>35/836</v>
      </c>
      <c r="H54" s="3" t="str">
        <f>"292/18670"</f>
        <v>292/18670</v>
      </c>
      <c r="I54" s="4">
        <v>1.1724983728648999E-7</v>
      </c>
      <c r="J54" s="4">
        <v>1.3659787545172199E-5</v>
      </c>
      <c r="K54" s="3" t="str">
        <f>"70/100/148/153/287/477/857/1824/1908/5348/53826/2775/27129/3750/10008/23630/30818/3760/3764/3781/4624/23327/4842/4880/8654/5350/6262/10371/6444/6445/6546/6863/6909/7220/54795"</f>
        <v>70/100/148/153/287/477/857/1824/1908/5348/53826/2775/27129/3750/10008/23630/30818/3760/3764/3781/4624/23327/4842/4880/8654/5350/6262/10371/6444/6445/6546/6863/6909/7220/54795</v>
      </c>
    </row>
    <row r="55" spans="1:11">
      <c r="A55" s="3" t="str">
        <f>"GO:0005178"</f>
        <v>GO:0005178</v>
      </c>
      <c r="B55" s="3" t="str">
        <f>"integrin binding"</f>
        <v>integrin binding</v>
      </c>
      <c r="C55" s="6" t="str">
        <f>"MF"</f>
        <v>MF</v>
      </c>
      <c r="D55" s="6">
        <v>22</v>
      </c>
      <c r="E55" s="3">
        <v>0.16666666666666699</v>
      </c>
      <c r="F55" s="4">
        <v>2.1520792433455999E-5</v>
      </c>
      <c r="G55" s="3" t="str">
        <f>"22/813"</f>
        <v>22/813</v>
      </c>
      <c r="H55" s="3" t="str">
        <f>"132/17696"</f>
        <v>132/17696</v>
      </c>
      <c r="I55" s="4">
        <v>1.4509793671616699E-7</v>
      </c>
      <c r="J55" s="4">
        <v>1.9168317147207801E-5</v>
      </c>
      <c r="K55" s="3" t="str">
        <f>"11096/1015/1307/6387/667/10085/25975/10516/2200/2247/3479/26548/83700/3912/8425/4323/3084/5578/1903/6423/7060/7103"</f>
        <v>11096/1015/1307/6387/667/10085/25975/10516/2200/2247/3479/26548/83700/3912/8425/4323/3084/5578/1903/6423/7060/7103</v>
      </c>
    </row>
    <row r="56" spans="1:11">
      <c r="A56" s="3" t="str">
        <f>"GO:1901681"</f>
        <v>GO:1901681</v>
      </c>
      <c r="B56" s="3" t="str">
        <f>"sulfur compound binding"</f>
        <v>sulfur compound binding</v>
      </c>
      <c r="C56" s="6" t="str">
        <f>"MF"</f>
        <v>MF</v>
      </c>
      <c r="D56" s="6">
        <v>32</v>
      </c>
      <c r="E56" s="3">
        <v>0.128</v>
      </c>
      <c r="F56" s="4">
        <v>2.1520792433455999E-5</v>
      </c>
      <c r="G56" s="3" t="str">
        <f>"32/813"</f>
        <v>32/813</v>
      </c>
      <c r="H56" s="3" t="str">
        <f>"250/17696"</f>
        <v>250/17696</v>
      </c>
      <c r="I56" s="4">
        <v>1.57661483028982E-7</v>
      </c>
      <c r="J56" s="4">
        <v>1.9168317147207801E-5</v>
      </c>
      <c r="K56" s="3" t="str">
        <f>"25890/11096/309/652/151887/1056/3075/1305/50509/10563/1991/2200/2247/2252/2260/2263/2264/64388/59352/79625/4753/8828/5118/5228/5553/6262/5104/5270/6586/6646/7049/7060"</f>
        <v>25890/11096/309/652/151887/1056/3075/1305/50509/10563/1991/2200/2247/2252/2260/2263/2264/64388/59352/79625/4753/8828/5118/5228/5553/6262/5104/5270/6586/6646/7049/7060</v>
      </c>
    </row>
    <row r="57" spans="1:11">
      <c r="A57" s="3" t="str">
        <f>"GO:0030020"</f>
        <v>GO:0030020</v>
      </c>
      <c r="B57" s="3" t="str">
        <f>"extracellular matrix structural constituent conferring tensile strength"</f>
        <v>extracellular matrix structural constituent conferring tensile strength</v>
      </c>
      <c r="C57" s="6" t="str">
        <f>"MF"</f>
        <v>MF</v>
      </c>
      <c r="D57" s="6">
        <v>12</v>
      </c>
      <c r="E57" s="3">
        <v>0.292682926829268</v>
      </c>
      <c r="F57" s="4">
        <v>2.1994115248812599E-5</v>
      </c>
      <c r="G57" s="3" t="str">
        <f>"12/813"</f>
        <v>12/813</v>
      </c>
      <c r="H57" s="3" t="str">
        <f>"41/17696"</f>
        <v>41/17696</v>
      </c>
      <c r="I57" s="4">
        <v>1.8798389101549199E-7</v>
      </c>
      <c r="J57" s="4">
        <v>1.9589900221614499E-5</v>
      </c>
      <c r="K57" s="3" t="str">
        <f>"1305/7373/1307/1308/1278/1280/1288/1290/50509/1291/1292/1298"</f>
        <v>1305/7373/1307/1308/1278/1280/1288/1290/50509/1291/1292/1298</v>
      </c>
    </row>
    <row r="58" spans="1:11">
      <c r="A58" s="3" t="str">
        <f>"GO:0034705"</f>
        <v>GO:0034705</v>
      </c>
      <c r="B58" s="3" t="str">
        <f>"potassium channel complex"</f>
        <v>potassium channel complex</v>
      </c>
      <c r="C58" s="6" t="str">
        <f>"CC"</f>
        <v>CC</v>
      </c>
      <c r="D58" s="6">
        <v>17</v>
      </c>
      <c r="E58" s="3">
        <v>0.17708333333333301</v>
      </c>
      <c r="F58" s="4">
        <v>3.0417316104561601E-5</v>
      </c>
      <c r="G58" s="3" t="str">
        <f>"17/873"</f>
        <v>17/873</v>
      </c>
      <c r="H58" s="3" t="str">
        <f>"96/19717"</f>
        <v>96/19717</v>
      </c>
      <c r="I58" s="4">
        <v>9.5852886884122708E-7</v>
      </c>
      <c r="J58" s="4">
        <v>2.38791402413078E-5</v>
      </c>
      <c r="K58" s="3" t="str">
        <f>"57628/1804/2897/7881/3745/3747/3750/10008/23630/30818/3760/3764/3778/3779/3783/3785/56479"</f>
        <v>57628/1804/2897/7881/3745/3747/3750/10008/23630/30818/3760/3764/3778/3779/3783/3785/56479</v>
      </c>
    </row>
    <row r="59" spans="1:11">
      <c r="A59" s="3" t="str">
        <f>"GO:0005788"</f>
        <v>GO:0005788</v>
      </c>
      <c r="B59" s="3" t="str">
        <f>"endoplasmic reticulum lumen"</f>
        <v>endoplasmic reticulum lumen</v>
      </c>
      <c r="C59" s="6" t="str">
        <f>"CC"</f>
        <v>CC</v>
      </c>
      <c r="D59" s="6">
        <v>34</v>
      </c>
      <c r="E59" s="3">
        <v>0.11003236245954701</v>
      </c>
      <c r="F59" s="4">
        <v>3.08631154667291E-5</v>
      </c>
      <c r="G59" s="3" t="str">
        <f>"34/873"</f>
        <v>34/873</v>
      </c>
      <c r="H59" s="3" t="str">
        <f>"309/19717"</f>
        <v>309/19717</v>
      </c>
      <c r="I59" s="4">
        <v>1.0374156459404801E-6</v>
      </c>
      <c r="J59" s="4">
        <v>2.4229115415057199E-5</v>
      </c>
      <c r="K59" s="3" t="str">
        <f>"11096/340075/652/1000/1066/1114/91851/1191/1305/7373/1307/1308/1278/1280/1288/1290/50509/1291/1292/1298/23127/2159/2200/51280/493869/3912/56034/5179/5799/5768/57333/11001/10418/1462"</f>
        <v>11096/340075/652/1000/1066/1114/91851/1191/1305/7373/1307/1308/1278/1280/1288/1290/50509/1291/1292/1298/23127/2159/2200/51280/493869/3912/56034/5179/5799/5768/57333/11001/10418/1462</v>
      </c>
    </row>
    <row r="60" spans="1:11">
      <c r="A60" s="3" t="str">
        <f>"GO:0008076"</f>
        <v>GO:0008076</v>
      </c>
      <c r="B60" s="3" t="str">
        <f>"voltage-gated potassium channel complex"</f>
        <v>voltage-gated potassium channel complex</v>
      </c>
      <c r="C60" s="6" t="str">
        <f>"CC"</f>
        <v>CC</v>
      </c>
      <c r="D60" s="6">
        <v>16</v>
      </c>
      <c r="E60" s="3">
        <v>0.18390804597701099</v>
      </c>
      <c r="F60" s="4">
        <v>3.2996033493147302E-5</v>
      </c>
      <c r="G60" s="3" t="str">
        <f>"16/873"</f>
        <v>16/873</v>
      </c>
      <c r="H60" s="3" t="str">
        <f>"87/19717"</f>
        <v>87/19717</v>
      </c>
      <c r="I60" s="4">
        <v>1.1784297676124001E-6</v>
      </c>
      <c r="J60" s="4">
        <v>2.5903564551232402E-5</v>
      </c>
      <c r="K60" s="3" t="str">
        <f>"57628/1804/7881/3745/3747/3750/10008/23630/30818/3760/3764/3778/3779/3783/3785/56479"</f>
        <v>57628/1804/7881/3745/3747/3750/10008/23630/30818/3760/3764/3778/3779/3783/3785/56479</v>
      </c>
    </row>
    <row r="61" spans="1:11">
      <c r="A61" s="3" t="str">
        <f>"GO:0044853"</f>
        <v>GO:0044853</v>
      </c>
      <c r="B61" s="3" t="str">
        <f>"plasma membrane raft"</f>
        <v>plasma membrane raft</v>
      </c>
      <c r="C61" s="6" t="str">
        <f>"CC"</f>
        <v>CC</v>
      </c>
      <c r="D61" s="6">
        <v>18</v>
      </c>
      <c r="E61" s="3">
        <v>0.16513761467889901</v>
      </c>
      <c r="F61" s="4">
        <v>3.5453872279258299E-5</v>
      </c>
      <c r="G61" s="3" t="str">
        <f>"18/873"</f>
        <v>18/873</v>
      </c>
      <c r="H61" s="3" t="str">
        <f>"109/19717"</f>
        <v>109/19717</v>
      </c>
      <c r="I61" s="4">
        <v>1.34069264921565E-6</v>
      </c>
      <c r="J61" s="4">
        <v>2.7833093010032499E-5</v>
      </c>
      <c r="K61" s="3" t="str">
        <f>"148/477/857/858/8436/1000/30846/5348/3778/4118/23209/931/4642/4842/64805/5740/7035/7223"</f>
        <v>148/477/857/858/8436/1000/30846/5348/3778/4118/23209/931/4642/4842/64805/5740/7035/7223</v>
      </c>
    </row>
    <row r="62" spans="1:11">
      <c r="A62" s="3" t="str">
        <f>"GO:0006816"</f>
        <v>GO:0006816</v>
      </c>
      <c r="B62" s="3" t="str">
        <f>"calcium ion transport"</f>
        <v>calcium ion transport</v>
      </c>
      <c r="C62" s="6" t="str">
        <f>"BP"</f>
        <v>BP</v>
      </c>
      <c r="D62" s="6">
        <v>44</v>
      </c>
      <c r="E62" s="3">
        <v>0.101382488479263</v>
      </c>
      <c r="F62" s="4">
        <v>5.4265779043119101E-5</v>
      </c>
      <c r="G62" s="3" t="str">
        <f>"44/836"</f>
        <v>44/836</v>
      </c>
      <c r="H62" s="3" t="str">
        <f>"434/18670"</f>
        <v>434/18670</v>
      </c>
      <c r="I62" s="4">
        <v>3.8642975920837601E-7</v>
      </c>
      <c r="J62" s="4">
        <v>4.3733388989507302E-5</v>
      </c>
      <c r="K62" s="3" t="str">
        <f>"148/79026/287/196527/309/477/27032/773/857/6366/57214/6387/1950/2259/2247/2645/2669/2775/2823/9455/3603/10008/3783/931/4638/4842/64805/5350/5579/9104/8787/6236/6262/57419/159371/6546/6769/140738/7220/7223/54795/79054/55503/27075"</f>
        <v>148/79026/287/196527/309/477/27032/773/857/6366/57214/6387/1950/2259/2247/2645/2669/2775/2823/9455/3603/10008/3783/931/4638/4842/64805/5350/5579/9104/8787/6236/6262/57419/159371/6546/6769/140738/7220/7223/54795/79054/55503/27075</v>
      </c>
    </row>
    <row r="63" spans="1:11">
      <c r="A63" s="3" t="str">
        <f>"GO:0019932"</f>
        <v>GO:0019932</v>
      </c>
      <c r="B63" s="3" t="str">
        <f>"second-messenger-mediated signaling"</f>
        <v>second-messenger-mediated signaling</v>
      </c>
      <c r="C63" s="6" t="str">
        <f>"BP"</f>
        <v>BP</v>
      </c>
      <c r="D63" s="6">
        <v>44</v>
      </c>
      <c r="E63" s="3">
        <v>0.100227790432802</v>
      </c>
      <c r="F63" s="4">
        <v>7.2417622714652299E-5</v>
      </c>
      <c r="G63" s="3" t="str">
        <f>"44/836"</f>
        <v>44/836</v>
      </c>
      <c r="H63" s="3" t="str">
        <f>"439/18670"</f>
        <v>439/18670</v>
      </c>
      <c r="I63" s="4">
        <v>5.3042409312868398E-7</v>
      </c>
      <c r="J63" s="4">
        <v>5.8362159720562501E-5</v>
      </c>
      <c r="K63" s="3" t="str">
        <f>"100/283383/23284/148/153/155/287/477/1524/2833/1908/1910/1979/2065/51083/2587/23432/9455/3479/3747/8549/79625/4842/4880/3084/81285/64805/8654/5350/55607/5577/5578/5592/5732/5737/5744/10231/9104/6262/201191/6444/6546/55273/54795"</f>
        <v>100/283383/23284/148/153/155/287/477/1524/2833/1908/1910/1979/2065/51083/2587/23432/9455/3479/3747/8549/79625/4842/4880/3084/81285/64805/8654/5350/55607/5577/5578/5592/5732/5737/5744/10231/9104/6262/201191/6444/6546/55273/54795</v>
      </c>
    </row>
    <row r="64" spans="1:11">
      <c r="A64" s="3" t="str">
        <f>"GO:1902495"</f>
        <v>GO:1902495</v>
      </c>
      <c r="B64" s="3" t="str">
        <f>"transmembrane transporter complex"</f>
        <v>transmembrane transporter complex</v>
      </c>
      <c r="C64" s="6" t="str">
        <f>"CC"</f>
        <v>CC</v>
      </c>
      <c r="D64" s="6">
        <v>34</v>
      </c>
      <c r="E64" s="3">
        <v>0.104938271604938</v>
      </c>
      <c r="F64" s="4">
        <v>7.5655924739858506E-5</v>
      </c>
      <c r="G64" s="3" t="str">
        <f>"34/873"</f>
        <v>34/873</v>
      </c>
      <c r="H64" s="3" t="str">
        <f>"324/19717"</f>
        <v>324/19717</v>
      </c>
      <c r="I64" s="4">
        <v>3.0198793488598999E-6</v>
      </c>
      <c r="J64" s="4">
        <v>5.9393748966496697E-5</v>
      </c>
      <c r="K64" s="3" t="str">
        <f>"196527/477/773/1364/54102/57628/1804/5348/2562/2892/2897/7881/3745/3747/3750/10008/23630/30818/3760/3764/3778/3779/3783/3785/56479/57554/80131/4842/5350/6262/6332/7220/7223/54795"</f>
        <v>196527/477/773/1364/54102/57628/1804/5348/2562/2892/2897/7881/3745/3747/3750/10008/23630/30818/3760/3764/3778/3779/3783/3785/56479/57554/80131/4842/5350/6262/6332/7220/7223/54795</v>
      </c>
    </row>
    <row r="65" spans="1:11">
      <c r="A65" s="3" t="str">
        <f>"GO:0060350"</f>
        <v>GO:0060350</v>
      </c>
      <c r="B65" s="3" t="str">
        <f>"endochondral bone morphogenesis"</f>
        <v>endochondral bone morphogenesis</v>
      </c>
      <c r="C65" s="6" t="str">
        <f>"BP"</f>
        <v>BP</v>
      </c>
      <c r="D65" s="6">
        <v>15</v>
      </c>
      <c r="E65" s="3">
        <v>0.20547945205479501</v>
      </c>
      <c r="F65" s="4">
        <v>8.75607960424069E-5</v>
      </c>
      <c r="G65" s="3" t="str">
        <f>"15/836"</f>
        <v>15/836</v>
      </c>
      <c r="H65" s="3" t="str">
        <f>"73/18670"</f>
        <v>73/18670</v>
      </c>
      <c r="I65" s="4">
        <v>6.5915553480550497E-7</v>
      </c>
      <c r="J65" s="4">
        <v>7.0566209885437103E-5</v>
      </c>
      <c r="K65" s="3" t="str">
        <f>"309/8313/652/658/1305/7373/1280/1291/1292/4147/4323/4325/4880/51435/5212"</f>
        <v>309/8313/652/658/1305/7373/1280/1291/1292/4147/4323/4325/4880/51435/5212</v>
      </c>
    </row>
    <row r="66" spans="1:11">
      <c r="A66" s="3" t="str">
        <f>"GO:0060349"</f>
        <v>GO:0060349</v>
      </c>
      <c r="B66" s="3" t="str">
        <f>"bone morphogenesis"</f>
        <v>bone morphogenesis</v>
      </c>
      <c r="C66" s="6" t="str">
        <f>"BP"</f>
        <v>BP</v>
      </c>
      <c r="D66" s="6">
        <v>19</v>
      </c>
      <c r="E66" s="3">
        <v>0.16666666666666699</v>
      </c>
      <c r="F66" s="4">
        <v>9.0184657812143206E-5</v>
      </c>
      <c r="G66" s="3" t="str">
        <f>"19/836"</f>
        <v>19/836</v>
      </c>
      <c r="H66" s="3" t="str">
        <f>"114/18670"</f>
        <v>114/18670</v>
      </c>
      <c r="I66" s="4">
        <v>6.9725676436651904E-7</v>
      </c>
      <c r="J66" s="4">
        <v>7.2680808983690003E-5</v>
      </c>
      <c r="K66" s="3" t="str">
        <f>"309/8313/652/658/1305/7373/1280/1291/1292/2263/4147/4323/4325/4880/116039/51435/6423/7043/5212"</f>
        <v>309/8313/652/658/1305/7373/1280/1291/1292/2263/4147/4323/4325/4880/116039/51435/6423/7043/5212</v>
      </c>
    </row>
    <row r="67" spans="1:11">
      <c r="A67" s="3" t="str">
        <f>"GO:0048018"</f>
        <v>GO:0048018</v>
      </c>
      <c r="B67" s="3" t="str">
        <f>"receptor ligand activity"</f>
        <v>receptor ligand activity</v>
      </c>
      <c r="C67" s="6" t="str">
        <f>"MF"</f>
        <v>MF</v>
      </c>
      <c r="D67" s="6">
        <v>47</v>
      </c>
      <c r="E67" s="3">
        <v>9.7510373443983403E-2</v>
      </c>
      <c r="F67" s="4">
        <v>9.9730500014758502E-5</v>
      </c>
      <c r="G67" s="3" t="str">
        <f>"47/813"</f>
        <v>47/813</v>
      </c>
      <c r="H67" s="3" t="str">
        <f>"482/17696"</f>
        <v>482/17696</v>
      </c>
      <c r="I67" s="4">
        <v>9.7416849831265892E-7</v>
      </c>
      <c r="J67" s="4">
        <v>8.8828785438246395E-5</v>
      </c>
      <c r="K67" s="3" t="str">
        <f>"627/652/653/6366/1114/6387/10563/22943/1908/2202/1950/2045/131177/2200/2259/2247/2252/2323/252995/51083/2662/9518/64388/3479/3603/4254/4693/4880/4852/3084/9542/4969/56034/5179/5228/5744/92304/10371/9723/80031/6423/407738/338811/7043/7060/85480/7472"</f>
        <v>627/652/653/6366/1114/6387/10563/22943/1908/2202/1950/2045/131177/2200/2259/2247/2252/2323/252995/51083/2662/9518/64388/3479/3603/4254/4693/4880/4852/3084/9542/4969/56034/5179/5228/5744/92304/10371/9723/80031/6423/407738/338811/7043/7060/85480/7472</v>
      </c>
    </row>
    <row r="68" spans="1:11">
      <c r="A68" s="3" t="str">
        <f>"GO:0001655"</f>
        <v>GO:0001655</v>
      </c>
      <c r="B68" s="3" t="str">
        <f>"urogenital system development"</f>
        <v>urogenital system development</v>
      </c>
      <c r="C68" s="6" t="str">
        <f>"BP"</f>
        <v>BP</v>
      </c>
      <c r="D68" s="6">
        <v>36</v>
      </c>
      <c r="E68" s="3">
        <v>0.109090909090909</v>
      </c>
      <c r="F68" s="4">
        <v>9.9961031501668706E-5</v>
      </c>
      <c r="G68" s="3" t="str">
        <f>"36/836"</f>
        <v>36/836</v>
      </c>
      <c r="H68" s="3" t="str">
        <f>"330/18670"</f>
        <v>330/18670</v>
      </c>
      <c r="I68" s="4">
        <v>7.9318010754121597E-7</v>
      </c>
      <c r="J68" s="4">
        <v>8.0559696212620702E-5</v>
      </c>
      <c r="K68" s="3" t="str">
        <f>"284/652/1634/2018/2028/4072/2045/79633/2200/2247/2260/2263/2288/3169/2294/2650/10481/3239/3400/153572/8516/55083/8549/93649/4811/4824/116039/5228/5950/9104/6092/4070/6943/7481/7482/7490"</f>
        <v>284/652/1634/2018/2028/4072/2045/79633/2200/2247/2260/2263/2288/3169/2294/2650/10481/3239/3400/153572/8516/55083/8549/93649/4811/4824/116039/5228/5950/9104/6092/4070/6943/7481/7482/7490</v>
      </c>
    </row>
    <row r="69" spans="1:11">
      <c r="A69" s="3" t="str">
        <f>"GO:0043266"</f>
        <v>GO:0043266</v>
      </c>
      <c r="B69" s="3" t="str">
        <f>"regulation of potassium ion transport"</f>
        <v>regulation of potassium ion transport</v>
      </c>
      <c r="C69" s="6" t="str">
        <f>"BP"</f>
        <v>BP</v>
      </c>
      <c r="D69" s="6">
        <v>18</v>
      </c>
      <c r="E69" s="3">
        <v>0.17142857142857101</v>
      </c>
      <c r="F69" s="3">
        <v>1.09289293004626E-4</v>
      </c>
      <c r="G69" s="3" t="str">
        <f>"18/836"</f>
        <v>18/836</v>
      </c>
      <c r="H69" s="3" t="str">
        <f>"105/18670"</f>
        <v>105/18670</v>
      </c>
      <c r="I69" s="4">
        <v>8.8943473452391297E-7</v>
      </c>
      <c r="J69" s="4">
        <v>8.8077444895091704E-5</v>
      </c>
      <c r="K69" s="3" t="str">
        <f>"287/196527/857/57628/1804/1908/2273/51083/2645/7881/3747/10008/23630/30818/3779/3781/23327/4842"</f>
        <v>287/196527/857/57628/1804/1908/2273/51083/2645/7881/3747/10008/23630/30818/3779/3781/23327/4842</v>
      </c>
    </row>
    <row r="70" spans="1:11">
      <c r="A70" s="3" t="str">
        <f>"GO:0030546"</f>
        <v>GO:0030546</v>
      </c>
      <c r="B70" s="3" t="str">
        <f>"signaling receptor activator activity"</f>
        <v>signaling receptor activator activity</v>
      </c>
      <c r="C70" s="6" t="str">
        <f>"MF"</f>
        <v>MF</v>
      </c>
      <c r="D70" s="6">
        <v>47</v>
      </c>
      <c r="E70" s="3">
        <v>9.65092402464066E-2</v>
      </c>
      <c r="F70" s="3">
        <v>1.18501417828643E-4</v>
      </c>
      <c r="G70" s="3" t="str">
        <f>"47/813"</f>
        <v>47/813</v>
      </c>
      <c r="H70" s="3" t="str">
        <f>"487/17696"</f>
        <v>487/17696</v>
      </c>
      <c r="I70" s="4">
        <v>1.3022133827323401E-6</v>
      </c>
      <c r="J70" s="3">
        <v>1.05547821547779E-4</v>
      </c>
      <c r="K70" s="3" t="str">
        <f>"627/652/653/6366/1114/6387/10563/22943/1908/2202/1950/2045/131177/2200/2259/2247/2252/2323/252995/51083/2662/9518/64388/3479/3603/4254/4693/4880/4852/3084/9542/4969/56034/5179/5228/5744/92304/10371/9723/80031/6423/407738/338811/7043/7060/85480/7472"</f>
        <v>627/652/653/6366/1114/6387/10563/22943/1908/2202/1950/2045/131177/2200/2259/2247/2252/2323/252995/51083/2662/9518/64388/3479/3603/4254/4693/4880/4852/3084/9542/4969/56034/5179/5228/5744/92304/10371/9723/80031/6423/407738/338811/7043/7060/85480/7472</v>
      </c>
    </row>
    <row r="71" spans="1:11">
      <c r="A71" s="3" t="str">
        <f>"GO:0008016"</f>
        <v>GO:0008016</v>
      </c>
      <c r="B71" s="3" t="str">
        <f>"regulation of heart contraction"</f>
        <v>regulation of heart contraction</v>
      </c>
      <c r="C71" s="6" t="str">
        <f>"BP"</f>
        <v>BP</v>
      </c>
      <c r="D71" s="6">
        <v>30</v>
      </c>
      <c r="E71" s="3">
        <v>0.119521912350598</v>
      </c>
      <c r="F71" s="3">
        <v>1.18633259173206E-4</v>
      </c>
      <c r="G71" s="3" t="str">
        <f>"30/836"</f>
        <v>30/836</v>
      </c>
      <c r="H71" s="3" t="str">
        <f>"251/18670"</f>
        <v>251/18670</v>
      </c>
      <c r="I71" s="4">
        <v>9.8961620063101998E-7</v>
      </c>
      <c r="J71" s="4">
        <v>9.5607850140552703E-5</v>
      </c>
      <c r="K71" s="3" t="str">
        <f>"100/148/153/287/477/857/1824/1908/5348/53826/2775/27129/3750/10008/23630/30818/3760/3781/4624/4842/4880/8654/5350/6262/10371/6546/6863/6909/7220/54795"</f>
        <v>100/148/153/287/477/857/1824/1908/5348/53826/2775/27129/3750/10008/23630/30818/3760/3781/4624/4842/4880/8654/5350/6262/10371/6546/6863/6909/7220/54795</v>
      </c>
    </row>
    <row r="72" spans="1:11">
      <c r="A72" s="3" t="str">
        <f>"GO:1990351"</f>
        <v>GO:1990351</v>
      </c>
      <c r="B72" s="3" t="str">
        <f>"transporter complex"</f>
        <v>transporter complex</v>
      </c>
      <c r="C72" s="6" t="str">
        <f>"CC"</f>
        <v>CC</v>
      </c>
      <c r="D72" s="6">
        <v>34</v>
      </c>
      <c r="E72" s="3">
        <v>0.102409638554217</v>
      </c>
      <c r="F72" s="3">
        <v>1.2287443668958101E-4</v>
      </c>
      <c r="G72" s="3" t="str">
        <f>"34/873"</f>
        <v>34/873</v>
      </c>
      <c r="H72" s="3" t="str">
        <f>"332/19717"</f>
        <v>332/19717</v>
      </c>
      <c r="I72" s="4">
        <v>5.1627914575454E-6</v>
      </c>
      <c r="J72" s="4">
        <v>9.6462682496243005E-5</v>
      </c>
      <c r="K72" s="3" t="str">
        <f>"196527/477/773/1364/54102/57628/1804/5348/2562/2892/2897/7881/3745/3747/3750/10008/23630/30818/3760/3764/3778/3779/3783/3785/56479/57554/80131/4842/5350/6262/6332/7220/7223/54795"</f>
        <v>196527/477/773/1364/54102/57628/1804/5348/2562/2892/2897/7881/3745/3747/3750/10008/23630/30818/3760/3764/3778/3779/3783/3785/56479/57554/80131/4842/5350/6262/6332/7220/7223/54795</v>
      </c>
    </row>
    <row r="73" spans="1:11">
      <c r="A73" s="3" t="str">
        <f>"GO:0003206"</f>
        <v>GO:0003206</v>
      </c>
      <c r="B73" s="3" t="str">
        <f>"cardiac chamber morphogenesis"</f>
        <v>cardiac chamber morphogenesis</v>
      </c>
      <c r="C73" s="6" t="str">
        <f>"BP"</f>
        <v>BP</v>
      </c>
      <c r="D73" s="6">
        <v>20</v>
      </c>
      <c r="E73" s="3">
        <v>0.15503875968992201</v>
      </c>
      <c r="F73" s="3">
        <v>1.3732349381120499E-4</v>
      </c>
      <c r="G73" s="3" t="str">
        <f>"20/836"</f>
        <v>20/836</v>
      </c>
      <c r="H73" s="3" t="str">
        <f>"129/18670"</f>
        <v>129/18670</v>
      </c>
      <c r="I73" s="4">
        <v>1.1734662746837499E-6</v>
      </c>
      <c r="J73" s="3">
        <v>1.10670516081076E-4</v>
      </c>
      <c r="K73" s="3" t="str">
        <f>"652/653/2263/2294/2627/23462/4624/3084/8828/5950/6092/6262/6423/6586/6899/6909/6910/7049/7481/7472"</f>
        <v>652/653/2263/2294/2627/23462/4624/3084/8828/5950/6092/6262/6423/6586/6899/6909/6910/7049/7481/7472</v>
      </c>
    </row>
    <row r="74" spans="1:11">
      <c r="A74" s="3" t="str">
        <f>"GO:0048286"</f>
        <v>GO:0048286</v>
      </c>
      <c r="B74" s="3" t="str">
        <f>"lung alveolus development"</f>
        <v>lung alveolus development</v>
      </c>
      <c r="C74" s="6" t="str">
        <f>"BP"</f>
        <v>BP</v>
      </c>
      <c r="D74" s="6">
        <v>11</v>
      </c>
      <c r="E74" s="3">
        <v>0.26829268292682901</v>
      </c>
      <c r="F74" s="3">
        <v>1.4011981236151E-4</v>
      </c>
      <c r="G74" s="3" t="str">
        <f>"11/836"</f>
        <v>11/836</v>
      </c>
      <c r="H74" s="3" t="str">
        <f>"41/18670"</f>
        <v>41/18670</v>
      </c>
      <c r="I74" s="4">
        <v>1.2500268531379899E-6</v>
      </c>
      <c r="J74" s="3">
        <v>1.1292409999815E-4</v>
      </c>
      <c r="K74" s="3" t="str">
        <f>"100/652/2263/3169/2294/2627/93649/5241/23657/6943/7043"</f>
        <v>100/652/2263/3169/2294/2627/93649/5241/23657/6943/7043</v>
      </c>
    </row>
    <row r="75" spans="1:11">
      <c r="A75" s="3" t="str">
        <f>"GO:0001837"</f>
        <v>GO:0001837</v>
      </c>
      <c r="B75" s="3" t="str">
        <f>"epithelial to mesenchymal transition"</f>
        <v>epithelial to mesenchymal transition</v>
      </c>
      <c r="C75" s="6" t="str">
        <f>"BP"</f>
        <v>BP</v>
      </c>
      <c r="D75" s="6">
        <v>21</v>
      </c>
      <c r="E75" s="3">
        <v>0.14893617021276601</v>
      </c>
      <c r="F75" s="3">
        <v>1.4011981236151E-4</v>
      </c>
      <c r="G75" s="3" t="str">
        <f>"21/836"</f>
        <v>21/836</v>
      </c>
      <c r="H75" s="3" t="str">
        <f>"141/18670"</f>
        <v>141/18670</v>
      </c>
      <c r="I75" s="4">
        <v>1.2543787881803599E-6</v>
      </c>
      <c r="J75" s="3">
        <v>1.1292409999815E-4</v>
      </c>
      <c r="K75" s="3" t="str">
        <f>"8313/652/653/80237/2042/81610/2263/3169/2295/23462/8091/3249/6275/6423/6591/6910/7043/7049/55273/7481/7472"</f>
        <v>8313/652/653/80237/2042/81610/2263/3169/2295/23462/8091/3249/6275/6423/6591/6910/7043/7049/55273/7481/7472</v>
      </c>
    </row>
    <row r="76" spans="1:11">
      <c r="A76" s="3" t="str">
        <f>"GO:0016049"</f>
        <v>GO:0016049</v>
      </c>
      <c r="B76" s="3" t="str">
        <f>"cell growth"</f>
        <v>cell growth</v>
      </c>
      <c r="C76" s="6" t="str">
        <f>"BP"</f>
        <v>BP</v>
      </c>
      <c r="D76" s="6">
        <v>46</v>
      </c>
      <c r="E76" s="3">
        <v>9.5041322314049603E-2</v>
      </c>
      <c r="F76" s="3">
        <v>1.4285176817096799E-4</v>
      </c>
      <c r="G76" s="3" t="str">
        <f>"46/836"</f>
        <v>46/836</v>
      </c>
      <c r="H76" s="3" t="str">
        <f>"484/18670"</f>
        <v>484/18670</v>
      </c>
      <c r="I76" s="4">
        <v>1.30790021723165E-6</v>
      </c>
      <c r="J76" s="3">
        <v>1.1512581327351299E-4</v>
      </c>
      <c r="K76" s="3" t="str">
        <f>"148/627/684/57699/1410/6387/1808/2045/11170/10516/2203/2273/2487/51083/2786/3249/3479/3676/8425/4131/55384/4323/10071/93649/23327/8828/4916/57144/10611/5468/84722/92304/10371/9723/80031/5270/6423/6456/80736/6586/6857/7414/58189/7481/7490/9839"</f>
        <v>148/627/684/57699/1410/6387/1808/2045/11170/10516/2203/2273/2487/51083/2786/3249/3479/3676/8425/4131/55384/4323/10071/93649/23327/8828/4916/57144/10611/5468/84722/92304/10371/9723/80031/5270/6423/6456/80736/6586/6857/7414/58189/7481/7490/9839</v>
      </c>
    </row>
    <row r="77" spans="1:11">
      <c r="A77" s="3" t="str">
        <f>"GO:0099106"</f>
        <v>GO:0099106</v>
      </c>
      <c r="B77" s="3" t="str">
        <f>"ion channel regulator activity"</f>
        <v>ion channel regulator activity</v>
      </c>
      <c r="C77" s="6" t="str">
        <f>"MF"</f>
        <v>MF</v>
      </c>
      <c r="D77" s="6">
        <v>19</v>
      </c>
      <c r="E77" s="3">
        <v>0.161016949152542</v>
      </c>
      <c r="F77" s="3">
        <v>1.4294806145532E-4</v>
      </c>
      <c r="G77" s="3" t="str">
        <f>"19/813"</f>
        <v>19/813</v>
      </c>
      <c r="H77" s="3" t="str">
        <f>"118/17696"</f>
        <v>118/17696</v>
      </c>
      <c r="I77" s="4">
        <v>1.74539757576704E-6</v>
      </c>
      <c r="J77" s="3">
        <v>1.2732216000069E-4</v>
      </c>
      <c r="K77" s="3" t="str">
        <f>"857/57628/1804/5348/53826/2669/51440/7881/10008/23630/30818/3779/23327/4852/5350/5579/5592/6236/27075"</f>
        <v>857/57628/1804/5348/53826/2669/51440/7881/10008/23630/30818/3779/23327/4852/5350/5579/5592/6236/27075</v>
      </c>
    </row>
    <row r="78" spans="1:11">
      <c r="A78" s="3" t="str">
        <f>"GO:1903522"</f>
        <v>GO:1903522</v>
      </c>
      <c r="B78" s="3" t="str">
        <f>"regulation of blood circulation"</f>
        <v>regulation of blood circulation</v>
      </c>
      <c r="C78" s="6" t="str">
        <f>"BP"</f>
        <v>BP</v>
      </c>
      <c r="D78" s="6">
        <v>33</v>
      </c>
      <c r="E78" s="3">
        <v>0.11111111111111099</v>
      </c>
      <c r="F78" s="3">
        <v>1.6161520204667501E-4</v>
      </c>
      <c r="G78" s="3" t="str">
        <f>"33/836"</f>
        <v>33/836</v>
      </c>
      <c r="H78" s="3" t="str">
        <f>"297/18670"</f>
        <v>297/18670</v>
      </c>
      <c r="I78" s="4">
        <v>1.5125736102028601E-6</v>
      </c>
      <c r="J78" s="3">
        <v>1.3024747128588901E-4</v>
      </c>
      <c r="K78" s="3" t="str">
        <f>"100/148/153/287/477/857/1131/1824/1908/5348/53826/2775/27129/3750/10008/23630/30818/3760/3781/4624/4842/4880/81285/8654/5350/5732/6262/10371/6546/6863/6909/7220/54795"</f>
        <v>100/148/153/287/477/857/1131/1824/1908/5348/53826/2775/27129/3750/10008/23630/30818/3760/3781/4624/4842/4880/81285/8654/5350/5732/6262/10371/6546/6863/6909/7220/54795</v>
      </c>
    </row>
    <row r="79" spans="1:11">
      <c r="A79" s="3" t="str">
        <f>"GO:0002026"</f>
        <v>GO:0002026</v>
      </c>
      <c r="B79" s="3" t="str">
        <f>"regulation of the force of heart contraction"</f>
        <v>regulation of the force of heart contraction</v>
      </c>
      <c r="C79" s="6" t="str">
        <f>"BP"</f>
        <v>BP</v>
      </c>
      <c r="D79" s="6">
        <v>9</v>
      </c>
      <c r="E79" s="3">
        <v>0.33333333333333298</v>
      </c>
      <c r="F79" s="3">
        <v>1.6398911784036701E-4</v>
      </c>
      <c r="G79" s="3" t="str">
        <f>"9/836"</f>
        <v>9/836</v>
      </c>
      <c r="H79" s="3" t="str">
        <f>"27/18670"</f>
        <v>27/18670</v>
      </c>
      <c r="I79" s="4">
        <v>1.56815636592009E-6</v>
      </c>
      <c r="J79" s="3">
        <v>1.3216063616925701E-4</v>
      </c>
      <c r="K79" s="3" t="str">
        <f>"148/153/477/857/4624/4842/5350/6262/6546"</f>
        <v>148/153/477/857/4624/4842/5350/6262/6546</v>
      </c>
    </row>
    <row r="80" spans="1:11">
      <c r="A80" s="3" t="str">
        <f>"GO:0048863"</f>
        <v>GO:0048863</v>
      </c>
      <c r="B80" s="3" t="str">
        <f>"stem cell differentiation"</f>
        <v>stem cell differentiation</v>
      </c>
      <c r="C80" s="6" t="str">
        <f>"BP"</f>
        <v>BP</v>
      </c>
      <c r="D80" s="6">
        <v>30</v>
      </c>
      <c r="E80" s="3">
        <v>0.116731517509728</v>
      </c>
      <c r="F80" s="3">
        <v>1.66546185207021E-4</v>
      </c>
      <c r="G80" s="3" t="str">
        <f>"30/836"</f>
        <v>30/836</v>
      </c>
      <c r="H80" s="3" t="str">
        <f>"257/18670"</f>
        <v>257/18670</v>
      </c>
      <c r="I80" s="4">
        <v>1.6264937721133299E-6</v>
      </c>
      <c r="J80" s="3">
        <v>1.34221404922422E-4</v>
      </c>
      <c r="K80" s="3" t="str">
        <f>"2/309/652/1908/1910/80237/4072/100170841/2263/3169/2487/2627/2823/8091/4254/93649/3084/8828/5308/10371/9723/80031/6591/6660/4070/407738/6899/6909/6910/9839"</f>
        <v>2/309/652/1908/1910/80237/4072/100170841/2263/3169/2487/2627/2823/8091/4254/93649/3084/8828/5308/10371/9723/80031/6591/6660/4070/407738/6899/6909/6910/9839</v>
      </c>
    </row>
    <row r="81" spans="1:11">
      <c r="A81" s="3" t="str">
        <f>"GO:0048568"</f>
        <v>GO:0048568</v>
      </c>
      <c r="B81" s="3" t="str">
        <f>"embryonic organ development"</f>
        <v>embryonic organ development</v>
      </c>
      <c r="C81" s="6" t="str">
        <f>"BP"</f>
        <v>BP</v>
      </c>
      <c r="D81" s="6">
        <v>42</v>
      </c>
      <c r="E81" s="3">
        <v>9.8130841121495296E-2</v>
      </c>
      <c r="F81" s="3">
        <v>1.6723469371414301E-4</v>
      </c>
      <c r="G81" s="3" t="str">
        <f>"42/836"</f>
        <v>42/836</v>
      </c>
      <c r="H81" s="3" t="str">
        <f>"428/18670"</f>
        <v>428/18670</v>
      </c>
      <c r="I81" s="4">
        <v>1.6672431316364201E-6</v>
      </c>
      <c r="J81" s="3">
        <v>1.3477628151123199E-4</v>
      </c>
      <c r="K81" s="3" t="str">
        <f>"100/652/653/1280/1290/1746/2202/2200/2260/2263/2323/2304/2294/2295/2487/23462/3236/3249/8516/4254/4323/4325/8013/203447/116039/56034/5919/5950/348093/9750/7732/6262/80736/84189/6768/6899/6909/6943/7043/259236/7481/7472"</f>
        <v>100/652/653/1280/1290/1746/2202/2200/2260/2263/2323/2304/2294/2295/2487/23462/3236/3249/8516/4254/4323/4325/8013/203447/116039/56034/5919/5950/348093/9750/7732/6262/80736/84189/6768/6899/6909/6943/7043/259236/7481/7472</v>
      </c>
    </row>
    <row r="82" spans="1:11">
      <c r="A82" s="3" t="str">
        <f>"GO:0019199"</f>
        <v>GO:0019199</v>
      </c>
      <c r="B82" s="3" t="str">
        <f>"transmembrane receptor protein kinase activity"</f>
        <v>transmembrane receptor protein kinase activity</v>
      </c>
      <c r="C82" s="6" t="str">
        <f t="shared" ref="C82:C87" si="2">"MF"</f>
        <v>MF</v>
      </c>
      <c r="D82" s="6">
        <v>15</v>
      </c>
      <c r="E82" s="3">
        <v>0.189873417721519</v>
      </c>
      <c r="F82" s="3">
        <v>1.8075334399562199E-4</v>
      </c>
      <c r="G82" s="3" t="str">
        <f>"15/813"</f>
        <v>15/813</v>
      </c>
      <c r="H82" s="3" t="str">
        <f>"79/17696"</f>
        <v>79/17696</v>
      </c>
      <c r="I82" s="4">
        <v>2.5990844019537302E-6</v>
      </c>
      <c r="J82" s="3">
        <v>1.60994881291647E-4</v>
      </c>
      <c r="K82" s="3" t="str">
        <f>"658/4921/2202/2042/2045/2047/2065/2260/2263/2264/8425/8828/4914/4916/7049"</f>
        <v>658/4921/2202/2042/2045/2047/2065/2260/2263/2264/8425/8828/4914/4916/7049</v>
      </c>
    </row>
    <row r="83" spans="1:11">
      <c r="A83" s="3" t="str">
        <f>"GO:0016247"</f>
        <v>GO:0016247</v>
      </c>
      <c r="B83" s="3" t="str">
        <f>"channel regulator activity"</f>
        <v>channel regulator activity</v>
      </c>
      <c r="C83" s="6" t="str">
        <f t="shared" si="2"/>
        <v>MF</v>
      </c>
      <c r="D83" s="6">
        <v>21</v>
      </c>
      <c r="E83" s="3">
        <v>0.14583333333333301</v>
      </c>
      <c r="F83" s="3">
        <v>1.8075334399562199E-4</v>
      </c>
      <c r="G83" s="3" t="str">
        <f>"21/813"</f>
        <v>21/813</v>
      </c>
      <c r="H83" s="3" t="str">
        <f>"144/17696"</f>
        <v>144/17696</v>
      </c>
      <c r="I83" s="4">
        <v>2.6484006446245002E-6</v>
      </c>
      <c r="J83" s="3">
        <v>1.60994881291647E-4</v>
      </c>
      <c r="K83" s="3" t="str">
        <f>"857/57628/1804/5348/53826/2669/51440/7881/10008/23630/30818/3779/23327/4842/4852/5350/5579/5592/5652/6236/27075"</f>
        <v>857/57628/1804/5348/53826/2669/51440/7881/10008/23630/30818/3779/23327/4842/4852/5350/5579/5592/5652/6236/27075</v>
      </c>
    </row>
    <row r="84" spans="1:11">
      <c r="A84" s="3" t="str">
        <f>"GO:0005267"</f>
        <v>GO:0005267</v>
      </c>
      <c r="B84" s="3" t="str">
        <f>"potassium channel activity"</f>
        <v>potassium channel activity</v>
      </c>
      <c r="C84" s="6" t="str">
        <f t="shared" si="2"/>
        <v>MF</v>
      </c>
      <c r="D84" s="6">
        <v>19</v>
      </c>
      <c r="E84" s="3">
        <v>0.154471544715447</v>
      </c>
      <c r="F84" s="3">
        <v>1.9182567769884001E-4</v>
      </c>
      <c r="G84" s="3" t="str">
        <f>"19/813"</f>
        <v>19/813</v>
      </c>
      <c r="H84" s="3" t="str">
        <f>"123/17696"</f>
        <v>123/17696</v>
      </c>
      <c r="I84" s="4">
        <v>3.3038710803982202E-6</v>
      </c>
      <c r="J84" s="3">
        <v>1.70856878922044E-4</v>
      </c>
      <c r="K84" s="3" t="str">
        <f>"2897/3249/7881/3745/3747/3750/10008/23630/30818/3772/3760/3764/3778/3779/3781/3783/3785/56479/343450"</f>
        <v>2897/3249/7881/3745/3747/3750/10008/23630/30818/3772/3760/3764/3778/3779/3781/3783/3785/56479/343450</v>
      </c>
    </row>
    <row r="85" spans="1:11">
      <c r="A85" s="3" t="str">
        <f>"GO:0015267"</f>
        <v>GO:0015267</v>
      </c>
      <c r="B85" s="3" t="str">
        <f>"channel activity"</f>
        <v>channel activity</v>
      </c>
      <c r="C85" s="6" t="str">
        <f t="shared" si="2"/>
        <v>MF</v>
      </c>
      <c r="D85" s="6">
        <v>45</v>
      </c>
      <c r="E85" s="3">
        <v>9.49367088607595E-2</v>
      </c>
      <c r="F85" s="3">
        <v>1.9182567769884001E-4</v>
      </c>
      <c r="G85" s="3" t="str">
        <f>"45/813"</f>
        <v>45/813</v>
      </c>
      <c r="H85" s="3" t="str">
        <f>"474/17696"</f>
        <v>474/17696</v>
      </c>
      <c r="I85" s="4">
        <v>3.3905736438768798E-6</v>
      </c>
      <c r="J85" s="3">
        <v>1.70856878922044E-4</v>
      </c>
      <c r="K85" s="3" t="str">
        <f>"121601/196527/309/773/9635/1364/54102/5348/2562/2705/2706/2823/2892/2897/3249/7881/3745/3747/3750/10008/23630/30818/3772/3760/3764/3778/3779/3781/3783/3785/56479/343450/80131/6262/6332/6563/57419/26872/79838/140738/7220/7223/54795/79054/55503"</f>
        <v>121601/196527/309/773/9635/1364/54102/5348/2562/2705/2706/2823/2892/2897/3249/7881/3745/3747/3750/10008/23630/30818/3772/3760/3764/3778/3779/3781/3783/3785/56479/343450/80131/6262/6332/6563/57419/26872/79838/140738/7220/7223/54795/79054/55503</v>
      </c>
    </row>
    <row r="86" spans="1:11">
      <c r="A86" s="3" t="str">
        <f>"GO:0022803"</f>
        <v>GO:0022803</v>
      </c>
      <c r="B86" s="3" t="str">
        <f>"passive transmembrane transporter activity"</f>
        <v>passive transmembrane transporter activity</v>
      </c>
      <c r="C86" s="6" t="str">
        <f t="shared" si="2"/>
        <v>MF</v>
      </c>
      <c r="D86" s="6">
        <v>45</v>
      </c>
      <c r="E86" s="3">
        <v>9.4736842105263203E-2</v>
      </c>
      <c r="F86" s="3">
        <v>1.9182567769884001E-4</v>
      </c>
      <c r="G86" s="3" t="str">
        <f>"45/813"</f>
        <v>45/813</v>
      </c>
      <c r="H86" s="3" t="str">
        <f>"475/17696"</f>
        <v>475/17696</v>
      </c>
      <c r="I86" s="4">
        <v>3.5846107049380299E-6</v>
      </c>
      <c r="J86" s="3">
        <v>1.70856878922044E-4</v>
      </c>
      <c r="K86" s="3" t="str">
        <f>"121601/196527/309/773/9635/1364/54102/5348/2562/2705/2706/2823/2892/2897/3249/7881/3745/3747/3750/10008/23630/30818/3772/3760/3764/3778/3779/3781/3783/3785/56479/343450/80131/6262/6332/6563/57419/26872/79838/140738/7220/7223/54795/79054/55503"</f>
        <v>121601/196527/309/773/9635/1364/54102/5348/2562/2705/2706/2823/2892/2897/3249/7881/3745/3747/3750/10008/23630/30818/3772/3760/3764/3778/3779/3781/3783/3785/56479/343450/80131/6262/6332/6563/57419/26872/79838/140738/7220/7223/54795/79054/55503</v>
      </c>
    </row>
    <row r="87" spans="1:11">
      <c r="A87" s="3" t="str">
        <f>"GO:0015079"</f>
        <v>GO:0015079</v>
      </c>
      <c r="B87" s="3" t="str">
        <f>"potassium ion transmembrane transporter activity"</f>
        <v>potassium ion transmembrane transporter activity</v>
      </c>
      <c r="C87" s="6" t="str">
        <f t="shared" si="2"/>
        <v>MF</v>
      </c>
      <c r="D87" s="6">
        <v>22</v>
      </c>
      <c r="E87" s="3">
        <v>0.138364779874214</v>
      </c>
      <c r="F87" s="3">
        <v>1.9182567769884001E-4</v>
      </c>
      <c r="G87" s="3" t="str">
        <f>"22/813"</f>
        <v>22/813</v>
      </c>
      <c r="H87" s="3" t="str">
        <f>"159/17696"</f>
        <v>159/17696</v>
      </c>
      <c r="I87" s="4">
        <v>3.74751018703473E-6</v>
      </c>
      <c r="J87" s="3">
        <v>1.70856878922044E-4</v>
      </c>
      <c r="K87" s="3" t="str">
        <f>"477/2897/3249/7881/3745/3747/3750/10008/23630/30818/3772/3760/3764/3778/3779/3781/3783/3785/56479/343450/57419/84679"</f>
        <v>477/2897/3249/7881/3745/3747/3750/10008/23630/30818/3772/3760/3764/3778/3779/3781/3783/3785/56479/343450/57419/84679</v>
      </c>
    </row>
    <row r="88" spans="1:11">
      <c r="A88" s="3" t="str">
        <f>"GO:1901379"</f>
        <v>GO:1901379</v>
      </c>
      <c r="B88" s="3" t="str">
        <f>"regulation of potassium ion transmembrane transport"</f>
        <v>regulation of potassium ion transmembrane transport</v>
      </c>
      <c r="C88" s="6" t="str">
        <f>"BP"</f>
        <v>BP</v>
      </c>
      <c r="D88" s="6">
        <v>16</v>
      </c>
      <c r="E88" s="3">
        <v>0.17777777777777801</v>
      </c>
      <c r="F88" s="3">
        <v>2.13503726663736E-4</v>
      </c>
      <c r="G88" s="3" t="str">
        <f>"16/836"</f>
        <v>16/836</v>
      </c>
      <c r="H88" s="3" t="str">
        <f>"90/18670"</f>
        <v>90/18670</v>
      </c>
      <c r="I88" s="4">
        <v>2.1719605967826698E-6</v>
      </c>
      <c r="J88" s="3">
        <v>1.72065004751435E-4</v>
      </c>
      <c r="K88" s="3" t="str">
        <f>"287/196527/857/57628/1804/1908/2273/51083/7881/3747/10008/23630/30818/3779/3781/23327"</f>
        <v>287/196527/857/57628/1804/1908/2273/51083/7881/3747/10008/23630/30818/3779/3781/23327</v>
      </c>
    </row>
    <row r="89" spans="1:11">
      <c r="A89" s="3" t="str">
        <f>"GO:0002027"</f>
        <v>GO:0002027</v>
      </c>
      <c r="B89" s="3" t="str">
        <f>"regulation of heart rate"</f>
        <v>regulation of heart rate</v>
      </c>
      <c r="C89" s="6" t="str">
        <f>"BP"</f>
        <v>BP</v>
      </c>
      <c r="D89" s="6">
        <v>17</v>
      </c>
      <c r="E89" s="3">
        <v>0.16831683168316799</v>
      </c>
      <c r="F89" s="3">
        <v>2.19967094022191E-4</v>
      </c>
      <c r="G89" s="3" t="str">
        <f>"17/836"</f>
        <v>17/836</v>
      </c>
      <c r="H89" s="3" t="str">
        <f>"101/18670"</f>
        <v>101/18670</v>
      </c>
      <c r="I89" s="4">
        <v>2.3149991021736301E-6</v>
      </c>
      <c r="J89" s="3">
        <v>1.7727390369020899E-4</v>
      </c>
      <c r="K89" s="3" t="str">
        <f>"100/148/153/287/857/1824/1908/10008/23630/3760/4624/5350/6262/10371/6546/6863/54795"</f>
        <v>100/148/153/287/857/1824/1908/10008/23630/3760/4624/5350/6262/10371/6546/6863/54795</v>
      </c>
    </row>
    <row r="90" spans="1:11">
      <c r="A90" s="3" t="str">
        <f>"GO:0070838"</f>
        <v>GO:0070838</v>
      </c>
      <c r="B90" s="3" t="str">
        <f>"divalent metal ion transport"</f>
        <v>divalent metal ion transport</v>
      </c>
      <c r="C90" s="6" t="str">
        <f>"BP"</f>
        <v>BP</v>
      </c>
      <c r="D90" s="6">
        <v>45</v>
      </c>
      <c r="E90" s="3">
        <v>9.3945720250521905E-2</v>
      </c>
      <c r="F90" s="3">
        <v>2.19967094022191E-4</v>
      </c>
      <c r="G90" s="3" t="str">
        <f>"45/836"</f>
        <v>45/836</v>
      </c>
      <c r="H90" s="3" t="str">
        <f>"479/18670"</f>
        <v>479/18670</v>
      </c>
      <c r="I90" s="4">
        <v>2.3272205267861601E-6</v>
      </c>
      <c r="J90" s="3">
        <v>1.7727390369020899E-4</v>
      </c>
      <c r="K90" s="3" t="str">
        <f>"148/79026/287/196527/309/477/27032/773/857/6366/57214/6387/1950/2259/2247/2645/2669/2775/2823/9455/3603/10008/3783/931/4638/348938/4842/64805/5350/5579/9104/8787/6236/6262/57419/159371/6546/6769/140738/7220/7223/54795/79054/55503/27075"</f>
        <v>148/79026/287/196527/309/477/27032/773/857/6366/57214/6387/1950/2259/2247/2645/2669/2775/2823/9455/3603/10008/3783/931/4638/348938/4842/64805/5350/5579/9104/8787/6236/6262/57419/159371/6546/6769/140738/7220/7223/54795/79054/55503/27075</v>
      </c>
    </row>
    <row r="91" spans="1:11">
      <c r="A91" s="3" t="str">
        <f>"GO:0005901"</f>
        <v>GO:0005901</v>
      </c>
      <c r="B91" s="3" t="str">
        <f>"caveola"</f>
        <v>caveola</v>
      </c>
      <c r="C91" s="6" t="str">
        <f>"CC"</f>
        <v>CC</v>
      </c>
      <c r="D91" s="6">
        <v>14</v>
      </c>
      <c r="E91" s="3">
        <v>0.17499999999999999</v>
      </c>
      <c r="F91" s="3">
        <v>2.2515962708878899E-4</v>
      </c>
      <c r="G91" s="3" t="str">
        <f>"14/873"</f>
        <v>14/873</v>
      </c>
      <c r="H91" s="3" t="str">
        <f>"80/19717"</f>
        <v>80/19717</v>
      </c>
      <c r="I91" s="4">
        <v>9.9335129597995194E-6</v>
      </c>
      <c r="J91" s="3">
        <v>1.7676175943502899E-4</v>
      </c>
      <c r="K91" s="3" t="str">
        <f>"148/477/857/858/8436/30846/5348/3778/23209/4842/64805/5740/7035/7223"</f>
        <v>148/477/857/858/8436/30846/5348/3778/23209/4842/64805/5740/7035/7223</v>
      </c>
    </row>
    <row r="92" spans="1:11">
      <c r="A92" s="3" t="str">
        <f>"GO:0007411"</f>
        <v>GO:0007411</v>
      </c>
      <c r="B92" s="3" t="str">
        <f>"axon guidance"</f>
        <v>axon guidance</v>
      </c>
      <c r="C92" s="6" t="str">
        <f t="shared" ref="C92:C98" si="3">"BP"</f>
        <v>BP</v>
      </c>
      <c r="D92" s="6">
        <v>31</v>
      </c>
      <c r="E92" s="3">
        <v>0.11231884057971001</v>
      </c>
      <c r="F92" s="3">
        <v>2.3030026303567301E-4</v>
      </c>
      <c r="G92" s="3" t="str">
        <f>"31/836"</f>
        <v>31/836</v>
      </c>
      <c r="H92" s="3" t="str">
        <f>"276/18670"</f>
        <v>276/18670</v>
      </c>
      <c r="I92" s="4">
        <v>2.4889606032464401E-6</v>
      </c>
      <c r="J92" s="3">
        <v>1.8560151840300699E-4</v>
      </c>
      <c r="K92" s="3" t="str">
        <f>"627/658/1123/6387/1600/1808/2042/2045/2047/9638/64843/3908/59352/4147/4684/91624/8013/8828/9369/4914/23022/5578/494470/6092/10371/9723/80031/6586/90249/8633/128434"</f>
        <v>627/658/1123/6387/1600/1808/2042/2045/2047/9638/64843/3908/59352/4147/4684/91624/8013/8828/9369/4914/23022/5578/494470/6092/10371/9723/80031/6586/90249/8633/128434</v>
      </c>
    </row>
    <row r="93" spans="1:11">
      <c r="A93" s="3" t="str">
        <f>"GO:0045926"</f>
        <v>GO:0045926</v>
      </c>
      <c r="B93" s="3" t="str">
        <f>"negative regulation of growth"</f>
        <v>negative regulation of growth</v>
      </c>
      <c r="C93" s="6" t="str">
        <f t="shared" si="3"/>
        <v>BP</v>
      </c>
      <c r="D93" s="6">
        <v>29</v>
      </c>
      <c r="E93" s="3">
        <v>0.116465863453815</v>
      </c>
      <c r="F93" s="3">
        <v>2.3030026303567301E-4</v>
      </c>
      <c r="G93" s="3" t="str">
        <f>"29/836"</f>
        <v>29/836</v>
      </c>
      <c r="H93" s="3" t="str">
        <f>"249/18670"</f>
        <v>249/18670</v>
      </c>
      <c r="I93" s="4">
        <v>2.5302572134132998E-6</v>
      </c>
      <c r="J93" s="3">
        <v>1.8560151840300699E-4</v>
      </c>
      <c r="K93" s="3" t="str">
        <f>"153/652/684/1410/2045/2203/2273/2487/51083/9518/2786/55384/5468/84722/5753/5950/92304/10371/9723/80031/5270/6423/6586/6910/7093/58189/7481/7490/23286"</f>
        <v>153/652/684/1410/2045/2203/2273/2487/51083/9518/2786/55384/5468/84722/5753/5950/92304/10371/9723/80031/5270/6423/6586/6910/7093/58189/7481/7490/23286</v>
      </c>
    </row>
    <row r="94" spans="1:11">
      <c r="A94" s="3" t="str">
        <f>"GO:0003197"</f>
        <v>GO:0003197</v>
      </c>
      <c r="B94" s="3" t="str">
        <f>"endocardial cushion development"</f>
        <v>endocardial cushion development</v>
      </c>
      <c r="C94" s="6" t="str">
        <f t="shared" si="3"/>
        <v>BP</v>
      </c>
      <c r="D94" s="6">
        <v>11</v>
      </c>
      <c r="E94" s="3">
        <v>0.25</v>
      </c>
      <c r="F94" s="3">
        <v>2.3571396484732099E-4</v>
      </c>
      <c r="G94" s="3" t="str">
        <f>"11/836"</f>
        <v>11/836</v>
      </c>
      <c r="H94" s="3" t="str">
        <f>"44/18670"</f>
        <v>44/18670</v>
      </c>
      <c r="I94" s="4">
        <v>2.6830235582130098E-6</v>
      </c>
      <c r="J94" s="3">
        <v>1.8996448031706801E-4</v>
      </c>
      <c r="K94" s="3" t="str">
        <f>"652/653/2065/2294/140628/23462/6092/6591/6909/6910/55273"</f>
        <v>652/653/2065/2294/140628/23462/6092/6591/6909/6910/55273</v>
      </c>
    </row>
    <row r="95" spans="1:11">
      <c r="A95" s="3" t="str">
        <f>"GO:0097485"</f>
        <v>GO:0097485</v>
      </c>
      <c r="B95" s="3" t="str">
        <f>"neuron projection guidance"</f>
        <v>neuron projection guidance</v>
      </c>
      <c r="C95" s="6" t="str">
        <f t="shared" si="3"/>
        <v>BP</v>
      </c>
      <c r="D95" s="6">
        <v>31</v>
      </c>
      <c r="E95" s="3">
        <v>0.111913357400722</v>
      </c>
      <c r="F95" s="3">
        <v>2.3571396484732099E-4</v>
      </c>
      <c r="G95" s="3" t="str">
        <f>"31/836"</f>
        <v>31/836</v>
      </c>
      <c r="H95" s="3" t="str">
        <f>"277/18670"</f>
        <v>277/18670</v>
      </c>
      <c r="I95" s="4">
        <v>2.6856524987690702E-6</v>
      </c>
      <c r="J95" s="3">
        <v>1.8996448031706801E-4</v>
      </c>
      <c r="K95" s="3" t="str">
        <f>"627/658/1123/6387/1600/1808/2042/2045/2047/9638/64843/3908/59352/4147/4684/91624/8013/8828/9369/4914/23022/5578/494470/6092/10371/9723/80031/6586/90249/8633/128434"</f>
        <v>627/658/1123/6387/1600/1808/2042/2045/2047/9638/64843/3908/59352/4147/4684/91624/8013/8828/9369/4914/23022/5578/494470/6092/10371/9723/80031/6586/90249/8633/128434</v>
      </c>
    </row>
    <row r="96" spans="1:11">
      <c r="A96" s="3" t="str">
        <f>"GO:0055025"</f>
        <v>GO:0055025</v>
      </c>
      <c r="B96" s="3" t="str">
        <f>"positive regulation of cardiac muscle tissue development"</f>
        <v>positive regulation of cardiac muscle tissue development</v>
      </c>
      <c r="C96" s="6" t="str">
        <f t="shared" si="3"/>
        <v>BP</v>
      </c>
      <c r="D96" s="6">
        <v>13</v>
      </c>
      <c r="E96" s="3">
        <v>0.209677419354839</v>
      </c>
      <c r="F96" s="3">
        <v>2.4781933430666799E-4</v>
      </c>
      <c r="G96" s="3" t="str">
        <f>"13/836"</f>
        <v>13/836</v>
      </c>
      <c r="H96" s="3" t="str">
        <f>"62/18670"</f>
        <v>62/18670</v>
      </c>
      <c r="I96" s="4">
        <v>2.8739983836175201E-6</v>
      </c>
      <c r="J96" s="3">
        <v>1.9972033088739999E-4</v>
      </c>
      <c r="K96" s="3" t="str">
        <f>"652/2065/2247/2260/2263/2627/3479/93649/3084/6909/6910/7049/7472"</f>
        <v>652/2065/2247/2260/2263/2627/3479/93649/3084/6909/6910/7049/7472</v>
      </c>
    </row>
    <row r="97" spans="1:11">
      <c r="A97" s="3" t="str">
        <f>"GO:0007409"</f>
        <v>GO:0007409</v>
      </c>
      <c r="B97" s="3" t="str">
        <f>"axonogenesis"</f>
        <v>axonogenesis</v>
      </c>
      <c r="C97" s="6" t="str">
        <f t="shared" si="3"/>
        <v>BP</v>
      </c>
      <c r="D97" s="6">
        <v>44</v>
      </c>
      <c r="E97" s="3">
        <v>9.4017094017094002E-2</v>
      </c>
      <c r="F97" s="3">
        <v>2.50224389174327E-4</v>
      </c>
      <c r="G97" s="3" t="str">
        <f>"44/836"</f>
        <v>44/836</v>
      </c>
      <c r="H97" s="3" t="str">
        <f>"468/18670"</f>
        <v>468/18670</v>
      </c>
      <c r="I97" s="4">
        <v>2.95280052331861E-6</v>
      </c>
      <c r="J97" s="3">
        <v>2.0165859109342899E-4</v>
      </c>
      <c r="K97" s="3" t="str">
        <f>"9331/627/658/1000/1123/6387/1600/1808/2042/2045/2047/9638/2263/64843/3676/3908/59352/4130/4131/4147/4168/4684/91624/8013/8828/9369/4914/4916/23022/5578/494470/6092/6277/10371/9723/80031/6586/26050/84189/90249/8633/7414/128434/9839"</f>
        <v>9331/627/658/1000/1123/6387/1600/1808/2042/2045/2047/9638/2263/64843/3676/3908/59352/4130/4131/4147/4168/4684/91624/8013/8828/9369/4914/4916/23022/5578/494470/6092/6277/10371/9723/80031/6586/26050/84189/90249/8633/7414/128434/9839</v>
      </c>
    </row>
    <row r="98" spans="1:11">
      <c r="A98" s="3" t="str">
        <f>"GO:0030282"</f>
        <v>GO:0030282</v>
      </c>
      <c r="B98" s="3" t="str">
        <f>"bone mineralization"</f>
        <v>bone mineralization</v>
      </c>
      <c r="C98" s="6" t="str">
        <f t="shared" si="3"/>
        <v>BP</v>
      </c>
      <c r="D98" s="6">
        <v>18</v>
      </c>
      <c r="E98" s="3">
        <v>0.157894736842105</v>
      </c>
      <c r="F98" s="3">
        <v>2.5369440683826398E-4</v>
      </c>
      <c r="G98" s="3" t="str">
        <f>"18/836"</f>
        <v>18/836</v>
      </c>
      <c r="H98" s="3" t="str">
        <f>"114/18670"</f>
        <v>114/18670</v>
      </c>
      <c r="I98" s="4">
        <v>3.0453652092487499E-6</v>
      </c>
      <c r="J98" s="3">
        <v>2.04455116545995E-4</v>
      </c>
      <c r="K98" s="3" t="str">
        <f>"84059/196527/54829/8313/652/658/645811/1278/4921/2263/2824/3479/116039/5744/6546/7043/54795/7481"</f>
        <v>84059/196527/54829/8313/652/658/645811/1278/4921/2263/2824/3479/116039/5744/6546/7043/54795/7481</v>
      </c>
    </row>
    <row r="99" spans="1:11">
      <c r="A99" s="3" t="str">
        <f>"GO:0034702"</f>
        <v>GO:0034702</v>
      </c>
      <c r="B99" s="3" t="str">
        <f>"ion channel complex"</f>
        <v>ion channel complex</v>
      </c>
      <c r="C99" s="6" t="str">
        <f>"CC"</f>
        <v>CC</v>
      </c>
      <c r="D99" s="6">
        <v>31</v>
      </c>
      <c r="E99" s="3">
        <v>0.102990033222591</v>
      </c>
      <c r="F99" s="3">
        <v>2.5739716739421099E-4</v>
      </c>
      <c r="G99" s="3" t="str">
        <f>"31/873"</f>
        <v>31/873</v>
      </c>
      <c r="H99" s="3" t="str">
        <f>"301/19717"</f>
        <v>301/19717</v>
      </c>
      <c r="I99" s="4">
        <v>1.18965077367072E-5</v>
      </c>
      <c r="J99" s="3">
        <v>2.0206986825507499E-4</v>
      </c>
      <c r="K99" s="3" t="str">
        <f>"196527/773/1364/54102/57628/1804/2562/2892/2897/7881/3745/3747/3750/10008/23630/30818/3760/3764/3778/3779/3783/3785/56479/57554/80131/4842/6262/6332/7220/7223/54795"</f>
        <v>196527/773/1364/54102/57628/1804/2562/2892/2897/7881/3745/3747/3750/10008/23630/30818/3760/3764/3778/3779/3783/3785/56479/57554/80131/4842/6262/6332/7220/7223/54795</v>
      </c>
    </row>
    <row r="100" spans="1:11">
      <c r="A100" s="3" t="str">
        <f>"GO:0019897"</f>
        <v>GO:0019897</v>
      </c>
      <c r="B100" s="3" t="str">
        <f>"extrinsic component of plasma membrane"</f>
        <v>extrinsic component of plasma membrane</v>
      </c>
      <c r="C100" s="6" t="str">
        <f>"CC"</f>
        <v>CC</v>
      </c>
      <c r="D100" s="6">
        <v>21</v>
      </c>
      <c r="E100" s="3">
        <v>0.12727272727272701</v>
      </c>
      <c r="F100" s="3">
        <v>2.7252481243491102E-4</v>
      </c>
      <c r="G100" s="3" t="str">
        <f>"21/873"</f>
        <v>21/873</v>
      </c>
      <c r="H100" s="3" t="str">
        <f>"165/19717"</f>
        <v>165/19717</v>
      </c>
      <c r="I100" s="4">
        <v>1.33324554920694E-5</v>
      </c>
      <c r="J100" s="3">
        <v>2.13945839041118E-4</v>
      </c>
      <c r="K100" s="3" t="str">
        <f>"858/1008/1015/1000/22866/1837/55040/10979/2775/2781/2786/7881/57664/5652/5753/6277/5270/6768/6769/7053/7472"</f>
        <v>858/1008/1015/1000/22866/1837/55040/10979/2775/2781/2786/7881/57664/5652/5753/6277/5270/6768/6769/7053/7472</v>
      </c>
    </row>
    <row r="101" spans="1:11">
      <c r="A101" s="3" t="str">
        <f>"GO:0030315"</f>
        <v>GO:0030315</v>
      </c>
      <c r="B101" s="3" t="str">
        <f>"T-tubule"</f>
        <v>T-tubule</v>
      </c>
      <c r="C101" s="6" t="str">
        <f>"CC"</f>
        <v>CC</v>
      </c>
      <c r="D101" s="6">
        <v>11</v>
      </c>
      <c r="E101" s="3">
        <v>0.21153846153846201</v>
      </c>
      <c r="F101" s="3">
        <v>2.7252481243491102E-4</v>
      </c>
      <c r="G101" s="3" t="str">
        <f>"11/873"</f>
        <v>11/873</v>
      </c>
      <c r="H101" s="3" t="str">
        <f>"52/19717"</f>
        <v>52/19717</v>
      </c>
      <c r="I101" s="4">
        <v>1.3740746845457699E-5</v>
      </c>
      <c r="J101" s="3">
        <v>2.13945839041118E-4</v>
      </c>
      <c r="K101" s="3" t="str">
        <f>"148/79026/113146/287/477/5348/3760/4842/6546/6769/7043"</f>
        <v>148/79026/113146/287/477/5348/3760/4842/6546/6769/7043</v>
      </c>
    </row>
    <row r="102" spans="1:11">
      <c r="A102" s="3" t="str">
        <f>"GO:0072511"</f>
        <v>GO:0072511</v>
      </c>
      <c r="B102" s="3" t="str">
        <f>"divalent inorganic cation transport"</f>
        <v>divalent inorganic cation transport</v>
      </c>
      <c r="C102" s="6" t="str">
        <f>"BP"</f>
        <v>BP</v>
      </c>
      <c r="D102" s="6">
        <v>45</v>
      </c>
      <c r="E102" s="3">
        <v>9.2592592592592601E-2</v>
      </c>
      <c r="F102" s="3">
        <v>2.8020548402721501E-4</v>
      </c>
      <c r="G102" s="3" t="str">
        <f>"45/836"</f>
        <v>45/836</v>
      </c>
      <c r="H102" s="3" t="str">
        <f>"486/18670"</f>
        <v>486/18670</v>
      </c>
      <c r="I102" s="4">
        <v>3.4206162851745502E-6</v>
      </c>
      <c r="J102" s="3">
        <v>2.2582068563354099E-4</v>
      </c>
      <c r="K102" s="3" t="str">
        <f>"148/79026/287/196527/309/477/27032/773/857/6366/57214/6387/1950/2259/2247/2645/2669/2775/2823/9455/3603/10008/3783/931/4638/348938/4842/64805/5350/5579/9104/8787/6236/6262/57419/159371/6546/6769/140738/7220/7223/54795/79054/55503/27075"</f>
        <v>148/79026/287/196527/309/477/27032/773/857/6366/57214/6387/1950/2259/2247/2645/2669/2775/2823/9455/3603/10008/3783/931/4638/348938/4842/64805/5350/5579/9104/8787/6236/6262/57419/159371/6546/6769/140738/7220/7223/54795/79054/55503/27075</v>
      </c>
    </row>
    <row r="103" spans="1:11">
      <c r="A103" s="3" t="str">
        <f>"GO:0034703"</f>
        <v>GO:0034703</v>
      </c>
      <c r="B103" s="3" t="str">
        <f>"cation channel complex"</f>
        <v>cation channel complex</v>
      </c>
      <c r="C103" s="6" t="str">
        <f>"CC"</f>
        <v>CC</v>
      </c>
      <c r="D103" s="6">
        <v>25</v>
      </c>
      <c r="E103" s="3">
        <v>0.11363636363636399</v>
      </c>
      <c r="F103" s="3">
        <v>2.9803497890076001E-4</v>
      </c>
      <c r="G103" s="3" t="str">
        <f>"25/873"</f>
        <v>25/873</v>
      </c>
      <c r="H103" s="3" t="str">
        <f>"220/19717"</f>
        <v>220/19717</v>
      </c>
      <c r="I103" s="4">
        <v>1.56530976313424E-5</v>
      </c>
      <c r="J103" s="3">
        <v>2.33972617226382E-4</v>
      </c>
      <c r="K103" s="3" t="str">
        <f>"773/57628/1804/2892/2897/7881/3745/3747/3750/10008/23630/30818/3760/3764/3778/3779/3783/3785/56479/4842/6262/6332/7220/7223/54795"</f>
        <v>773/57628/1804/2892/2897/7881/3745/3747/3750/10008/23630/30818/3760/3764/3778/3779/3783/3785/56479/4842/6262/6332/7220/7223/54795</v>
      </c>
    </row>
    <row r="104" spans="1:11">
      <c r="A104" s="3" t="str">
        <f>"GO:0031214"</f>
        <v>GO:0031214</v>
      </c>
      <c r="B104" s="3" t="str">
        <f>"biomineral tissue development"</f>
        <v>biomineral tissue development</v>
      </c>
      <c r="C104" s="6" t="str">
        <f t="shared" ref="C104:C121" si="4">"BP"</f>
        <v>BP</v>
      </c>
      <c r="D104" s="6">
        <v>22</v>
      </c>
      <c r="E104" s="3">
        <v>0.13496932515337401</v>
      </c>
      <c r="F104" s="3">
        <v>2.9985602489162298E-4</v>
      </c>
      <c r="G104" s="3" t="str">
        <f>"22/836"</f>
        <v>22/836</v>
      </c>
      <c r="H104" s="3" t="str">
        <f>"163/18670"</f>
        <v>163/18670</v>
      </c>
      <c r="I104" s="4">
        <v>3.7825175062625899E-6</v>
      </c>
      <c r="J104" s="3">
        <v>2.41657272938304E-4</v>
      </c>
      <c r="K104" s="3" t="str">
        <f>"84059/196527/54829/8313/652/658/645811/1278/4921/286077/2263/2824/23462/3479/9622/116039/5744/6546/6899/7043/54795/7481"</f>
        <v>84059/196527/54829/8313/652/658/645811/1278/4921/286077/2263/2824/23462/3479/9622/116039/5744/6546/6899/7043/54795/7481</v>
      </c>
    </row>
    <row r="105" spans="1:11">
      <c r="A105" s="3" t="str">
        <f>"GO:0110148"</f>
        <v>GO:0110148</v>
      </c>
      <c r="B105" s="3" t="str">
        <f>"biomineralization"</f>
        <v>biomineralization</v>
      </c>
      <c r="C105" s="6" t="str">
        <f t="shared" si="4"/>
        <v>BP</v>
      </c>
      <c r="D105" s="6">
        <v>22</v>
      </c>
      <c r="E105" s="3">
        <v>0.13496932515337401</v>
      </c>
      <c r="F105" s="3">
        <v>2.9985602489162298E-4</v>
      </c>
      <c r="G105" s="3" t="str">
        <f>"22/836"</f>
        <v>22/836</v>
      </c>
      <c r="H105" s="3" t="str">
        <f>"163/18670"</f>
        <v>163/18670</v>
      </c>
      <c r="I105" s="4">
        <v>3.7825175062625899E-6</v>
      </c>
      <c r="J105" s="3">
        <v>2.41657272938304E-4</v>
      </c>
      <c r="K105" s="3" t="str">
        <f>"84059/196527/54829/8313/652/658/645811/1278/4921/286077/2263/2824/23462/3479/9622/116039/5744/6546/6899/7043/54795/7481"</f>
        <v>84059/196527/54829/8313/652/658/645811/1278/4921/286077/2263/2824/23462/3479/9622/116039/5744/6546/6899/7043/54795/7481</v>
      </c>
    </row>
    <row r="106" spans="1:11">
      <c r="A106" s="3" t="str">
        <f>"GO:0010810"</f>
        <v>GO:0010810</v>
      </c>
      <c r="B106" s="3" t="str">
        <f>"regulation of cell-substrate adhesion"</f>
        <v>regulation of cell-substrate adhesion</v>
      </c>
      <c r="C106" s="6" t="str">
        <f t="shared" si="4"/>
        <v>BP</v>
      </c>
      <c r="D106" s="6">
        <v>26</v>
      </c>
      <c r="E106" s="3">
        <v>0.12093023255814001</v>
      </c>
      <c r="F106" s="3">
        <v>3.1514915277764701E-4</v>
      </c>
      <c r="G106" s="3" t="str">
        <f>"26/836"</f>
        <v>26/836</v>
      </c>
      <c r="H106" s="3" t="str">
        <f>"215/18670"</f>
        <v>215/18670</v>
      </c>
      <c r="I106" s="4">
        <v>4.1500075742753202E-6</v>
      </c>
      <c r="J106" s="3">
        <v>2.5398217313321901E-4</v>
      </c>
      <c r="K106" s="3" t="str">
        <f>"25890/10551/151887/6366/4680/1307/4921/10085/25975/133584/2042/11170/2192/2199/2294/8324/2824/4323/79625/4811/9480/79834/5881/9723/4070/5212"</f>
        <v>25890/10551/151887/6366/4680/1307/4921/10085/25975/133584/2042/11170/2192/2199/2294/8324/2824/4323/79625/4811/9480/79834/5881/9723/4070/5212</v>
      </c>
    </row>
    <row r="107" spans="1:11">
      <c r="A107" s="3" t="str">
        <f>"GO:0045600"</f>
        <v>GO:0045600</v>
      </c>
      <c r="B107" s="3" t="str">
        <f>"positive regulation of fat cell differentiation"</f>
        <v>positive regulation of fat cell differentiation</v>
      </c>
      <c r="C107" s="6" t="str">
        <f t="shared" si="4"/>
        <v>BP</v>
      </c>
      <c r="D107" s="6">
        <v>13</v>
      </c>
      <c r="E107" s="3">
        <v>0.203125</v>
      </c>
      <c r="F107" s="3">
        <v>3.1514915277764701E-4</v>
      </c>
      <c r="G107" s="3" t="str">
        <f>"13/836"</f>
        <v>13/836</v>
      </c>
      <c r="H107" s="3" t="str">
        <f>"64/18670"</f>
        <v>64/18670</v>
      </c>
      <c r="I107" s="4">
        <v>4.1831727318374101E-6</v>
      </c>
      <c r="J107" s="3">
        <v>2.5398217313321901E-4</v>
      </c>
      <c r="K107" s="3" t="str">
        <f>"83643/252995/2487/55885/5468/5919/6423/285590/6591/6783/54795/222008/11197"</f>
        <v>83643/252995/2487/55885/5468/5919/6423/285590/6591/6783/54795/222008/11197</v>
      </c>
    </row>
    <row r="108" spans="1:11">
      <c r="A108" s="3" t="str">
        <f>"GO:0003413"</f>
        <v>GO:0003413</v>
      </c>
      <c r="B108" s="3" t="str">
        <f>"chondrocyte differentiation involved in endochondral bone morphogenesis"</f>
        <v>chondrocyte differentiation involved in endochondral bone morphogenesis</v>
      </c>
      <c r="C108" s="6" t="str">
        <f t="shared" si="4"/>
        <v>BP</v>
      </c>
      <c r="D108" s="6">
        <v>9</v>
      </c>
      <c r="E108" s="3">
        <v>0.3</v>
      </c>
      <c r="F108" s="3">
        <v>3.1514915277764701E-4</v>
      </c>
      <c r="G108" s="3" t="str">
        <f>"9/836"</f>
        <v>9/836</v>
      </c>
      <c r="H108" s="3" t="str">
        <f>"30/18670"</f>
        <v>30/18670</v>
      </c>
      <c r="I108" s="4">
        <v>4.2407294893403696E-6</v>
      </c>
      <c r="J108" s="3">
        <v>2.5398217313321901E-4</v>
      </c>
      <c r="K108" s="3" t="str">
        <f>"309/8313/7373/1291/1292/4147/4880/51435/5212"</f>
        <v>309/8313/7373/1291/1292/4147/4880/51435/5212</v>
      </c>
    </row>
    <row r="109" spans="1:11">
      <c r="A109" s="3" t="str">
        <f>"GO:0060048"</f>
        <v>GO:0060048</v>
      </c>
      <c r="B109" s="3" t="str">
        <f>"cardiac muscle contraction"</f>
        <v>cardiac muscle contraction</v>
      </c>
      <c r="C109" s="6" t="str">
        <f t="shared" si="4"/>
        <v>BP</v>
      </c>
      <c r="D109" s="6">
        <v>20</v>
      </c>
      <c r="E109" s="3">
        <v>0.14285714285714299</v>
      </c>
      <c r="F109" s="3">
        <v>3.1514915277764701E-4</v>
      </c>
      <c r="G109" s="3" t="str">
        <f>"20/836"</f>
        <v>20/836</v>
      </c>
      <c r="H109" s="3" t="str">
        <f>"140/18670"</f>
        <v>140/18670</v>
      </c>
      <c r="I109" s="4">
        <v>4.3090436582895103E-6</v>
      </c>
      <c r="J109" s="3">
        <v>2.5398217313321901E-4</v>
      </c>
      <c r="K109" s="3" t="str">
        <f>"70/148/287/477/857/1824/10008/23630/3760/3764/3781/4624/23327/4842/8654/5350/6262/6444/6546/54795"</f>
        <v>70/148/287/477/857/1824/10008/23630/3760/3764/3781/4624/23327/4842/8654/5350/6262/6444/6546/54795</v>
      </c>
    </row>
    <row r="110" spans="1:11">
      <c r="A110" s="3" t="str">
        <f>"GO:0086001"</f>
        <v>GO:0086001</v>
      </c>
      <c r="B110" s="3" t="str">
        <f>"cardiac muscle cell action potential"</f>
        <v>cardiac muscle cell action potential</v>
      </c>
      <c r="C110" s="6" t="str">
        <f t="shared" si="4"/>
        <v>BP</v>
      </c>
      <c r="D110" s="6">
        <v>14</v>
      </c>
      <c r="E110" s="3">
        <v>0.18918918918918901</v>
      </c>
      <c r="F110" s="3">
        <v>3.1514915277764701E-4</v>
      </c>
      <c r="G110" s="3" t="str">
        <f>"14/836"</f>
        <v>14/836</v>
      </c>
      <c r="H110" s="3" t="str">
        <f>"74/18670"</f>
        <v>74/18670</v>
      </c>
      <c r="I110" s="4">
        <v>4.3601510455503499E-6</v>
      </c>
      <c r="J110" s="3">
        <v>2.5398217313321901E-4</v>
      </c>
      <c r="K110" s="3" t="str">
        <f>"287/477/857/1824/10008/23630/3760/3764/3781/23327/6262/6546/7871/54795"</f>
        <v>287/477/857/1824/10008/23630/3760/3764/3781/23327/6262/6546/7871/54795</v>
      </c>
    </row>
    <row r="111" spans="1:11">
      <c r="A111" s="3" t="str">
        <f>"GO:0086003"</f>
        <v>GO:0086003</v>
      </c>
      <c r="B111" s="3" t="str">
        <f>"cardiac muscle cell contraction"</f>
        <v>cardiac muscle cell contraction</v>
      </c>
      <c r="C111" s="6" t="str">
        <f t="shared" si="4"/>
        <v>BP</v>
      </c>
      <c r="D111" s="6">
        <v>14</v>
      </c>
      <c r="E111" s="3">
        <v>0.18918918918918901</v>
      </c>
      <c r="F111" s="3">
        <v>3.1514915277764701E-4</v>
      </c>
      <c r="G111" s="3" t="str">
        <f>"14/836"</f>
        <v>14/836</v>
      </c>
      <c r="H111" s="3" t="str">
        <f>"74/18670"</f>
        <v>74/18670</v>
      </c>
      <c r="I111" s="4">
        <v>4.3601510455503499E-6</v>
      </c>
      <c r="J111" s="3">
        <v>2.5398217313321901E-4</v>
      </c>
      <c r="K111" s="3" t="str">
        <f>"287/477/857/1824/10008/23630/3760/3764/3781/23327/5350/6262/6444/54795"</f>
        <v>287/477/857/1824/10008/23630/3760/3764/3781/23327/5350/6262/6444/54795</v>
      </c>
    </row>
    <row r="112" spans="1:11">
      <c r="A112" s="3" t="str">
        <f>"GO:0086005"</f>
        <v>GO:0086005</v>
      </c>
      <c r="B112" s="3" t="str">
        <f>"ventricular cardiac muscle cell action potential"</f>
        <v>ventricular cardiac muscle cell action potential</v>
      </c>
      <c r="C112" s="6" t="str">
        <f t="shared" si="4"/>
        <v>BP</v>
      </c>
      <c r="D112" s="6">
        <v>10</v>
      </c>
      <c r="E112" s="3">
        <v>0.26315789473684198</v>
      </c>
      <c r="F112" s="3">
        <v>3.2978008328769998E-4</v>
      </c>
      <c r="G112" s="3" t="str">
        <f>"10/836"</f>
        <v>10/836</v>
      </c>
      <c r="H112" s="3" t="str">
        <f>"38/18670"</f>
        <v>38/18670</v>
      </c>
      <c r="I112" s="4">
        <v>4.62966953140413E-6</v>
      </c>
      <c r="J112" s="3">
        <v>2.6577340116969801E-4</v>
      </c>
      <c r="K112" s="3" t="str">
        <f>"287/857/1824/10008/23630/3760/3764/23327/6262/54795"</f>
        <v>287/857/1824/10008/23630/3760/3764/23327/6262/54795</v>
      </c>
    </row>
    <row r="113" spans="1:11">
      <c r="A113" s="3" t="str">
        <f>"GO:0048608"</f>
        <v>GO:0048608</v>
      </c>
      <c r="B113" s="3" t="str">
        <f>"reproductive structure development"</f>
        <v>reproductive structure development</v>
      </c>
      <c r="C113" s="6" t="str">
        <f t="shared" si="4"/>
        <v>BP</v>
      </c>
      <c r="D113" s="6">
        <v>41</v>
      </c>
      <c r="E113" s="3">
        <v>9.5127610208816701E-2</v>
      </c>
      <c r="F113" s="3">
        <v>3.37329142093837E-4</v>
      </c>
      <c r="G113" s="3" t="str">
        <f>"41/836"</f>
        <v>41/836</v>
      </c>
      <c r="H113" s="3" t="str">
        <f>"431/18670"</f>
        <v>431/18670</v>
      </c>
      <c r="I113" s="4">
        <v>4.8042807622723501E-6</v>
      </c>
      <c r="J113" s="3">
        <v>2.7185727080347098E-4</v>
      </c>
      <c r="K113" s="3" t="str">
        <f>"100/638/652/653/658/1634/1718/2263/2288/3169/2295/2627/2705/2706/23462/10481/3239/3400/4254/4323/93649/4693/4824/203447/4914/5241/5468/5740/5950/6092/10371/5104/5270/6423/6586/6768/56977/6943/7472/7482/7490"</f>
        <v>100/638/652/653/658/1634/1718/2263/2288/3169/2295/2627/2705/2706/23462/10481/3239/3400/4254/4323/93649/4693/4824/203447/4914/5241/5468/5740/5950/6092/10371/5104/5270/6423/6586/6768/56977/6943/7472/7482/7490</v>
      </c>
    </row>
    <row r="114" spans="1:11">
      <c r="A114" s="3" t="str">
        <f>"GO:0035265"</f>
        <v>GO:0035265</v>
      </c>
      <c r="B114" s="3" t="str">
        <f>"organ growth"</f>
        <v>organ growth</v>
      </c>
      <c r="C114" s="6" t="str">
        <f t="shared" si="4"/>
        <v>BP</v>
      </c>
      <c r="D114" s="6">
        <v>25</v>
      </c>
      <c r="E114" s="3">
        <v>0.12254901960784299</v>
      </c>
      <c r="F114" s="3">
        <v>3.4503751664819598E-4</v>
      </c>
      <c r="G114" s="3" t="str">
        <f>"25/836"</f>
        <v>25/836</v>
      </c>
      <c r="H114" s="3" t="str">
        <f>"204/18670"</f>
        <v>204/18670</v>
      </c>
      <c r="I114" s="4">
        <v>4.9842652455792298E-6</v>
      </c>
      <c r="J114" s="3">
        <v>2.7806953475336798E-4</v>
      </c>
      <c r="K114" s="3" t="str">
        <f>"148/309/7373/1291/1292/4921/2247/2252/2260/2263/2627/3479/4147/4624/4880/10611/5950/51435/6909/6910/7049/5212/7472/7490/23286"</f>
        <v>148/309/7373/1291/1292/4921/2247/2252/2260/2263/2627/3479/4147/4624/4880/10611/5950/51435/6909/6910/7049/5212/7472/7490/23286</v>
      </c>
    </row>
    <row r="115" spans="1:11">
      <c r="A115" s="3" t="str">
        <f>"GO:0032970"</f>
        <v>GO:0032970</v>
      </c>
      <c r="B115" s="3" t="str">
        <f>"regulation of actin filament-based process"</f>
        <v>regulation of actin filament-based process</v>
      </c>
      <c r="C115" s="6" t="str">
        <f t="shared" si="4"/>
        <v>BP</v>
      </c>
      <c r="D115" s="6">
        <v>38</v>
      </c>
      <c r="E115" s="3">
        <v>9.7938144329896906E-2</v>
      </c>
      <c r="F115" s="3">
        <v>3.6833591621417301E-4</v>
      </c>
      <c r="G115" s="3" t="str">
        <f>"38/836"</f>
        <v>38/836</v>
      </c>
      <c r="H115" s="3" t="str">
        <f>"388/18670"</f>
        <v>388/18670</v>
      </c>
      <c r="I115" s="4">
        <v>5.4266272699807799E-6</v>
      </c>
      <c r="J115" s="3">
        <v>2.9684597156158499E-4</v>
      </c>
      <c r="K115" s="3" t="str">
        <f>"287/477/55971/684/857/6366/10602/1073/6387/1824/2042/11170/80206/122786/2824/10788/83700/163782/10008/25802/4916/130271/5350/22843/55607/5881/57381/390/6262/9723/285590/440335/171024/6863/4070/7043/54795/7481"</f>
        <v>287/477/55971/684/857/6366/10602/1073/6387/1824/2042/11170/80206/122786/2824/10788/83700/163782/10008/25802/4916/130271/5350/22843/55607/5881/57381/390/6262/9723/285590/440335/171024/6863/4070/7043/54795/7481</v>
      </c>
    </row>
    <row r="116" spans="1:11">
      <c r="A116" s="3" t="str">
        <f>"GO:0003007"</f>
        <v>GO:0003007</v>
      </c>
      <c r="B116" s="3" t="str">
        <f>"heart morphogenesis"</f>
        <v>heart morphogenesis</v>
      </c>
      <c r="C116" s="6" t="str">
        <f t="shared" si="4"/>
        <v>BP</v>
      </c>
      <c r="D116" s="6">
        <v>29</v>
      </c>
      <c r="E116" s="3">
        <v>0.111969111969112</v>
      </c>
      <c r="F116" s="3">
        <v>3.6833591621417301E-4</v>
      </c>
      <c r="G116" s="3" t="str">
        <f>"29/836"</f>
        <v>29/836</v>
      </c>
      <c r="H116" s="3" t="str">
        <f>"259/18670"</f>
        <v>259/18670</v>
      </c>
      <c r="I116" s="4">
        <v>5.5433376272392099E-6</v>
      </c>
      <c r="J116" s="3">
        <v>2.9684597156158499E-4</v>
      </c>
      <c r="K116" s="3" t="str">
        <f>"70/8313/652/653/1280/22943/79633/2263/2294/140628/2627/23462/4624/3084/8828/5308/5950/6092/6262/6423/6586/6591/6899/6909/6910/7049/55273/7481/7472"</f>
        <v>70/8313/652/653/1280/22943/79633/2263/2294/140628/2627/23462/4624/3084/8828/5308/5950/6092/6262/6423/6586/6591/6899/6909/6910/7049/55273/7481/7472</v>
      </c>
    </row>
    <row r="117" spans="1:11">
      <c r="A117" s="3" t="str">
        <f>"GO:0035051"</f>
        <v>GO:0035051</v>
      </c>
      <c r="B117" s="3" t="str">
        <f>"cardiocyte differentiation"</f>
        <v>cardiocyte differentiation</v>
      </c>
      <c r="C117" s="6" t="str">
        <f t="shared" si="4"/>
        <v>BP</v>
      </c>
      <c r="D117" s="6">
        <v>22</v>
      </c>
      <c r="E117" s="3">
        <v>0.13173652694610799</v>
      </c>
      <c r="F117" s="3">
        <v>3.6833591621417301E-4</v>
      </c>
      <c r="G117" s="3" t="str">
        <f>"22/836"</f>
        <v>22/836</v>
      </c>
      <c r="H117" s="3" t="str">
        <f>"167/18670"</f>
        <v>167/18670</v>
      </c>
      <c r="I117" s="4">
        <v>5.6508217062855203E-6</v>
      </c>
      <c r="J117" s="3">
        <v>2.9684597156158499E-4</v>
      </c>
      <c r="K117" s="3" t="str">
        <f>"70/148/57538/652/22943/80206/8324/2627/3479/4629/4624/93649/3084/10611/5308/6443/6444/6546/6909/6910/7049/7490"</f>
        <v>70/148/57538/652/22943/80206/8324/2627/3479/4629/4624/93649/3084/10611/5308/6443/6444/6546/6909/6910/7049/7490</v>
      </c>
    </row>
    <row r="118" spans="1:11">
      <c r="A118" s="3" t="str">
        <f>"GO:0048732"</f>
        <v>GO:0048732</v>
      </c>
      <c r="B118" s="3" t="str">
        <f>"gland development"</f>
        <v>gland development</v>
      </c>
      <c r="C118" s="6" t="str">
        <f t="shared" si="4"/>
        <v>BP</v>
      </c>
      <c r="D118" s="6">
        <v>41</v>
      </c>
      <c r="E118" s="3">
        <v>9.4470046082949302E-2</v>
      </c>
      <c r="F118" s="3">
        <v>3.6833591621417301E-4</v>
      </c>
      <c r="G118" s="3" t="str">
        <f>"41/836"</f>
        <v>41/836</v>
      </c>
      <c r="H118" s="3" t="str">
        <f>"434/18670"</f>
        <v>434/18670</v>
      </c>
      <c r="I118" s="4">
        <v>5.6955299353564804E-6</v>
      </c>
      <c r="J118" s="3">
        <v>2.9684597156158499E-4</v>
      </c>
      <c r="K118" s="3" t="str">
        <f>"100/652/857/27122/1950/2119/2194/2252/2260/2263/2288/3169/2304/2294/2487/2627/10481/3239/3249/3400/51599/159296/4824/3084/9480/5241/5307/5308/9104/10371/5104/5270/6591/6899/6909/6943/7043/7049/7481/7472/7490"</f>
        <v>100/652/857/27122/1950/2119/2194/2252/2260/2263/2288/3169/2304/2294/2487/2627/10481/3239/3249/3400/51599/159296/4824/3084/9480/5241/5307/5308/9104/10371/5104/5270/6591/6899/6909/6943/7043/7049/7481/7472/7490</v>
      </c>
    </row>
    <row r="119" spans="1:11">
      <c r="A119" s="3" t="str">
        <f>"GO:0061458"</f>
        <v>GO:0061458</v>
      </c>
      <c r="B119" s="3" t="str">
        <f>"reproductive system development"</f>
        <v>reproductive system development</v>
      </c>
      <c r="C119" s="6" t="str">
        <f t="shared" si="4"/>
        <v>BP</v>
      </c>
      <c r="D119" s="6">
        <v>41</v>
      </c>
      <c r="E119" s="3">
        <v>9.4470046082949302E-2</v>
      </c>
      <c r="F119" s="3">
        <v>3.6833591621417301E-4</v>
      </c>
      <c r="G119" s="3" t="str">
        <f>"41/836"</f>
        <v>41/836</v>
      </c>
      <c r="H119" s="3" t="str">
        <f>"434/18670"</f>
        <v>434/18670</v>
      </c>
      <c r="I119" s="4">
        <v>5.6955299353564804E-6</v>
      </c>
      <c r="J119" s="3">
        <v>2.9684597156158499E-4</v>
      </c>
      <c r="K119" s="3" t="str">
        <f>"100/638/652/653/658/1634/1718/2263/2288/3169/2295/2627/2705/2706/23462/10481/3239/3400/4254/4323/93649/4693/4824/203447/4914/5241/5468/5740/5950/6092/10371/5104/5270/6423/6586/6768/56977/6943/7472/7482/7490"</f>
        <v>100/638/652/653/658/1634/1718/2263/2288/3169/2295/2627/2705/2706/23462/10481/3239/3400/4254/4323/93649/4693/4824/203447/4914/5241/5468/5740/5950/6092/10371/5104/5270/6423/6586/6768/56977/6943/7472/7482/7490</v>
      </c>
    </row>
    <row r="120" spans="1:11">
      <c r="A120" s="3" t="str">
        <f>"GO:1901861"</f>
        <v>GO:1901861</v>
      </c>
      <c r="B120" s="3" t="str">
        <f>"regulation of muscle tissue development"</f>
        <v>regulation of muscle tissue development</v>
      </c>
      <c r="C120" s="6" t="str">
        <f t="shared" si="4"/>
        <v>BP</v>
      </c>
      <c r="D120" s="6">
        <v>21</v>
      </c>
      <c r="E120" s="3">
        <v>0.135483870967742</v>
      </c>
      <c r="F120" s="3">
        <v>3.7530816347660999E-4</v>
      </c>
      <c r="G120" s="3" t="str">
        <f>"21/836"</f>
        <v>21/836</v>
      </c>
      <c r="H120" s="3" t="str">
        <f>"155/18670"</f>
        <v>155/18670</v>
      </c>
      <c r="I120" s="4">
        <v>5.8797006282195297E-6</v>
      </c>
      <c r="J120" s="3">
        <v>3.0246498241955002E-4</v>
      </c>
      <c r="K120" s="3" t="str">
        <f>"652/22943/2047/2065/2247/2260/2263/8324/2627/9734/3479/93649/3084/10891/5950/6899/6909/6910/7049/7093/7472"</f>
        <v>652/22943/2047/2065/2247/2260/2263/8324/2627/9734/3479/93649/3084/10891/5950/6899/6909/6910/7049/7093/7472</v>
      </c>
    </row>
    <row r="121" spans="1:11">
      <c r="A121" s="3" t="str">
        <f>"GO:0003418"</f>
        <v>GO:0003418</v>
      </c>
      <c r="B121" s="3" t="str">
        <f>"growth plate cartilage chondrocyte differentiation"</f>
        <v>growth plate cartilage chondrocyte differentiation</v>
      </c>
      <c r="C121" s="6" t="str">
        <f t="shared" si="4"/>
        <v>BP</v>
      </c>
      <c r="D121" s="6">
        <v>8</v>
      </c>
      <c r="E121" s="3">
        <v>0.33333333333333298</v>
      </c>
      <c r="F121" s="3">
        <v>3.8193218153835702E-4</v>
      </c>
      <c r="G121" s="3" t="str">
        <f>"8/836"</f>
        <v>8/836</v>
      </c>
      <c r="H121" s="3" t="str">
        <f>"24/18670"</f>
        <v>24/18670</v>
      </c>
      <c r="I121" s="4">
        <v>6.0611821281773798E-6</v>
      </c>
      <c r="J121" s="3">
        <v>3.0780335152943999E-4</v>
      </c>
      <c r="K121" s="3" t="str">
        <f>"309/7373/1291/1292/4147/4880/51435/5212"</f>
        <v>309/7373/1291/1292/4147/4880/51435/5212</v>
      </c>
    </row>
    <row r="122" spans="1:11">
      <c r="A122" s="3" t="str">
        <f>"GO:0005911"</f>
        <v>GO:0005911</v>
      </c>
      <c r="B122" s="3" t="str">
        <f>"cell-cell junction"</f>
        <v>cell-cell junction</v>
      </c>
      <c r="C122" s="6" t="str">
        <f>"CC"</f>
        <v>CC</v>
      </c>
      <c r="D122" s="6">
        <v>38</v>
      </c>
      <c r="E122" s="3">
        <v>9.1346153846153799E-2</v>
      </c>
      <c r="F122" s="3">
        <v>3.8299821049146498E-4</v>
      </c>
      <c r="G122" s="3" t="str">
        <f>"38/873"</f>
        <v>38/873</v>
      </c>
      <c r="H122" s="3" t="str">
        <f>"416/19717"</f>
        <v>416/19717</v>
      </c>
      <c r="I122" s="4">
        <v>2.0920070320962401E-5</v>
      </c>
      <c r="J122" s="3">
        <v>3.0067307546322399E-4</v>
      </c>
      <c r="K122" s="3" t="str">
        <f>"23284/79026/287/477/1000/1365/1364/1366/9073/79827/1305/1308/1501/1803/1824/4072/2264/122786/5348/2705/2706/3249/286676/83700/57554/51599/23209/5819/5101/5239/5376/6442/6546/26872/9900/4070/7223/7414"</f>
        <v>23284/79026/287/477/1000/1365/1364/1366/9073/79827/1305/1308/1501/1803/1824/4072/2264/122786/5348/2705/2706/3249/286676/83700/57554/51599/23209/5819/5101/5239/5376/6442/6546/26872/9900/4070/7223/7414</v>
      </c>
    </row>
    <row r="123" spans="1:11">
      <c r="A123" s="3" t="str">
        <f>"GO:0022612"</f>
        <v>GO:0022612</v>
      </c>
      <c r="B123" s="3" t="str">
        <f>"gland morphogenesis"</f>
        <v>gland morphogenesis</v>
      </c>
      <c r="C123" s="6" t="str">
        <f t="shared" ref="C123:C134" si="5">"BP"</f>
        <v>BP</v>
      </c>
      <c r="D123" s="6">
        <v>18</v>
      </c>
      <c r="E123" s="3">
        <v>0.15</v>
      </c>
      <c r="F123" s="3">
        <v>3.9915245937787499E-4</v>
      </c>
      <c r="G123" s="3" t="str">
        <f>"18/836"</f>
        <v>18/836</v>
      </c>
      <c r="H123" s="3" t="str">
        <f>"120/18670"</f>
        <v>120/18670</v>
      </c>
      <c r="I123" s="4">
        <v>6.4203687785373302E-6</v>
      </c>
      <c r="J123" s="3">
        <v>3.2168136309663098E-4</v>
      </c>
      <c r="K123" s="3" t="str">
        <f>"652/857/2119/2252/2260/2263/3169/10481/3239/3249/3400/159296/4824/5241/10371/6591/6909/7043"</f>
        <v>652/857/2119/2252/2260/2263/3169/10481/3239/3249/3400/159296/4824/5241/10371/6591/6909/7043</v>
      </c>
    </row>
    <row r="124" spans="1:11">
      <c r="A124" s="3" t="str">
        <f>"GO:0001755"</f>
        <v>GO:0001755</v>
      </c>
      <c r="B124" s="3" t="str">
        <f>"neural crest cell migration"</f>
        <v>neural crest cell migration</v>
      </c>
      <c r="C124" s="6" t="str">
        <f t="shared" si="5"/>
        <v>BP</v>
      </c>
      <c r="D124" s="6">
        <v>12</v>
      </c>
      <c r="E124" s="3">
        <v>0.21052631578947401</v>
      </c>
      <c r="F124" s="3">
        <v>3.9915245937787499E-4</v>
      </c>
      <c r="G124" s="3" t="str">
        <f>"12/836"</f>
        <v>12/836</v>
      </c>
      <c r="H124" s="3" t="str">
        <f>"57/18670"</f>
        <v>57/18670</v>
      </c>
      <c r="I124" s="4">
        <v>6.6089652969141104E-6</v>
      </c>
      <c r="J124" s="3">
        <v>3.2168136309663098E-4</v>
      </c>
      <c r="K124" s="3" t="str">
        <f>"309/652/1908/1910/4254/8828/5308/10371/9723/80031/6899/9839"</f>
        <v>309/652/1908/1910/4254/8828/5308/10371/9723/80031/6899/9839</v>
      </c>
    </row>
    <row r="125" spans="1:11">
      <c r="A125" s="3" t="str">
        <f>"GO:0055007"</f>
        <v>GO:0055007</v>
      </c>
      <c r="B125" s="3" t="str">
        <f>"cardiac muscle cell differentiation"</f>
        <v>cardiac muscle cell differentiation</v>
      </c>
      <c r="C125" s="6" t="str">
        <f t="shared" si="5"/>
        <v>BP</v>
      </c>
      <c r="D125" s="6">
        <v>19</v>
      </c>
      <c r="E125" s="3">
        <v>0.14393939393939401</v>
      </c>
      <c r="F125" s="3">
        <v>3.9915245937787499E-4</v>
      </c>
      <c r="G125" s="3" t="str">
        <f>"19/836"</f>
        <v>19/836</v>
      </c>
      <c r="H125" s="3" t="str">
        <f>"132/18670"</f>
        <v>132/18670</v>
      </c>
      <c r="I125" s="4">
        <v>6.6489943806500602E-6</v>
      </c>
      <c r="J125" s="3">
        <v>3.2168136309663098E-4</v>
      </c>
      <c r="K125" s="3" t="str">
        <f>"70/148/57538/652/22943/80206/8324/2627/3479/4629/4624/93649/3084/10611/6443/6444/6546/6910/7490"</f>
        <v>70/148/57538/652/22943/80206/8324/2627/3479/4629/4624/93649/3084/10611/6443/6444/6546/6910/7490</v>
      </c>
    </row>
    <row r="126" spans="1:11">
      <c r="A126" s="3" t="str">
        <f>"GO:0048638"</f>
        <v>GO:0048638</v>
      </c>
      <c r="B126" s="3" t="str">
        <f>"regulation of developmental growth"</f>
        <v>regulation of developmental growth</v>
      </c>
      <c r="C126" s="6" t="str">
        <f t="shared" si="5"/>
        <v>BP</v>
      </c>
      <c r="D126" s="6">
        <v>35</v>
      </c>
      <c r="E126" s="3">
        <v>0.100864553314121</v>
      </c>
      <c r="F126" s="3">
        <v>3.9915245937787499E-4</v>
      </c>
      <c r="G126" s="3" t="str">
        <f>"35/836"</f>
        <v>35/836</v>
      </c>
      <c r="H126" s="3" t="str">
        <f>"347/18670"</f>
        <v>347/18670</v>
      </c>
      <c r="I126" s="4">
        <v>6.6593085796512301E-6</v>
      </c>
      <c r="J126" s="3">
        <v>3.2168136309663098E-4</v>
      </c>
      <c r="K126" s="3" t="str">
        <f>"153/10551/627/652/57699/6387/1808/2045/2247/2260/2263/51083/2627/9518/3479/4131/4624/23327/4880/203447/4916/5950/10371/9723/80031/6423/285590/6857/6909/6910/7049/7093/7472/7490/23286"</f>
        <v>153/10551/627/652/57699/6387/1808/2045/2247/2260/2263/51083/2627/9518/3479/4131/4624/23327/4880/203447/4916/5950/10371/9723/80031/6423/285590/6857/6909/6910/7049/7093/7472/7490/23286</v>
      </c>
    </row>
    <row r="127" spans="1:11">
      <c r="A127" s="3" t="str">
        <f>"GO:0070252"</f>
        <v>GO:0070252</v>
      </c>
      <c r="B127" s="3" t="str">
        <f>"actin-mediated cell contraction"</f>
        <v>actin-mediated cell contraction</v>
      </c>
      <c r="C127" s="6" t="str">
        <f t="shared" si="5"/>
        <v>BP</v>
      </c>
      <c r="D127" s="6">
        <v>18</v>
      </c>
      <c r="E127" s="3">
        <v>0.14876033057851201</v>
      </c>
      <c r="F127" s="3">
        <v>4.28268713025769E-4</v>
      </c>
      <c r="G127" s="3" t="str">
        <f>"18/836"</f>
        <v>18/836</v>
      </c>
      <c r="H127" s="3" t="str">
        <f>"121/18670"</f>
        <v>121/18670</v>
      </c>
      <c r="I127" s="4">
        <v>7.2322081752062598E-6</v>
      </c>
      <c r="J127" s="3">
        <v>3.4514647258466899E-4</v>
      </c>
      <c r="K127" s="3" t="str">
        <f>"70/287/477/857/1824/122786/10008/23630/3760/3764/3781/4624/23327/5350/6262/6444/7169/54795"</f>
        <v>70/287/477/857/1824/122786/10008/23630/3760/3764/3781/4624/23327/5350/6262/6444/7169/54795</v>
      </c>
    </row>
    <row r="128" spans="1:11">
      <c r="A128" s="3" t="str">
        <f>"GO:0001508"</f>
        <v>GO:0001508</v>
      </c>
      <c r="B128" s="3" t="str">
        <f>"action potential"</f>
        <v>action potential</v>
      </c>
      <c r="C128" s="6" t="str">
        <f t="shared" si="5"/>
        <v>BP</v>
      </c>
      <c r="D128" s="6">
        <v>19</v>
      </c>
      <c r="E128" s="3">
        <v>0.14285714285714299</v>
      </c>
      <c r="F128" s="3">
        <v>4.3518535702185499E-4</v>
      </c>
      <c r="G128" s="3" t="str">
        <f>"19/836"</f>
        <v>19/836</v>
      </c>
      <c r="H128" s="3" t="str">
        <f>"133/18670"</f>
        <v>133/18670</v>
      </c>
      <c r="I128" s="4">
        <v>7.4375523885729003E-6</v>
      </c>
      <c r="J128" s="3">
        <v>3.5072067215789201E-4</v>
      </c>
      <c r="K128" s="3" t="str">
        <f>"148/287/477/857/1824/3745/10008/23630/3760/3764/3781/23327/4916/6262/6332/6546/7871/6863/54795"</f>
        <v>148/287/477/857/1824/3745/10008/23630/3760/3764/3781/23327/4916/6262/6332/6546/7871/6863/54795</v>
      </c>
    </row>
    <row r="129" spans="1:11">
      <c r="A129" s="3" t="str">
        <f>"GO:1901863"</f>
        <v>GO:1901863</v>
      </c>
      <c r="B129" s="3" t="str">
        <f>"positive regulation of muscle tissue development"</f>
        <v>positive regulation of muscle tissue development</v>
      </c>
      <c r="C129" s="6" t="str">
        <f t="shared" si="5"/>
        <v>BP</v>
      </c>
      <c r="D129" s="6">
        <v>15</v>
      </c>
      <c r="E129" s="3">
        <v>0.170454545454545</v>
      </c>
      <c r="F129" s="3">
        <v>4.44773336750904E-4</v>
      </c>
      <c r="G129" s="3" t="str">
        <f>"15/836"</f>
        <v>15/836</v>
      </c>
      <c r="H129" s="3" t="str">
        <f>"88/18670"</f>
        <v>88/18670</v>
      </c>
      <c r="I129" s="4">
        <v>7.69190918083965E-6</v>
      </c>
      <c r="J129" s="3">
        <v>3.5844773061919E-4</v>
      </c>
      <c r="K129" s="3" t="str">
        <f>"652/2065/2247/2260/2263/2627/3479/93649/3084/10891/6899/6909/6910/7049/7472"</f>
        <v>652/2065/2247/2260/2263/2627/3479/93649/3084/10891/6899/6909/6910/7049/7472</v>
      </c>
    </row>
    <row r="130" spans="1:11">
      <c r="A130" s="3" t="str">
        <f>"GO:0001708"</f>
        <v>GO:0001708</v>
      </c>
      <c r="B130" s="3" t="str">
        <f>"cell fate specification"</f>
        <v>cell fate specification</v>
      </c>
      <c r="C130" s="6" t="str">
        <f t="shared" si="5"/>
        <v>BP</v>
      </c>
      <c r="D130" s="6">
        <v>16</v>
      </c>
      <c r="E130" s="3">
        <v>0.16161616161616199</v>
      </c>
      <c r="F130" s="3">
        <v>4.48689526057387E-4</v>
      </c>
      <c r="G130" s="3" t="str">
        <f>"16/836"</f>
        <v>16/836</v>
      </c>
      <c r="H130" s="3" t="str">
        <f>"99/18670"</f>
        <v>99/18670</v>
      </c>
      <c r="I130" s="4">
        <v>7.8509255830997608E-6</v>
      </c>
      <c r="J130" s="3">
        <v>3.6160383071241601E-4</v>
      </c>
      <c r="K130" s="3" t="str">
        <f>"22943/54738/2247/2260/3169/8324/3236/64843/3110/23040/4916/6423/6899/6909/9496/6910"</f>
        <v>22943/54738/2247/2260/3169/8324/3236/64843/3110/23040/4916/6423/6899/6909/9496/6910</v>
      </c>
    </row>
    <row r="131" spans="1:11">
      <c r="A131" s="3" t="str">
        <f>"GO:0045444"</f>
        <v>GO:0045444</v>
      </c>
      <c r="B131" s="3" t="str">
        <f>"fat cell differentiation"</f>
        <v>fat cell differentiation</v>
      </c>
      <c r="C131" s="6" t="str">
        <f t="shared" si="5"/>
        <v>BP</v>
      </c>
      <c r="D131" s="6">
        <v>26</v>
      </c>
      <c r="E131" s="3">
        <v>0.116591928251121</v>
      </c>
      <c r="F131" s="3">
        <v>4.5772420466653102E-4</v>
      </c>
      <c r="G131" s="3" t="str">
        <f>"26/836"</f>
        <v>26/836</v>
      </c>
      <c r="H131" s="3" t="str">
        <f>"223/18670"</f>
        <v>223/18670</v>
      </c>
      <c r="I131" s="4">
        <v>8.1021374986751193E-6</v>
      </c>
      <c r="J131" s="3">
        <v>3.6888497770737398E-4</v>
      </c>
      <c r="K131" s="3" t="str">
        <f>"153/83643/25999/64641/2867/252995/2487/2662/8091/3400/55885/8013/5468/10891/5919/6097/862/6423/285590/6591/79689/6783/57761/54795/222008/11197"</f>
        <v>153/83643/25999/64641/2867/252995/2487/2662/8091/3400/55885/8013/5468/10891/5919/6097/862/6423/285590/6591/79689/6783/57761/54795/222008/11197</v>
      </c>
    </row>
    <row r="132" spans="1:11">
      <c r="A132" s="3" t="str">
        <f>"GO:0003205"</f>
        <v>GO:0003205</v>
      </c>
      <c r="B132" s="3" t="str">
        <f>"cardiac chamber development"</f>
        <v>cardiac chamber development</v>
      </c>
      <c r="C132" s="6" t="str">
        <f t="shared" si="5"/>
        <v>BP</v>
      </c>
      <c r="D132" s="6">
        <v>22</v>
      </c>
      <c r="E132" s="3">
        <v>0.12865497076023399</v>
      </c>
      <c r="F132" s="3">
        <v>4.64768410891978E-4</v>
      </c>
      <c r="G132" s="3" t="str">
        <f>"22/836"</f>
        <v>22/836</v>
      </c>
      <c r="H132" s="3" t="str">
        <f>"171/18670"</f>
        <v>171/18670</v>
      </c>
      <c r="I132" s="4">
        <v>8.3213876212602394E-6</v>
      </c>
      <c r="J132" s="3">
        <v>3.7456198108615202E-4</v>
      </c>
      <c r="K132" s="3" t="str">
        <f>"287/652/653/2263/2294/2627/23462/4624/93649/3084/8828/5950/6092/6262/6423/6586/6899/6909/6910/7049/7481/7472"</f>
        <v>287/652/653/2263/2294/2627/23462/4624/93649/3084/8828/5950/6092/6262/6423/6586/6899/6909/6910/7049/7481/7472</v>
      </c>
    </row>
    <row r="133" spans="1:11">
      <c r="A133" s="3" t="str">
        <f>"GO:0072001"</f>
        <v>GO:0072001</v>
      </c>
      <c r="B133" s="3" t="str">
        <f>"renal system development"</f>
        <v>renal system development</v>
      </c>
      <c r="C133" s="6" t="str">
        <f t="shared" si="5"/>
        <v>BP</v>
      </c>
      <c r="D133" s="6">
        <v>31</v>
      </c>
      <c r="E133" s="3">
        <v>0.10580204778157</v>
      </c>
      <c r="F133" s="3">
        <v>4.7207221523017399E-4</v>
      </c>
      <c r="G133" s="3" t="str">
        <f>"31/836"</f>
        <v>31/836</v>
      </c>
      <c r="H133" s="3" t="str">
        <f>"293/18670"</f>
        <v>293/18670</v>
      </c>
      <c r="I133" s="4">
        <v>8.5482049146460799E-6</v>
      </c>
      <c r="J133" s="3">
        <v>3.8044819744308898E-4</v>
      </c>
      <c r="K133" s="3" t="str">
        <f>"284/652/1634/2018/2028/4072/2045/79633/2200/2247/2260/2263/2294/2650/153572/8516/55083/8549/93649/4811/4824/116039/5228/5950/9104/6092/4070/6943/7481/7482/7490"</f>
        <v>284/652/1634/2018/2028/4072/2045/79633/2200/2247/2260/2263/2294/2650/153572/8516/55083/8549/93649/4811/4824/116039/5228/5950/9104/6092/4070/6943/7481/7482/7490</v>
      </c>
    </row>
    <row r="134" spans="1:11">
      <c r="A134" s="3" t="str">
        <f>"GO:0055024"</f>
        <v>GO:0055024</v>
      </c>
      <c r="B134" s="3" t="str">
        <f>"regulation of cardiac muscle tissue development"</f>
        <v>regulation of cardiac muscle tissue development</v>
      </c>
      <c r="C134" s="6" t="str">
        <f t="shared" si="5"/>
        <v>BP</v>
      </c>
      <c r="D134" s="6">
        <v>16</v>
      </c>
      <c r="E134" s="3">
        <v>0.16</v>
      </c>
      <c r="F134" s="3">
        <v>4.8952823753391596E-4</v>
      </c>
      <c r="G134" s="3" t="str">
        <f>"16/836"</f>
        <v>16/836</v>
      </c>
      <c r="H134" s="3" t="str">
        <f>"100/18670"</f>
        <v>100/18670</v>
      </c>
      <c r="I134" s="4">
        <v>8.9638944818011098E-6</v>
      </c>
      <c r="J134" s="3">
        <v>3.9451619807038098E-4</v>
      </c>
      <c r="K134" s="3" t="str">
        <f>"652/22943/2065/2247/2260/2263/8324/2627/3479/93649/3084/5950/6909/6910/7049/7472"</f>
        <v>652/22943/2065/2247/2260/2263/8324/2627/3479/93649/3084/5950/6909/6910/7049/7472</v>
      </c>
    </row>
    <row r="135" spans="1:11">
      <c r="A135" s="3" t="str">
        <f>"GO:0005216"</f>
        <v>GO:0005216</v>
      </c>
      <c r="B135" s="3" t="str">
        <f>"ion channel activity"</f>
        <v>ion channel activity</v>
      </c>
      <c r="C135" s="6" t="str">
        <f>"MF"</f>
        <v>MF</v>
      </c>
      <c r="D135" s="6">
        <v>41</v>
      </c>
      <c r="E135" s="3">
        <v>9.4252873563218403E-2</v>
      </c>
      <c r="F135" s="3">
        <v>5.2739139816521097E-4</v>
      </c>
      <c r="G135" s="3" t="str">
        <f>"41/813"</f>
        <v>41/813</v>
      </c>
      <c r="H135" s="3" t="str">
        <f>"435/17696"</f>
        <v>435/17696</v>
      </c>
      <c r="I135" s="4">
        <v>1.0947074198789499E-5</v>
      </c>
      <c r="J135" s="3">
        <v>4.6974132630099802E-4</v>
      </c>
      <c r="K135" s="3" t="str">
        <f>"121601/196527/309/773/9635/1364/54102/5348/2562/2823/2892/2897/3249/7881/3745/3747/3750/10008/23630/30818/3772/3760/3764/3778/3779/3781/3783/3785/56479/343450/80131/6262/6332/57419/79838/140738/7220/7223/54795/79054/55503"</f>
        <v>121601/196527/309/773/9635/1364/54102/5348/2562/2823/2892/2897/3249/7881/3745/3747/3750/10008/23630/30818/3772/3760/3764/3778/3779/3781/3783/3785/56479/343450/80131/6262/6332/57419/79838/140738/7220/7223/54795/79054/55503</v>
      </c>
    </row>
    <row r="136" spans="1:11">
      <c r="A136" s="3" t="str">
        <f>"GO:0048705"</f>
        <v>GO:0048705</v>
      </c>
      <c r="B136" s="3" t="str">
        <f>"skeletal system morphogenesis"</f>
        <v>skeletal system morphogenesis</v>
      </c>
      <c r="C136" s="6" t="str">
        <f>"BP"</f>
        <v>BP</v>
      </c>
      <c r="D136" s="6">
        <v>27</v>
      </c>
      <c r="E136" s="3">
        <v>0.11297071129707099</v>
      </c>
      <c r="F136" s="3">
        <v>5.3029217433022801E-4</v>
      </c>
      <c r="G136" s="3" t="str">
        <f>"27/836"</f>
        <v>27/836</v>
      </c>
      <c r="H136" s="3" t="str">
        <f>"239/18670"</f>
        <v>239/18670</v>
      </c>
      <c r="I136" s="4">
        <v>9.8182274392778704E-6</v>
      </c>
      <c r="J136" s="3">
        <v>4.2736830369002502E-4</v>
      </c>
      <c r="K136" s="3" t="str">
        <f>"309/8313/652/658/1305/7373/1280/1291/1292/1746/2260/2263/64399/3236/4147/4323/4325/4880/116039/133522/51435/6423/285590/6899/9496/7043/5212"</f>
        <v>309/8313/652/658/1305/7373/1280/1291/1292/1746/2260/2263/64399/3236/4147/4323/4325/4880/116039/133522/51435/6423/285590/6899/9496/7043/5212</v>
      </c>
    </row>
    <row r="137" spans="1:11">
      <c r="A137" s="3" t="str">
        <f>"GO:0014033"</f>
        <v>GO:0014033</v>
      </c>
      <c r="B137" s="3" t="str">
        <f>"neural crest cell differentiation"</f>
        <v>neural crest cell differentiation</v>
      </c>
      <c r="C137" s="6" t="str">
        <f>"BP"</f>
        <v>BP</v>
      </c>
      <c r="D137" s="6">
        <v>15</v>
      </c>
      <c r="E137" s="3">
        <v>0.16666666666666699</v>
      </c>
      <c r="F137" s="3">
        <v>5.4566896251626701E-4</v>
      </c>
      <c r="G137" s="3" t="str">
        <f>"15/836"</f>
        <v>15/836</v>
      </c>
      <c r="H137" s="3" t="str">
        <f>"90/18670"</f>
        <v>90/18670</v>
      </c>
      <c r="I137" s="4">
        <v>1.02139459921661E-5</v>
      </c>
      <c r="J137" s="3">
        <v>4.3976062664211898E-4</v>
      </c>
      <c r="K137" s="3" t="str">
        <f>"309/652/1908/1910/2487/4254/3084/8828/5308/10371/9723/80031/6591/6899/9839"</f>
        <v>309/652/1908/1910/2487/4254/3084/8828/5308/10371/9723/80031/6591/6899/9839</v>
      </c>
    </row>
    <row r="138" spans="1:11">
      <c r="A138" s="3" t="str">
        <f>"GO:0001558"</f>
        <v>GO:0001558</v>
      </c>
      <c r="B138" s="3" t="str">
        <f>"regulation of cell growth"</f>
        <v>regulation of cell growth</v>
      </c>
      <c r="C138" s="6" t="str">
        <f>"BP"</f>
        <v>BP</v>
      </c>
      <c r="D138" s="6">
        <v>39</v>
      </c>
      <c r="E138" s="3">
        <v>9.375E-2</v>
      </c>
      <c r="F138" s="3">
        <v>6.0541361996171604E-4</v>
      </c>
      <c r="G138" s="3" t="str">
        <f>"39/836"</f>
        <v>39/836</v>
      </c>
      <c r="H138" s="3" t="str">
        <f>"416/18670"</f>
        <v>416/18670</v>
      </c>
      <c r="I138" s="4">
        <v>1.14554357388483E-5</v>
      </c>
      <c r="J138" s="3">
        <v>4.8790950407794298E-4</v>
      </c>
      <c r="K138" s="3" t="str">
        <f>"627/684/57699/1410/6387/1808/2045/11170/10516/2203/2273/2487/51083/2786/3249/3479/8425/4131/55384/4323/10071/93649/23327/4916/57144/5468/84722/92304/10371/9723/80031/5270/6423/80736/6586/6857/58189/7481/7490"</f>
        <v>627/684/57699/1410/6387/1808/2045/11170/10516/2203/2273/2487/51083/2786/3249/3479/8425/4131/55384/4323/10071/93649/23327/4916/57144/5468/84722/92304/10371/9723/80031/5270/6423/80736/6586/6857/58189/7481/7490</v>
      </c>
    </row>
    <row r="139" spans="1:11">
      <c r="A139" s="3" t="str">
        <f>"GO:0046873"</f>
        <v>GO:0046873</v>
      </c>
      <c r="B139" s="3" t="str">
        <f>"metal ion transmembrane transporter activity"</f>
        <v>metal ion transmembrane transporter activity</v>
      </c>
      <c r="C139" s="6" t="str">
        <f>"MF"</f>
        <v>MF</v>
      </c>
      <c r="D139" s="6">
        <v>41</v>
      </c>
      <c r="E139" s="3">
        <v>9.3394077448747198E-2</v>
      </c>
      <c r="F139" s="3">
        <v>6.1956019741519401E-4</v>
      </c>
      <c r="G139" s="3" t="str">
        <f>"41/813"</f>
        <v>41/813</v>
      </c>
      <c r="H139" s="3" t="str">
        <f>"439/17696"</f>
        <v>439/17696</v>
      </c>
      <c r="I139" s="4">
        <v>1.36167076354988E-5</v>
      </c>
      <c r="J139" s="3">
        <v>5.5183499364916096E-4</v>
      </c>
      <c r="K139" s="3" t="str">
        <f>"309/477/27032/773/2823/2897/3249/7881/3745/3747/3750/10008/23630/30818/3772/3760/3764/3778/3779/3781/3783/3785/56479/343450/348938/6262/6332/201780/64849/57419/8671/11254/6546/84679/133308/140738/7220/7223/54795/79054/55503"</f>
        <v>309/477/27032/773/2823/2897/3249/7881/3745/3747/3750/10008/23630/30818/3772/3760/3764/3778/3779/3781/3783/3785/56479/343450/348938/6262/6332/201780/64849/57419/8671/11254/6546/84679/133308/140738/7220/7223/54795/79054/55503</v>
      </c>
    </row>
    <row r="140" spans="1:11">
      <c r="A140" s="3" t="str">
        <f>"GO:0048754"</f>
        <v>GO:0048754</v>
      </c>
      <c r="B140" s="3" t="str">
        <f>"branching morphogenesis of an epithelial tube"</f>
        <v>branching morphogenesis of an epithelial tube</v>
      </c>
      <c r="C140" s="6" t="str">
        <f t="shared" ref="C140:C149" si="6">"BP"</f>
        <v>BP</v>
      </c>
      <c r="D140" s="6">
        <v>20</v>
      </c>
      <c r="E140" s="3">
        <v>0.133333333333333</v>
      </c>
      <c r="F140" s="3">
        <v>6.4896771606023202E-4</v>
      </c>
      <c r="G140" s="3" t="str">
        <f>"20/836"</f>
        <v>20/836</v>
      </c>
      <c r="H140" s="3" t="str">
        <f>"150/18670"</f>
        <v>150/18670</v>
      </c>
      <c r="I140" s="4">
        <v>1.2411590093522199E-5</v>
      </c>
      <c r="J140" s="3">
        <v>5.23010229808782E-4</v>
      </c>
      <c r="K140" s="3" t="str">
        <f>"652/1950/2119/79633/2247/2263/3169/2294/64399/4323/4824/5228/5241/9723/6423/4070/6943/7472/7482/7490"</f>
        <v>652/1950/2119/79633/2247/2263/3169/2294/64399/4323/4824/5228/5241/9723/6423/4070/6943/7472/7482/7490</v>
      </c>
    </row>
    <row r="141" spans="1:11">
      <c r="A141" s="3" t="str">
        <f>"GO:0014032"</f>
        <v>GO:0014032</v>
      </c>
      <c r="B141" s="3" t="str">
        <f>"neural crest cell development"</f>
        <v>neural crest cell development</v>
      </c>
      <c r="C141" s="6" t="str">
        <f t="shared" si="6"/>
        <v>BP</v>
      </c>
      <c r="D141" s="6">
        <v>14</v>
      </c>
      <c r="E141" s="3">
        <v>0.172839506172839</v>
      </c>
      <c r="F141" s="3">
        <v>6.6744592321265695E-4</v>
      </c>
      <c r="G141" s="3" t="str">
        <f>"14/836"</f>
        <v>14/836</v>
      </c>
      <c r="H141" s="3" t="str">
        <f>"81/18670"</f>
        <v>81/18670</v>
      </c>
      <c r="I141" s="4">
        <v>1.3036583647693801E-5</v>
      </c>
      <c r="J141" s="3">
        <v>5.3790202046350702E-4</v>
      </c>
      <c r="K141" s="3" t="str">
        <f>"309/652/1908/1910/4254/3084/8828/5308/10371/9723/80031/6591/6899/9839"</f>
        <v>309/652/1908/1910/4254/3084/8828/5308/10371/9723/80031/6591/6899/9839</v>
      </c>
    </row>
    <row r="142" spans="1:11">
      <c r="A142" s="3" t="str">
        <f>"GO:0022617"</f>
        <v>GO:0022617</v>
      </c>
      <c r="B142" s="3" t="str">
        <f>"extracellular matrix disassembly"</f>
        <v>extracellular matrix disassembly</v>
      </c>
      <c r="C142" s="6" t="str">
        <f t="shared" si="6"/>
        <v>BP</v>
      </c>
      <c r="D142" s="6">
        <v>14</v>
      </c>
      <c r="E142" s="3">
        <v>0.172839506172839</v>
      </c>
      <c r="F142" s="3">
        <v>6.6744592321265695E-4</v>
      </c>
      <c r="G142" s="3" t="str">
        <f>"14/836"</f>
        <v>14/836</v>
      </c>
      <c r="H142" s="3" t="str">
        <f>"81/18670"</f>
        <v>81/18670</v>
      </c>
      <c r="I142" s="4">
        <v>1.3036583647693801E-5</v>
      </c>
      <c r="J142" s="3">
        <v>5.3790202046350702E-4</v>
      </c>
      <c r="K142" s="3" t="str">
        <f>"2/11096/4921/1803/1991/2264/3249/3817/9622/4323/4325/222663/285590/7093"</f>
        <v>2/11096/4921/1803/1991/2264/3249/3817/9622/4323/4325/222663/285590/7093</v>
      </c>
    </row>
    <row r="143" spans="1:11">
      <c r="A143" s="3" t="str">
        <f>"GO:0010092"</f>
        <v>GO:0010092</v>
      </c>
      <c r="B143" s="3" t="str">
        <f>"specification of animal organ identity"</f>
        <v>specification of animal organ identity</v>
      </c>
      <c r="C143" s="6" t="str">
        <f t="shared" si="6"/>
        <v>BP</v>
      </c>
      <c r="D143" s="6">
        <v>9</v>
      </c>
      <c r="E143" s="3">
        <v>0.26470588235294101</v>
      </c>
      <c r="F143" s="3">
        <v>6.7040823556437795E-4</v>
      </c>
      <c r="G143" s="3" t="str">
        <f>"9/836"</f>
        <v>9/836</v>
      </c>
      <c r="H143" s="3" t="str">
        <f>"34/18670"</f>
        <v>34/18670</v>
      </c>
      <c r="I143" s="4">
        <v>1.3230844119988699E-5</v>
      </c>
      <c r="J143" s="3">
        <v>5.40289380613322E-4</v>
      </c>
      <c r="K143" s="3" t="str">
        <f>"8313/652/22943/2260/2263/140628/6092/7472/7482"</f>
        <v>8313/652/22943/2260/2263/140628/6092/7472/7482</v>
      </c>
    </row>
    <row r="144" spans="1:11">
      <c r="A144" s="3" t="str">
        <f>"GO:0006941"</f>
        <v>GO:0006941</v>
      </c>
      <c r="B144" s="3" t="str">
        <f>"striated muscle contraction"</f>
        <v>striated muscle contraction</v>
      </c>
      <c r="C144" s="6" t="str">
        <f t="shared" si="6"/>
        <v>BP</v>
      </c>
      <c r="D144" s="6">
        <v>22</v>
      </c>
      <c r="E144" s="3">
        <v>0.124293785310734</v>
      </c>
      <c r="F144" s="3">
        <v>7.2707907384105496E-4</v>
      </c>
      <c r="G144" s="3" t="str">
        <f>"22/836"</f>
        <v>22/836</v>
      </c>
      <c r="H144" s="3" t="str">
        <f>"177/18670"</f>
        <v>177/18670</v>
      </c>
      <c r="I144" s="4">
        <v>1.44972022861492E-5</v>
      </c>
      <c r="J144" s="3">
        <v>5.8596103332738498E-4</v>
      </c>
      <c r="K144" s="3" t="str">
        <f>"70/148/287/477/857/1824/1837/10008/23630/3760/3764/3781/4624/23327/4842/8654/5350/6262/6444/6546/6769/54795"</f>
        <v>70/148/287/477/857/1824/1837/10008/23630/3760/3764/3781/4624/23327/4842/8654/5350/6262/6444/6546/6769/54795</v>
      </c>
    </row>
    <row r="145" spans="1:11">
      <c r="A145" s="3" t="str">
        <f>"GO:0050804"</f>
        <v>GO:0050804</v>
      </c>
      <c r="B145" s="3" t="str">
        <f>"modulation of chemical synaptic transmission"</f>
        <v>modulation of chemical synaptic transmission</v>
      </c>
      <c r="C145" s="6" t="str">
        <f t="shared" si="6"/>
        <v>BP</v>
      </c>
      <c r="D145" s="6">
        <v>40</v>
      </c>
      <c r="E145" s="3">
        <v>9.1743119266055106E-2</v>
      </c>
      <c r="F145" s="3">
        <v>7.3198498783925395E-4</v>
      </c>
      <c r="G145" s="3" t="str">
        <f>"40/836"</f>
        <v>40/836</v>
      </c>
      <c r="H145" s="3" t="str">
        <f>"436/18670"</f>
        <v>436/18670</v>
      </c>
      <c r="I145" s="4">
        <v>1.47439499076472E-5</v>
      </c>
      <c r="J145" s="3">
        <v>5.8991476345004296E-4</v>
      </c>
      <c r="K145" s="3" t="str">
        <f>"148/321/477/627/773/1000/1056/56853/1524/22943/1979/2047/11170/2259/2897/3745/3908/4130/4131/4885/4914/5334/10769/25953/55607/5577/5579/5865/5923/5270/23657/6623/57537/6853/6857/23208/9066/143425/6863/6865"</f>
        <v>148/321/477/627/773/1000/1056/56853/1524/22943/1979/2047/11170/2259/2897/3745/3908/4130/4131/4885/4914/5334/10769/25953/55607/5577/5579/5865/5923/5270/23657/6623/57537/6853/6857/23208/9066/143425/6863/6865</v>
      </c>
    </row>
    <row r="146" spans="1:11">
      <c r="A146" s="3" t="str">
        <f>"GO:0016202"</f>
        <v>GO:0016202</v>
      </c>
      <c r="B146" s="3" t="str">
        <f>"regulation of striated muscle tissue development"</f>
        <v>regulation of striated muscle tissue development</v>
      </c>
      <c r="C146" s="6" t="str">
        <f t="shared" si="6"/>
        <v>BP</v>
      </c>
      <c r="D146" s="6">
        <v>20</v>
      </c>
      <c r="E146" s="3">
        <v>0.13157894736842099</v>
      </c>
      <c r="F146" s="3">
        <v>7.4109997569517998E-4</v>
      </c>
      <c r="G146" s="3" t="str">
        <f>"20/836"</f>
        <v>20/836</v>
      </c>
      <c r="H146" s="3" t="str">
        <f>"152/18670"</f>
        <v>152/18670</v>
      </c>
      <c r="I146" s="4">
        <v>1.51433293372282E-5</v>
      </c>
      <c r="J146" s="3">
        <v>5.9726063255147199E-4</v>
      </c>
      <c r="K146" s="3" t="str">
        <f>"652/22943/2047/2065/2247/2260/2263/8324/2627/9734/3479/93649/3084/5950/6899/6909/6910/7049/7093/7472"</f>
        <v>652/22943/2047/2065/2247/2260/2263/8324/2627/9734/3479/93649/3084/5950/6899/6909/6910/7049/7093/7472</v>
      </c>
    </row>
    <row r="147" spans="1:11">
      <c r="A147" s="3" t="str">
        <f>"GO:0072132"</f>
        <v>GO:0072132</v>
      </c>
      <c r="B147" s="3" t="str">
        <f>"mesenchyme morphogenesis"</f>
        <v>mesenchyme morphogenesis</v>
      </c>
      <c r="C147" s="6" t="str">
        <f t="shared" si="6"/>
        <v>BP</v>
      </c>
      <c r="D147" s="6">
        <v>11</v>
      </c>
      <c r="E147" s="3">
        <v>0.21153846153846201</v>
      </c>
      <c r="F147" s="3">
        <v>7.4109997569517998E-4</v>
      </c>
      <c r="G147" s="3" t="str">
        <f>"11/836"</f>
        <v>11/836</v>
      </c>
      <c r="H147" s="3" t="str">
        <f>"52/18670"</f>
        <v>52/18670</v>
      </c>
      <c r="I147" s="4">
        <v>1.52291144547738E-5</v>
      </c>
      <c r="J147" s="3">
        <v>5.9726063255147199E-4</v>
      </c>
      <c r="K147" s="3" t="str">
        <f>"70/653/2260/2294/140628/23462/6092/6591/6909/55273/7481"</f>
        <v>70/653/2260/2294/140628/23462/6092/6591/6909/55273/7481</v>
      </c>
    </row>
    <row r="148" spans="1:11">
      <c r="A148" s="3" t="str">
        <f>"GO:0099177"</f>
        <v>GO:0099177</v>
      </c>
      <c r="B148" s="3" t="str">
        <f>"regulation of trans-synaptic signaling"</f>
        <v>regulation of trans-synaptic signaling</v>
      </c>
      <c r="C148" s="6" t="str">
        <f t="shared" si="6"/>
        <v>BP</v>
      </c>
      <c r="D148" s="6">
        <v>40</v>
      </c>
      <c r="E148" s="3">
        <v>9.1533180778032006E-2</v>
      </c>
      <c r="F148" s="3">
        <v>7.4932718704753798E-4</v>
      </c>
      <c r="G148" s="3" t="str">
        <f>"40/836"</f>
        <v>40/836</v>
      </c>
      <c r="H148" s="3" t="str">
        <f>"437/18670"</f>
        <v>437/18670</v>
      </c>
      <c r="I148" s="4">
        <v>1.55506354178736E-5</v>
      </c>
      <c r="J148" s="3">
        <v>6.0389103279110898E-4</v>
      </c>
      <c r="K148" s="3" t="str">
        <f>"148/321/477/627/773/1000/1056/56853/1524/22943/1979/2047/11170/2259/2897/3745/3908/4130/4131/4885/4914/5334/10769/25953/55607/5577/5579/5865/5923/5270/23657/6623/57537/6853/6857/23208/9066/143425/6863/6865"</f>
        <v>148/321/477/627/773/1000/1056/56853/1524/22943/1979/2047/11170/2259/2897/3745/3908/4130/4131/4885/4914/5334/10769/25953/55607/5577/5579/5865/5923/5270/23657/6623/57537/6853/6857/23208/9066/143425/6863/6865</v>
      </c>
    </row>
    <row r="149" spans="1:11">
      <c r="A149" s="3" t="str">
        <f>"GO:0048562"</f>
        <v>GO:0048562</v>
      </c>
      <c r="B149" s="3" t="str">
        <f>"embryonic organ morphogenesis"</f>
        <v>embryonic organ morphogenesis</v>
      </c>
      <c r="C149" s="6" t="str">
        <f t="shared" si="6"/>
        <v>BP</v>
      </c>
      <c r="D149" s="6">
        <v>30</v>
      </c>
      <c r="E149" s="3">
        <v>0.104166666666667</v>
      </c>
      <c r="F149" s="3">
        <v>7.6867878052937102E-4</v>
      </c>
      <c r="G149" s="3" t="str">
        <f>"30/836"</f>
        <v>30/836</v>
      </c>
      <c r="H149" s="3" t="str">
        <f>"288/18670"</f>
        <v>288/18670</v>
      </c>
      <c r="I149" s="4">
        <v>1.6108629581795601E-5</v>
      </c>
      <c r="J149" s="3">
        <v>6.1948669510778495E-4</v>
      </c>
      <c r="K149" s="3" t="str">
        <f>"652/1280/1746/2202/2200/2260/2263/2304/2294/2295/2487/3236/3249/8516/4323/4325/8013/116039/5950/348093/9750/6262/80736/84189/6899/6909/6943/7043/259236/7481"</f>
        <v>652/1280/1746/2202/2200/2260/2263/2304/2294/2295/2487/3236/3249/8516/4323/4325/8013/116039/5950/348093/9750/6262/80736/84189/6899/6909/6943/7043/259236/7481</v>
      </c>
    </row>
    <row r="150" spans="1:11">
      <c r="A150" s="3" t="str">
        <f>"GO:0008083"</f>
        <v>GO:0008083</v>
      </c>
      <c r="B150" s="3" t="str">
        <f>"growth factor activity"</f>
        <v>growth factor activity</v>
      </c>
      <c r="C150" s="6" t="str">
        <f>"MF"</f>
        <v>MF</v>
      </c>
      <c r="D150" s="6">
        <v>21</v>
      </c>
      <c r="E150" s="3">
        <v>0.128834355828221</v>
      </c>
      <c r="F150" s="3">
        <v>7.8206935733794605E-4</v>
      </c>
      <c r="G150" s="3" t="str">
        <f>"21/813"</f>
        <v>21/813</v>
      </c>
      <c r="H150" s="3" t="str">
        <f>"163/17696"</f>
        <v>163/17696</v>
      </c>
      <c r="I150" s="4">
        <v>1.8926399713310199E-5</v>
      </c>
      <c r="J150" s="3">
        <v>6.9657999439007399E-4</v>
      </c>
      <c r="K150" s="3" t="str">
        <f>"627/652/653/6387/22943/2202/1950/2259/2247/2252/2662/9518/3479/4254/3084/9542/4969/56034/5228/7043/7060"</f>
        <v>627/652/653/6387/22943/2202/1950/2259/2247/2252/2662/9518/3479/4254/3084/9542/4969/56034/5228/7043/7060</v>
      </c>
    </row>
    <row r="151" spans="1:11">
      <c r="A151" s="3" t="str">
        <f>"GO:0022839"</f>
        <v>GO:0022839</v>
      </c>
      <c r="B151" s="3" t="str">
        <f>"ion gated channel activity"</f>
        <v>ion gated channel activity</v>
      </c>
      <c r="C151" s="6" t="str">
        <f>"MF"</f>
        <v>MF</v>
      </c>
      <c r="D151" s="6">
        <v>10</v>
      </c>
      <c r="E151" s="3">
        <v>0.232558139534884</v>
      </c>
      <c r="F151" s="3">
        <v>7.8206935733794605E-4</v>
      </c>
      <c r="G151" s="3" t="str">
        <f>"10/813"</f>
        <v>10/813</v>
      </c>
      <c r="H151" s="3" t="str">
        <f>"43/17696"</f>
        <v>43/17696</v>
      </c>
      <c r="I151" s="4">
        <v>1.90981528043455E-5</v>
      </c>
      <c r="J151" s="3">
        <v>6.9657999439007399E-4</v>
      </c>
      <c r="K151" s="3" t="str">
        <f>"121601/196527/9635/3249/3778/3779/3781/3783/343450/54795"</f>
        <v>121601/196527/9635/3249/3778/3779/3781/3783/343450/54795</v>
      </c>
    </row>
    <row r="152" spans="1:11">
      <c r="A152" s="3" t="str">
        <f>"GO:0032412"</f>
        <v>GO:0032412</v>
      </c>
      <c r="B152" s="3" t="str">
        <f>"regulation of ion transmembrane transporter activity"</f>
        <v>regulation of ion transmembrane transporter activity</v>
      </c>
      <c r="C152" s="6" t="str">
        <f t="shared" ref="C152:C157" si="7">"BP"</f>
        <v>BP</v>
      </c>
      <c r="D152" s="6">
        <v>28</v>
      </c>
      <c r="E152" s="3">
        <v>0.107692307692308</v>
      </c>
      <c r="F152" s="3">
        <v>7.8560476224461603E-4</v>
      </c>
      <c r="G152" s="3" t="str">
        <f>"28/836"</f>
        <v>28/836</v>
      </c>
      <c r="H152" s="3" t="str">
        <f>"260/18670"</f>
        <v>260/18670</v>
      </c>
      <c r="I152" s="4">
        <v>1.6623172995613399E-5</v>
      </c>
      <c r="J152" s="3">
        <v>6.3312753018718001E-4</v>
      </c>
      <c r="K152" s="3" t="str">
        <f>"79026/287/306/477/857/2259/2273/5348/53826/51083/2669/2892/7881/3747/10008/23630/57554/23327/4842/5350/10891/5923/9104/8787/6236/6262/7871/6769"</f>
        <v>79026/287/306/477/857/2259/2273/5348/53826/51083/2669/2892/7881/3747/10008/23630/57554/23327/4842/5350/10891/5923/9104/8787/6236/6262/7871/6769</v>
      </c>
    </row>
    <row r="153" spans="1:11">
      <c r="A153" s="3" t="str">
        <f>"GO:0007009"</f>
        <v>GO:0007009</v>
      </c>
      <c r="B153" s="3" t="str">
        <f>"plasma membrane organization"</f>
        <v>plasma membrane organization</v>
      </c>
      <c r="C153" s="6" t="str">
        <f t="shared" si="7"/>
        <v>BP</v>
      </c>
      <c r="D153" s="6">
        <v>16</v>
      </c>
      <c r="E153" s="3">
        <v>0.15238095238095201</v>
      </c>
      <c r="F153" s="3">
        <v>7.9218652354196397E-4</v>
      </c>
      <c r="G153" s="3" t="str">
        <f>"16/836"</f>
        <v>16/836</v>
      </c>
      <c r="H153" s="3" t="str">
        <f>"105/18670"</f>
        <v>105/18670</v>
      </c>
      <c r="I153" s="4">
        <v>1.6923618509034801E-5</v>
      </c>
      <c r="J153" s="3">
        <v>6.38431844105244E-4</v>
      </c>
      <c r="K153" s="3" t="str">
        <f>"287/121601/196527/309/55971/857/858/8436/1191/30846/79633/5359/6456/23208/9066/116238"</f>
        <v>287/121601/196527/309/55971/857/858/8436/1191/30846/79633/5359/6456/23208/9066/116238</v>
      </c>
    </row>
    <row r="154" spans="1:11">
      <c r="A154" s="3" t="str">
        <f>"GO:1901888"</f>
        <v>GO:1901888</v>
      </c>
      <c r="B154" s="3" t="str">
        <f>"regulation of cell junction assembly"</f>
        <v>regulation of cell junction assembly</v>
      </c>
      <c r="C154" s="6" t="str">
        <f t="shared" si="7"/>
        <v>BP</v>
      </c>
      <c r="D154" s="6">
        <v>23</v>
      </c>
      <c r="E154" s="3">
        <v>0.119791666666667</v>
      </c>
      <c r="F154" s="3">
        <v>7.9450138605327699E-4</v>
      </c>
      <c r="G154" s="3" t="str">
        <f>"23/836"</f>
        <v>23/836</v>
      </c>
      <c r="H154" s="3" t="str">
        <f>"192/18670"</f>
        <v>192/18670</v>
      </c>
      <c r="I154" s="4">
        <v>1.71347196178326E-5</v>
      </c>
      <c r="J154" s="3">
        <v>6.4029741729795602E-4</v>
      </c>
      <c r="K154" s="3" t="str">
        <f>"23284/627/857/1307/22943/2042/2045/2047/11170/2824/158038/54674/4323/4914/4916/10611/79834/55607/64284/6092/26050/84189/6591"</f>
        <v>23284/627/857/1307/22943/2042/2045/2047/11170/2824/158038/54674/4323/4914/4916/10611/79834/55607/64284/6092/26050/84189/6591</v>
      </c>
    </row>
    <row r="155" spans="1:11">
      <c r="A155" s="3" t="str">
        <f>"GO:0006029"</f>
        <v>GO:0006029</v>
      </c>
      <c r="B155" s="3" t="str">
        <f>"proteoglycan metabolic process"</f>
        <v>proteoglycan metabolic process</v>
      </c>
      <c r="C155" s="6" t="str">
        <f t="shared" si="7"/>
        <v>BP</v>
      </c>
      <c r="D155" s="6">
        <v>15</v>
      </c>
      <c r="E155" s="3">
        <v>0.159574468085106</v>
      </c>
      <c r="F155" s="3">
        <v>8.0602557091054598E-4</v>
      </c>
      <c r="G155" s="3" t="str">
        <f>"15/836"</f>
        <v>15/836</v>
      </c>
      <c r="H155" s="3" t="str">
        <f>"94/18670"</f>
        <v>94/18670</v>
      </c>
      <c r="I155" s="4">
        <v>1.7550547014380799E-5</v>
      </c>
      <c r="J155" s="3">
        <v>6.4958488479657003E-4</v>
      </c>
      <c r="K155" s="3" t="str">
        <f>"81792/27087/658/124583/9469/1280/1634/133584/2300/9955/90161/3479/79625/50859/1462"</f>
        <v>81792/27087/658/124583/9469/1280/1634/133584/2300/9955/90161/3479/79625/50859/1462</v>
      </c>
    </row>
    <row r="156" spans="1:11">
      <c r="A156" s="3" t="str">
        <f>"GO:0051153"</f>
        <v>GO:0051153</v>
      </c>
      <c r="B156" s="3" t="str">
        <f>"regulation of striated muscle cell differentiation"</f>
        <v>regulation of striated muscle cell differentiation</v>
      </c>
      <c r="C156" s="6" t="str">
        <f t="shared" si="7"/>
        <v>BP</v>
      </c>
      <c r="D156" s="6">
        <v>17</v>
      </c>
      <c r="E156" s="3">
        <v>0.145299145299145</v>
      </c>
      <c r="F156" s="3">
        <v>8.0602557091054598E-4</v>
      </c>
      <c r="G156" s="3" t="str">
        <f>"17/836"</f>
        <v>17/836</v>
      </c>
      <c r="H156" s="3" t="str">
        <f>"117/18670"</f>
        <v>117/18670</v>
      </c>
      <c r="I156" s="4">
        <v>1.77112434706692E-5</v>
      </c>
      <c r="J156" s="3">
        <v>6.4958488479657003E-4</v>
      </c>
      <c r="K156" s="3" t="str">
        <f>"627/652/22943/30846/2323/8324/9518/9734/3479/4323/93649/341676/3084/84814/9750/92304/6899"</f>
        <v>627/652/22943/30846/2323/8324/9518/9734/3479/4323/93649/341676/3084/84814/9750/92304/6899</v>
      </c>
    </row>
    <row r="157" spans="1:11">
      <c r="A157" s="3" t="str">
        <f>"GO:0070588"</f>
        <v>GO:0070588</v>
      </c>
      <c r="B157" s="3" t="str">
        <f>"calcium ion transmembrane transport"</f>
        <v>calcium ion transmembrane transport</v>
      </c>
      <c r="C157" s="6" t="str">
        <f t="shared" si="7"/>
        <v>BP</v>
      </c>
      <c r="D157" s="6">
        <v>32</v>
      </c>
      <c r="E157" s="3">
        <v>0.100313479623824</v>
      </c>
      <c r="F157" s="3">
        <v>8.2460898175409903E-4</v>
      </c>
      <c r="G157" s="3" t="str">
        <f>"32/836"</f>
        <v>32/836</v>
      </c>
      <c r="H157" s="3" t="str">
        <f>"319/18670"</f>
        <v>319/18670</v>
      </c>
      <c r="I157" s="4">
        <v>1.8287360938188601E-5</v>
      </c>
      <c r="J157" s="3">
        <v>6.64561460264641E-4</v>
      </c>
      <c r="K157" s="3" t="str">
        <f>"79026/287/196527/309/477/27032/773/6366/57214/2259/2247/2669/2823/10008/4842/64805/5350/9104/8787/6236/6262/57419/159371/6546/6769/140738/7220/7223/54795/79054/55503/27075"</f>
        <v>79026/287/196527/309/477/27032/773/6366/57214/2259/2247/2669/2823/10008/4842/64805/5350/9104/8787/6236/6262/57419/159371/6546/6769/140738/7220/7223/54795/79054/55503/27075</v>
      </c>
    </row>
    <row r="158" spans="1:11">
      <c r="A158" s="3" t="str">
        <f>"GO:0004714"</f>
        <v>GO:0004714</v>
      </c>
      <c r="B158" s="3" t="str">
        <f>"transmembrane receptor protein tyrosine kinase activity"</f>
        <v>transmembrane receptor protein tyrosine kinase activity</v>
      </c>
      <c r="C158" s="6" t="str">
        <f>"MF"</f>
        <v>MF</v>
      </c>
      <c r="D158" s="6">
        <v>12</v>
      </c>
      <c r="E158" s="3">
        <v>0.19354838709677399</v>
      </c>
      <c r="F158" s="3">
        <v>8.2469051735892295E-4</v>
      </c>
      <c r="G158" s="3" t="str">
        <f>"12/813"</f>
        <v>12/813</v>
      </c>
      <c r="H158" s="3" t="str">
        <f>"62/17696"</f>
        <v>62/17696</v>
      </c>
      <c r="I158" s="4">
        <v>2.1145910701510899E-5</v>
      </c>
      <c r="J158" s="3">
        <v>7.34542161210377E-4</v>
      </c>
      <c r="K158" s="3" t="str">
        <f>"4921/2202/2042/2045/2047/2065/2260/2263/2264/8828/4914/4916"</f>
        <v>4921/2202/2042/2045/2047/2065/2260/2263/2264/8828/4914/4916</v>
      </c>
    </row>
    <row r="159" spans="1:11">
      <c r="A159" s="3" t="str">
        <f>"GO:0003416"</f>
        <v>GO:0003416</v>
      </c>
      <c r="B159" s="3" t="str">
        <f>"endochondral bone growth"</f>
        <v>endochondral bone growth</v>
      </c>
      <c r="C159" s="6" t="str">
        <f t="shared" ref="C159:C172" si="8">"BP"</f>
        <v>BP</v>
      </c>
      <c r="D159" s="6">
        <v>10</v>
      </c>
      <c r="E159" s="3">
        <v>0.22727272727272699</v>
      </c>
      <c r="F159" s="3">
        <v>8.4650956172394704E-4</v>
      </c>
      <c r="G159" s="3" t="str">
        <f>"10/836"</f>
        <v>10/836</v>
      </c>
      <c r="H159" s="3" t="str">
        <f>"44/18670"</f>
        <v>44/18670</v>
      </c>
      <c r="I159" s="4">
        <v>1.90409708825126E-5</v>
      </c>
      <c r="J159" s="3">
        <v>6.8221137886538801E-4</v>
      </c>
      <c r="K159" s="3" t="str">
        <f>"309/7373/1291/1292/4921/2263/4147/4880/51435/5212"</f>
        <v>309/7373/1291/1292/4921/2263/4147/4880/51435/5212</v>
      </c>
    </row>
    <row r="160" spans="1:11">
      <c r="A160" s="3" t="str">
        <f>"GO:2001023"</f>
        <v>GO:2001023</v>
      </c>
      <c r="B160" s="3" t="str">
        <f>"regulation of response to drug"</f>
        <v>regulation of response to drug</v>
      </c>
      <c r="C160" s="6" t="str">
        <f t="shared" si="8"/>
        <v>BP</v>
      </c>
      <c r="D160" s="6">
        <v>16</v>
      </c>
      <c r="E160" s="3">
        <v>0.15094339622641501</v>
      </c>
      <c r="F160" s="3">
        <v>8.4650956172394704E-4</v>
      </c>
      <c r="G160" s="3" t="str">
        <f>"16/836"</f>
        <v>16/836</v>
      </c>
      <c r="H160" s="3" t="str">
        <f>"106/18670"</f>
        <v>106/18670</v>
      </c>
      <c r="I160" s="4">
        <v>1.91175099392387E-5</v>
      </c>
      <c r="J160" s="3">
        <v>6.8221137886538801E-4</v>
      </c>
      <c r="K160" s="3" t="str">
        <f>"477/858/6387/51083/2587/8091/8013/5831/5865/6623/6857/23208/57586/9066/143425/6865"</f>
        <v>477/858/6387/51083/2587/8091/8013/5831/5865/6623/6857/23208/57586/9066/143425/6865</v>
      </c>
    </row>
    <row r="161" spans="1:11">
      <c r="A161" s="3" t="str">
        <f>"GO:0034394"</f>
        <v>GO:0034394</v>
      </c>
      <c r="B161" s="3" t="str">
        <f>"protein localization to cell surface"</f>
        <v>protein localization to cell surface</v>
      </c>
      <c r="C161" s="6" t="str">
        <f t="shared" si="8"/>
        <v>BP</v>
      </c>
      <c r="D161" s="6">
        <v>12</v>
      </c>
      <c r="E161" s="3">
        <v>0.19047619047618999</v>
      </c>
      <c r="F161" s="3">
        <v>8.5487469322413298E-4</v>
      </c>
      <c r="G161" s="3" t="str">
        <f>"12/836"</f>
        <v>12/836</v>
      </c>
      <c r="H161" s="3" t="str">
        <f>"63/18670"</f>
        <v>63/18670</v>
      </c>
      <c r="I161" s="4">
        <v>1.94803592352193E-5</v>
      </c>
      <c r="J161" s="3">
        <v>6.8895293047114897E-4</v>
      </c>
      <c r="K161" s="3" t="str">
        <f>"284/287/627/1950/10516/2252/338328/2824/4130/23327/7414/7481"</f>
        <v>284/287/627/1950/10516/2252/338328/2824/4130/23327/7414/7481</v>
      </c>
    </row>
    <row r="162" spans="1:11">
      <c r="A162" s="3" t="str">
        <f>"GO:0060560"</f>
        <v>GO:0060560</v>
      </c>
      <c r="B162" s="3" t="str">
        <f>"developmental growth involved in morphogenesis"</f>
        <v>developmental growth involved in morphogenesis</v>
      </c>
      <c r="C162" s="6" t="str">
        <f t="shared" si="8"/>
        <v>BP</v>
      </c>
      <c r="D162" s="6">
        <v>26</v>
      </c>
      <c r="E162" s="3">
        <v>0.11063829787234</v>
      </c>
      <c r="F162" s="3">
        <v>8.9676851674524896E-4</v>
      </c>
      <c r="G162" s="3" t="str">
        <f>"26/836"</f>
        <v>26/836</v>
      </c>
      <c r="H162" s="3" t="str">
        <f>"235/18670"</f>
        <v>235/18670</v>
      </c>
      <c r="I162" s="4">
        <v>2.06174653900739E-5</v>
      </c>
      <c r="J162" s="3">
        <v>7.2271562424637201E-4</v>
      </c>
      <c r="K162" s="3" t="str">
        <f>"627/652/57699/6387/1808/2045/2263/51083/3239/3676/55083/4131/23327/8828/4916/10371/9723/80031/6423/6456/6586/6857/6909/7414/7481/9839"</f>
        <v>627/652/57699/6387/1808/2045/2263/51083/3239/3676/55083/4131/23327/8828/4916/10371/9723/80031/6423/6456/6586/6857/6909/7414/7481/9839</v>
      </c>
    </row>
    <row r="163" spans="1:11">
      <c r="A163" s="3" t="str">
        <f>"GO:0030900"</f>
        <v>GO:0030900</v>
      </c>
      <c r="B163" s="3" t="str">
        <f>"forebrain development"</f>
        <v>forebrain development</v>
      </c>
      <c r="C163" s="6" t="str">
        <f t="shared" si="8"/>
        <v>BP</v>
      </c>
      <c r="D163" s="6">
        <v>36</v>
      </c>
      <c r="E163" s="3">
        <v>9.4488188976377993E-2</v>
      </c>
      <c r="F163" s="3">
        <v>8.9957272715403399E-4</v>
      </c>
      <c r="G163" s="3" t="str">
        <f>"36/836"</f>
        <v>36/836</v>
      </c>
      <c r="H163" s="3" t="str">
        <f>"381/18670"</f>
        <v>381/18670</v>
      </c>
      <c r="I163" s="4">
        <v>2.0864962542331602E-5</v>
      </c>
      <c r="J163" s="3">
        <v>7.2497556829911305E-4</v>
      </c>
      <c r="K163" s="3" t="str">
        <f>"306/652/1000/6387/1600/22943/1745/1746/1767/2018/79633/9638/2260/2263/2775/3400/3747/3912/4642/4852/8013/3084/8828/64805/5307/5308/10891/5592/5881/6092/10371/23657/6546/26050/7482/9839"</f>
        <v>306/652/1000/6387/1600/22943/1745/1746/1767/2018/79633/9638/2260/2263/2775/3400/3747/3912/4642/4852/8013/3084/8828/64805/5307/5308/10891/5592/5881/6092/10371/23657/6546/26050/7482/9839</v>
      </c>
    </row>
    <row r="164" spans="1:11">
      <c r="A164" s="3" t="str">
        <f>"GO:0030048"</f>
        <v>GO:0030048</v>
      </c>
      <c r="B164" s="3" t="str">
        <f>"actin filament-based movement"</f>
        <v>actin filament-based movement</v>
      </c>
      <c r="C164" s="6" t="str">
        <f t="shared" si="8"/>
        <v>BP</v>
      </c>
      <c r="D164" s="6">
        <v>19</v>
      </c>
      <c r="E164" s="3">
        <v>0.132867132867133</v>
      </c>
      <c r="F164" s="3">
        <v>9.13693111335625E-4</v>
      </c>
      <c r="G164" s="3" t="str">
        <f>"19/836"</f>
        <v>19/836</v>
      </c>
      <c r="H164" s="3" t="str">
        <f>"143/18670"</f>
        <v>143/18670</v>
      </c>
      <c r="I164" s="4">
        <v>2.1378373917313702E-5</v>
      </c>
      <c r="J164" s="3">
        <v>7.3635534142655799E-4</v>
      </c>
      <c r="K164" s="3" t="str">
        <f>"70/287/477/857/1824/122786/10008/23630/3760/3764/3781/4624/4646/23327/5350/6262/6444/7169/54795"</f>
        <v>70/287/477/857/1824/122786/10008/23630/3760/3764/3781/4624/4646/23327/5350/6262/6444/7169/54795</v>
      </c>
    </row>
    <row r="165" spans="1:11">
      <c r="A165" s="3" t="str">
        <f>"GO:0060428"</f>
        <v>GO:0060428</v>
      </c>
      <c r="B165" s="3" t="str">
        <f>"lung epithelium development"</f>
        <v>lung epithelium development</v>
      </c>
      <c r="C165" s="6" t="str">
        <f t="shared" si="8"/>
        <v>BP</v>
      </c>
      <c r="D165" s="6">
        <v>9</v>
      </c>
      <c r="E165" s="3">
        <v>0.25</v>
      </c>
      <c r="F165" s="3">
        <v>9.26433307699605E-4</v>
      </c>
      <c r="G165" s="3" t="str">
        <f>"9/836"</f>
        <v>9/836</v>
      </c>
      <c r="H165" s="3" t="str">
        <f>"36/18670"</f>
        <v>36/18670</v>
      </c>
      <c r="I165" s="4">
        <v>2.1909910029347898E-5</v>
      </c>
      <c r="J165" s="3">
        <v>7.4662280599102897E-4</v>
      </c>
      <c r="K165" s="3" t="str">
        <f>"10551/652/2252/2263/3169/2627/57333/25803/7472"</f>
        <v>10551/652/2252/2263/3169/2627/57333/25803/7472</v>
      </c>
    </row>
    <row r="166" spans="1:11">
      <c r="A166" s="3" t="str">
        <f>"GO:0060562"</f>
        <v>GO:0060562</v>
      </c>
      <c r="B166" s="3" t="str">
        <f>"epithelial tube morphogenesis"</f>
        <v>epithelial tube morphogenesis</v>
      </c>
      <c r="C166" s="6" t="str">
        <f t="shared" si="8"/>
        <v>BP</v>
      </c>
      <c r="D166" s="6">
        <v>32</v>
      </c>
      <c r="E166" s="3">
        <v>9.9378881987577605E-2</v>
      </c>
      <c r="F166" s="3">
        <v>9.26433307699605E-4</v>
      </c>
      <c r="G166" s="3" t="str">
        <f>"32/836"</f>
        <v>32/836</v>
      </c>
      <c r="H166" s="3" t="str">
        <f>"322/18670"</f>
        <v>322/18670</v>
      </c>
      <c r="I166" s="4">
        <v>2.2053448016450399E-5</v>
      </c>
      <c r="J166" s="3">
        <v>7.4662280599102897E-4</v>
      </c>
      <c r="K166" s="3" t="str">
        <f>"81792/652/653/1950/2045/2119/79633/2247/2263/3169/2294/64399/153572/55083/8549/4323/4824/5228/5241/6262/9723/6423/6768/4070/6899/6909/6943/7481/7472/7482/7490/9839"</f>
        <v>81792/652/653/1950/2045/2119/79633/2247/2263/3169/2294/64399/153572/55083/8549/4323/4824/5228/5241/6262/9723/6423/6768/4070/6899/6909/6943/7481/7472/7482/7490/9839</v>
      </c>
    </row>
    <row r="167" spans="1:11">
      <c r="A167" s="3" t="str">
        <f>"GO:0048634"</f>
        <v>GO:0048634</v>
      </c>
      <c r="B167" s="3" t="str">
        <f>"regulation of muscle organ development"</f>
        <v>regulation of muscle organ development</v>
      </c>
      <c r="C167" s="6" t="str">
        <f t="shared" si="8"/>
        <v>BP</v>
      </c>
      <c r="D167" s="6">
        <v>20</v>
      </c>
      <c r="E167" s="3">
        <v>0.128205128205128</v>
      </c>
      <c r="F167" s="3">
        <v>9.2803966519767697E-4</v>
      </c>
      <c r="G167" s="3" t="str">
        <f>"20/836"</f>
        <v>20/836</v>
      </c>
      <c r="H167" s="3" t="str">
        <f>"156/18670"</f>
        <v>156/18670</v>
      </c>
      <c r="I167" s="4">
        <v>2.2280504678194499E-5</v>
      </c>
      <c r="J167" s="3">
        <v>7.4791738719041803E-4</v>
      </c>
      <c r="K167" s="3" t="str">
        <f>"652/22943/2047/2065/2247/2260/2263/8324/2627/9734/3479/93649/3084/5950/6899/6909/6910/7049/7093/7472"</f>
        <v>652/22943/2047/2065/2247/2260/2263/8324/2627/9734/3479/93649/3084/5950/6899/6909/6910/7049/7093/7472</v>
      </c>
    </row>
    <row r="168" spans="1:11">
      <c r="A168" s="3" t="str">
        <f>"GO:0048645"</f>
        <v>GO:0048645</v>
      </c>
      <c r="B168" s="3" t="str">
        <f>"animal organ formation"</f>
        <v>animal organ formation</v>
      </c>
      <c r="C168" s="6" t="str">
        <f t="shared" si="8"/>
        <v>BP</v>
      </c>
      <c r="D168" s="6">
        <v>12</v>
      </c>
      <c r="E168" s="3">
        <v>0.1875</v>
      </c>
      <c r="F168" s="3">
        <v>9.3484040320920597E-4</v>
      </c>
      <c r="G168" s="3" t="str">
        <f>"12/836"</f>
        <v>12/836</v>
      </c>
      <c r="H168" s="3" t="str">
        <f>"64/18670"</f>
        <v>64/18670</v>
      </c>
      <c r="I168" s="4">
        <v>2.3010479197538199E-5</v>
      </c>
      <c r="J168" s="3">
        <v>7.5339817685414999E-4</v>
      </c>
      <c r="K168" s="3" t="str">
        <f>"8313/652/22943/2260/2263/140628/2627/6092/6910/7472/7482/7490"</f>
        <v>8313/652/22943/2260/2263/140628/2627/6092/6910/7472/7482/7490</v>
      </c>
    </row>
    <row r="169" spans="1:11">
      <c r="A169" s="3" t="str">
        <f>"GO:0014031"</f>
        <v>GO:0014031</v>
      </c>
      <c r="B169" s="3" t="str">
        <f>"mesenchymal cell development"</f>
        <v>mesenchymal cell development</v>
      </c>
      <c r="C169" s="6" t="str">
        <f t="shared" si="8"/>
        <v>BP</v>
      </c>
      <c r="D169" s="6">
        <v>14</v>
      </c>
      <c r="E169" s="3">
        <v>0.16470588235294101</v>
      </c>
      <c r="F169" s="3">
        <v>9.3484040320920597E-4</v>
      </c>
      <c r="G169" s="3" t="str">
        <f>"14/836"</f>
        <v>14/836</v>
      </c>
      <c r="H169" s="3" t="str">
        <f>"85/18670"</f>
        <v>85/18670</v>
      </c>
      <c r="I169" s="4">
        <v>2.3014382256014999E-5</v>
      </c>
      <c r="J169" s="3">
        <v>7.5339817685414999E-4</v>
      </c>
      <c r="K169" s="3" t="str">
        <f>"309/652/1908/1910/4254/3084/8828/5308/10371/9723/80031/6591/6899/9839"</f>
        <v>309/652/1908/1910/4254/3084/8828/5308/10371/9723/80031/6591/6899/9839</v>
      </c>
    </row>
    <row r="170" spans="1:11">
      <c r="A170" s="3" t="str">
        <f>"GO:0048864"</f>
        <v>GO:0048864</v>
      </c>
      <c r="B170" s="3" t="str">
        <f>"stem cell development"</f>
        <v>stem cell development</v>
      </c>
      <c r="C170" s="6" t="str">
        <f t="shared" si="8"/>
        <v>BP</v>
      </c>
      <c r="D170" s="6">
        <v>14</v>
      </c>
      <c r="E170" s="3">
        <v>0.16470588235294101</v>
      </c>
      <c r="F170" s="3">
        <v>9.3484040320920597E-4</v>
      </c>
      <c r="G170" s="3" t="str">
        <f>"14/836"</f>
        <v>14/836</v>
      </c>
      <c r="H170" s="3" t="str">
        <f>"85/18670"</f>
        <v>85/18670</v>
      </c>
      <c r="I170" s="4">
        <v>2.3014382256014999E-5</v>
      </c>
      <c r="J170" s="3">
        <v>7.5339817685414999E-4</v>
      </c>
      <c r="K170" s="3" t="str">
        <f>"309/652/1908/1910/4254/3084/8828/5308/10371/9723/80031/6591/6899/9839"</f>
        <v>309/652/1908/1910/4254/3084/8828/5308/10371/9723/80031/6591/6899/9839</v>
      </c>
    </row>
    <row r="171" spans="1:11">
      <c r="A171" s="3" t="str">
        <f>"GO:0071772"</f>
        <v>GO:0071772</v>
      </c>
      <c r="B171" s="3" t="str">
        <f>"response to BMP"</f>
        <v>response to BMP</v>
      </c>
      <c r="C171" s="6" t="str">
        <f t="shared" si="8"/>
        <v>BP</v>
      </c>
      <c r="D171" s="6">
        <v>21</v>
      </c>
      <c r="E171" s="3">
        <v>0.123529411764706</v>
      </c>
      <c r="F171" s="3">
        <v>9.8937308412632504E-4</v>
      </c>
      <c r="G171" s="3" t="str">
        <f>"21/836"</f>
        <v>21/836</v>
      </c>
      <c r="H171" s="3" t="str">
        <f>"170/18670"</f>
        <v>170/18670</v>
      </c>
      <c r="I171" s="4">
        <v>2.4759489185663898E-5</v>
      </c>
      <c r="J171" s="3">
        <v>7.9734666500344998E-4</v>
      </c>
      <c r="K171" s="3" t="str">
        <f>"81792/652/653/658/91851/1280/22943/1745/2200/140628/2627/9518/64388/4624/348093/494470/6262/6423/7049/55273/222008"</f>
        <v>81792/652/653/658/91851/1280/22943/1745/2200/140628/2627/9518/64388/4624/348093/494470/6262/6423/7049/55273/222008</v>
      </c>
    </row>
    <row r="172" spans="1:11">
      <c r="A172" s="3" t="str">
        <f>"GO:0071773"</f>
        <v>GO:0071773</v>
      </c>
      <c r="B172" s="3" t="str">
        <f>"cellular response to BMP stimulus"</f>
        <v>cellular response to BMP stimulus</v>
      </c>
      <c r="C172" s="6" t="str">
        <f t="shared" si="8"/>
        <v>BP</v>
      </c>
      <c r="D172" s="6">
        <v>21</v>
      </c>
      <c r="E172" s="3">
        <v>0.123529411764706</v>
      </c>
      <c r="F172" s="3">
        <v>9.8937308412632504E-4</v>
      </c>
      <c r="G172" s="3" t="str">
        <f>"21/836"</f>
        <v>21/836</v>
      </c>
      <c r="H172" s="3" t="str">
        <f>"170/18670"</f>
        <v>170/18670</v>
      </c>
      <c r="I172" s="4">
        <v>2.4759489185663898E-5</v>
      </c>
      <c r="J172" s="3">
        <v>7.9734666500344998E-4</v>
      </c>
      <c r="K172" s="3" t="str">
        <f>"81792/652/653/658/91851/1280/22943/1745/2200/140628/2627/9518/64388/4624/348093/494470/6262/6423/7049/55273/222008"</f>
        <v>81792/652/653/658/91851/1280/22943/1745/2200/140628/2627/9518/64388/4624/348093/494470/6262/6423/7049/55273/222008</v>
      </c>
    </row>
    <row r="173" spans="1:11">
      <c r="A173" s="3" t="str">
        <f>"GO:0044291"</f>
        <v>GO:0044291</v>
      </c>
      <c r="B173" s="3" t="str">
        <f>"cell-cell contact zone"</f>
        <v>cell-cell contact zone</v>
      </c>
      <c r="C173" s="6" t="str">
        <f>"CC"</f>
        <v>CC</v>
      </c>
      <c r="D173" s="6">
        <v>12</v>
      </c>
      <c r="E173" s="3">
        <v>0.169014084507042</v>
      </c>
      <c r="F173" s="3">
        <v>1.02046893146606E-3</v>
      </c>
      <c r="G173" s="3" t="str">
        <f>"12/873"</f>
        <v>12/873</v>
      </c>
      <c r="H173" s="3" t="str">
        <f>"71/19717"</f>
        <v>71/19717</v>
      </c>
      <c r="I173" s="4">
        <v>6.0559658477839997E-5</v>
      </c>
      <c r="J173" s="3">
        <v>8.0112001475111103E-4</v>
      </c>
      <c r="K173" s="3" t="str">
        <f>"79026/287/477/1000/1824/5348/83700/5819/5101/5239/6546/7414"</f>
        <v>79026/287/477/1000/1824/5348/83700/5819/5101/5239/6546/7414</v>
      </c>
    </row>
    <row r="174" spans="1:11">
      <c r="A174" s="3" t="str">
        <f>"GO:0005583"</f>
        <v>GO:0005583</v>
      </c>
      <c r="B174" s="3" t="str">
        <f>"fibrillar collagen trimer"</f>
        <v>fibrillar collagen trimer</v>
      </c>
      <c r="C174" s="6" t="str">
        <f>"CC"</f>
        <v>CC</v>
      </c>
      <c r="D174" s="6">
        <v>5</v>
      </c>
      <c r="E174" s="3">
        <v>0.45454545454545497</v>
      </c>
      <c r="F174" s="3">
        <v>1.02046893146606E-3</v>
      </c>
      <c r="G174" s="3" t="str">
        <f>"5/873"</f>
        <v>5/873</v>
      </c>
      <c r="H174" s="3" t="str">
        <f>"11/19717"</f>
        <v>11/19717</v>
      </c>
      <c r="I174" s="4">
        <v>6.2171426496881999E-5</v>
      </c>
      <c r="J174" s="3">
        <v>8.0112001475111103E-4</v>
      </c>
      <c r="K174" s="3" t="str">
        <f>"1278/1280/1290/50509/4060"</f>
        <v>1278/1280/1290/50509/4060</v>
      </c>
    </row>
    <row r="175" spans="1:11">
      <c r="A175" s="3" t="str">
        <f>"GO:0098643"</f>
        <v>GO:0098643</v>
      </c>
      <c r="B175" s="3" t="str">
        <f>"banded collagen fibril"</f>
        <v>banded collagen fibril</v>
      </c>
      <c r="C175" s="6" t="str">
        <f>"CC"</f>
        <v>CC</v>
      </c>
      <c r="D175" s="6">
        <v>5</v>
      </c>
      <c r="E175" s="3">
        <v>0.45454545454545497</v>
      </c>
      <c r="F175" s="3">
        <v>1.02046893146606E-3</v>
      </c>
      <c r="G175" s="3" t="str">
        <f>"5/873"</f>
        <v>5/873</v>
      </c>
      <c r="H175" s="3" t="str">
        <f>"11/19717"</f>
        <v>11/19717</v>
      </c>
      <c r="I175" s="4">
        <v>6.2171426496881999E-5</v>
      </c>
      <c r="J175" s="3">
        <v>8.0112001475111103E-4</v>
      </c>
      <c r="K175" s="3" t="str">
        <f>"1278/1280/1290/50509/4060"</f>
        <v>1278/1280/1290/50509/4060</v>
      </c>
    </row>
    <row r="176" spans="1:11">
      <c r="A176" s="3" t="str">
        <f>"GO:0048663"</f>
        <v>GO:0048663</v>
      </c>
      <c r="B176" s="3" t="str">
        <f>"neuron fate commitment"</f>
        <v>neuron fate commitment</v>
      </c>
      <c r="C176" s="6" t="str">
        <f t="shared" ref="C176:C194" si="9">"BP"</f>
        <v>BP</v>
      </c>
      <c r="D176" s="6">
        <v>12</v>
      </c>
      <c r="E176" s="3">
        <v>0.18461538461538499</v>
      </c>
      <c r="F176" s="3">
        <v>1.0735501725066599E-3</v>
      </c>
      <c r="G176" s="3" t="str">
        <f>"12/836"</f>
        <v>12/836</v>
      </c>
      <c r="H176" s="3" t="str">
        <f>"65/18670"</f>
        <v>65/18670</v>
      </c>
      <c r="I176" s="4">
        <v>2.7084480445742899E-5</v>
      </c>
      <c r="J176" s="3">
        <v>8.6518590761740601E-4</v>
      </c>
      <c r="K176" s="3" t="str">
        <f>"652/1745/1746/100170841/54738/3169/3236/64843/3110/23040/3084/4916"</f>
        <v>652/1745/1746/100170841/54738/3169/3236/64843/3110/23040/3084/4916</v>
      </c>
    </row>
    <row r="177" spans="1:11">
      <c r="A177" s="3" t="str">
        <f>"GO:0001704"</f>
        <v>GO:0001704</v>
      </c>
      <c r="B177" s="3" t="str">
        <f>"formation of primary germ layer"</f>
        <v>formation of primary germ layer</v>
      </c>
      <c r="C177" s="6" t="str">
        <f t="shared" si="9"/>
        <v>BP</v>
      </c>
      <c r="D177" s="6">
        <v>17</v>
      </c>
      <c r="E177" s="3">
        <v>0.14049586776859499</v>
      </c>
      <c r="F177" s="3">
        <v>1.0848236450997301E-3</v>
      </c>
      <c r="G177" s="3" t="str">
        <f>"17/836"</f>
        <v>17/836</v>
      </c>
      <c r="H177" s="3" t="str">
        <f>"121/18670"</f>
        <v>121/18670</v>
      </c>
      <c r="I177" s="4">
        <v>2.76811802497653E-5</v>
      </c>
      <c r="J177" s="3">
        <v>8.7427132334106999E-4</v>
      </c>
      <c r="K177" s="3" t="str">
        <f>"652/1290/1291/22943/2260/2263/2294/8324/2627/8091/3676/8516/3912/4323/8013/6423/7481"</f>
        <v>652/1290/1291/22943/2260/2263/2294/8324/2627/8091/3676/8516/3912/4323/8013/6423/7481</v>
      </c>
    </row>
    <row r="178" spans="1:11">
      <c r="A178" s="3" t="str">
        <f>"GO:0003156"</f>
        <v>GO:0003156</v>
      </c>
      <c r="B178" s="3" t="str">
        <f>"regulation of animal organ formation"</f>
        <v>regulation of animal organ formation</v>
      </c>
      <c r="C178" s="6" t="str">
        <f t="shared" si="9"/>
        <v>BP</v>
      </c>
      <c r="D178" s="6">
        <v>9</v>
      </c>
      <c r="E178" s="3">
        <v>0.24324324324324301</v>
      </c>
      <c r="F178" s="3">
        <v>1.0848236450997301E-3</v>
      </c>
      <c r="G178" s="3" t="str">
        <f>"9/836"</f>
        <v>9/836</v>
      </c>
      <c r="H178" s="3" t="str">
        <f>"37/18670"</f>
        <v>37/18670</v>
      </c>
      <c r="I178" s="4">
        <v>2.7810331491875101E-5</v>
      </c>
      <c r="J178" s="3">
        <v>8.7427132334106999E-4</v>
      </c>
      <c r="K178" s="3" t="str">
        <f>"652/22943/2260/140628/6092/6910/7472/7482/7490"</f>
        <v>652/22943/2260/140628/6092/6910/7472/7482/7490</v>
      </c>
    </row>
    <row r="179" spans="1:11">
      <c r="A179" s="3" t="str">
        <f>"GO:0061337"</f>
        <v>GO:0061337</v>
      </c>
      <c r="B179" s="3" t="str">
        <f>"cardiac conduction"</f>
        <v>cardiac conduction</v>
      </c>
      <c r="C179" s="6" t="str">
        <f t="shared" si="9"/>
        <v>BP</v>
      </c>
      <c r="D179" s="6">
        <v>19</v>
      </c>
      <c r="E179" s="3">
        <v>0.13013698630136999</v>
      </c>
      <c r="F179" s="3">
        <v>1.10365520995023E-3</v>
      </c>
      <c r="G179" s="3" t="str">
        <f>"19/836"</f>
        <v>19/836</v>
      </c>
      <c r="H179" s="3" t="str">
        <f>"146/18670"</f>
        <v>146/18670</v>
      </c>
      <c r="I179" s="4">
        <v>2.87239105742842E-5</v>
      </c>
      <c r="J179" s="3">
        <v>8.8944788885639205E-4</v>
      </c>
      <c r="K179" s="3" t="str">
        <f>"287/477/857/1824/5348/53826/3750/10008/23630/30818/3760/3781/4842/4880/5350/6262/6546/7220/54795"</f>
        <v>287/477/857/1824/5348/53826/3750/10008/23630/30818/3760/3781/4842/4880/5350/6262/6546/7220/54795</v>
      </c>
    </row>
    <row r="180" spans="1:11">
      <c r="A180" s="3" t="str">
        <f>"GO:0050919"</f>
        <v>GO:0050919</v>
      </c>
      <c r="B180" s="3" t="str">
        <f>"negative chemotaxis"</f>
        <v>negative chemotaxis</v>
      </c>
      <c r="C180" s="6" t="str">
        <f t="shared" si="9"/>
        <v>BP</v>
      </c>
      <c r="D180" s="6">
        <v>10</v>
      </c>
      <c r="E180" s="3">
        <v>0.217391304347826</v>
      </c>
      <c r="F180" s="3">
        <v>1.10365520995023E-3</v>
      </c>
      <c r="G180" s="3" t="str">
        <f>"10/836"</f>
        <v>10/836</v>
      </c>
      <c r="H180" s="3" t="str">
        <f>"46/18670"</f>
        <v>46/18670</v>
      </c>
      <c r="I180" s="4">
        <v>2.8842850571426002E-5</v>
      </c>
      <c r="J180" s="3">
        <v>8.8944788885639205E-4</v>
      </c>
      <c r="K180" s="3" t="str">
        <f>"2045/59352/3084/8828/6092/10371/9723/80031/6586/8633"</f>
        <v>2045/59352/3084/8828/6092/10371/9723/80031/6586/8633</v>
      </c>
    </row>
    <row r="181" spans="1:11">
      <c r="A181" s="3" t="str">
        <f>"GO:0022898"</f>
        <v>GO:0022898</v>
      </c>
      <c r="B181" s="3" t="str">
        <f>"regulation of transmembrane transporter activity"</f>
        <v>regulation of transmembrane transporter activity</v>
      </c>
      <c r="C181" s="6" t="str">
        <f t="shared" si="9"/>
        <v>BP</v>
      </c>
      <c r="D181" s="6">
        <v>28</v>
      </c>
      <c r="E181" s="3">
        <v>0.104477611940299</v>
      </c>
      <c r="F181" s="3">
        <v>1.10365520995023E-3</v>
      </c>
      <c r="G181" s="3" t="str">
        <f>"28/836"</f>
        <v>28/836</v>
      </c>
      <c r="H181" s="3" t="str">
        <f>"268/18670"</f>
        <v>268/18670</v>
      </c>
      <c r="I181" s="4">
        <v>2.89667389793651E-5</v>
      </c>
      <c r="J181" s="3">
        <v>8.8944788885639205E-4</v>
      </c>
      <c r="K181" s="3" t="str">
        <f>"79026/287/306/477/857/2259/2273/5348/53826/51083/2669/2892/7881/3747/10008/23630/57554/23327/4842/5350/10891/5923/9104/8787/6236/6262/7871/6769"</f>
        <v>79026/287/306/477/857/2259/2273/5348/53826/51083/2669/2892/7881/3747/10008/23630/57554/23327/4842/5350/10891/5923/9104/8787/6236/6262/7871/6769</v>
      </c>
    </row>
    <row r="182" spans="1:11">
      <c r="A182" s="3" t="str">
        <f>"GO:0060411"</f>
        <v>GO:0060411</v>
      </c>
      <c r="B182" s="3" t="str">
        <f>"cardiac septum morphogenesis"</f>
        <v>cardiac septum morphogenesis</v>
      </c>
      <c r="C182" s="6" t="str">
        <f t="shared" si="9"/>
        <v>BP</v>
      </c>
      <c r="D182" s="6">
        <v>13</v>
      </c>
      <c r="E182" s="3">
        <v>0.17105263157894701</v>
      </c>
      <c r="F182" s="3">
        <v>1.1060765726305999E-3</v>
      </c>
      <c r="G182" s="3" t="str">
        <f>"13/836"</f>
        <v>13/836</v>
      </c>
      <c r="H182" s="3" t="str">
        <f>"76/18670"</f>
        <v>76/18670</v>
      </c>
      <c r="I182" s="4">
        <v>2.9616347958778499E-5</v>
      </c>
      <c r="J182" s="3">
        <v>8.9139929170828998E-4</v>
      </c>
      <c r="K182" s="3" t="str">
        <f>"652/653/2263/2627/23462/8828/6092/6586/6899/6909/6910/7049/7481"</f>
        <v>652/653/2263/2627/23462/8828/6092/6586/6899/6909/6910/7049/7481</v>
      </c>
    </row>
    <row r="183" spans="1:11">
      <c r="A183" s="3" t="str">
        <f>"GO:0042391"</f>
        <v>GO:0042391</v>
      </c>
      <c r="B183" s="3" t="str">
        <f>"regulation of membrane potential"</f>
        <v>regulation of membrane potential</v>
      </c>
      <c r="C183" s="6" t="str">
        <f t="shared" si="9"/>
        <v>BP</v>
      </c>
      <c r="D183" s="6">
        <v>39</v>
      </c>
      <c r="E183" s="3">
        <v>8.9861751152073704E-2</v>
      </c>
      <c r="F183" s="3">
        <v>1.1060765726305999E-3</v>
      </c>
      <c r="G183" s="3" t="str">
        <f>"39/836"</f>
        <v>39/836</v>
      </c>
      <c r="H183" s="3" t="str">
        <f>"434/18670"</f>
        <v>434/18670</v>
      </c>
      <c r="I183" s="4">
        <v>2.9973201452813699E-5</v>
      </c>
      <c r="J183" s="3">
        <v>8.9139929170828998E-4</v>
      </c>
      <c r="K183" s="3" t="str">
        <f>"148/153/287/477/773/857/56853/1634/1824/2259/2273/5348/2562/2892/2897/388135/642938/3745/3747/10008/23630/3760/3764/3778/3781/3783/343450/23327/4916/5350/64208/55607/5831/6262/6332/6546/7871/6863/54795"</f>
        <v>148/153/287/477/773/857/56853/1634/1824/2259/2273/5348/2562/2892/2897/388135/642938/3745/3747/10008/23630/3760/3764/3778/3781/3783/343450/23327/4916/5350/64208/55607/5831/6262/6332/6546/7871/6863/54795</v>
      </c>
    </row>
    <row r="184" spans="1:11">
      <c r="A184" s="3" t="str">
        <f>"GO:0032409"</f>
        <v>GO:0032409</v>
      </c>
      <c r="B184" s="3" t="str">
        <f>"regulation of transporter activity"</f>
        <v>regulation of transporter activity</v>
      </c>
      <c r="C184" s="6" t="str">
        <f t="shared" si="9"/>
        <v>BP</v>
      </c>
      <c r="D184" s="6">
        <v>29</v>
      </c>
      <c r="E184" s="3">
        <v>0.102473498233216</v>
      </c>
      <c r="F184" s="3">
        <v>1.1060765726305999E-3</v>
      </c>
      <c r="G184" s="3" t="str">
        <f>"29/836"</f>
        <v>29/836</v>
      </c>
      <c r="H184" s="3" t="str">
        <f>"283/18670"</f>
        <v>283/18670</v>
      </c>
      <c r="I184" s="4">
        <v>3.01099425165367E-5</v>
      </c>
      <c r="J184" s="3">
        <v>8.9139929170828998E-4</v>
      </c>
      <c r="K184" s="3" t="str">
        <f>"79026/287/306/477/857/2259/2273/5348/53826/51083/2669/2892/7881/3747/10008/23630/57554/23327/4842/5350/5468/10891/5923/9104/8787/6236/6262/7871/6769"</f>
        <v>79026/287/306/477/857/2259/2273/5348/53826/51083/2669/2892/7881/3747/10008/23630/57554/23327/4842/5350/5468/10891/5923/9104/8787/6236/6262/7871/6769</v>
      </c>
    </row>
    <row r="185" spans="1:11">
      <c r="A185" s="3" t="str">
        <f>"GO:0045844"</f>
        <v>GO:0045844</v>
      </c>
      <c r="B185" s="3" t="str">
        <f>"positive regulation of striated muscle tissue development"</f>
        <v>positive regulation of striated muscle tissue development</v>
      </c>
      <c r="C185" s="6" t="str">
        <f t="shared" si="9"/>
        <v>BP</v>
      </c>
      <c r="D185" s="6">
        <v>14</v>
      </c>
      <c r="E185" s="3">
        <v>0.160919540229885</v>
      </c>
      <c r="F185" s="3">
        <v>1.1060765726305999E-3</v>
      </c>
      <c r="G185" s="3" t="str">
        <f>"14/836"</f>
        <v>14/836</v>
      </c>
      <c r="H185" s="3" t="str">
        <f>"87/18670"</f>
        <v>87/18670</v>
      </c>
      <c r="I185" s="4">
        <v>3.0155495571210599E-5</v>
      </c>
      <c r="J185" s="3">
        <v>8.9139929170828998E-4</v>
      </c>
      <c r="K185" s="3" t="str">
        <f>"652/2065/2247/2260/2263/2627/3479/93649/3084/6899/6909/6910/7049/7472"</f>
        <v>652/2065/2247/2260/2263/2627/3479/93649/3084/6899/6909/6910/7049/7472</v>
      </c>
    </row>
    <row r="186" spans="1:11">
      <c r="A186" s="3" t="str">
        <f>"GO:0048636"</f>
        <v>GO:0048636</v>
      </c>
      <c r="B186" s="3" t="str">
        <f>"positive regulation of muscle organ development"</f>
        <v>positive regulation of muscle organ development</v>
      </c>
      <c r="C186" s="6" t="str">
        <f t="shared" si="9"/>
        <v>BP</v>
      </c>
      <c r="D186" s="6">
        <v>14</v>
      </c>
      <c r="E186" s="3">
        <v>0.160919540229885</v>
      </c>
      <c r="F186" s="3">
        <v>1.1060765726305999E-3</v>
      </c>
      <c r="G186" s="3" t="str">
        <f>"14/836"</f>
        <v>14/836</v>
      </c>
      <c r="H186" s="3" t="str">
        <f>"87/18670"</f>
        <v>87/18670</v>
      </c>
      <c r="I186" s="4">
        <v>3.0155495571210599E-5</v>
      </c>
      <c r="J186" s="3">
        <v>8.9139929170828998E-4</v>
      </c>
      <c r="K186" s="3" t="str">
        <f>"652/2065/2247/2260/2263/2627/3479/93649/3084/6899/6909/6910/7049/7472"</f>
        <v>652/2065/2247/2260/2263/2627/3479/93649/3084/6899/6909/6910/7049/7472</v>
      </c>
    </row>
    <row r="187" spans="1:11">
      <c r="A187" s="3" t="str">
        <f>"GO:0060688"</f>
        <v>GO:0060688</v>
      </c>
      <c r="B187" s="3" t="str">
        <f>"regulation of morphogenesis of a branching structure"</f>
        <v>regulation of morphogenesis of a branching structure</v>
      </c>
      <c r="C187" s="6" t="str">
        <f t="shared" si="9"/>
        <v>BP</v>
      </c>
      <c r="D187" s="6">
        <v>11</v>
      </c>
      <c r="E187" s="3">
        <v>0.19642857142857101</v>
      </c>
      <c r="F187" s="3">
        <v>1.15215268708999E-3</v>
      </c>
      <c r="G187" s="3" t="str">
        <f>"11/836"</f>
        <v>11/836</v>
      </c>
      <c r="H187" s="3" t="str">
        <f>"56/18670"</f>
        <v>56/18670</v>
      </c>
      <c r="I187" s="4">
        <v>3.1880521962205201E-5</v>
      </c>
      <c r="J187" s="3">
        <v>9.2853253981252403E-4</v>
      </c>
      <c r="K187" s="3" t="str">
        <f>"652/2119/2252/2260/2263/3239/5228/6591/4070/7472/7482"</f>
        <v>652/2119/2252/2260/2263/3239/5228/6591/4070/7472/7482</v>
      </c>
    </row>
    <row r="188" spans="1:11">
      <c r="A188" s="3" t="str">
        <f>"GO:0086002"</f>
        <v>GO:0086002</v>
      </c>
      <c r="B188" s="3" t="str">
        <f>"cardiac muscle cell action potential involved in contraction"</f>
        <v>cardiac muscle cell action potential involved in contraction</v>
      </c>
      <c r="C188" s="6" t="str">
        <f t="shared" si="9"/>
        <v>BP</v>
      </c>
      <c r="D188" s="6">
        <v>11</v>
      </c>
      <c r="E188" s="3">
        <v>0.19642857142857101</v>
      </c>
      <c r="F188" s="3">
        <v>1.15215268708999E-3</v>
      </c>
      <c r="G188" s="3" t="str">
        <f>"11/836"</f>
        <v>11/836</v>
      </c>
      <c r="H188" s="3" t="str">
        <f>"56/18670"</f>
        <v>56/18670</v>
      </c>
      <c r="I188" s="4">
        <v>3.1880521962205201E-5</v>
      </c>
      <c r="J188" s="3">
        <v>9.2853253981252403E-4</v>
      </c>
      <c r="K188" s="3" t="str">
        <f>"287/857/1824/10008/23630/3760/3764/3781/23327/6262/54795"</f>
        <v>287/857/1824/10008/23630/3760/3764/3781/23327/6262/54795</v>
      </c>
    </row>
    <row r="189" spans="1:11">
      <c r="A189" s="3" t="str">
        <f>"GO:0006836"</f>
        <v>GO:0006836</v>
      </c>
      <c r="B189" s="3" t="str">
        <f>"neurotransmitter transport"</f>
        <v>neurotransmitter transport</v>
      </c>
      <c r="C189" s="6" t="str">
        <f t="shared" si="9"/>
        <v>BP</v>
      </c>
      <c r="D189" s="6">
        <v>28</v>
      </c>
      <c r="E189" s="3">
        <v>0.10370370370370401</v>
      </c>
      <c r="F189" s="3">
        <v>1.18399903663148E-3</v>
      </c>
      <c r="G189" s="3" t="str">
        <f>"28/836"</f>
        <v>28/836</v>
      </c>
      <c r="H189" s="3" t="str">
        <f>"270/18670"</f>
        <v>270/18670</v>
      </c>
      <c r="I189" s="4">
        <v>3.31355659936447E-5</v>
      </c>
      <c r="J189" s="3">
        <v>9.5419786364924603E-4</v>
      </c>
      <c r="K189" s="3" t="str">
        <f>"100/148/321/477/8618/2824/3382/4129/4842/25953/55607/5579/5799/5865/80736/11254/23657/6623/415117/9900/6853/6857/23208/9066/143425/6865/114088/7223"</f>
        <v>100/148/321/477/8618/2824/3382/4129/4842/25953/55607/5579/5799/5865/80736/11254/23657/6623/415117/9900/6853/6857/23208/9066/143425/6865/114088/7223</v>
      </c>
    </row>
    <row r="190" spans="1:11">
      <c r="A190" s="3" t="str">
        <f>"GO:0001759"</f>
        <v>GO:0001759</v>
      </c>
      <c r="B190" s="3" t="str">
        <f>"organ induction"</f>
        <v>organ induction</v>
      </c>
      <c r="C190" s="6" t="str">
        <f t="shared" si="9"/>
        <v>BP</v>
      </c>
      <c r="D190" s="6">
        <v>7</v>
      </c>
      <c r="E190" s="3">
        <v>0.31818181818181801</v>
      </c>
      <c r="F190" s="3">
        <v>1.18399903663148E-3</v>
      </c>
      <c r="G190" s="3" t="str">
        <f>"7/836"</f>
        <v>7/836</v>
      </c>
      <c r="H190" s="3" t="str">
        <f>"22/18670"</f>
        <v>22/18670</v>
      </c>
      <c r="I190" s="4">
        <v>3.3243513134311999E-5</v>
      </c>
      <c r="J190" s="3">
        <v>9.5419786364924603E-4</v>
      </c>
      <c r="K190" s="3" t="str">
        <f>"652/22943/2260/140628/6092/7472/7482"</f>
        <v>652/22943/2260/140628/6092/7472/7482</v>
      </c>
    </row>
    <row r="191" spans="1:11">
      <c r="A191" s="3" t="str">
        <f>"GO:0060351"</f>
        <v>GO:0060351</v>
      </c>
      <c r="B191" s="3" t="str">
        <f>"cartilage development involved in endochondral bone morphogenesis"</f>
        <v>cartilage development involved in endochondral bone morphogenesis</v>
      </c>
      <c r="C191" s="6" t="str">
        <f t="shared" si="9"/>
        <v>BP</v>
      </c>
      <c r="D191" s="6">
        <v>10</v>
      </c>
      <c r="E191" s="3">
        <v>0.21276595744680901</v>
      </c>
      <c r="F191" s="3">
        <v>1.2351363522023499E-3</v>
      </c>
      <c r="G191" s="3" t="str">
        <f>"10/836"</f>
        <v>10/836</v>
      </c>
      <c r="H191" s="3" t="str">
        <f>"47/18670"</f>
        <v>47/18670</v>
      </c>
      <c r="I191" s="4">
        <v>3.51819103374017E-5</v>
      </c>
      <c r="J191" s="3">
        <v>9.9540998947099803E-4</v>
      </c>
      <c r="K191" s="3" t="str">
        <f>"309/8313/7373/1280/1291/1292/4147/4880/51435/5212"</f>
        <v>309/8313/7373/1280/1291/1292/4147/4880/51435/5212</v>
      </c>
    </row>
    <row r="192" spans="1:11">
      <c r="A192" s="3" t="str">
        <f>"GO:0098868"</f>
        <v>GO:0098868</v>
      </c>
      <c r="B192" s="3" t="str">
        <f>"bone growth"</f>
        <v>bone growth</v>
      </c>
      <c r="C192" s="6" t="str">
        <f t="shared" si="9"/>
        <v>BP</v>
      </c>
      <c r="D192" s="6">
        <v>10</v>
      </c>
      <c r="E192" s="3">
        <v>0.21276595744680901</v>
      </c>
      <c r="F192" s="3">
        <v>1.2351363522023499E-3</v>
      </c>
      <c r="G192" s="3" t="str">
        <f>"10/836"</f>
        <v>10/836</v>
      </c>
      <c r="H192" s="3" t="str">
        <f>"47/18670"</f>
        <v>47/18670</v>
      </c>
      <c r="I192" s="4">
        <v>3.51819103374017E-5</v>
      </c>
      <c r="J192" s="3">
        <v>9.9540998947099803E-4</v>
      </c>
      <c r="K192" s="3" t="str">
        <f>"309/7373/1291/1292/4921/2263/4147/4880/51435/5212"</f>
        <v>309/7373/1291/1292/4921/2263/4147/4880/51435/5212</v>
      </c>
    </row>
    <row r="193" spans="1:11">
      <c r="A193" s="3" t="str">
        <f>"GO:2000833"</f>
        <v>GO:2000833</v>
      </c>
      <c r="B193" s="3" t="str">
        <f>"positive regulation of steroid hormone secretion"</f>
        <v>positive regulation of steroid hormone secretion</v>
      </c>
      <c r="C193" s="6" t="str">
        <f t="shared" si="9"/>
        <v>BP</v>
      </c>
      <c r="D193" s="6">
        <v>5</v>
      </c>
      <c r="E193" s="3">
        <v>0.5</v>
      </c>
      <c r="F193" s="3">
        <v>1.29456438316737E-3</v>
      </c>
      <c r="G193" s="3" t="str">
        <f>"5/836"</f>
        <v>5/836</v>
      </c>
      <c r="H193" s="3" t="str">
        <f>"10/18670"</f>
        <v>10/18670</v>
      </c>
      <c r="I193" s="4">
        <v>3.7138062670722198E-5</v>
      </c>
      <c r="J193" s="3">
        <v>1.04330369413906E-3</v>
      </c>
      <c r="K193" s="3" t="str">
        <f>"114897/51083/2587/4824/6863"</f>
        <v>114897/51083/2587/4824/6863</v>
      </c>
    </row>
    <row r="194" spans="1:11">
      <c r="A194" s="3" t="str">
        <f>"GO:0055074"</f>
        <v>GO:0055074</v>
      </c>
      <c r="B194" s="3" t="str">
        <f>"calcium ion homeostasis"</f>
        <v>calcium ion homeostasis</v>
      </c>
      <c r="C194" s="6" t="str">
        <f t="shared" si="9"/>
        <v>BP</v>
      </c>
      <c r="D194" s="6">
        <v>41</v>
      </c>
      <c r="E194" s="3">
        <v>8.7048832271762203E-2</v>
      </c>
      <c r="F194" s="3">
        <v>1.3595676409926601E-3</v>
      </c>
      <c r="G194" s="3" t="str">
        <f>"41/836"</f>
        <v>41/836</v>
      </c>
      <c r="H194" s="3" t="str">
        <f>"471/18670"</f>
        <v>471/18670</v>
      </c>
      <c r="I194" s="4">
        <v>3.9279472028679003E-5</v>
      </c>
      <c r="J194" s="3">
        <v>1.09569053553684E-3</v>
      </c>
      <c r="K194" s="3" t="str">
        <f>"148/287/309/477/27032/114897/773/857/6366/57214/1524/6387/10563/2833/1908/1910/1991/2247/2587/9170/931/4842/5350/5579/5732/5737/9104/6262/1903/6444/57419/159371/6546/9900/6863/130733/7220/7223/54795/79054/55503"</f>
        <v>148/287/309/477/27032/114897/773/857/6366/57214/1524/6387/10563/2833/1908/1910/1991/2247/2587/9170/931/4842/5350/5579/5732/5737/9104/6262/1903/6444/57419/159371/6546/9900/6863/130733/7220/7223/54795/79054/55503</v>
      </c>
    </row>
    <row r="195" spans="1:11">
      <c r="A195" s="3" t="str">
        <f>"GO:0005261"</f>
        <v>GO:0005261</v>
      </c>
      <c r="B195" s="3" t="str">
        <f>"cation channel activity"</f>
        <v>cation channel activity</v>
      </c>
      <c r="C195" s="6" t="str">
        <f>"MF"</f>
        <v>MF</v>
      </c>
      <c r="D195" s="6">
        <v>33</v>
      </c>
      <c r="E195" s="3">
        <v>9.7922848664688394E-2</v>
      </c>
      <c r="F195" s="3">
        <v>1.3650706465687999E-3</v>
      </c>
      <c r="G195" s="3" t="str">
        <f>"33/813"</f>
        <v>33/813</v>
      </c>
      <c r="H195" s="3" t="str">
        <f>"337/17696"</f>
        <v>337/17696</v>
      </c>
      <c r="I195" s="4">
        <v>3.6668564376695601E-5</v>
      </c>
      <c r="J195" s="3">
        <v>1.21585239775359E-3</v>
      </c>
      <c r="K195" s="3" t="str">
        <f>"196527/309/773/2823/2892/2897/3249/7881/3745/3747/3750/10008/23630/30818/3772/3760/3764/3778/3779/3781/3783/3785/56479/343450/6262/6332/57419/140738/7220/7223/54795/79054/55503"</f>
        <v>196527/309/773/2823/2892/2897/3249/7881/3745/3747/3750/10008/23630/30818/3772/3760/3764/3778/3779/3781/3783/3785/56479/343450/6262/6332/57419/140738/7220/7223/54795/79054/55503</v>
      </c>
    </row>
    <row r="196" spans="1:11">
      <c r="A196" s="3" t="str">
        <f>"GO:0030021"</f>
        <v>GO:0030021</v>
      </c>
      <c r="B196" s="3" t="str">
        <f>"extracellular matrix structural constituent conferring compression resistance"</f>
        <v>extracellular matrix structural constituent conferring compression resistance</v>
      </c>
      <c r="C196" s="6" t="str">
        <f>"MF"</f>
        <v>MF</v>
      </c>
      <c r="D196" s="6">
        <v>7</v>
      </c>
      <c r="E196" s="3">
        <v>0.31818181818181801</v>
      </c>
      <c r="F196" s="3">
        <v>1.3941727600956699E-3</v>
      </c>
      <c r="G196" s="3" t="str">
        <f>"7/813"</f>
        <v>7/813</v>
      </c>
      <c r="H196" s="3" t="str">
        <f>"22/17696"</f>
        <v>22/17696</v>
      </c>
      <c r="I196" s="4">
        <v>3.9152592774359499E-5</v>
      </c>
      <c r="J196" s="3">
        <v>1.24177330858724E-3</v>
      </c>
      <c r="K196" s="3" t="str">
        <f>"54829/1634/1404/4060/4969/5553/1462"</f>
        <v>54829/1634/1404/4060/4969/5553/1462</v>
      </c>
    </row>
    <row r="197" spans="1:11">
      <c r="A197" s="3" t="str">
        <f>"GO:0002063"</f>
        <v>GO:0002063</v>
      </c>
      <c r="B197" s="3" t="str">
        <f>"chondrocyte development"</f>
        <v>chondrocyte development</v>
      </c>
      <c r="C197" s="6" t="str">
        <f t="shared" ref="C197:C204" si="10">"BP"</f>
        <v>BP</v>
      </c>
      <c r="D197" s="6">
        <v>10</v>
      </c>
      <c r="E197" s="3">
        <v>0.20833333333333301</v>
      </c>
      <c r="F197" s="3">
        <v>1.46675198243506E-3</v>
      </c>
      <c r="G197" s="3" t="str">
        <f>"10/836"</f>
        <v>10/836</v>
      </c>
      <c r="H197" s="3" t="str">
        <f>"48/18670"</f>
        <v>48/18670</v>
      </c>
      <c r="I197" s="4">
        <v>4.2674574463522499E-5</v>
      </c>
      <c r="J197" s="3">
        <v>1.1820715767849499E-3</v>
      </c>
      <c r="K197" s="3" t="str">
        <f>"8313/658/7373/1291/1292/4147/5744/51435/6423/5212"</f>
        <v>8313/658/7373/1291/1292/4147/5744/51435/6423/5212</v>
      </c>
    </row>
    <row r="198" spans="1:11">
      <c r="A198" s="3" t="str">
        <f>"GO:0033627"</f>
        <v>GO:0033627</v>
      </c>
      <c r="B198" s="3" t="str">
        <f>"cell adhesion mediated by integrin"</f>
        <v>cell adhesion mediated by integrin</v>
      </c>
      <c r="C198" s="6" t="str">
        <f t="shared" si="10"/>
        <v>BP</v>
      </c>
      <c r="D198" s="6">
        <v>12</v>
      </c>
      <c r="E198" s="3">
        <v>0.17647058823529399</v>
      </c>
      <c r="F198" s="3">
        <v>1.4776407980450501E-3</v>
      </c>
      <c r="G198" s="3" t="str">
        <f>"12/836"</f>
        <v>12/836</v>
      </c>
      <c r="H198" s="3" t="str">
        <f>"68/18670"</f>
        <v>68/18670</v>
      </c>
      <c r="I198" s="4">
        <v>4.32920193120015E-5</v>
      </c>
      <c r="J198" s="3">
        <v>1.19084699320951E-3</v>
      </c>
      <c r="K198" s="3" t="str">
        <f>"100/6366/1307/10563/1803/2200/199920/3676/64805/5881/6423/6591"</f>
        <v>100/6366/1307/10563/1803/2200/199920/3676/64805/5881/6423/6591</v>
      </c>
    </row>
    <row r="199" spans="1:11">
      <c r="A199" s="3" t="str">
        <f>"GO:0006874"</f>
        <v>GO:0006874</v>
      </c>
      <c r="B199" s="3" t="str">
        <f>"cellular calcium ion homeostasis"</f>
        <v>cellular calcium ion homeostasis</v>
      </c>
      <c r="C199" s="6" t="str">
        <f t="shared" si="10"/>
        <v>BP</v>
      </c>
      <c r="D199" s="6">
        <v>40</v>
      </c>
      <c r="E199" s="3">
        <v>8.7336244541484698E-2</v>
      </c>
      <c r="F199" s="3">
        <v>1.52715354368306E-3</v>
      </c>
      <c r="G199" s="3" t="str">
        <f>"40/836"</f>
        <v>40/836</v>
      </c>
      <c r="H199" s="3" t="str">
        <f>"458/18670"</f>
        <v>458/18670</v>
      </c>
      <c r="I199" s="4">
        <v>4.5216838407626001E-5</v>
      </c>
      <c r="J199" s="3">
        <v>1.23074986023009E-3</v>
      </c>
      <c r="K199" s="3" t="str">
        <f>"148/287/309/477/27032/114897/773/857/6366/57214/1524/6387/10563/2833/1908/1910/1991/2247/2587/9170/931/4842/5350/5579/5732/5737/9104/6262/1903/57419/159371/6546/9900/6863/130733/7220/7223/54795/79054/55503"</f>
        <v>148/287/309/477/27032/114897/773/857/6366/57214/1524/6387/10563/2833/1908/1910/1991/2247/2587/9170/931/4842/5350/5579/5732/5737/9104/6262/1903/57419/159371/6546/9900/6863/130733/7220/7223/54795/79054/55503</v>
      </c>
    </row>
    <row r="200" spans="1:11">
      <c r="A200" s="3" t="str">
        <f>"GO:0007416"</f>
        <v>GO:0007416</v>
      </c>
      <c r="B200" s="3" t="str">
        <f>"synapse assembly"</f>
        <v>synapse assembly</v>
      </c>
      <c r="C200" s="6" t="str">
        <f t="shared" si="10"/>
        <v>BP</v>
      </c>
      <c r="D200" s="6">
        <v>21</v>
      </c>
      <c r="E200" s="3">
        <v>0.11864406779661001</v>
      </c>
      <c r="F200" s="3">
        <v>1.52715354368306E-3</v>
      </c>
      <c r="G200" s="3" t="str">
        <f>"21/836"</f>
        <v>21/836</v>
      </c>
      <c r="H200" s="3" t="str">
        <f>"177/18670"</f>
        <v>177/18670</v>
      </c>
      <c r="I200" s="4">
        <v>4.5364072711643301E-5</v>
      </c>
      <c r="J200" s="3">
        <v>1.23074986023009E-3</v>
      </c>
      <c r="K200" s="3" t="str">
        <f>"23284/627/1000/1056/22943/2045/2047/2562/2823/158038/54674/4131/3084/4914/4916/10611/55607/64284/6092/26050/84189"</f>
        <v>23284/627/1000/1056/22943/2045/2047/2562/2823/158038/54674/4131/3084/4914/4916/10611/55607/64284/6092/26050/84189</v>
      </c>
    </row>
    <row r="201" spans="1:11">
      <c r="A201" s="3" t="str">
        <f>"GO:0001823"</f>
        <v>GO:0001823</v>
      </c>
      <c r="B201" s="3" t="str">
        <f>"mesonephros development"</f>
        <v>mesonephros development</v>
      </c>
      <c r="C201" s="6" t="str">
        <f t="shared" si="10"/>
        <v>BP</v>
      </c>
      <c r="D201" s="6">
        <v>15</v>
      </c>
      <c r="E201" s="3">
        <v>0.14705882352941199</v>
      </c>
      <c r="F201" s="3">
        <v>1.57909480711683E-3</v>
      </c>
      <c r="G201" s="3" t="str">
        <f>"15/836"</f>
        <v>15/836</v>
      </c>
      <c r="H201" s="3" t="str">
        <f>"102/18670"</f>
        <v>102/18670</v>
      </c>
      <c r="I201" s="4">
        <v>4.7228267883250002E-5</v>
      </c>
      <c r="J201" s="3">
        <v>1.27260989648886E-3</v>
      </c>
      <c r="K201" s="3" t="str">
        <f>"652/4072/79633/2247/2260/2263/55083/116039/5228/6092/4070/6943/7481/7482/7490"</f>
        <v>652/4072/79633/2247/2260/2263/55083/116039/5228/6092/4070/6943/7481/7482/7490</v>
      </c>
    </row>
    <row r="202" spans="1:11">
      <c r="A202" s="3" t="str">
        <f>"GO:0050954"</f>
        <v>GO:0050954</v>
      </c>
      <c r="B202" s="3" t="str">
        <f>"sensory perception of mechanical stimulus"</f>
        <v>sensory perception of mechanical stimulus</v>
      </c>
      <c r="C202" s="6" t="str">
        <f t="shared" si="10"/>
        <v>BP</v>
      </c>
      <c r="D202" s="6">
        <v>20</v>
      </c>
      <c r="E202" s="3">
        <v>0.12121212121212099</v>
      </c>
      <c r="F202" s="3">
        <v>1.6725587252982301E-3</v>
      </c>
      <c r="G202" s="3" t="str">
        <f>"20/836"</f>
        <v>20/836</v>
      </c>
      <c r="H202" s="3" t="str">
        <f>"165/18670"</f>
        <v>165/18670</v>
      </c>
      <c r="I202" s="4">
        <v>5.03639249937209E-5</v>
      </c>
      <c r="J202" s="3">
        <v>1.34793349752042E-3</v>
      </c>
      <c r="K202" s="3" t="str">
        <f>"84059/57214/1280/6387/2260/2562/2706/9455/3249/4646/4914/9750/5270/5172/84189/6591/84530/6907/6899/259236"</f>
        <v>84059/57214/1280/6387/2260/2562/2706/9455/3249/4646/4914/9750/5270/5172/84189/6591/84530/6907/6899/259236</v>
      </c>
    </row>
    <row r="203" spans="1:11">
      <c r="A203" s="3" t="str">
        <f>"GO:0015850"</f>
        <v>GO:0015850</v>
      </c>
      <c r="B203" s="3" t="str">
        <f>"organic hydroxy compound transport"</f>
        <v>organic hydroxy compound transport</v>
      </c>
      <c r="C203" s="6" t="str">
        <f t="shared" si="10"/>
        <v>BP</v>
      </c>
      <c r="D203" s="6">
        <v>27</v>
      </c>
      <c r="E203" s="3">
        <v>0.103053435114504</v>
      </c>
      <c r="F203" s="3">
        <v>1.67516653765611E-3</v>
      </c>
      <c r="G203" s="3" t="str">
        <f>"27/836"</f>
        <v>27/836</v>
      </c>
      <c r="H203" s="3" t="str">
        <f>"262/18670"</f>
        <v>262/18670</v>
      </c>
      <c r="I203" s="4">
        <v>5.07832785576318E-5</v>
      </c>
      <c r="J203" s="3">
        <v>1.3500351622209E-3</v>
      </c>
      <c r="K203" s="3" t="str">
        <f>"114897/857/1056/1066/1191/6387/1950/51083/2587/2824/3745/3931/4129/4842/64805/5468/5865/5950/201780/6623/6646/6857/23208/57586/9066/143425/6863"</f>
        <v>114897/857/1056/1066/1191/6387/1950/51083/2587/2824/3745/3931/4129/4842/64805/5468/5865/5950/201780/6623/6646/6857/23208/57586/9066/143425/6863</v>
      </c>
    </row>
    <row r="204" spans="1:11">
      <c r="A204" s="3" t="str">
        <f>"GO:0048546"</f>
        <v>GO:0048546</v>
      </c>
      <c r="B204" s="3" t="str">
        <f>"digestive tract morphogenesis"</f>
        <v>digestive tract morphogenesis</v>
      </c>
      <c r="C204" s="6" t="str">
        <f t="shared" si="10"/>
        <v>BP</v>
      </c>
      <c r="D204" s="6">
        <v>10</v>
      </c>
      <c r="E204" s="3">
        <v>0.20408163265306101</v>
      </c>
      <c r="F204" s="3">
        <v>1.6870663491495E-3</v>
      </c>
      <c r="G204" s="3" t="str">
        <f>"10/836"</f>
        <v>10/836</v>
      </c>
      <c r="H204" s="3" t="str">
        <f>"49/18670"</f>
        <v>49/18670</v>
      </c>
      <c r="I204" s="4">
        <v>5.1487274134776203E-5</v>
      </c>
      <c r="J204" s="3">
        <v>1.3596253513625501E-3</v>
      </c>
      <c r="K204" s="3" t="str">
        <f>"10551/652/2263/2294/3239/159296/348093/6423/6943/7481"</f>
        <v>10551/652/2263/2294/3239/159296/348093/6423/6943/7481</v>
      </c>
    </row>
    <row r="205" spans="1:11">
      <c r="A205" s="3" t="str">
        <f>"GO:0044325"</f>
        <v>GO:0044325</v>
      </c>
      <c r="B205" s="3" t="str">
        <f>"ion channel binding"</f>
        <v>ion channel binding</v>
      </c>
      <c r="C205" s="6" t="str">
        <f>"MF"</f>
        <v>MF</v>
      </c>
      <c r="D205" s="6">
        <v>17</v>
      </c>
      <c r="E205" s="3">
        <v>0.13709677419354799</v>
      </c>
      <c r="F205" s="3">
        <v>1.78516399816144E-3</v>
      </c>
      <c r="G205" s="3" t="str">
        <f>"17/813"</f>
        <v>17/813</v>
      </c>
      <c r="H205" s="3" t="str">
        <f>"124/17696"</f>
        <v>124/17696</v>
      </c>
      <c r="I205" s="4">
        <v>5.2312498114620999E-5</v>
      </c>
      <c r="J205" s="3">
        <v>1.59002461374703E-3</v>
      </c>
      <c r="K205" s="3" t="str">
        <f>"287/857/57628/2273/5348/7881/3745/3747/10008/23630/30818/23327/4842/55607/6262/6546/6769"</f>
        <v>287/857/57628/2273/5348/7881/3745/3747/10008/23630/30818/23327/4842/55607/6262/6546/6769</v>
      </c>
    </row>
    <row r="206" spans="1:11">
      <c r="A206" s="3" t="str">
        <f>"GO:0043034"</f>
        <v>GO:0043034</v>
      </c>
      <c r="B206" s="3" t="str">
        <f>"costamere"</f>
        <v>costamere</v>
      </c>
      <c r="C206" s="6" t="str">
        <f>"CC"</f>
        <v>CC</v>
      </c>
      <c r="D206" s="6">
        <v>6</v>
      </c>
      <c r="E206" s="3">
        <v>0.31578947368421101</v>
      </c>
      <c r="F206" s="3">
        <v>1.87801788857033E-3</v>
      </c>
      <c r="G206" s="3" t="str">
        <f>"6/873"</f>
        <v>6/873</v>
      </c>
      <c r="H206" s="3" t="str">
        <f>"19/19717"</f>
        <v>19/19717</v>
      </c>
      <c r="I206" s="3">
        <v>1.2230788770100899E-4</v>
      </c>
      <c r="J206" s="3">
        <v>1.47433956311912E-3</v>
      </c>
      <c r="K206" s="3" t="str">
        <f>"79026/113146/287/2318/5239/7414"</f>
        <v>79026/113146/287/2318/5239/7414</v>
      </c>
    </row>
    <row r="207" spans="1:11">
      <c r="A207" s="3" t="str">
        <f>"GO:0098644"</f>
        <v>GO:0098644</v>
      </c>
      <c r="B207" s="3" t="str">
        <f>"complex of collagen trimers"</f>
        <v>complex of collagen trimers</v>
      </c>
      <c r="C207" s="6" t="str">
        <f>"CC"</f>
        <v>CC</v>
      </c>
      <c r="D207" s="6">
        <v>6</v>
      </c>
      <c r="E207" s="3">
        <v>0.31578947368421101</v>
      </c>
      <c r="F207" s="3">
        <v>1.87801788857033E-3</v>
      </c>
      <c r="G207" s="3" t="str">
        <f>"6/873"</f>
        <v>6/873</v>
      </c>
      <c r="H207" s="3" t="str">
        <f>"19/19717"</f>
        <v>19/19717</v>
      </c>
      <c r="I207" s="3">
        <v>1.2230788770100899E-4</v>
      </c>
      <c r="J207" s="3">
        <v>1.47433956311912E-3</v>
      </c>
      <c r="K207" s="3" t="str">
        <f>"1278/1280/1288/1290/50509/4060"</f>
        <v>1278/1280/1288/1290/50509/4060</v>
      </c>
    </row>
    <row r="208" spans="1:11">
      <c r="A208" s="3" t="str">
        <f>"GO:2001257"</f>
        <v>GO:2001257</v>
      </c>
      <c r="B208" s="3" t="str">
        <f>"regulation of cation channel activity"</f>
        <v>regulation of cation channel activity</v>
      </c>
      <c r="C208" s="6" t="str">
        <f>"BP"</f>
        <v>BP</v>
      </c>
      <c r="D208" s="6">
        <v>21</v>
      </c>
      <c r="E208" s="3">
        <v>0.116666666666667</v>
      </c>
      <c r="F208" s="3">
        <v>1.89228349290484E-3</v>
      </c>
      <c r="G208" s="3" t="str">
        <f>"21/836"</f>
        <v>21/836</v>
      </c>
      <c r="H208" s="3" t="str">
        <f>"180/18670"</f>
        <v>180/18670</v>
      </c>
      <c r="I208" s="4">
        <v>5.8135260921389798E-5</v>
      </c>
      <c r="J208" s="3">
        <v>1.5250121076834399E-3</v>
      </c>
      <c r="K208" s="3" t="str">
        <f>"79026/287/306/857/2259/51083/2669/2892/7881/3747/10008/23630/57554/4842/5350/10891/5923/8787/6236/7871/6769"</f>
        <v>79026/287/306/857/2259/51083/2669/2892/7881/3747/10008/23630/57554/4842/5350/10891/5923/8787/6236/7871/6769</v>
      </c>
    </row>
    <row r="209" spans="1:11">
      <c r="A209" s="3" t="str">
        <f>"GO:0046394"</f>
        <v>GO:0046394</v>
      </c>
      <c r="B209" s="3" t="str">
        <f>"carboxylic acid biosynthetic process"</f>
        <v>carboxylic acid biosynthetic process</v>
      </c>
      <c r="C209" s="6" t="str">
        <f>"BP"</f>
        <v>BP</v>
      </c>
      <c r="D209" s="6">
        <v>33</v>
      </c>
      <c r="E209" s="3">
        <v>9.2957746478873199E-2</v>
      </c>
      <c r="F209" s="3">
        <v>2.0255678199796799E-3</v>
      </c>
      <c r="G209" s="3" t="str">
        <f>"33/836"</f>
        <v>33/836</v>
      </c>
      <c r="H209" s="3" t="str">
        <f>"355/18670"</f>
        <v>355/18670</v>
      </c>
      <c r="I209" s="4">
        <v>6.2767955556829603E-5</v>
      </c>
      <c r="J209" s="3">
        <v>1.6324274148061301E-3</v>
      </c>
      <c r="K209" s="3" t="str">
        <f>"8309/23600/443/23743/57214/9023/1634/1950/54898/79993/2194/2264/2346/219595/2628/2687/2681/84706/112817/5730/5740/5742/5831/65263/5947/9104/6319/79966/256987/11001/85414/57761/1462"</f>
        <v>8309/23600/443/23743/57214/9023/1634/1950/54898/79993/2194/2264/2346/219595/2628/2687/2681/84706/112817/5730/5740/5742/5831/65263/5947/9104/6319/79966/256987/11001/85414/57761/1462</v>
      </c>
    </row>
    <row r="210" spans="1:11">
      <c r="A210" s="3" t="str">
        <f>"GO:0051147"</f>
        <v>GO:0051147</v>
      </c>
      <c r="B210" s="3" t="str">
        <f>"regulation of muscle cell differentiation"</f>
        <v>regulation of muscle cell differentiation</v>
      </c>
      <c r="C210" s="6" t="str">
        <f>"BP"</f>
        <v>BP</v>
      </c>
      <c r="D210" s="6">
        <v>21</v>
      </c>
      <c r="E210" s="3">
        <v>0.116022099447514</v>
      </c>
      <c r="F210" s="3">
        <v>2.0255678199796799E-3</v>
      </c>
      <c r="G210" s="3" t="str">
        <f>"21/836"</f>
        <v>21/836</v>
      </c>
      <c r="H210" s="3" t="str">
        <f>"181/18670"</f>
        <v>181/18670</v>
      </c>
      <c r="I210" s="4">
        <v>6.3054298363558696E-5</v>
      </c>
      <c r="J210" s="3">
        <v>1.6324274148061301E-3</v>
      </c>
      <c r="K210" s="3" t="str">
        <f>"627/652/663/1000/22943/30846/2263/2323/8324/9518/9734/3479/4323/93649/341676/3084/84814/348093/9750/92304/6899"</f>
        <v>627/652/663/1000/22943/30846/2263/2323/8324/9518/9734/3479/4323/93649/341676/3084/84814/348093/9750/92304/6899</v>
      </c>
    </row>
    <row r="211" spans="1:11">
      <c r="A211" s="3" t="str">
        <f>"GO:0016053"</f>
        <v>GO:0016053</v>
      </c>
      <c r="B211" s="3" t="str">
        <f>"organic acid biosynthetic process"</f>
        <v>organic acid biosynthetic process</v>
      </c>
      <c r="C211" s="6" t="str">
        <f>"BP"</f>
        <v>BP</v>
      </c>
      <c r="D211" s="6">
        <v>33</v>
      </c>
      <c r="E211" s="3">
        <v>9.2696629213483206E-2</v>
      </c>
      <c r="F211" s="3">
        <v>2.1159083484886898E-3</v>
      </c>
      <c r="G211" s="3" t="str">
        <f>"33/836"</f>
        <v>33/836</v>
      </c>
      <c r="H211" s="3" t="str">
        <f>"356/18670"</f>
        <v>356/18670</v>
      </c>
      <c r="I211" s="4">
        <v>6.6297026585403399E-5</v>
      </c>
      <c r="J211" s="3">
        <v>1.7052338417011101E-3</v>
      </c>
      <c r="K211" s="3" t="str">
        <f>"8309/23600/443/23743/57214/9023/1634/1950/54898/79993/2194/2264/2346/219595/2628/2687/2681/84706/112817/5730/5740/5742/5831/65263/5947/9104/6319/79966/256987/11001/85414/57761/1462"</f>
        <v>8309/23600/443/23743/57214/9023/1634/1950/54898/79993/2194/2264/2346/219595/2628/2687/2681/84706/112817/5730/5740/5742/5831/65263/5947/9104/6319/79966/256987/11001/85414/57761/1462</v>
      </c>
    </row>
    <row r="212" spans="1:11">
      <c r="A212" s="3" t="str">
        <f>"GO:0098631"</f>
        <v>GO:0098631</v>
      </c>
      <c r="B212" s="3" t="str">
        <f>"cell adhesion mediator activity"</f>
        <v>cell adhesion mediator activity</v>
      </c>
      <c r="C212" s="6" t="str">
        <f>"MF"</f>
        <v>MF</v>
      </c>
      <c r="D212" s="6">
        <v>11</v>
      </c>
      <c r="E212" s="3">
        <v>0.186440677966102</v>
      </c>
      <c r="F212" s="3">
        <v>2.1846541601118902E-3</v>
      </c>
      <c r="G212" s="3" t="str">
        <f>"11/813"</f>
        <v>11/813</v>
      </c>
      <c r="H212" s="3" t="str">
        <f>"59/17696"</f>
        <v>59/17696</v>
      </c>
      <c r="I212" s="4">
        <v>6.6686634924050406E-5</v>
      </c>
      <c r="J212" s="3">
        <v>1.9458458106259801E-3</v>
      </c>
      <c r="K212" s="3" t="str">
        <f>"55971/4345/1824/4072/3672/3875/91624/23022/10611/4070/128434"</f>
        <v>55971/4345/1824/4072/3672/3875/91624/23022/10611/4070/128434</v>
      </c>
    </row>
    <row r="213" spans="1:11">
      <c r="A213" s="3" t="str">
        <f>"GO:0002685"</f>
        <v>GO:0002685</v>
      </c>
      <c r="B213" s="3" t="str">
        <f>"regulation of leukocyte migration"</f>
        <v>regulation of leukocyte migration</v>
      </c>
      <c r="C213" s="6" t="str">
        <f>"BP"</f>
        <v>BP</v>
      </c>
      <c r="D213" s="6">
        <v>22</v>
      </c>
      <c r="E213" s="3">
        <v>0.11224489795918401</v>
      </c>
      <c r="F213" s="3">
        <v>2.2288284900294402E-3</v>
      </c>
      <c r="G213" s="3" t="str">
        <f>"22/836"</f>
        <v>22/836</v>
      </c>
      <c r="H213" s="3" t="str">
        <f>"196/18670"</f>
        <v>196/18670</v>
      </c>
      <c r="I213" s="4">
        <v>7.0288589207438999E-5</v>
      </c>
      <c r="J213" s="3">
        <v>1.79623742741999E-3</v>
      </c>
      <c r="K213" s="3" t="str">
        <f>"100/196527/653/6366/4345/1524/6387/10563/2833/1908/1991/3676/83700/4254/4323/64805/5228/7941/5919/9750/6793/7060"</f>
        <v>100/196527/653/6366/4345/1524/6387/10563/2833/1908/1991/3676/83700/4254/4323/64805/5228/7941/5919/9750/6793/7060</v>
      </c>
    </row>
    <row r="214" spans="1:11">
      <c r="A214" s="3" t="str">
        <f>"GO:0051963"</f>
        <v>GO:0051963</v>
      </c>
      <c r="B214" s="3" t="str">
        <f>"regulation of synapse assembly"</f>
        <v>regulation of synapse assembly</v>
      </c>
      <c r="C214" s="6" t="str">
        <f>"BP"</f>
        <v>BP</v>
      </c>
      <c r="D214" s="6">
        <v>15</v>
      </c>
      <c r="E214" s="3">
        <v>0.14150943396226401</v>
      </c>
      <c r="F214" s="3">
        <v>2.3424749698824901E-3</v>
      </c>
      <c r="G214" s="3" t="str">
        <f>"15/836"</f>
        <v>15/836</v>
      </c>
      <c r="H214" s="3" t="str">
        <f>"106/18670"</f>
        <v>106/18670</v>
      </c>
      <c r="I214" s="4">
        <v>7.4349154690064905E-5</v>
      </c>
      <c r="J214" s="3">
        <v>1.88782637718431E-3</v>
      </c>
      <c r="K214" s="3" t="str">
        <f>"23284/627/22943/2045/2047/158038/54674/4914/4916/10611/55607/64284/6092/26050/84189"</f>
        <v>23284/627/22943/2045/2047/158038/54674/4914/4916/10611/55607/64284/6092/26050/84189</v>
      </c>
    </row>
    <row r="215" spans="1:11">
      <c r="A215" s="3" t="str">
        <f>"GO:0007160"</f>
        <v>GO:0007160</v>
      </c>
      <c r="B215" s="3" t="str">
        <f>"cell-matrix adhesion"</f>
        <v>cell-matrix adhesion</v>
      </c>
      <c r="C215" s="6" t="str">
        <f>"BP"</f>
        <v>BP</v>
      </c>
      <c r="D215" s="6">
        <v>24</v>
      </c>
      <c r="E215" s="3">
        <v>0.10666666666666701</v>
      </c>
      <c r="F215" s="3">
        <v>2.38131666524235E-3</v>
      </c>
      <c r="G215" s="3" t="str">
        <f>"24/836"</f>
        <v>24/836</v>
      </c>
      <c r="H215" s="3" t="str">
        <f>"225/18670"</f>
        <v>225/18670</v>
      </c>
      <c r="I215" s="4">
        <v>7.6066473335309993E-5</v>
      </c>
      <c r="J215" s="3">
        <v>1.9191293272596099E-3</v>
      </c>
      <c r="K215" s="3" t="str">
        <f>"81792/6366/4680/1305/1307/1308/50509/4921/2042/11170/10516/10979/2824/3672/3676/8516/83700/4323/4811/22795/9480/79834/9723/7414"</f>
        <v>81792/6366/4680/1305/1307/1308/50509/4921/2042/11170/10516/10979/2824/3672/3676/8516/83700/4323/4811/22795/9480/79834/9723/7414</v>
      </c>
    </row>
    <row r="216" spans="1:11">
      <c r="A216" s="3" t="str">
        <f>"GO:0098632"</f>
        <v>GO:0098632</v>
      </c>
      <c r="B216" s="3" t="str">
        <f>"cell-cell adhesion mediator activity"</f>
        <v>cell-cell adhesion mediator activity</v>
      </c>
      <c r="C216" s="6" t="str">
        <f>"MF"</f>
        <v>MF</v>
      </c>
      <c r="D216" s="6">
        <v>10</v>
      </c>
      <c r="E216" s="3">
        <v>0.2</v>
      </c>
      <c r="F216" s="3">
        <v>2.4086551166132798E-3</v>
      </c>
      <c r="G216" s="3" t="str">
        <f>"10/813"</f>
        <v>10/813</v>
      </c>
      <c r="H216" s="3" t="str">
        <f>"50/17696"</f>
        <v>50/17696</v>
      </c>
      <c r="I216" s="4">
        <v>7.6465241797247095E-5</v>
      </c>
      <c r="J216" s="3">
        <v>2.1453608326110199E-3</v>
      </c>
      <c r="K216" s="3" t="str">
        <f>"55971/4345/1824/4072/3875/91624/23022/10611/4070/128434"</f>
        <v>55971/4345/1824/4072/3875/91624/23022/10611/4070/128434</v>
      </c>
    </row>
    <row r="217" spans="1:11">
      <c r="A217" s="3" t="str">
        <f>"GO:0051155"</f>
        <v>GO:0051155</v>
      </c>
      <c r="B217" s="3" t="str">
        <f>"positive regulation of striated muscle cell differentiation"</f>
        <v>positive regulation of striated muscle cell differentiation</v>
      </c>
      <c r="C217" s="6" t="str">
        <f t="shared" ref="C217:C227" si="11">"BP"</f>
        <v>BP</v>
      </c>
      <c r="D217" s="6">
        <v>12</v>
      </c>
      <c r="E217" s="3">
        <v>0.16666666666666699</v>
      </c>
      <c r="F217" s="3">
        <v>2.4113184441798999E-3</v>
      </c>
      <c r="G217" s="3" t="str">
        <f>"12/836"</f>
        <v>12/836</v>
      </c>
      <c r="H217" s="3" t="str">
        <f>"72/18670"</f>
        <v>72/18670</v>
      </c>
      <c r="I217" s="4">
        <v>7.7515425062141103E-5</v>
      </c>
      <c r="J217" s="3">
        <v>1.9433080913313599E-3</v>
      </c>
      <c r="K217" s="3" t="str">
        <f>"652/30846/2323/9518/3479/4323/93649/341676/3084/9750/92304/6899"</f>
        <v>652/30846/2323/9518/3479/4323/93649/341676/3084/9750/92304/6899</v>
      </c>
    </row>
    <row r="218" spans="1:11">
      <c r="A218" s="3" t="str">
        <f>"GO:0006937"</f>
        <v>GO:0006937</v>
      </c>
      <c r="B218" s="3" t="str">
        <f>"regulation of muscle contraction"</f>
        <v>regulation of muscle contraction</v>
      </c>
      <c r="C218" s="6" t="str">
        <f t="shared" si="11"/>
        <v>BP</v>
      </c>
      <c r="D218" s="6">
        <v>20</v>
      </c>
      <c r="E218" s="3">
        <v>0.116959064327485</v>
      </c>
      <c r="F218" s="3">
        <v>2.5823876903768601E-3</v>
      </c>
      <c r="G218" s="3" t="str">
        <f>"20/836"</f>
        <v>20/836</v>
      </c>
      <c r="H218" s="3" t="str">
        <f>"171/18670"</f>
        <v>171/18670</v>
      </c>
      <c r="I218" s="4">
        <v>8.3540110431316506E-5</v>
      </c>
      <c r="J218" s="3">
        <v>2.0811746809205199E-3</v>
      </c>
      <c r="K218" s="3" t="str">
        <f>"100/148/287/309/477/857/1131/1824/126393/10008/3778/93649/4842/8654/5350/5592/6262/6546/6865/54795"</f>
        <v>100/148/287/309/477/857/1131/1824/126393/10008/3778/93649/4842/8654/5350/5592/6262/6546/6865/54795</v>
      </c>
    </row>
    <row r="219" spans="1:11">
      <c r="A219" s="3" t="str">
        <f>"GO:0042476"</f>
        <v>GO:0042476</v>
      </c>
      <c r="B219" s="3" t="str">
        <f>"odontogenesis"</f>
        <v>odontogenesis</v>
      </c>
      <c r="C219" s="6" t="str">
        <f t="shared" si="11"/>
        <v>BP</v>
      </c>
      <c r="D219" s="6">
        <v>17</v>
      </c>
      <c r="E219" s="3">
        <v>0.12878787878787901</v>
      </c>
      <c r="F219" s="3">
        <v>2.5848317479377201E-3</v>
      </c>
      <c r="G219" s="3" t="str">
        <f>"17/836"</f>
        <v>17/836</v>
      </c>
      <c r="H219" s="3" t="str">
        <f>"132/18670"</f>
        <v>132/18670</v>
      </c>
      <c r="I219" s="4">
        <v>8.50395927714736E-5</v>
      </c>
      <c r="J219" s="3">
        <v>2.0831443738265499E-3</v>
      </c>
      <c r="K219" s="3" t="str">
        <f>"11096/54829/8313/652/645811/1278/1745/1746/2263/2775/9622/3912/159296/116039/5308/6899/7043"</f>
        <v>11096/54829/8313/652/645811/1278/1745/1746/2263/2775/9622/3912/159296/116039/5308/6899/7043</v>
      </c>
    </row>
    <row r="220" spans="1:11">
      <c r="A220" s="3" t="str">
        <f>"GO:0045598"</f>
        <v>GO:0045598</v>
      </c>
      <c r="B220" s="3" t="str">
        <f>"regulation of fat cell differentiation"</f>
        <v>regulation of fat cell differentiation</v>
      </c>
      <c r="C220" s="6" t="str">
        <f t="shared" si="11"/>
        <v>BP</v>
      </c>
      <c r="D220" s="6">
        <v>17</v>
      </c>
      <c r="E220" s="3">
        <v>0.12878787878787901</v>
      </c>
      <c r="F220" s="3">
        <v>2.5848317479377201E-3</v>
      </c>
      <c r="G220" s="3" t="str">
        <f>"17/836"</f>
        <v>17/836</v>
      </c>
      <c r="H220" s="3" t="str">
        <f>"132/18670"</f>
        <v>132/18670</v>
      </c>
      <c r="I220" s="4">
        <v>8.50395927714736E-5</v>
      </c>
      <c r="J220" s="3">
        <v>2.0831443738265499E-3</v>
      </c>
      <c r="K220" s="3" t="str">
        <f>"83643/252995/2487/3400/55885/5468/5919/6097/862/6423/285590/6591/6783/57761/54795/222008/11197"</f>
        <v>83643/252995/2487/3400/55885/5468/5919/6097/862/6423/285590/6591/6783/57761/54795/222008/11197</v>
      </c>
    </row>
    <row r="221" spans="1:11">
      <c r="A221" s="3" t="str">
        <f>"GO:0010830"</f>
        <v>GO:0010830</v>
      </c>
      <c r="B221" s="3" t="str">
        <f>"regulation of myotube differentiation"</f>
        <v>regulation of myotube differentiation</v>
      </c>
      <c r="C221" s="6" t="str">
        <f t="shared" si="11"/>
        <v>BP</v>
      </c>
      <c r="D221" s="6">
        <v>11</v>
      </c>
      <c r="E221" s="3">
        <v>0.17741935483870999</v>
      </c>
      <c r="F221" s="3">
        <v>2.5848317479377201E-3</v>
      </c>
      <c r="G221" s="3" t="str">
        <f>"11/836"</f>
        <v>11/836</v>
      </c>
      <c r="H221" s="3" t="str">
        <f>"62/18670"</f>
        <v>62/18670</v>
      </c>
      <c r="I221" s="4">
        <v>8.5196895862850499E-5</v>
      </c>
      <c r="J221" s="3">
        <v>2.0831443738265499E-3</v>
      </c>
      <c r="K221" s="3" t="str">
        <f>"627/30846/2323/9518/9734/4323/93649/84814/9750/92304/6899"</f>
        <v>627/30846/2323/9518/9734/4323/93649/84814/9750/92304/6899</v>
      </c>
    </row>
    <row r="222" spans="1:11">
      <c r="A222" s="3" t="str">
        <f>"GO:0060421"</f>
        <v>GO:0060421</v>
      </c>
      <c r="B222" s="3" t="str">
        <f>"positive regulation of heart growth"</f>
        <v>positive regulation of heart growth</v>
      </c>
      <c r="C222" s="6" t="str">
        <f t="shared" si="11"/>
        <v>BP</v>
      </c>
      <c r="D222" s="6">
        <v>10</v>
      </c>
      <c r="E222" s="3">
        <v>0.19230769230769201</v>
      </c>
      <c r="F222" s="3">
        <v>2.6468352162924902E-3</v>
      </c>
      <c r="G222" s="3" t="str">
        <f>"10/836"</f>
        <v>10/836</v>
      </c>
      <c r="H222" s="3" t="str">
        <f>"52/18670"</f>
        <v>52/18670</v>
      </c>
      <c r="I222" s="4">
        <v>8.7779072279893402E-5</v>
      </c>
      <c r="J222" s="3">
        <v>2.13311365185172E-3</v>
      </c>
      <c r="K222" s="3" t="str">
        <f>"2247/2260/2263/2627/3479/6909/6910/7049/7472/7490"</f>
        <v>2247/2260/2263/2627/3479/6909/6910/7049/7472/7490</v>
      </c>
    </row>
    <row r="223" spans="1:11">
      <c r="A223" s="3" t="str">
        <f>"GO:0003414"</f>
        <v>GO:0003414</v>
      </c>
      <c r="B223" s="3" t="str">
        <f>"chondrocyte morphogenesis involved in endochondral bone morphogenesis"</f>
        <v>chondrocyte morphogenesis involved in endochondral bone morphogenesis</v>
      </c>
      <c r="C223" s="6" t="str">
        <f t="shared" si="11"/>
        <v>BP</v>
      </c>
      <c r="D223" s="6">
        <v>6</v>
      </c>
      <c r="E223" s="3">
        <v>0.33333333333333298</v>
      </c>
      <c r="F223" s="3">
        <v>2.7376007153874999E-3</v>
      </c>
      <c r="G223" s="3" t="str">
        <f>"6/836"</f>
        <v>6/836</v>
      </c>
      <c r="H223" s="3" t="str">
        <f>"18/18670"</f>
        <v>18/18670</v>
      </c>
      <c r="I223" s="4">
        <v>9.2460166582772105E-5</v>
      </c>
      <c r="J223" s="3">
        <v>2.2062625672223898E-3</v>
      </c>
      <c r="K223" s="3" t="str">
        <f>"7373/1291/1292/4147/51435/5212"</f>
        <v>7373/1291/1292/4147/51435/5212</v>
      </c>
    </row>
    <row r="224" spans="1:11">
      <c r="A224" s="3" t="str">
        <f>"GO:0003429"</f>
        <v>GO:0003429</v>
      </c>
      <c r="B224" s="3" t="str">
        <f>"growth plate cartilage chondrocyte morphogenesis"</f>
        <v>growth plate cartilage chondrocyte morphogenesis</v>
      </c>
      <c r="C224" s="6" t="str">
        <f t="shared" si="11"/>
        <v>BP</v>
      </c>
      <c r="D224" s="6">
        <v>6</v>
      </c>
      <c r="E224" s="3">
        <v>0.33333333333333298</v>
      </c>
      <c r="F224" s="3">
        <v>2.7376007153874999E-3</v>
      </c>
      <c r="G224" s="3" t="str">
        <f>"6/836"</f>
        <v>6/836</v>
      </c>
      <c r="H224" s="3" t="str">
        <f>"18/18670"</f>
        <v>18/18670</v>
      </c>
      <c r="I224" s="4">
        <v>9.2460166582772105E-5</v>
      </c>
      <c r="J224" s="3">
        <v>2.2062625672223898E-3</v>
      </c>
      <c r="K224" s="3" t="str">
        <f>"7373/1291/1292/4147/51435/5212"</f>
        <v>7373/1291/1292/4147/51435/5212</v>
      </c>
    </row>
    <row r="225" spans="1:11">
      <c r="A225" s="3" t="str">
        <f>"GO:0090171"</f>
        <v>GO:0090171</v>
      </c>
      <c r="B225" s="3" t="str">
        <f>"chondrocyte morphogenesis"</f>
        <v>chondrocyte morphogenesis</v>
      </c>
      <c r="C225" s="6" t="str">
        <f t="shared" si="11"/>
        <v>BP</v>
      </c>
      <c r="D225" s="6">
        <v>6</v>
      </c>
      <c r="E225" s="3">
        <v>0.33333333333333298</v>
      </c>
      <c r="F225" s="3">
        <v>2.7376007153874999E-3</v>
      </c>
      <c r="G225" s="3" t="str">
        <f>"6/836"</f>
        <v>6/836</v>
      </c>
      <c r="H225" s="3" t="str">
        <f>"18/18670"</f>
        <v>18/18670</v>
      </c>
      <c r="I225" s="4">
        <v>9.2460166582772105E-5</v>
      </c>
      <c r="J225" s="3">
        <v>2.2062625672223898E-3</v>
      </c>
      <c r="K225" s="3" t="str">
        <f>"7373/1291/1292/4147/51435/5212"</f>
        <v>7373/1291/1292/4147/51435/5212</v>
      </c>
    </row>
    <row r="226" spans="1:11">
      <c r="A226" s="3" t="str">
        <f>"GO:0030308"</f>
        <v>GO:0030308</v>
      </c>
      <c r="B226" s="3" t="str">
        <f>"negative regulation of cell growth"</f>
        <v>negative regulation of cell growth</v>
      </c>
      <c r="C226" s="6" t="str">
        <f t="shared" si="11"/>
        <v>BP</v>
      </c>
      <c r="D226" s="6">
        <v>21</v>
      </c>
      <c r="E226" s="3">
        <v>0.112903225806452</v>
      </c>
      <c r="F226" s="3">
        <v>2.7397723381693299E-3</v>
      </c>
      <c r="G226" s="3" t="str">
        <f>"21/836"</f>
        <v>21/836</v>
      </c>
      <c r="H226" s="3" t="str">
        <f>"186/18670"</f>
        <v>186/18670</v>
      </c>
      <c r="I226" s="4">
        <v>9.3648372901820596E-5</v>
      </c>
      <c r="J226" s="3">
        <v>2.20801270193954E-3</v>
      </c>
      <c r="K226" s="3" t="str">
        <f>"684/1410/2045/2203/2273/2487/51083/2786/55384/5468/84722/92304/10371/9723/80031/5270/6423/6586/58189/7481/7490"</f>
        <v>684/1410/2045/2203/2273/2487/51083/2786/55384/5468/84722/92304/10371/9723/80031/5270/6423/6586/58189/7481/7490</v>
      </c>
    </row>
    <row r="227" spans="1:11">
      <c r="A227" s="3" t="str">
        <f>"GO:0055001"</f>
        <v>GO:0055001</v>
      </c>
      <c r="B227" s="3" t="str">
        <f>"muscle cell development"</f>
        <v>muscle cell development</v>
      </c>
      <c r="C227" s="6" t="str">
        <f t="shared" si="11"/>
        <v>BP</v>
      </c>
      <c r="D227" s="6">
        <v>21</v>
      </c>
      <c r="E227" s="3">
        <v>0.112903225806452</v>
      </c>
      <c r="F227" s="3">
        <v>2.7397723381693299E-3</v>
      </c>
      <c r="G227" s="3" t="str">
        <f>"21/836"</f>
        <v>21/836</v>
      </c>
      <c r="H227" s="3" t="str">
        <f>"186/18670"</f>
        <v>186/18670</v>
      </c>
      <c r="I227" s="4">
        <v>9.3648372901820596E-5</v>
      </c>
      <c r="J227" s="3">
        <v>2.20801270193954E-3</v>
      </c>
      <c r="K227" s="3" t="str">
        <f>"70/148/57538/287/652/858/1073/80206/2318/9734/3479/11155/25802/4629/4624/10611/5239/9750/6443/6444/6546"</f>
        <v>70/148/57538/287/652/858/1073/80206/2318/9734/3479/11155/25802/4629/4624/10611/5239/9750/6443/6444/6546</v>
      </c>
    </row>
    <row r="228" spans="1:11">
      <c r="A228" s="3" t="str">
        <f>"GO:0048306"</f>
        <v>GO:0048306</v>
      </c>
      <c r="B228" s="3" t="str">
        <f>"calcium-dependent protein binding"</f>
        <v>calcium-dependent protein binding</v>
      </c>
      <c r="C228" s="6" t="str">
        <f>"MF"</f>
        <v>MF</v>
      </c>
      <c r="D228" s="6">
        <v>11</v>
      </c>
      <c r="E228" s="3">
        <v>0.18032786885245899</v>
      </c>
      <c r="F228" s="3">
        <v>2.77933190489398E-3</v>
      </c>
      <c r="G228" s="3" t="str">
        <f>"11/813"</f>
        <v>11/813</v>
      </c>
      <c r="H228" s="3" t="str">
        <f>"61/17696"</f>
        <v>61/17696</v>
      </c>
      <c r="I228" s="4">
        <v>9.1626326534966296E-5</v>
      </c>
      <c r="J228" s="3">
        <v>2.4755182958569899E-3</v>
      </c>
      <c r="K228" s="3" t="str">
        <f>"2/306/309/5648/4642/5881/6275/6277/11075/6853/6857"</f>
        <v>2/306/309/5648/4642/5881/6275/6277/11075/6853/6857</v>
      </c>
    </row>
    <row r="229" spans="1:11">
      <c r="A229" s="3" t="str">
        <f>"GO:0055002"</f>
        <v>GO:0055002</v>
      </c>
      <c r="B229" s="3" t="str">
        <f>"striated muscle cell development"</f>
        <v>striated muscle cell development</v>
      </c>
      <c r="C229" s="6" t="str">
        <f t="shared" ref="C229:C239" si="12">"BP"</f>
        <v>BP</v>
      </c>
      <c r="D229" s="6">
        <v>20</v>
      </c>
      <c r="E229" s="3">
        <v>0.115606936416185</v>
      </c>
      <c r="F229" s="3">
        <v>2.8581843464114401E-3</v>
      </c>
      <c r="G229" s="3" t="str">
        <f>"20/836"</f>
        <v>20/836</v>
      </c>
      <c r="H229" s="3" t="str">
        <f>"173/18670"</f>
        <v>173/18670</v>
      </c>
      <c r="I229" s="4">
        <v>9.8277345787087204E-5</v>
      </c>
      <c r="J229" s="3">
        <v>2.3034422435179599E-3</v>
      </c>
      <c r="K229" s="3" t="str">
        <f>"70/148/57538/652/858/1073/80206/2318/9734/3479/11155/25802/4629/4624/10611/5239/9750/6443/6444/6546"</f>
        <v>70/148/57538/652/858/1073/80206/2318/9734/3479/11155/25802/4629/4624/10611/5239/9750/6443/6444/6546</v>
      </c>
    </row>
    <row r="230" spans="1:11">
      <c r="A230" s="3" t="str">
        <f>"GO:0030203"</f>
        <v>GO:0030203</v>
      </c>
      <c r="B230" s="3" t="str">
        <f>"glycosaminoglycan metabolic process"</f>
        <v>glycosaminoglycan metabolic process</v>
      </c>
      <c r="C230" s="6" t="str">
        <f t="shared" si="12"/>
        <v>BP</v>
      </c>
      <c r="D230" s="6">
        <v>19</v>
      </c>
      <c r="E230" s="3">
        <v>0.11874999999999999</v>
      </c>
      <c r="F230" s="3">
        <v>2.93943056092373E-3</v>
      </c>
      <c r="G230" s="3" t="str">
        <f>"19/836"</f>
        <v>19/836</v>
      </c>
      <c r="H230" s="3" t="str">
        <f>"160/18670"</f>
        <v>160/18670</v>
      </c>
      <c r="I230" s="3">
        <v>1.0166901228017E-4</v>
      </c>
      <c r="J230" s="3">
        <v>2.3689194626023398E-3</v>
      </c>
      <c r="K230" s="3" t="str">
        <f>"284/27087/9331/57214/9469/4166/1634/1950/133584/2247/10082/9955/90161/80760/4060/79625/4969/50859/1462"</f>
        <v>284/27087/9331/57214/9469/4166/1634/1950/133584/2247/10082/9955/90161/80760/4060/79625/4969/50859/1462</v>
      </c>
    </row>
    <row r="231" spans="1:11">
      <c r="A231" s="3" t="str">
        <f>"GO:0001657"</f>
        <v>GO:0001657</v>
      </c>
      <c r="B231" s="3" t="str">
        <f>"ureteric bud development"</f>
        <v>ureteric bud development</v>
      </c>
      <c r="C231" s="6" t="str">
        <f t="shared" si="12"/>
        <v>BP</v>
      </c>
      <c r="D231" s="6">
        <v>14</v>
      </c>
      <c r="E231" s="3">
        <v>0.14432989690721601</v>
      </c>
      <c r="F231" s="3">
        <v>2.96286416529168E-3</v>
      </c>
      <c r="G231" s="3" t="str">
        <f>"14/836"</f>
        <v>14/836</v>
      </c>
      <c r="H231" s="3" t="str">
        <f>"97/18670"</f>
        <v>97/18670</v>
      </c>
      <c r="I231" s="3">
        <v>1.03082354479121E-4</v>
      </c>
      <c r="J231" s="3">
        <v>2.38780486244956E-3</v>
      </c>
      <c r="K231" s="3" t="str">
        <f>"652/4072/79633/2247/2260/2263/55083/5228/6092/4070/6943/7481/7482/7490"</f>
        <v>652/4072/79633/2247/2260/2263/55083/5228/6092/4070/6943/7481/7482/7490</v>
      </c>
    </row>
    <row r="232" spans="1:11">
      <c r="A232" s="3" t="str">
        <f>"GO:0090257"</f>
        <v>GO:0090257</v>
      </c>
      <c r="B232" s="3" t="str">
        <f>"regulation of muscle system process"</f>
        <v>regulation of muscle system process</v>
      </c>
      <c r="C232" s="6" t="str">
        <f t="shared" si="12"/>
        <v>BP</v>
      </c>
      <c r="D232" s="6">
        <v>26</v>
      </c>
      <c r="E232" s="3">
        <v>0.10038610038610001</v>
      </c>
      <c r="F232" s="3">
        <v>3.0582785390985399E-3</v>
      </c>
      <c r="G232" s="3" t="str">
        <f>"26/836"</f>
        <v>26/836</v>
      </c>
      <c r="H232" s="3" t="str">
        <f>"259/18670"</f>
        <v>259/18670</v>
      </c>
      <c r="I232" s="3">
        <v>1.07253155271785E-4</v>
      </c>
      <c r="J232" s="3">
        <v>2.4647003571511101E-3</v>
      </c>
      <c r="K232" s="3" t="str">
        <f>"100/148/287/309/477/857/1131/1824/140628/126393/3479/10008/3778/93649/4842/8013/8654/5350/10891/5578/5592/6262/6442/6546/6865/54795"</f>
        <v>100/148/287/309/477/857/1131/1824/140628/126393/3479/10008/3778/93649/4842/8013/8654/5350/10891/5578/5592/6262/6442/6546/6865/54795</v>
      </c>
    </row>
    <row r="233" spans="1:11">
      <c r="A233" s="3" t="str">
        <f>"GO:0042659"</f>
        <v>GO:0042659</v>
      </c>
      <c r="B233" s="3" t="str">
        <f>"regulation of cell fate specification"</f>
        <v>regulation of cell fate specification</v>
      </c>
      <c r="C233" s="6" t="str">
        <f t="shared" si="12"/>
        <v>BP</v>
      </c>
      <c r="D233" s="6">
        <v>5</v>
      </c>
      <c r="E233" s="3">
        <v>0.41666666666666702</v>
      </c>
      <c r="F233" s="3">
        <v>3.0582785390985399E-3</v>
      </c>
      <c r="G233" s="3" t="str">
        <f>"5/836"</f>
        <v>5/836</v>
      </c>
      <c r="H233" s="3" t="str">
        <f>"12/18670"</f>
        <v>12/18670</v>
      </c>
      <c r="I233" s="3">
        <v>1.08268660387212E-4</v>
      </c>
      <c r="J233" s="3">
        <v>2.4647003571511101E-3</v>
      </c>
      <c r="K233" s="3" t="str">
        <f>"22943/2247/2260/8324/6423"</f>
        <v>22943/2247/2260/8324/6423</v>
      </c>
    </row>
    <row r="234" spans="1:11">
      <c r="A234" s="3" t="str">
        <f>"GO:0060442"</f>
        <v>GO:0060442</v>
      </c>
      <c r="B234" s="3" t="str">
        <f>"branching involved in prostate gland morphogenesis"</f>
        <v>branching involved in prostate gland morphogenesis</v>
      </c>
      <c r="C234" s="6" t="str">
        <f t="shared" si="12"/>
        <v>BP</v>
      </c>
      <c r="D234" s="6">
        <v>5</v>
      </c>
      <c r="E234" s="3">
        <v>0.41666666666666702</v>
      </c>
      <c r="F234" s="3">
        <v>3.0582785390985399E-3</v>
      </c>
      <c r="G234" s="3" t="str">
        <f>"5/836"</f>
        <v>5/836</v>
      </c>
      <c r="H234" s="3" t="str">
        <f>"12/18670"</f>
        <v>12/18670</v>
      </c>
      <c r="I234" s="3">
        <v>1.08268660387212E-4</v>
      </c>
      <c r="J234" s="3">
        <v>2.4647003571511101E-3</v>
      </c>
      <c r="K234" s="3" t="str">
        <f>"652/2263/10481/3239/4824"</f>
        <v>652/2263/10481/3239/4824</v>
      </c>
    </row>
    <row r="235" spans="1:11">
      <c r="A235" s="3" t="str">
        <f>"GO:0045992"</f>
        <v>GO:0045992</v>
      </c>
      <c r="B235" s="3" t="str">
        <f>"negative regulation of embryonic development"</f>
        <v>negative regulation of embryonic development</v>
      </c>
      <c r="C235" s="6" t="str">
        <f t="shared" si="12"/>
        <v>BP</v>
      </c>
      <c r="D235" s="6">
        <v>7</v>
      </c>
      <c r="E235" s="3">
        <v>0.269230769230769</v>
      </c>
      <c r="F235" s="3">
        <v>3.0608424500483699E-3</v>
      </c>
      <c r="G235" s="3" t="str">
        <f>"7/836"</f>
        <v>7/836</v>
      </c>
      <c r="H235" s="3" t="str">
        <f>"26/18670"</f>
        <v>26/18670</v>
      </c>
      <c r="I235" s="3">
        <v>1.09604938190949E-4</v>
      </c>
      <c r="J235" s="3">
        <v>2.4667666412233301E-3</v>
      </c>
      <c r="K235" s="3" t="str">
        <f>"652/1290/22943/8324/23432/6423/6909"</f>
        <v>652/1290/22943/8324/23432/6423/6909</v>
      </c>
    </row>
    <row r="236" spans="1:11">
      <c r="A236" s="3" t="str">
        <f>"GO:0060740"</f>
        <v>GO:0060740</v>
      </c>
      <c r="B236" s="3" t="str">
        <f>"prostate gland epithelium morphogenesis"</f>
        <v>prostate gland epithelium morphogenesis</v>
      </c>
      <c r="C236" s="6" t="str">
        <f t="shared" si="12"/>
        <v>BP</v>
      </c>
      <c r="D236" s="6">
        <v>7</v>
      </c>
      <c r="E236" s="3">
        <v>0.269230769230769</v>
      </c>
      <c r="F236" s="3">
        <v>3.0608424500483699E-3</v>
      </c>
      <c r="G236" s="3" t="str">
        <f>"7/836"</f>
        <v>7/836</v>
      </c>
      <c r="H236" s="3" t="str">
        <f>"26/18670"</f>
        <v>26/18670</v>
      </c>
      <c r="I236" s="3">
        <v>1.09604938190949E-4</v>
      </c>
      <c r="J236" s="3">
        <v>2.4667666412233301E-3</v>
      </c>
      <c r="K236" s="3" t="str">
        <f>"652/2263/3169/10481/3239/3400/4824"</f>
        <v>652/2263/3169/10481/3239/3400/4824</v>
      </c>
    </row>
    <row r="237" spans="1:11">
      <c r="A237" s="3" t="str">
        <f>"GO:0072163"</f>
        <v>GO:0072163</v>
      </c>
      <c r="B237" s="3" t="str">
        <f>"mesonephric epithelium development"</f>
        <v>mesonephric epithelium development</v>
      </c>
      <c r="C237" s="6" t="str">
        <f t="shared" si="12"/>
        <v>BP</v>
      </c>
      <c r="D237" s="6">
        <v>14</v>
      </c>
      <c r="E237" s="3">
        <v>0.14285714285714299</v>
      </c>
      <c r="F237" s="3">
        <v>3.1795655825948401E-3</v>
      </c>
      <c r="G237" s="3" t="str">
        <f>"14/836"</f>
        <v>14/836</v>
      </c>
      <c r="H237" s="3" t="str">
        <f>"98/18670"</f>
        <v>98/18670</v>
      </c>
      <c r="I237" s="3">
        <v>1.1539411170658401E-4</v>
      </c>
      <c r="J237" s="3">
        <v>2.56244692130521E-3</v>
      </c>
      <c r="K237" s="3" t="str">
        <f>"652/4072/79633/2247/2260/2263/55083/5228/6092/4070/6943/7481/7482/7490"</f>
        <v>652/4072/79633/2247/2260/2263/55083/5228/6092/4070/6943/7481/7482/7490</v>
      </c>
    </row>
    <row r="238" spans="1:11">
      <c r="A238" s="3" t="str">
        <f>"GO:0072164"</f>
        <v>GO:0072164</v>
      </c>
      <c r="B238" s="3" t="str">
        <f>"mesonephric tubule development"</f>
        <v>mesonephric tubule development</v>
      </c>
      <c r="C238" s="6" t="str">
        <f t="shared" si="12"/>
        <v>BP</v>
      </c>
      <c r="D238" s="6">
        <v>14</v>
      </c>
      <c r="E238" s="3">
        <v>0.14285714285714299</v>
      </c>
      <c r="F238" s="3">
        <v>3.1795655825948401E-3</v>
      </c>
      <c r="G238" s="3" t="str">
        <f>"14/836"</f>
        <v>14/836</v>
      </c>
      <c r="H238" s="3" t="str">
        <f>"98/18670"</f>
        <v>98/18670</v>
      </c>
      <c r="I238" s="3">
        <v>1.1539411170658401E-4</v>
      </c>
      <c r="J238" s="3">
        <v>2.56244692130521E-3</v>
      </c>
      <c r="K238" s="3" t="str">
        <f>"652/4072/79633/2247/2260/2263/55083/5228/6092/4070/6943/7481/7482/7490"</f>
        <v>652/4072/79633/2247/2260/2263/55083/5228/6092/4070/6943/7481/7482/7490</v>
      </c>
    </row>
    <row r="239" spans="1:11">
      <c r="A239" s="3" t="str">
        <f>"GO:0043270"</f>
        <v>GO:0043270</v>
      </c>
      <c r="B239" s="3" t="str">
        <f>"positive regulation of ion transport"</f>
        <v>positive regulation of ion transport</v>
      </c>
      <c r="C239" s="6" t="str">
        <f t="shared" si="12"/>
        <v>BP</v>
      </c>
      <c r="D239" s="6">
        <v>27</v>
      </c>
      <c r="E239" s="3">
        <v>9.8181818181818203E-2</v>
      </c>
      <c r="F239" s="3">
        <v>3.1795655825948401E-3</v>
      </c>
      <c r="G239" s="3" t="str">
        <f>"27/836"</f>
        <v>27/836</v>
      </c>
      <c r="H239" s="3" t="str">
        <f>"275/18670"</f>
        <v>275/18670</v>
      </c>
      <c r="I239" s="3">
        <v>1.15796996802538E-4</v>
      </c>
      <c r="J239" s="3">
        <v>2.56244692130521E-3</v>
      </c>
      <c r="K239" s="3" t="str">
        <f>"287/196527/10396/857/57214/1272/6387/1908/2259/2273/5348/51083/3747/10008/23630/3779/4638/4842/64805/5652/5865/9104/8787/6262/6769/6865/7220"</f>
        <v>287/196527/10396/857/57214/1272/6387/1908/2259/2273/5348/51083/3747/10008/23630/3779/4638/4842/64805/5652/5865/9104/8787/6262/6769/6865/7220</v>
      </c>
    </row>
    <row r="240" spans="1:11">
      <c r="A240" s="3" t="str">
        <f>"GO:0097060"</f>
        <v>GO:0097060</v>
      </c>
      <c r="B240" s="3" t="str">
        <f>"synaptic membrane"</f>
        <v>synaptic membrane</v>
      </c>
      <c r="C240" s="6" t="str">
        <f>"CC"</f>
        <v>CC</v>
      </c>
      <c r="D240" s="6">
        <v>36</v>
      </c>
      <c r="E240" s="3">
        <v>8.3333333333333301E-2</v>
      </c>
      <c r="F240" s="3">
        <v>3.2585705499965298E-3</v>
      </c>
      <c r="G240" s="3" t="str">
        <f>"36/873"</f>
        <v>36/873</v>
      </c>
      <c r="H240" s="3" t="str">
        <f>"432/19717"</f>
        <v>432/19717</v>
      </c>
      <c r="I240" s="3">
        <v>2.1906356638632101E-4</v>
      </c>
      <c r="J240" s="3">
        <v>2.55814362062974E-3</v>
      </c>
      <c r="K240" s="3" t="str">
        <f>"148/287/1008/1000/1131/22866/1272/1305/64506/1410/2045/53826/2562/2823/2892/2897/9455/388135/642938/8516/3745/3747/3760/3778/57554/8828/4916/10611/8787/7732/6546/415117/23345/6857/23208/9066"</f>
        <v>148/287/1008/1000/1131/22866/1272/1305/64506/1410/2045/53826/2562/2823/2892/2897/9455/388135/642938/8516/3745/3747/3760/3778/57554/8828/4916/10611/8787/7732/6546/415117/23345/6857/23208/9066</v>
      </c>
    </row>
    <row r="241" spans="1:11">
      <c r="A241" s="3" t="str">
        <f>"GO:0045177"</f>
        <v>GO:0045177</v>
      </c>
      <c r="B241" s="3" t="str">
        <f>"apical part of cell"</f>
        <v>apical part of cell</v>
      </c>
      <c r="C241" s="6" t="str">
        <f>"CC"</f>
        <v>CC</v>
      </c>
      <c r="D241" s="6">
        <v>33</v>
      </c>
      <c r="E241" s="3">
        <v>8.59375E-2</v>
      </c>
      <c r="F241" s="3">
        <v>3.2660429180459802E-3</v>
      </c>
      <c r="G241" s="3" t="str">
        <f>"33/873"</f>
        <v>33/873</v>
      </c>
      <c r="H241" s="3" t="str">
        <f>"384/19717"</f>
        <v>384/19717</v>
      </c>
      <c r="I241" s="3">
        <v>2.2642734515865E-4</v>
      </c>
      <c r="J241" s="3">
        <v>2.5640098096115101E-3</v>
      </c>
      <c r="K241" s="3" t="str">
        <f>"287/684/146894/1000/4680/1364/1600/4921/1803/84417/2028/4072/2065/79633/5348/338328/9455/3249/8516/3747/3778/4118/114569/23209/4646/5337/64284/9750/6573/5172/80736/133308/23043"</f>
        <v>287/684/146894/1000/4680/1364/1600/4921/1803/84417/2028/4072/2065/79633/5348/338328/9455/3249/8516/3747/3778/4118/114569/23209/4646/5337/64284/9750/6573/5172/80736/133308/23043</v>
      </c>
    </row>
    <row r="242" spans="1:11">
      <c r="A242" s="3" t="str">
        <f>"GO:0010463"</f>
        <v>GO:0010463</v>
      </c>
      <c r="B242" s="3" t="str">
        <f>"mesenchymal cell proliferation"</f>
        <v>mesenchymal cell proliferation</v>
      </c>
      <c r="C242" s="6" t="str">
        <f t="shared" ref="C242:C247" si="13">"BP"</f>
        <v>BP</v>
      </c>
      <c r="D242" s="6">
        <v>9</v>
      </c>
      <c r="E242" s="3">
        <v>0.204545454545455</v>
      </c>
      <c r="F242" s="3">
        <v>3.2667194314686902E-3</v>
      </c>
      <c r="G242" s="3" t="str">
        <f>"9/836"</f>
        <v>9/836</v>
      </c>
      <c r="H242" s="3" t="str">
        <f>"44/18670"</f>
        <v>44/18670</v>
      </c>
      <c r="I242" s="3">
        <v>1.19635706544123E-4</v>
      </c>
      <c r="J242" s="3">
        <v>2.6326851679855799E-3</v>
      </c>
      <c r="K242" s="3" t="str">
        <f>"652/79633/2252/2260/2263/2294/6899/7481/7472"</f>
        <v>652/79633/2252/2260/2263/2294/6899/7481/7472</v>
      </c>
    </row>
    <row r="243" spans="1:11">
      <c r="A243" s="3" t="str">
        <f>"GO:0048333"</f>
        <v>GO:0048333</v>
      </c>
      <c r="B243" s="3" t="str">
        <f>"mesodermal cell differentiation"</f>
        <v>mesodermal cell differentiation</v>
      </c>
      <c r="C243" s="6" t="str">
        <f t="shared" si="13"/>
        <v>BP</v>
      </c>
      <c r="D243" s="6">
        <v>8</v>
      </c>
      <c r="E243" s="3">
        <v>0.22857142857142901</v>
      </c>
      <c r="F243" s="3">
        <v>3.3757225967029E-3</v>
      </c>
      <c r="G243" s="3" t="str">
        <f>"8/836"</f>
        <v>8/836</v>
      </c>
      <c r="H243" s="3" t="str">
        <f>"35/18670"</f>
        <v>35/18670</v>
      </c>
      <c r="I243" s="3">
        <v>1.2518945575252599E-4</v>
      </c>
      <c r="J243" s="3">
        <v>2.7205320193592199E-3</v>
      </c>
      <c r="K243" s="3" t="str">
        <f>"652/22943/2260/2263/2294/8091/8516/6423"</f>
        <v>652/22943/2260/2263/2294/8091/8516/6423</v>
      </c>
    </row>
    <row r="244" spans="1:11">
      <c r="A244" s="3" t="str">
        <f>"GO:0019722"</f>
        <v>GO:0019722</v>
      </c>
      <c r="B244" s="3" t="str">
        <f>"calcium-mediated signaling"</f>
        <v>calcium-mediated signaling</v>
      </c>
      <c r="C244" s="6" t="str">
        <f t="shared" si="13"/>
        <v>BP</v>
      </c>
      <c r="D244" s="6">
        <v>23</v>
      </c>
      <c r="E244" s="3">
        <v>0.105504587155963</v>
      </c>
      <c r="F244" s="3">
        <v>3.3757225967029E-3</v>
      </c>
      <c r="G244" s="3" t="str">
        <f>"23/836"</f>
        <v>23/836</v>
      </c>
      <c r="H244" s="3" t="str">
        <f>"218/18670"</f>
        <v>218/18670</v>
      </c>
      <c r="I244" s="3">
        <v>1.25688145513048E-4</v>
      </c>
      <c r="J244" s="3">
        <v>2.7205320193592199E-3</v>
      </c>
      <c r="K244" s="3" t="str">
        <f>"100/287/477/1524/2833/1910/2065/9455/3479/4842/3084/64805/5350/55607/5737/10231/9104/6262/201191/6444/6546/55273/54795"</f>
        <v>100/287/477/1524/2833/1910/2065/9455/3479/4842/3084/64805/5350/55607/5737/10231/9104/6262/201191/6444/6546/55273/54795</v>
      </c>
    </row>
    <row r="245" spans="1:11">
      <c r="A245" s="3" t="str">
        <f>"GO:0050807"</f>
        <v>GO:0050807</v>
      </c>
      <c r="B245" s="3" t="str">
        <f>"regulation of synapse organization"</f>
        <v>regulation of synapse organization</v>
      </c>
      <c r="C245" s="6" t="str">
        <f t="shared" si="13"/>
        <v>BP</v>
      </c>
      <c r="D245" s="6">
        <v>23</v>
      </c>
      <c r="E245" s="3">
        <v>0.105504587155963</v>
      </c>
      <c r="F245" s="3">
        <v>3.3757225967029E-3</v>
      </c>
      <c r="G245" s="3" t="str">
        <f>"23/836"</f>
        <v>23/836</v>
      </c>
      <c r="H245" s="3" t="str">
        <f>"218/18670"</f>
        <v>218/18670</v>
      </c>
      <c r="I245" s="3">
        <v>1.25688145513048E-4</v>
      </c>
      <c r="J245" s="3">
        <v>2.7205320193592199E-3</v>
      </c>
      <c r="K245" s="3" t="str">
        <f>"23284/58504/627/1000/22943/2045/2047/2119/2823/6453/158038/54674/8828/4914/4916/10611/55607/64284/6092/23657/26050/84189/6678"</f>
        <v>23284/58504/627/1000/22943/2045/2047/2119/2823/6453/158038/54674/8828/4914/4916/10611/55607/64284/6092/23657/26050/84189/6678</v>
      </c>
    </row>
    <row r="246" spans="1:11">
      <c r="A246" s="3" t="str">
        <f>"GO:0035637"</f>
        <v>GO:0035637</v>
      </c>
      <c r="B246" s="3" t="str">
        <f>"multicellular organismal signaling"</f>
        <v>multicellular organismal signaling</v>
      </c>
      <c r="C246" s="6" t="str">
        <f t="shared" si="13"/>
        <v>BP</v>
      </c>
      <c r="D246" s="6">
        <v>22</v>
      </c>
      <c r="E246" s="3">
        <v>0.10784313725490199</v>
      </c>
      <c r="F246" s="3">
        <v>3.3968051374599398E-3</v>
      </c>
      <c r="G246" s="3" t="str">
        <f>"22/836"</f>
        <v>22/836</v>
      </c>
      <c r="H246" s="3" t="str">
        <f>"204/18670"</f>
        <v>204/18670</v>
      </c>
      <c r="I246" s="3">
        <v>1.27164220812336E-4</v>
      </c>
      <c r="J246" s="3">
        <v>2.7375226711488501E-3</v>
      </c>
      <c r="K246" s="3" t="str">
        <f>"287/477/857/1824/5348/53826/83700/3750/10008/23630/30818/3760/3781/4842/4880/4916/5350/6262/6332/6546/7220/54795"</f>
        <v>287/477/857/1824/5348/53826/83700/3750/10008/23630/30818/3760/3781/4842/4880/4916/5350/6262/6332/6546/7220/54795</v>
      </c>
    </row>
    <row r="247" spans="1:11">
      <c r="A247" s="3" t="str">
        <f>"GO:0003422"</f>
        <v>GO:0003422</v>
      </c>
      <c r="B247" s="3" t="str">
        <f>"growth plate cartilage morphogenesis"</f>
        <v>growth plate cartilage morphogenesis</v>
      </c>
      <c r="C247" s="6" t="str">
        <f t="shared" si="13"/>
        <v>BP</v>
      </c>
      <c r="D247" s="6">
        <v>6</v>
      </c>
      <c r="E247" s="3">
        <v>0.31578947368421101</v>
      </c>
      <c r="F247" s="3">
        <v>3.4546712766750599E-3</v>
      </c>
      <c r="G247" s="3" t="str">
        <f>"6/836"</f>
        <v>6/836</v>
      </c>
      <c r="H247" s="3" t="str">
        <f>"19/18670"</f>
        <v>19/18670</v>
      </c>
      <c r="I247" s="3">
        <v>1.3003340512408699E-4</v>
      </c>
      <c r="J247" s="3">
        <v>2.7841576300537E-3</v>
      </c>
      <c r="K247" s="3" t="str">
        <f>"7373/1291/1292/4147/51435/5212"</f>
        <v>7373/1291/1292/4147/51435/5212</v>
      </c>
    </row>
    <row r="248" spans="1:11">
      <c r="A248" s="3" t="str">
        <f>"GO:0022836"</f>
        <v>GO:0022836</v>
      </c>
      <c r="B248" s="3" t="str">
        <f>"gated channel activity"</f>
        <v>gated channel activity</v>
      </c>
      <c r="C248" s="6" t="str">
        <f>"MF"</f>
        <v>MF</v>
      </c>
      <c r="D248" s="6">
        <v>32</v>
      </c>
      <c r="E248" s="3">
        <v>9.3294460641399402E-2</v>
      </c>
      <c r="F248" s="3">
        <v>3.5094128117402401E-3</v>
      </c>
      <c r="G248" s="3" t="str">
        <f>"32/813"</f>
        <v>32/813</v>
      </c>
      <c r="H248" s="3" t="str">
        <f>"343/17696"</f>
        <v>343/17696</v>
      </c>
      <c r="I248" s="3">
        <v>1.199799251877E-4</v>
      </c>
      <c r="J248" s="3">
        <v>3.1257927877848301E-3</v>
      </c>
      <c r="K248" s="3" t="str">
        <f>"121601/196527/309/773/9635/54102/2562/2892/2897/3249/7881/3745/3747/3750/10008/23630/30818/3772/3760/3764/3778/3779/3781/3783/3785/56479/343450/6262/6332/79838/140738/54795"</f>
        <v>121601/196527/309/773/9635/54102/2562/2892/2897/3249/7881/3745/3747/3750/10008/23630/30818/3772/3760/3764/3778/3779/3781/3783/3785/56479/343450/6262/6332/79838/140738/54795</v>
      </c>
    </row>
    <row r="249" spans="1:11">
      <c r="A249" s="3" t="str">
        <f>"GO:0043583"</f>
        <v>GO:0043583</v>
      </c>
      <c r="B249" s="3" t="str">
        <f>"ear development"</f>
        <v>ear development</v>
      </c>
      <c r="C249" s="6" t="str">
        <f t="shared" ref="C249:C256" si="14">"BP"</f>
        <v>BP</v>
      </c>
      <c r="D249" s="6">
        <v>23</v>
      </c>
      <c r="E249" s="3">
        <v>0.105022831050228</v>
      </c>
      <c r="F249" s="3">
        <v>3.5577703993732702E-3</v>
      </c>
      <c r="G249" s="3" t="str">
        <f>"23/836"</f>
        <v>23/836</v>
      </c>
      <c r="H249" s="3" t="str">
        <f>"219/18670"</f>
        <v>219/18670</v>
      </c>
      <c r="I249" s="3">
        <v>1.3463790321127699E-4</v>
      </c>
      <c r="J249" s="3">
        <v>2.86724634852313E-3</v>
      </c>
      <c r="K249" s="3" t="str">
        <f>"84059/652/653/1280/79633/2260/2263/2487/2562/2706/3249/8516/8549/8013/4916/116039/9750/80736/84189/6678/6899/7043/259236"</f>
        <v>84059/652/653/1280/79633/2260/2263/2487/2562/2706/3249/8516/8549/8013/4916/116039/9750/80736/84189/6678/6899/7043/259236</v>
      </c>
    </row>
    <row r="250" spans="1:11">
      <c r="A250" s="3" t="str">
        <f>"GO:0002065"</f>
        <v>GO:0002065</v>
      </c>
      <c r="B250" s="3" t="str">
        <f>"columnar/cuboidal epithelial cell differentiation"</f>
        <v>columnar/cuboidal epithelial cell differentiation</v>
      </c>
      <c r="C250" s="6" t="str">
        <f t="shared" si="14"/>
        <v>BP</v>
      </c>
      <c r="D250" s="6">
        <v>15</v>
      </c>
      <c r="E250" s="3">
        <v>0.13392857142857101</v>
      </c>
      <c r="F250" s="3">
        <v>3.6497042553991499E-3</v>
      </c>
      <c r="G250" s="3" t="str">
        <f>"15/836"</f>
        <v>15/836</v>
      </c>
      <c r="H250" s="3" t="str">
        <f>"112/18670"</f>
        <v>112/18670</v>
      </c>
      <c r="I250" s="3">
        <v>1.40344680421249E-4</v>
      </c>
      <c r="J250" s="3">
        <v>2.9413368556121399E-3</v>
      </c>
      <c r="K250" s="3" t="str">
        <f>"10551/652/653/1000/2260/2263/3169/140628/2627/4852/5753/9750/84189/25803/7481"</f>
        <v>10551/652/653/1000/2260/2263/3169/140628/2627/4852/5753/9750/84189/25803/7481</v>
      </c>
    </row>
    <row r="251" spans="1:11">
      <c r="A251" s="3" t="str">
        <f>"GO:0014902"</f>
        <v>GO:0014902</v>
      </c>
      <c r="B251" s="3" t="str">
        <f>"myotube differentiation"</f>
        <v>myotube differentiation</v>
      </c>
      <c r="C251" s="6" t="str">
        <f t="shared" si="14"/>
        <v>BP</v>
      </c>
      <c r="D251" s="6">
        <v>15</v>
      </c>
      <c r="E251" s="3">
        <v>0.13392857142857101</v>
      </c>
      <c r="F251" s="3">
        <v>3.6497042553991499E-3</v>
      </c>
      <c r="G251" s="3" t="str">
        <f>"15/836"</f>
        <v>15/836</v>
      </c>
      <c r="H251" s="3" t="str">
        <f>"112/18670"</f>
        <v>112/18670</v>
      </c>
      <c r="I251" s="3">
        <v>1.40344680421249E-4</v>
      </c>
      <c r="J251" s="3">
        <v>2.9413368556121399E-3</v>
      </c>
      <c r="K251" s="3" t="str">
        <f>"8038/627/858/30846/2323/9518/9734/3479/4323/93649/4842/84814/9750/92304/6899"</f>
        <v>8038/627/858/30846/2323/9518/9734/3479/4323/93649/4842/84814/9750/92304/6899</v>
      </c>
    </row>
    <row r="252" spans="1:11">
      <c r="A252" s="3" t="str">
        <f>"GO:1903510"</f>
        <v>GO:1903510</v>
      </c>
      <c r="B252" s="3" t="str">
        <f>"mucopolysaccharide metabolic process"</f>
        <v>mucopolysaccharide metabolic process</v>
      </c>
      <c r="C252" s="6" t="str">
        <f t="shared" si="14"/>
        <v>BP</v>
      </c>
      <c r="D252" s="6">
        <v>15</v>
      </c>
      <c r="E252" s="3">
        <v>0.13392857142857101</v>
      </c>
      <c r="F252" s="3">
        <v>3.6497042553991499E-3</v>
      </c>
      <c r="G252" s="3" t="str">
        <f>"15/836"</f>
        <v>15/836</v>
      </c>
      <c r="H252" s="3" t="str">
        <f>"112/18670"</f>
        <v>112/18670</v>
      </c>
      <c r="I252" s="3">
        <v>1.40344680421249E-4</v>
      </c>
      <c r="J252" s="3">
        <v>2.9413368556121399E-3</v>
      </c>
      <c r="K252" s="3" t="str">
        <f>"284/9331/57214/9469/4166/1634/1950/133584/2247/80760/4060/79625/4969/50859/1462"</f>
        <v>284/9331/57214/9469/4166/1634/1950/133584/2247/80760/4060/79625/4969/50859/1462</v>
      </c>
    </row>
    <row r="253" spans="1:11">
      <c r="A253" s="3" t="str">
        <f>"GO:0003148"</f>
        <v>GO:0003148</v>
      </c>
      <c r="B253" s="3" t="str">
        <f>"outflow tract septum morphogenesis"</f>
        <v>outflow tract septum morphogenesis</v>
      </c>
      <c r="C253" s="6" t="str">
        <f t="shared" si="14"/>
        <v>BP</v>
      </c>
      <c r="D253" s="6">
        <v>7</v>
      </c>
      <c r="E253" s="3">
        <v>0.25925925925925902</v>
      </c>
      <c r="F253" s="3">
        <v>3.6614255535292102E-3</v>
      </c>
      <c r="G253" s="3" t="str">
        <f>"7/836"</f>
        <v>7/836</v>
      </c>
      <c r="H253" s="3" t="str">
        <f>"27/18670"</f>
        <v>27/18670</v>
      </c>
      <c r="I253" s="3">
        <v>1.4228530635281399E-4</v>
      </c>
      <c r="J253" s="3">
        <v>2.9507831788682199E-3</v>
      </c>
      <c r="K253" s="3" t="str">
        <f>"652/2263/2627/8828/6092/6899/6909"</f>
        <v>652/2263/2627/8828/6092/6899/6909</v>
      </c>
    </row>
    <row r="254" spans="1:11">
      <c r="A254" s="3" t="str">
        <f>"GO:0060384"</f>
        <v>GO:0060384</v>
      </c>
      <c r="B254" s="3" t="str">
        <f>"innervation"</f>
        <v>innervation</v>
      </c>
      <c r="C254" s="6" t="str">
        <f t="shared" si="14"/>
        <v>BP</v>
      </c>
      <c r="D254" s="6">
        <v>7</v>
      </c>
      <c r="E254" s="3">
        <v>0.25925925925925902</v>
      </c>
      <c r="F254" s="3">
        <v>3.6614255535292102E-3</v>
      </c>
      <c r="G254" s="3" t="str">
        <f>"7/836"</f>
        <v>7/836</v>
      </c>
      <c r="H254" s="3" t="str">
        <f>"27/18670"</f>
        <v>27/18670</v>
      </c>
      <c r="I254" s="3">
        <v>1.4228530635281399E-4</v>
      </c>
      <c r="J254" s="3">
        <v>2.9507831788682199E-3</v>
      </c>
      <c r="K254" s="3" t="str">
        <f>"2562/3676/4914/494470/10371/5270/84189"</f>
        <v>2562/3676/4914/494470/10371/5270/84189</v>
      </c>
    </row>
    <row r="255" spans="1:11">
      <c r="A255" s="3" t="str">
        <f>"GO:0098900"</f>
        <v>GO:0098900</v>
      </c>
      <c r="B255" s="3" t="str">
        <f>"regulation of action potential"</f>
        <v>regulation of action potential</v>
      </c>
      <c r="C255" s="6" t="str">
        <f t="shared" si="14"/>
        <v>BP</v>
      </c>
      <c r="D255" s="6">
        <v>10</v>
      </c>
      <c r="E255" s="3">
        <v>0.18181818181818199</v>
      </c>
      <c r="F255" s="3">
        <v>3.6797493927556799E-3</v>
      </c>
      <c r="G255" s="3" t="str">
        <f>"10/836"</f>
        <v>10/836</v>
      </c>
      <c r="H255" s="3" t="str">
        <f>"55/18670"</f>
        <v>55/18670</v>
      </c>
      <c r="I255" s="3">
        <v>1.4374605969666099E-4</v>
      </c>
      <c r="J255" s="3">
        <v>2.9655505627112799E-3</v>
      </c>
      <c r="K255" s="3" t="str">
        <f>"148/287/857/1824/3745/10008/6262/7871/6863/54795"</f>
        <v>148/287/857/1824/3745/10008/6262/7871/6863/54795</v>
      </c>
    </row>
    <row r="256" spans="1:11">
      <c r="A256" s="3" t="str">
        <f>"GO:0048839"</f>
        <v>GO:0048839</v>
      </c>
      <c r="B256" s="3" t="str">
        <f>"inner ear development"</f>
        <v>inner ear development</v>
      </c>
      <c r="C256" s="6" t="str">
        <f t="shared" si="14"/>
        <v>BP</v>
      </c>
      <c r="D256" s="6">
        <v>21</v>
      </c>
      <c r="E256" s="3">
        <v>0.109375</v>
      </c>
      <c r="F256" s="3">
        <v>3.7494562365064199E-3</v>
      </c>
      <c r="G256" s="3" t="str">
        <f>"21/836"</f>
        <v>21/836</v>
      </c>
      <c r="H256" s="3" t="str">
        <f>"192/18670"</f>
        <v>192/18670</v>
      </c>
      <c r="I256" s="3">
        <v>1.4723195394623399E-4</v>
      </c>
      <c r="J256" s="3">
        <v>3.0217280758095301E-3</v>
      </c>
      <c r="K256" s="3" t="str">
        <f>"84059/652/1280/79633/2260/2263/2487/2562/2706/3249/8516/8549/8013/4916/9750/80736/84189/6678/6899/7043/259236"</f>
        <v>84059/652/1280/79633/2260/2263/2487/2562/2706/3249/8516/8549/8013/4916/9750/80736/84189/6678/6899/7043/259236</v>
      </c>
    </row>
    <row r="257" spans="1:11">
      <c r="A257" s="3" t="str">
        <f>"GO:0005516"</f>
        <v>GO:0005516</v>
      </c>
      <c r="B257" s="3" t="str">
        <f>"calmodulin binding"</f>
        <v>calmodulin binding</v>
      </c>
      <c r="C257" s="6" t="str">
        <f>"MF"</f>
        <v>MF</v>
      </c>
      <c r="D257" s="6">
        <v>22</v>
      </c>
      <c r="E257" s="3">
        <v>0.11</v>
      </c>
      <c r="F257" s="3">
        <v>3.8568170256686502E-3</v>
      </c>
      <c r="G257" s="3" t="str">
        <f>"22/813"</f>
        <v>22/813</v>
      </c>
      <c r="H257" s="3" t="str">
        <f>"200/17696"</f>
        <v>200/17696</v>
      </c>
      <c r="I257" s="3">
        <v>1.3656617062807199E-4</v>
      </c>
      <c r="J257" s="3">
        <v>3.4352216422959699E-3</v>
      </c>
      <c r="K257" s="3" t="str">
        <f>"57172/200373/2669/10788/3781/3783/3785/56479/4629/4624/4638/4642/4646/4842/5137/6236/6262/6546/6857/9066/54795/55503"</f>
        <v>57172/200373/2669/10788/3781/3783/3785/56479/4629/4624/4638/4642/4646/4842/5137/6236/6262/6546/6857/9066/54795/55503</v>
      </c>
    </row>
    <row r="258" spans="1:11">
      <c r="A258" s="3" t="str">
        <f>"GO:0003417"</f>
        <v>GO:0003417</v>
      </c>
      <c r="B258" s="3" t="str">
        <f>"growth plate cartilage development"</f>
        <v>growth plate cartilage development</v>
      </c>
      <c r="C258" s="6" t="str">
        <f t="shared" ref="C258:C268" si="15">"BP"</f>
        <v>BP</v>
      </c>
      <c r="D258" s="6">
        <v>8</v>
      </c>
      <c r="E258" s="3">
        <v>0.22222222222222199</v>
      </c>
      <c r="F258" s="3">
        <v>3.9192792044363102E-3</v>
      </c>
      <c r="G258" s="3" t="str">
        <f>"8/836"</f>
        <v>8/836</v>
      </c>
      <c r="H258" s="3" t="str">
        <f>"36/18670"</f>
        <v>36/18670</v>
      </c>
      <c r="I258" s="3">
        <v>1.5469789738771999E-4</v>
      </c>
      <c r="J258" s="3">
        <v>3.1585902760173099E-3</v>
      </c>
      <c r="K258" s="3" t="str">
        <f>"309/7373/1291/1292/4147/4880/51435/5212"</f>
        <v>309/7373/1291/1292/4147/4880/51435/5212</v>
      </c>
    </row>
    <row r="259" spans="1:11">
      <c r="A259" s="3" t="str">
        <f>"GO:0051588"</f>
        <v>GO:0051588</v>
      </c>
      <c r="B259" s="3" t="str">
        <f>"regulation of neurotransmitter transport"</f>
        <v>regulation of neurotransmitter transport</v>
      </c>
      <c r="C259" s="6" t="str">
        <f t="shared" si="15"/>
        <v>BP</v>
      </c>
      <c r="D259" s="6">
        <v>17</v>
      </c>
      <c r="E259" s="3">
        <v>0.12230215827338101</v>
      </c>
      <c r="F259" s="3">
        <v>4.0771473454675501E-3</v>
      </c>
      <c r="G259" s="3" t="str">
        <f>"17/836"</f>
        <v>17/836</v>
      </c>
      <c r="H259" s="3" t="str">
        <f>"139/18670"</f>
        <v>139/18670</v>
      </c>
      <c r="I259" s="3">
        <v>1.6175864341122501E-4</v>
      </c>
      <c r="J259" s="3">
        <v>3.2858179495624299E-3</v>
      </c>
      <c r="K259" s="3" t="str">
        <f>"148/321/477/2824/4129/4842/25953/55607/5579/5865/6623/9900/6853/6857/23208/143425/6865"</f>
        <v>148/321/477/2824/4129/4842/25953/55607/5579/5865/6623/9900/6853/6857/23208/143425/6865</v>
      </c>
    </row>
    <row r="260" spans="1:11">
      <c r="A260" s="3" t="str">
        <f>"GO:0086065"</f>
        <v>GO:0086065</v>
      </c>
      <c r="B260" s="3" t="str">
        <f>"cell communication involved in cardiac conduction"</f>
        <v>cell communication involved in cardiac conduction</v>
      </c>
      <c r="C260" s="6" t="str">
        <f t="shared" si="15"/>
        <v>BP</v>
      </c>
      <c r="D260" s="6">
        <v>10</v>
      </c>
      <c r="E260" s="3">
        <v>0.17857142857142899</v>
      </c>
      <c r="F260" s="3">
        <v>4.2144784623410298E-3</v>
      </c>
      <c r="G260" s="3" t="str">
        <f>"10/836"</f>
        <v>10/836</v>
      </c>
      <c r="H260" s="3" t="str">
        <f>"56/18670"</f>
        <v>56/18670</v>
      </c>
      <c r="I260" s="3">
        <v>1.6806465485632601E-4</v>
      </c>
      <c r="J260" s="3">
        <v>3.39649460915336E-3</v>
      </c>
      <c r="K260" s="3" t="str">
        <f>"287/477/857/1824/23630/3760/3781/6262/6546/54795"</f>
        <v>287/477/857/1824/23630/3760/3781/6262/6546/54795</v>
      </c>
    </row>
    <row r="261" spans="1:11">
      <c r="A261" s="3" t="str">
        <f>"GO:0070208"</f>
        <v>GO:0070208</v>
      </c>
      <c r="B261" s="3" t="str">
        <f>"protein heterotrimerization"</f>
        <v>protein heterotrimerization</v>
      </c>
      <c r="C261" s="6" t="str">
        <f t="shared" si="15"/>
        <v>BP</v>
      </c>
      <c r="D261" s="6">
        <v>5</v>
      </c>
      <c r="E261" s="3">
        <v>0.38461538461538503</v>
      </c>
      <c r="F261" s="3">
        <v>4.2278599796911603E-3</v>
      </c>
      <c r="G261" s="3" t="str">
        <f>"5/836"</f>
        <v>5/836</v>
      </c>
      <c r="H261" s="3" t="str">
        <f>"13/18670"</f>
        <v>13/18670</v>
      </c>
      <c r="I261" s="3">
        <v>1.6945847731417301E-4</v>
      </c>
      <c r="J261" s="3">
        <v>3.4072789213637801E-3</v>
      </c>
      <c r="K261" s="3" t="str">
        <f>"114897/114898/1278/1291/1292"</f>
        <v>114897/114898/1278/1291/1292</v>
      </c>
    </row>
    <row r="262" spans="1:11">
      <c r="A262" s="3" t="str">
        <f>"GO:0061333"</f>
        <v>GO:0061333</v>
      </c>
      <c r="B262" s="3" t="str">
        <f>"renal tubule morphogenesis"</f>
        <v>renal tubule morphogenesis</v>
      </c>
      <c r="C262" s="6" t="str">
        <f t="shared" si="15"/>
        <v>BP</v>
      </c>
      <c r="D262" s="6">
        <v>12</v>
      </c>
      <c r="E262" s="3">
        <v>0.15384615384615399</v>
      </c>
      <c r="F262" s="3">
        <v>4.2545403926731399E-3</v>
      </c>
      <c r="G262" s="3" t="str">
        <f>"12/836"</f>
        <v>12/836</v>
      </c>
      <c r="H262" s="3" t="str">
        <f>"78/18670"</f>
        <v>78/18670</v>
      </c>
      <c r="I262" s="3">
        <v>1.7139348886048499E-4</v>
      </c>
      <c r="J262" s="3">
        <v>3.42878096003192E-3</v>
      </c>
      <c r="K262" s="3" t="str">
        <f>"652/79633/2247/153572/55083/8549/5228/4070/6943/7481/7482/7490"</f>
        <v>652/79633/2247/153572/55083/8549/5228/4070/6943/7481/7482/7490</v>
      </c>
    </row>
    <row r="263" spans="1:11">
      <c r="A263" s="3" t="str">
        <f>"GO:0086014"</f>
        <v>GO:0086014</v>
      </c>
      <c r="B263" s="3" t="str">
        <f>"atrial cardiac muscle cell action potential"</f>
        <v>atrial cardiac muscle cell action potential</v>
      </c>
      <c r="C263" s="6" t="str">
        <f t="shared" si="15"/>
        <v>BP</v>
      </c>
      <c r="D263" s="6">
        <v>6</v>
      </c>
      <c r="E263" s="3">
        <v>0.3</v>
      </c>
      <c r="F263" s="3">
        <v>4.3347768337491403E-3</v>
      </c>
      <c r="G263" s="3" t="str">
        <f>"6/836"</f>
        <v>6/836</v>
      </c>
      <c r="H263" s="3" t="str">
        <f>"20/18670"</f>
        <v>20/18670</v>
      </c>
      <c r="I263" s="3">
        <v>1.7875641881485199E-4</v>
      </c>
      <c r="J263" s="3">
        <v>3.4934443915828101E-3</v>
      </c>
      <c r="K263" s="3" t="str">
        <f>"287/23630/3760/3781/6262/54795"</f>
        <v>287/23630/3760/3781/6262/54795</v>
      </c>
    </row>
    <row r="264" spans="1:11">
      <c r="A264" s="3" t="str">
        <f>"GO:0086026"</f>
        <v>GO:0086026</v>
      </c>
      <c r="B264" s="3" t="str">
        <f>"atrial cardiac muscle cell to AV node cell signaling"</f>
        <v>atrial cardiac muscle cell to AV node cell signaling</v>
      </c>
      <c r="C264" s="6" t="str">
        <f t="shared" si="15"/>
        <v>BP</v>
      </c>
      <c r="D264" s="6">
        <v>6</v>
      </c>
      <c r="E264" s="3">
        <v>0.3</v>
      </c>
      <c r="F264" s="3">
        <v>4.3347768337491403E-3</v>
      </c>
      <c r="G264" s="3" t="str">
        <f>"6/836"</f>
        <v>6/836</v>
      </c>
      <c r="H264" s="3" t="str">
        <f>"20/18670"</f>
        <v>20/18670</v>
      </c>
      <c r="I264" s="3">
        <v>1.7875641881485199E-4</v>
      </c>
      <c r="J264" s="3">
        <v>3.4934443915828101E-3</v>
      </c>
      <c r="K264" s="3" t="str">
        <f>"287/23630/3760/3781/6262/54795"</f>
        <v>287/23630/3760/3781/6262/54795</v>
      </c>
    </row>
    <row r="265" spans="1:11">
      <c r="A265" s="3" t="str">
        <f>"GO:0086066"</f>
        <v>GO:0086066</v>
      </c>
      <c r="B265" s="3" t="str">
        <f>"atrial cardiac muscle cell to AV node cell communication"</f>
        <v>atrial cardiac muscle cell to AV node cell communication</v>
      </c>
      <c r="C265" s="6" t="str">
        <f t="shared" si="15"/>
        <v>BP</v>
      </c>
      <c r="D265" s="6">
        <v>6</v>
      </c>
      <c r="E265" s="3">
        <v>0.3</v>
      </c>
      <c r="F265" s="3">
        <v>4.3347768337491403E-3</v>
      </c>
      <c r="G265" s="3" t="str">
        <f>"6/836"</f>
        <v>6/836</v>
      </c>
      <c r="H265" s="3" t="str">
        <f>"20/18670"</f>
        <v>20/18670</v>
      </c>
      <c r="I265" s="3">
        <v>1.7875641881485199E-4</v>
      </c>
      <c r="J265" s="3">
        <v>3.4934443915828101E-3</v>
      </c>
      <c r="K265" s="3" t="str">
        <f>"287/23630/3760/3781/6262/54795"</f>
        <v>287/23630/3760/3781/6262/54795</v>
      </c>
    </row>
    <row r="266" spans="1:11">
      <c r="A266" s="3" t="str">
        <f>"GO:0015844"</f>
        <v>GO:0015844</v>
      </c>
      <c r="B266" s="3" t="str">
        <f>"monoamine transport"</f>
        <v>monoamine transport</v>
      </c>
      <c r="C266" s="6" t="str">
        <f t="shared" si="15"/>
        <v>BP</v>
      </c>
      <c r="D266" s="6">
        <v>13</v>
      </c>
      <c r="E266" s="3">
        <v>0.14444444444444399</v>
      </c>
      <c r="F266" s="3">
        <v>4.3347768337491403E-3</v>
      </c>
      <c r="G266" s="3" t="str">
        <f>"13/836"</f>
        <v>13/836</v>
      </c>
      <c r="H266" s="3" t="str">
        <f>"90/18670"</f>
        <v>90/18670</v>
      </c>
      <c r="I266" s="3">
        <v>1.79035543692996E-4</v>
      </c>
      <c r="J266" s="3">
        <v>3.4934443915828101E-3</v>
      </c>
      <c r="K266" s="3" t="str">
        <f>"6387/2824/3745/4129/4842/64805/5865/6623/6857/23208/57586/9066/143425"</f>
        <v>6387/2824/3745/4129/4842/64805/5865/6623/6857/23208/57586/9066/143425</v>
      </c>
    </row>
    <row r="267" spans="1:11">
      <c r="A267" s="3" t="str">
        <f>"GO:0045778"</f>
        <v>GO:0045778</v>
      </c>
      <c r="B267" s="3" t="str">
        <f>"positive regulation of ossification"</f>
        <v>positive regulation of ossification</v>
      </c>
      <c r="C267" s="6" t="str">
        <f t="shared" si="15"/>
        <v>BP</v>
      </c>
      <c r="D267" s="6">
        <v>13</v>
      </c>
      <c r="E267" s="3">
        <v>0.14444444444444399</v>
      </c>
      <c r="F267" s="3">
        <v>4.3347768337491403E-3</v>
      </c>
      <c r="G267" s="3" t="str">
        <f>"13/836"</f>
        <v>13/836</v>
      </c>
      <c r="H267" s="3" t="str">
        <f>"90/18670"</f>
        <v>90/18670</v>
      </c>
      <c r="I267" s="3">
        <v>1.79035543692996E-4</v>
      </c>
      <c r="J267" s="3">
        <v>3.4934443915828101E-3</v>
      </c>
      <c r="K267" s="3" t="str">
        <f>"84059/196527/652/658/4921/2824/3479/4880/116039/6423/6546/6863/7043"</f>
        <v>84059/196527/652/658/4921/2824/3479/4880/116039/6423/6546/6863/7043</v>
      </c>
    </row>
    <row r="268" spans="1:11">
      <c r="A268" s="3" t="str">
        <f>"GO:0060512"</f>
        <v>GO:0060512</v>
      </c>
      <c r="B268" s="3" t="str">
        <f>"prostate gland morphogenesis"</f>
        <v>prostate gland morphogenesis</v>
      </c>
      <c r="C268" s="6" t="str">
        <f t="shared" si="15"/>
        <v>BP</v>
      </c>
      <c r="D268" s="6">
        <v>7</v>
      </c>
      <c r="E268" s="3">
        <v>0.25</v>
      </c>
      <c r="F268" s="3">
        <v>4.3954199628387803E-3</v>
      </c>
      <c r="G268" s="3" t="str">
        <f>"7/836"</f>
        <v>7/836</v>
      </c>
      <c r="H268" s="3" t="str">
        <f>"28/18670"</f>
        <v>28/18670</v>
      </c>
      <c r="I268" s="3">
        <v>1.82434521346716E-4</v>
      </c>
      <c r="J268" s="3">
        <v>3.54231735721204E-3</v>
      </c>
      <c r="K268" s="3" t="str">
        <f>"652/2263/3169/10481/3239/3400/4824"</f>
        <v>652/2263/3169/10481/3239/3400/4824</v>
      </c>
    </row>
    <row r="269" spans="1:11">
      <c r="A269" s="3" t="str">
        <f>"GO:0005249"</f>
        <v>GO:0005249</v>
      </c>
      <c r="B269" s="3" t="str">
        <f>"voltage-gated potassium channel activity"</f>
        <v>voltage-gated potassium channel activity</v>
      </c>
      <c r="C269" s="6" t="str">
        <f>"MF"</f>
        <v>MF</v>
      </c>
      <c r="D269" s="6">
        <v>13</v>
      </c>
      <c r="E269" s="3">
        <v>0.14942528735632199</v>
      </c>
      <c r="F269" s="3">
        <v>4.4283016044993602E-3</v>
      </c>
      <c r="G269" s="3" t="str">
        <f>"13/813"</f>
        <v>13/813</v>
      </c>
      <c r="H269" s="3" t="str">
        <f>"87/17696"</f>
        <v>87/17696</v>
      </c>
      <c r="I269" s="3">
        <v>1.6220884998166199E-4</v>
      </c>
      <c r="J269" s="3">
        <v>3.9442362469225096E-3</v>
      </c>
      <c r="K269" s="3" t="str">
        <f>"7881/3745/3747/3750/10008/23630/3772/3760/3764/3778/3785/56479/343450"</f>
        <v>7881/3745/3747/3750/10008/23630/3772/3760/3764/3778/3785/56479/343450</v>
      </c>
    </row>
    <row r="270" spans="1:11">
      <c r="A270" s="3" t="str">
        <f>"GO:0033002"</f>
        <v>GO:0033002</v>
      </c>
      <c r="B270" s="3" t="str">
        <f>"muscle cell proliferation"</f>
        <v>muscle cell proliferation</v>
      </c>
      <c r="C270" s="6" t="str">
        <f>"BP"</f>
        <v>BP</v>
      </c>
      <c r="D270" s="6">
        <v>24</v>
      </c>
      <c r="E270" s="3">
        <v>0.100418410041841</v>
      </c>
      <c r="F270" s="3">
        <v>4.62847729840215E-3</v>
      </c>
      <c r="G270" s="3" t="str">
        <f>"24/836"</f>
        <v>24/836</v>
      </c>
      <c r="H270" s="3" t="str">
        <f>"239/18670"</f>
        <v>239/18670</v>
      </c>
      <c r="I270" s="3">
        <v>1.9368260061421701E-4</v>
      </c>
      <c r="J270" s="3">
        <v>3.73014083073027E-3</v>
      </c>
      <c r="K270" s="3" t="str">
        <f>"10257/284/652/1991/2047/2247/2260/2263/2627/3479/93649/4880/8013/4969/5468/10891/5592/5950/348093/6909/6910/7043/7049/7472"</f>
        <v>10257/284/652/1991/2047/2247/2260/2263/2627/3479/93649/4880/8013/4969/5468/10891/5592/5950/348093/6909/6910/7043/7049/7472</v>
      </c>
    </row>
    <row r="271" spans="1:11">
      <c r="A271" s="3" t="str">
        <f>"GO:0021675"</f>
        <v>GO:0021675</v>
      </c>
      <c r="B271" s="3" t="str">
        <f>"nerve development"</f>
        <v>nerve development</v>
      </c>
      <c r="C271" s="6" t="str">
        <f>"BP"</f>
        <v>BP</v>
      </c>
      <c r="D271" s="6">
        <v>12</v>
      </c>
      <c r="E271" s="3">
        <v>0.151898734177215</v>
      </c>
      <c r="F271" s="3">
        <v>4.62847729840215E-3</v>
      </c>
      <c r="G271" s="3" t="str">
        <f>"12/836"</f>
        <v>12/836</v>
      </c>
      <c r="H271" s="3" t="str">
        <f>"79/18670"</f>
        <v>79/18670</v>
      </c>
      <c r="I271" s="3">
        <v>1.93991113625807E-4</v>
      </c>
      <c r="J271" s="3">
        <v>3.73014083073027E-3</v>
      </c>
      <c r="K271" s="3" t="str">
        <f>"627/2047/2065/2562/3676/8828/4914/494470/10371/5270/84189/6899"</f>
        <v>627/2047/2065/2562/3676/8828/4914/494470/10371/5270/84189/6899</v>
      </c>
    </row>
    <row r="272" spans="1:11">
      <c r="A272" s="3" t="str">
        <f>"GO:0051924"</f>
        <v>GO:0051924</v>
      </c>
      <c r="B272" s="3" t="str">
        <f>"regulation of calcium ion transport"</f>
        <v>regulation of calcium ion transport</v>
      </c>
      <c r="C272" s="6" t="str">
        <f>"BP"</f>
        <v>BP</v>
      </c>
      <c r="D272" s="6">
        <v>25</v>
      </c>
      <c r="E272" s="3">
        <v>9.8425196850393706E-2</v>
      </c>
      <c r="F272" s="3">
        <v>4.6704896882908097E-3</v>
      </c>
      <c r="G272" s="3" t="str">
        <f>"25/836"</f>
        <v>25/836</v>
      </c>
      <c r="H272" s="3" t="str">
        <f>"254/18670"</f>
        <v>254/18670</v>
      </c>
      <c r="I272" s="3">
        <v>1.96702210676744E-4</v>
      </c>
      <c r="J272" s="3">
        <v>3.76399907844693E-3</v>
      </c>
      <c r="K272" s="3" t="str">
        <f>"79026/287/477/857/57214/6387/1950/2259/2669/2775/9455/3603/10008/4638/4842/64805/5350/9104/8787/6236/6262/6546/6769/7220/27075"</f>
        <v>79026/287/477/857/57214/6387/1950/2259/2669/2775/9455/3603/10008/4638/4842/64805/5350/9104/8787/6236/6262/6546/6769/7220/27075</v>
      </c>
    </row>
    <row r="273" spans="1:11">
      <c r="A273" s="3" t="str">
        <f>"GO:0019838"</f>
        <v>GO:0019838</v>
      </c>
      <c r="B273" s="3" t="str">
        <f>"growth factor binding"</f>
        <v>growth factor binding</v>
      </c>
      <c r="C273" s="6" t="str">
        <f>"MF"</f>
        <v>MF</v>
      </c>
      <c r="D273" s="6">
        <v>17</v>
      </c>
      <c r="E273" s="3">
        <v>0.124087591240876</v>
      </c>
      <c r="F273" s="3">
        <v>4.8338750139194503E-3</v>
      </c>
      <c r="G273" s="3" t="str">
        <f>"17/813"</f>
        <v>17/813</v>
      </c>
      <c r="H273" s="3" t="str">
        <f>"137/17696"</f>
        <v>137/17696</v>
      </c>
      <c r="I273" s="3">
        <v>1.82967186119051E-4</v>
      </c>
      <c r="J273" s="3">
        <v>4.3054757208999097E-3</v>
      </c>
      <c r="K273" s="3" t="str">
        <f>"2/658/1278/1280/1291/10563/2065/2260/2263/2264/3489/8425/8828/4914/4916/7043/7049"</f>
        <v>2/658/1278/1280/1291/10563/2065/2260/2263/2264/3489/8425/8828/4914/4916/7043/7049</v>
      </c>
    </row>
    <row r="274" spans="1:11">
      <c r="A274" s="3" t="str">
        <f>"GO:0050678"</f>
        <v>GO:0050678</v>
      </c>
      <c r="B274" s="3" t="str">
        <f>"regulation of epithelial cell proliferation"</f>
        <v>regulation of epithelial cell proliferation</v>
      </c>
      <c r="C274" s="6" t="str">
        <f>"BP"</f>
        <v>BP</v>
      </c>
      <c r="D274" s="6">
        <v>33</v>
      </c>
      <c r="E274" s="3">
        <v>8.7301587301587297E-2</v>
      </c>
      <c r="F274" s="3">
        <v>4.87110046089048E-3</v>
      </c>
      <c r="G274" s="3" t="str">
        <f>"33/836"</f>
        <v>33/836</v>
      </c>
      <c r="H274" s="3" t="str">
        <f>"378/18670"</f>
        <v>378/18670</v>
      </c>
      <c r="I274" s="3">
        <v>2.0614219651377799E-4</v>
      </c>
      <c r="J274" s="3">
        <v>3.9256735095209898E-3</v>
      </c>
      <c r="K274" s="3" t="str">
        <f>"652/653/857/858/6387/1910/2247/2252/2260/2263/8324/3249/3479/3676/3912/4824/8013/8828/116039/5228/5241/5468/5578/9104/6423/6591/6678/4070/6899/7049/7060/58189/7472"</f>
        <v>652/653/857/858/6387/1910/2247/2252/2260/2263/8324/3249/3479/3676/3912/4824/8013/8828/116039/5228/5241/5468/5578/9104/6423/6591/6678/4070/6899/7049/7060/58189/7472</v>
      </c>
    </row>
    <row r="275" spans="1:11">
      <c r="A275" s="3" t="str">
        <f>"GO:0045178"</f>
        <v>GO:0045178</v>
      </c>
      <c r="B275" s="3" t="str">
        <f>"basal part of cell"</f>
        <v>basal part of cell</v>
      </c>
      <c r="C275" s="6" t="str">
        <f>"CC"</f>
        <v>CC</v>
      </c>
      <c r="D275" s="6">
        <v>9</v>
      </c>
      <c r="E275" s="3">
        <v>0.17647058823529399</v>
      </c>
      <c r="F275" s="3">
        <v>4.8828066335970298E-3</v>
      </c>
      <c r="G275" s="3" t="str">
        <f>"9/873"</f>
        <v>9/873</v>
      </c>
      <c r="H275" s="3" t="str">
        <f>"51/19717"</f>
        <v>51/19717</v>
      </c>
      <c r="I275" s="3">
        <v>3.5772978373517099E-4</v>
      </c>
      <c r="J275" s="3">
        <v>3.8332515588831101E-3</v>
      </c>
      <c r="K275" s="3" t="str">
        <f>"9635/1364/667/2065/3672/3680/3861/64805/4070"</f>
        <v>9635/1364/667/2065/3672/3680/3861/64805/4070</v>
      </c>
    </row>
    <row r="276" spans="1:11">
      <c r="A276" s="3" t="str">
        <f>"GO:0070382"</f>
        <v>GO:0070382</v>
      </c>
      <c r="B276" s="3" t="str">
        <f>"exocytic vesicle"</f>
        <v>exocytic vesicle</v>
      </c>
      <c r="C276" s="6" t="str">
        <f>"CC"</f>
        <v>CC</v>
      </c>
      <c r="D276" s="6">
        <v>21</v>
      </c>
      <c r="E276" s="3">
        <v>0.101449275362319</v>
      </c>
      <c r="F276" s="3">
        <v>4.8828066335970298E-3</v>
      </c>
      <c r="G276" s="3" t="str">
        <f>"21/873"</f>
        <v>21/873</v>
      </c>
      <c r="H276" s="3" t="str">
        <f>"207/19717"</f>
        <v>207/19717</v>
      </c>
      <c r="I276" s="3">
        <v>3.5902989952919302E-4</v>
      </c>
      <c r="J276" s="3">
        <v>3.8332515588831101E-3</v>
      </c>
      <c r="K276" s="3" t="str">
        <f>"321/627/3382/3479/5179/5799/5865/7732/6456/133308/85439/415117/9900/6853/9144/6857/23208/57586/9066/143425/114088"</f>
        <v>321/627/3382/3479/5179/5799/5865/7732/6456/133308/85439/415117/9900/6853/9144/6857/23208/57586/9066/143425/114088</v>
      </c>
    </row>
    <row r="277" spans="1:11">
      <c r="A277" s="3" t="str">
        <f>"GO:0060538"</f>
        <v>GO:0060538</v>
      </c>
      <c r="B277" s="3" t="str">
        <f>"skeletal muscle organ development"</f>
        <v>skeletal muscle organ development</v>
      </c>
      <c r="C277" s="6" t="str">
        <f t="shared" ref="C277:C287" si="16">"BP"</f>
        <v>BP</v>
      </c>
      <c r="D277" s="6">
        <v>19</v>
      </c>
      <c r="E277" s="3">
        <v>0.112426035502959</v>
      </c>
      <c r="F277" s="3">
        <v>4.9337274859833202E-3</v>
      </c>
      <c r="G277" s="3" t="str">
        <f>"19/836"</f>
        <v>19/836</v>
      </c>
      <c r="H277" s="3" t="str">
        <f>"169/18670"</f>
        <v>169/18670</v>
      </c>
      <c r="I277" s="3">
        <v>2.0979634680986999E-4</v>
      </c>
      <c r="J277" s="3">
        <v>3.9761453187889297E-3</v>
      </c>
      <c r="K277" s="3" t="str">
        <f>"857/858/1073/1634/22943/2047/2317/9734/3236/7881/9215/93649/5307/64208/9750/6899/6943/7093/7490"</f>
        <v>857/858/1073/1634/22943/2047/2317/9734/3236/7881/9215/93649/5307/64208/9750/6899/6943/7093/7490</v>
      </c>
    </row>
    <row r="278" spans="1:11">
      <c r="A278" s="3" t="str">
        <f>"GO:0072503"</f>
        <v>GO:0072503</v>
      </c>
      <c r="B278" s="3" t="str">
        <f>"cellular divalent inorganic cation homeostasis"</f>
        <v>cellular divalent inorganic cation homeostasis</v>
      </c>
      <c r="C278" s="6" t="str">
        <f t="shared" si="16"/>
        <v>BP</v>
      </c>
      <c r="D278" s="6">
        <v>40</v>
      </c>
      <c r="E278" s="3">
        <v>8.1135902636916807E-2</v>
      </c>
      <c r="F278" s="3">
        <v>5.1362411224097496E-3</v>
      </c>
      <c r="G278" s="3" t="str">
        <f>"40/836"</f>
        <v>40/836</v>
      </c>
      <c r="H278" s="3" t="str">
        <f>"493/18670"</f>
        <v>493/18670</v>
      </c>
      <c r="I278" s="3">
        <v>2.1945282516908399E-4</v>
      </c>
      <c r="J278" s="3">
        <v>4.1393532887782601E-3</v>
      </c>
      <c r="K278" s="3" t="str">
        <f>"148/287/309/477/27032/114897/773/857/6366/57214/1524/6387/10563/2833/1908/1910/1991/2247/2587/9170/931/4842/5350/5579/5732/5737/9104/6262/1903/57419/159371/6546/9900/6863/130733/7220/7223/54795/79054/55503"</f>
        <v>148/287/309/477/27032/114897/773/857/6366/57214/1524/6387/10563/2833/1908/1910/1991/2247/2587/9170/931/4842/5350/5579/5732/5737/9104/6262/1903/57419/159371/6546/9900/6863/130733/7220/7223/54795/79054/55503</v>
      </c>
    </row>
    <row r="279" spans="1:11">
      <c r="A279" s="3" t="str">
        <f>"GO:0019935"</f>
        <v>GO:0019935</v>
      </c>
      <c r="B279" s="3" t="str">
        <f>"cyclic-nucleotide-mediated signaling"</f>
        <v>cyclic-nucleotide-mediated signaling</v>
      </c>
      <c r="C279" s="6" t="str">
        <f t="shared" si="16"/>
        <v>BP</v>
      </c>
      <c r="D279" s="6">
        <v>22</v>
      </c>
      <c r="E279" s="3">
        <v>0.10377358490565999</v>
      </c>
      <c r="F279" s="3">
        <v>5.1621446526280397E-3</v>
      </c>
      <c r="G279" s="3" t="str">
        <f>"22/836"</f>
        <v>22/836</v>
      </c>
      <c r="H279" s="3" t="str">
        <f>"212/18670"</f>
        <v>212/18670</v>
      </c>
      <c r="I279" s="3">
        <v>2.2160987216775501E-4</v>
      </c>
      <c r="J279" s="3">
        <v>4.1602292290708999E-3</v>
      </c>
      <c r="K279" s="3" t="str">
        <f>"283383/23284/148/153/155/1910/1979/51083/2587/23432/3747/8549/4842/4880/81285/5350/5577/5578/5592/5732/5737/5744"</f>
        <v>283383/23284/148/153/155/1910/1979/51083/2587/23432/3747/8549/4842/4880/81285/5350/5577/5578/5592/5732/5737/5744</v>
      </c>
    </row>
    <row r="280" spans="1:11">
      <c r="A280" s="3" t="str">
        <f>"GO:0006022"</f>
        <v>GO:0006022</v>
      </c>
      <c r="B280" s="3" t="str">
        <f>"aminoglycan metabolic process"</f>
        <v>aminoglycan metabolic process</v>
      </c>
      <c r="C280" s="6" t="str">
        <f t="shared" si="16"/>
        <v>BP</v>
      </c>
      <c r="D280" s="6">
        <v>19</v>
      </c>
      <c r="E280" s="3">
        <v>0.111764705882353</v>
      </c>
      <c r="F280" s="3">
        <v>5.2514939300329997E-3</v>
      </c>
      <c r="G280" s="3" t="str">
        <f>"19/836"</f>
        <v>19/836</v>
      </c>
      <c r="H280" s="3" t="str">
        <f>"170/18670"</f>
        <v>170/18670</v>
      </c>
      <c r="I280" s="3">
        <v>2.26514082027873E-4</v>
      </c>
      <c r="J280" s="3">
        <v>4.2322367957839399E-3</v>
      </c>
      <c r="K280" s="3" t="str">
        <f>"284/27087/9331/57214/9469/4166/1634/1950/133584/2247/10082/9955/90161/80760/4060/79625/4969/50859/1462"</f>
        <v>284/27087/9331/57214/9469/4166/1634/1950/133584/2247/10082/9955/90161/80760/4060/79625/4969/50859/1462</v>
      </c>
    </row>
    <row r="281" spans="1:11">
      <c r="A281" s="3" t="str">
        <f>"GO:0050803"</f>
        <v>GO:0050803</v>
      </c>
      <c r="B281" s="3" t="str">
        <f>"regulation of synapse structure or activity"</f>
        <v>regulation of synapse structure or activity</v>
      </c>
      <c r="C281" s="6" t="str">
        <f t="shared" si="16"/>
        <v>BP</v>
      </c>
      <c r="D281" s="6">
        <v>23</v>
      </c>
      <c r="E281" s="3">
        <v>0.101321585903084</v>
      </c>
      <c r="F281" s="3">
        <v>5.2622624161477102E-3</v>
      </c>
      <c r="G281" s="3" t="str">
        <f>"23/836"</f>
        <v>23/836</v>
      </c>
      <c r="H281" s="3" t="str">
        <f>"227/18670"</f>
        <v>227/18670</v>
      </c>
      <c r="I281" s="3">
        <v>2.29124899929137E-4</v>
      </c>
      <c r="J281" s="3">
        <v>4.2409152373430103E-3</v>
      </c>
      <c r="K281" s="3" t="str">
        <f>"23284/58504/627/1000/22943/2045/2047/2119/2823/6453/158038/54674/8828/4914/4916/10611/55607/64284/6092/23657/26050/84189/6678"</f>
        <v>23284/58504/627/1000/22943/2045/2047/2119/2823/6453/158038/54674/8828/4914/4916/10611/55607/64284/6092/23657/26050/84189/6678</v>
      </c>
    </row>
    <row r="282" spans="1:11">
      <c r="A282" s="3" t="str">
        <f>"GO:0060045"</f>
        <v>GO:0060045</v>
      </c>
      <c r="B282" s="3" t="str">
        <f>"positive regulation of cardiac muscle cell proliferation"</f>
        <v>positive regulation of cardiac muscle cell proliferation</v>
      </c>
      <c r="C282" s="6" t="str">
        <f t="shared" si="16"/>
        <v>BP</v>
      </c>
      <c r="D282" s="6">
        <v>8</v>
      </c>
      <c r="E282" s="3">
        <v>0.21052631578947401</v>
      </c>
      <c r="F282" s="3">
        <v>5.2622624161477102E-3</v>
      </c>
      <c r="G282" s="3" t="str">
        <f>"8/836"</f>
        <v>8/836</v>
      </c>
      <c r="H282" s="3" t="str">
        <f>"38/18670"</f>
        <v>38/18670</v>
      </c>
      <c r="I282" s="3">
        <v>2.3095390619119001E-4</v>
      </c>
      <c r="J282" s="3">
        <v>4.2409152373430103E-3</v>
      </c>
      <c r="K282" s="3" t="str">
        <f>"2247/2260/2263/2627/6909/6910/7049/7472"</f>
        <v>2247/2260/2263/2627/6909/6910/7049/7472</v>
      </c>
    </row>
    <row r="283" spans="1:11">
      <c r="A283" s="3" t="str">
        <f>"GO:0060441"</f>
        <v>GO:0060441</v>
      </c>
      <c r="B283" s="3" t="str">
        <f>"epithelial tube branching involved in lung morphogenesis"</f>
        <v>epithelial tube branching involved in lung morphogenesis</v>
      </c>
      <c r="C283" s="6" t="str">
        <f t="shared" si="16"/>
        <v>BP</v>
      </c>
      <c r="D283" s="6">
        <v>7</v>
      </c>
      <c r="E283" s="3">
        <v>0.24137931034482801</v>
      </c>
      <c r="F283" s="3">
        <v>5.2622624161477102E-3</v>
      </c>
      <c r="G283" s="3" t="str">
        <f>"7/836"</f>
        <v>7/836</v>
      </c>
      <c r="H283" s="3" t="str">
        <f>"29/18670"</f>
        <v>29/18670</v>
      </c>
      <c r="I283" s="3">
        <v>2.3126117637597301E-4</v>
      </c>
      <c r="J283" s="3">
        <v>4.2409152373430103E-3</v>
      </c>
      <c r="K283" s="3" t="str">
        <f>"652/2263/3169/2294/64399/7472/7482"</f>
        <v>652/2263/3169/2294/64399/7472/7482</v>
      </c>
    </row>
    <row r="284" spans="1:11">
      <c r="A284" s="3" t="str">
        <f>"GO:0060536"</f>
        <v>GO:0060536</v>
      </c>
      <c r="B284" s="3" t="str">
        <f>"cartilage morphogenesis"</f>
        <v>cartilage morphogenesis</v>
      </c>
      <c r="C284" s="6" t="str">
        <f t="shared" si="16"/>
        <v>BP</v>
      </c>
      <c r="D284" s="6">
        <v>7</v>
      </c>
      <c r="E284" s="3">
        <v>0.24137931034482801</v>
      </c>
      <c r="F284" s="3">
        <v>5.2622624161477102E-3</v>
      </c>
      <c r="G284" s="3" t="str">
        <f>"7/836"</f>
        <v>7/836</v>
      </c>
      <c r="H284" s="3" t="str">
        <f>"29/18670"</f>
        <v>29/18670</v>
      </c>
      <c r="I284" s="3">
        <v>2.3126117637597301E-4</v>
      </c>
      <c r="J284" s="3">
        <v>4.2409152373430103E-3</v>
      </c>
      <c r="K284" s="3" t="str">
        <f>"7373/1291/1292/4147/51435/6591/5212"</f>
        <v>7373/1291/1292/4147/51435/6591/5212</v>
      </c>
    </row>
    <row r="285" spans="1:11">
      <c r="A285" s="3" t="str">
        <f>"GO:0055023"</f>
        <v>GO:0055023</v>
      </c>
      <c r="B285" s="3" t="str">
        <f>"positive regulation of cardiac muscle tissue growth"</f>
        <v>positive regulation of cardiac muscle tissue growth</v>
      </c>
      <c r="C285" s="6" t="str">
        <f t="shared" si="16"/>
        <v>BP</v>
      </c>
      <c r="D285" s="6">
        <v>9</v>
      </c>
      <c r="E285" s="3">
        <v>0.1875</v>
      </c>
      <c r="F285" s="3">
        <v>5.4361440414482601E-3</v>
      </c>
      <c r="G285" s="3" t="str">
        <f>"9/836"</f>
        <v>9/836</v>
      </c>
      <c r="H285" s="3" t="str">
        <f>"48/18670"</f>
        <v>48/18670</v>
      </c>
      <c r="I285" s="3">
        <v>2.4111483235721699E-4</v>
      </c>
      <c r="J285" s="3">
        <v>4.3810483542260099E-3</v>
      </c>
      <c r="K285" s="3" t="str">
        <f>"2247/2260/2263/2627/3479/6909/6910/7049/7472"</f>
        <v>2247/2260/2263/2627/3479/6909/6910/7049/7472</v>
      </c>
    </row>
    <row r="286" spans="1:11">
      <c r="A286" s="3" t="str">
        <f>"GO:0140115"</f>
        <v>GO:0140115</v>
      </c>
      <c r="B286" s="3" t="str">
        <f>"export across plasma membrane"</f>
        <v>export across plasma membrane</v>
      </c>
      <c r="C286" s="6" t="str">
        <f t="shared" si="16"/>
        <v>BP</v>
      </c>
      <c r="D286" s="6">
        <v>9</v>
      </c>
      <c r="E286" s="3">
        <v>0.1875</v>
      </c>
      <c r="F286" s="3">
        <v>5.4361440414482601E-3</v>
      </c>
      <c r="G286" s="3" t="str">
        <f>"9/836"</f>
        <v>9/836</v>
      </c>
      <c r="H286" s="3" t="str">
        <f>"48/18670"</f>
        <v>48/18670</v>
      </c>
      <c r="I286" s="3">
        <v>2.4111483235721699E-4</v>
      </c>
      <c r="J286" s="3">
        <v>4.3810483542260099E-3</v>
      </c>
      <c r="K286" s="3" t="str">
        <f>"196527/477/5348/10008/23630/343450/8787/159371/6546"</f>
        <v>196527/477/5348/10008/23630/343450/8787/159371/6546</v>
      </c>
    </row>
    <row r="287" spans="1:11">
      <c r="A287" s="3" t="str">
        <f>"GO:0007389"</f>
        <v>GO:0007389</v>
      </c>
      <c r="B287" s="3" t="str">
        <f>"pattern specification process"</f>
        <v>pattern specification process</v>
      </c>
      <c r="C287" s="6" t="str">
        <f t="shared" si="16"/>
        <v>BP</v>
      </c>
      <c r="D287" s="6">
        <v>37</v>
      </c>
      <c r="E287" s="3">
        <v>8.2959641255605399E-2</v>
      </c>
      <c r="F287" s="3">
        <v>5.44542858587224E-3</v>
      </c>
      <c r="G287" s="3" t="str">
        <f>"37/836"</f>
        <v>37/836</v>
      </c>
      <c r="H287" s="3" t="str">
        <f>"446/18670"</f>
        <v>446/18670</v>
      </c>
      <c r="I287" s="3">
        <v>2.4263455957396099E-4</v>
      </c>
      <c r="J287" s="3">
        <v>4.3885308708330496E-3</v>
      </c>
      <c r="K287" s="3" t="str">
        <f>"8313/652/653/658/22943/1745/1746/1767/2018/2260/2263/3169/2294/140628/23432/64388/23462/64399/3223/3236/3239/153572/50805/4824/8828/5308/6092/10371/6423/6493/6899/6909/6910/7472/7482/7490/9839"</f>
        <v>8313/652/653/658/22943/1745/1746/1767/2018/2260/2263/3169/2294/140628/23432/64388/23462/64399/3223/3236/3239/153572/50805/4824/8828/5308/6092/10371/6423/6493/6899/6909/6910/7472/7482/7490/9839</v>
      </c>
    </row>
    <row r="288" spans="1:11">
      <c r="A288" s="3" t="str">
        <f>"GO:0005227"</f>
        <v>GO:0005227</v>
      </c>
      <c r="B288" s="3" t="str">
        <f>"calcium activated cation channel activity"</f>
        <v>calcium activated cation channel activity</v>
      </c>
      <c r="C288" s="6" t="str">
        <f>"MF"</f>
        <v>MF</v>
      </c>
      <c r="D288" s="6">
        <v>7</v>
      </c>
      <c r="E288" s="3">
        <v>0.25</v>
      </c>
      <c r="F288" s="3">
        <v>5.4656125404403599E-3</v>
      </c>
      <c r="G288" s="3" t="str">
        <f>"7/813"</f>
        <v>7/813</v>
      </c>
      <c r="H288" s="3" t="str">
        <f>"28/17696"</f>
        <v>28/17696</v>
      </c>
      <c r="I288" s="3">
        <v>2.13552626732712E-4</v>
      </c>
      <c r="J288" s="3">
        <v>4.8681569186108499E-3</v>
      </c>
      <c r="K288" s="3" t="str">
        <f>"196527/3249/3778/3779/3781/3783/54795"</f>
        <v>196527/3249/3778/3779/3781/3783/54795</v>
      </c>
    </row>
    <row r="289" spans="1:11">
      <c r="A289" s="3" t="str">
        <f>"GO:1904064"</f>
        <v>GO:1904064</v>
      </c>
      <c r="B289" s="3" t="str">
        <f>"positive regulation of cation transmembrane transport"</f>
        <v>positive regulation of cation transmembrane transport</v>
      </c>
      <c r="C289" s="6" t="str">
        <f>"BP"</f>
        <v>BP</v>
      </c>
      <c r="D289" s="6">
        <v>17</v>
      </c>
      <c r="E289" s="3">
        <v>0.118055555555556</v>
      </c>
      <c r="F289" s="3">
        <v>5.5344863740212904E-3</v>
      </c>
      <c r="G289" s="3" t="str">
        <f>"17/836"</f>
        <v>17/836</v>
      </c>
      <c r="H289" s="3" t="str">
        <f>"144/18670"</f>
        <v>144/18670</v>
      </c>
      <c r="I289" s="3">
        <v>2.4849845205552397E-4</v>
      </c>
      <c r="J289" s="3">
        <v>4.4603035231444302E-3</v>
      </c>
      <c r="K289" s="3" t="str">
        <f>"287/196527/57214/1908/2259/5348/51083/3747/10008/23630/3779/4842/9104/8787/6262/6769/7220"</f>
        <v>287/196527/57214/1908/2259/5348/51083/3747/10008/23630/3779/4842/9104/8787/6262/6769/7220</v>
      </c>
    </row>
    <row r="290" spans="1:11">
      <c r="A290" s="3" t="str">
        <f>"GO:0098742"</f>
        <v>GO:0098742</v>
      </c>
      <c r="B290" s="3" t="str">
        <f>"cell-cell adhesion via plasma-membrane adhesion molecules"</f>
        <v>cell-cell adhesion via plasma-membrane adhesion molecules</v>
      </c>
      <c r="C290" s="6" t="str">
        <f>"BP"</f>
        <v>BP</v>
      </c>
      <c r="D290" s="6">
        <v>26</v>
      </c>
      <c r="E290" s="3">
        <v>9.5238095238095205E-2</v>
      </c>
      <c r="F290" s="3">
        <v>5.5344863740212904E-3</v>
      </c>
      <c r="G290" s="3" t="str">
        <f>"26/836"</f>
        <v>26/836</v>
      </c>
      <c r="H290" s="3" t="str">
        <f>"273/18670"</f>
        <v>273/18670</v>
      </c>
      <c r="I290" s="3">
        <v>2.4974424776839102E-4</v>
      </c>
      <c r="J290" s="3">
        <v>4.4603035231444302E-3</v>
      </c>
      <c r="K290" s="3" t="str">
        <f>"23284/306/27032/1008/1015/1000/4680/1365/1364/1366/9073/1600/1824/4072/120114/79633/140628/83872/5819/91624/23022/57575/5101/11122/6092/128434"</f>
        <v>23284/306/27032/1008/1015/1000/4680/1365/1364/1366/9073/1600/1824/4072/120114/79633/140628/83872/5819/91624/23022/57575/5101/11122/6092/128434</v>
      </c>
    </row>
    <row r="291" spans="1:11">
      <c r="A291" s="3" t="str">
        <f>"GO:0051952"</f>
        <v>GO:0051952</v>
      </c>
      <c r="B291" s="3" t="str">
        <f>"regulation of amine transport"</f>
        <v>regulation of amine transport</v>
      </c>
      <c r="C291" s="6" t="str">
        <f>"BP"</f>
        <v>BP</v>
      </c>
      <c r="D291" s="6">
        <v>13</v>
      </c>
      <c r="E291" s="3">
        <v>0.13978494623655899</v>
      </c>
      <c r="F291" s="3">
        <v>5.5344863740212904E-3</v>
      </c>
      <c r="G291" s="3" t="str">
        <f>"13/836"</f>
        <v>13/836</v>
      </c>
      <c r="H291" s="3" t="str">
        <f>"93/18670"</f>
        <v>93/18670</v>
      </c>
      <c r="I291" s="3">
        <v>2.4998086979302701E-4</v>
      </c>
      <c r="J291" s="3">
        <v>4.4603035231444302E-3</v>
      </c>
      <c r="K291" s="3" t="str">
        <f>"477/6387/3745/64805/5865/6623/9900/6857/23208/57586/9066/143425/6865"</f>
        <v>477/6387/3745/64805/5865/6623/9900/6857/23208/57586/9066/143425/6865</v>
      </c>
    </row>
    <row r="292" spans="1:11">
      <c r="A292" s="3" t="str">
        <f>"GO:0003002"</f>
        <v>GO:0003002</v>
      </c>
      <c r="B292" s="3" t="str">
        <f>"regionalization"</f>
        <v>regionalization</v>
      </c>
      <c r="C292" s="6" t="str">
        <f>"BP"</f>
        <v>BP</v>
      </c>
      <c r="D292" s="6">
        <v>31</v>
      </c>
      <c r="E292" s="3">
        <v>8.8319088319088301E-2</v>
      </c>
      <c r="F292" s="3">
        <v>5.7153577132605798E-3</v>
      </c>
      <c r="G292" s="3" t="str">
        <f>"31/836"</f>
        <v>31/836</v>
      </c>
      <c r="H292" s="3" t="str">
        <f>"351/18670"</f>
        <v>351/18670</v>
      </c>
      <c r="I292" s="3">
        <v>2.5931327976746901E-4</v>
      </c>
      <c r="J292" s="3">
        <v>4.6060697274721996E-3</v>
      </c>
      <c r="K292" s="3" t="str">
        <f>"8313/652/658/22943/1745/1746/2018/2260/2263/3169/2294/140628/23432/64388/23462/64399/3223/3236/3239/153572/4824/8828/5308/6092/10371/6423/6899/7472/7482/7490/9839"</f>
        <v>8313/652/658/22943/1745/1746/2018/2260/2263/3169/2294/140628/23432/64388/23462/64399/3223/3236/3239/153572/4824/8828/5308/6092/10371/6423/6899/7472/7482/7490/9839</v>
      </c>
    </row>
    <row r="293" spans="1:11">
      <c r="A293" s="3" t="str">
        <f>"GO:0016324"</f>
        <v>GO:0016324</v>
      </c>
      <c r="B293" s="3" t="str">
        <f>"apical plasma membrane"</f>
        <v>apical plasma membrane</v>
      </c>
      <c r="C293" s="6" t="str">
        <f>"CC"</f>
        <v>CC</v>
      </c>
      <c r="D293" s="6">
        <v>28</v>
      </c>
      <c r="E293" s="3">
        <v>8.8050314465408799E-2</v>
      </c>
      <c r="F293" s="3">
        <v>5.9150767255148704E-3</v>
      </c>
      <c r="G293" s="3" t="str">
        <f>"28/873"</f>
        <v>28/873</v>
      </c>
      <c r="H293" s="3" t="str">
        <f>"318/19717"</f>
        <v>318/19717</v>
      </c>
      <c r="I293" s="3">
        <v>4.47358743946503E-4</v>
      </c>
      <c r="J293" s="3">
        <v>4.64363608482481E-3</v>
      </c>
      <c r="K293" s="3" t="str">
        <f>"287/684/146894/1000/4680/1364/4921/1803/84417/2028/4072/2065/5348/338328/3249/3747/3778/4118/114569/23209/5337/64284/9750/6573/5172/80736/133308/23043"</f>
        <v>287/684/146894/1000/4680/1364/4921/1803/84417/2028/4072/2065/5348/338328/3249/3747/3778/4118/114569/23209/5337/64284/9750/6573/5172/80736/133308/23043</v>
      </c>
    </row>
    <row r="294" spans="1:11">
      <c r="A294" s="3" t="str">
        <f>"GO:0007605"</f>
        <v>GO:0007605</v>
      </c>
      <c r="B294" s="3" t="str">
        <f>"sensory perception of sound"</f>
        <v>sensory perception of sound</v>
      </c>
      <c r="C294" s="6" t="str">
        <f>"BP"</f>
        <v>BP</v>
      </c>
      <c r="D294" s="6">
        <v>17</v>
      </c>
      <c r="E294" s="3">
        <v>0.11724137931034501</v>
      </c>
      <c r="F294" s="3">
        <v>5.9248107250587699E-3</v>
      </c>
      <c r="G294" s="3" t="str">
        <f>"17/836"</f>
        <v>17/836</v>
      </c>
      <c r="H294" s="3" t="str">
        <f>"145/18670"</f>
        <v>145/18670</v>
      </c>
      <c r="I294" s="3">
        <v>2.70021892657816E-4</v>
      </c>
      <c r="J294" s="3">
        <v>4.7748702165007501E-3</v>
      </c>
      <c r="K294" s="3" t="str">
        <f>"84059/57214/1280/2260/2562/2706/9455/3249/4646/9750/5172/84189/6591/84530/6907/6899/259236"</f>
        <v>84059/57214/1280/2260/2562/2706/9455/3249/4646/9750/5172/84189/6591/84530/6907/6899/259236</v>
      </c>
    </row>
    <row r="295" spans="1:11">
      <c r="A295" s="3" t="str">
        <f>"GO:0055117"</f>
        <v>GO:0055117</v>
      </c>
      <c r="B295" s="3" t="str">
        <f>"regulation of cardiac muscle contraction"</f>
        <v>regulation of cardiac muscle contraction</v>
      </c>
      <c r="C295" s="6" t="str">
        <f>"BP"</f>
        <v>BP</v>
      </c>
      <c r="D295" s="6">
        <v>12</v>
      </c>
      <c r="E295" s="3">
        <v>0.146341463414634</v>
      </c>
      <c r="F295" s="3">
        <v>6.0645219763135801E-3</v>
      </c>
      <c r="G295" s="3" t="str">
        <f>"12/836"</f>
        <v>12/836</v>
      </c>
      <c r="H295" s="3" t="str">
        <f>"82/18670"</f>
        <v>82/18670</v>
      </c>
      <c r="I295" s="3">
        <v>2.7762308131649098E-4</v>
      </c>
      <c r="J295" s="3">
        <v>4.8874650526033103E-3</v>
      </c>
      <c r="K295" s="3" t="str">
        <f>"148/287/477/857/1824/10008/4842/8654/5350/6262/6546/54795"</f>
        <v>148/287/477/857/1824/10008/4842/8654/5350/6262/6546/54795</v>
      </c>
    </row>
    <row r="296" spans="1:11">
      <c r="A296" s="3" t="str">
        <f>"GO:0030501"</f>
        <v>GO:0030501</v>
      </c>
      <c r="B296" s="3" t="str">
        <f>"positive regulation of bone mineralization"</f>
        <v>positive regulation of bone mineralization</v>
      </c>
      <c r="C296" s="6" t="str">
        <f>"BP"</f>
        <v>BP</v>
      </c>
      <c r="D296" s="6">
        <v>8</v>
      </c>
      <c r="E296" s="3">
        <v>0.20512820512820501</v>
      </c>
      <c r="F296" s="3">
        <v>6.0735988065213501E-3</v>
      </c>
      <c r="G296" s="3" t="str">
        <f>"8/836"</f>
        <v>8/836</v>
      </c>
      <c r="H296" s="3" t="str">
        <f>"39/18670"</f>
        <v>39/18670</v>
      </c>
      <c r="I296" s="3">
        <v>2.7927432965896802E-4</v>
      </c>
      <c r="J296" s="3">
        <v>4.8947801700358401E-3</v>
      </c>
      <c r="K296" s="3" t="str">
        <f>"84059/196527/652/658/2824/116039/6546/7043"</f>
        <v>84059/196527/652/658/2824/116039/6546/7043</v>
      </c>
    </row>
    <row r="297" spans="1:11">
      <c r="A297" s="3" t="str">
        <f>"GO:0010975"</f>
        <v>GO:0010975</v>
      </c>
      <c r="B297" s="3" t="str">
        <f>"regulation of neuron projection development"</f>
        <v>regulation of neuron projection development</v>
      </c>
      <c r="C297" s="6" t="str">
        <f>"BP"</f>
        <v>BP</v>
      </c>
      <c r="D297" s="6">
        <v>40</v>
      </c>
      <c r="E297" s="3">
        <v>8.0160320641282604E-2</v>
      </c>
      <c r="F297" s="3">
        <v>6.0891759070279697E-3</v>
      </c>
      <c r="G297" s="3" t="str">
        <f>"40/836"</f>
        <v>40/836</v>
      </c>
      <c r="H297" s="3" t="str">
        <f>"499/18670"</f>
        <v>499/18670</v>
      </c>
      <c r="I297" s="3">
        <v>2.8122948746599202E-4</v>
      </c>
      <c r="J297" s="3">
        <v>4.9073339268932304E-3</v>
      </c>
      <c r="K297" s="3" t="str">
        <f>"627/653/1000/1123/1272/57699/6387/1600/22943/1808/2042/2045/9638/2260/2288/2672/6453/57554/4131/4168/79625/23327/257194/4914/4916/10611/10769/5376/55607/5753/64284/6092/10371/9723/80031/6423/11075/6857/23043/9839"</f>
        <v>627/653/1000/1123/1272/57699/6387/1600/22943/1808/2042/2045/9638/2260/2288/2672/6453/57554/4131/4168/79625/23327/257194/4914/4916/10611/10769/5376/55607/5753/64284/6092/10371/9723/80031/6423/11075/6857/23043/9839</v>
      </c>
    </row>
    <row r="298" spans="1:11">
      <c r="A298" s="3" t="str">
        <f>"GO:0015077"</f>
        <v>GO:0015077</v>
      </c>
      <c r="B298" s="3" t="str">
        <f>"monovalent inorganic cation transmembrane transporter activity"</f>
        <v>monovalent inorganic cation transmembrane transporter activity</v>
      </c>
      <c r="C298" s="6" t="str">
        <f>"MF"</f>
        <v>MF</v>
      </c>
      <c r="D298" s="6">
        <v>34</v>
      </c>
      <c r="E298" s="3">
        <v>8.7628865979381396E-2</v>
      </c>
      <c r="F298" s="3">
        <v>6.1336904285349001E-3</v>
      </c>
      <c r="G298" s="3" t="str">
        <f>"34/813"</f>
        <v>34/813</v>
      </c>
      <c r="H298" s="3" t="str">
        <f>"388/17696"</f>
        <v>388/17696</v>
      </c>
      <c r="I298" s="3">
        <v>2.4714503558199199E-4</v>
      </c>
      <c r="J298" s="3">
        <v>5.4632060497071897E-3</v>
      </c>
      <c r="K298" s="3" t="str">
        <f>"477/27032/84419/2897/3249/7881/3745/3747/3750/10008/23630/30818/3772/3760/3764/3778/3779/3781/3783/3785/56479/343450/113655/6332/201780/64849/57419/51151/85414/8671/11254/6546/84679/133308"</f>
        <v>477/27032/84419/2897/3249/7881/3745/3747/3750/10008/23630/30818/3772/3760/3764/3778/3779/3781/3783/3785/56479/343450/113655/6332/201780/64849/57419/51151/85414/8671/11254/6546/84679/133308</v>
      </c>
    </row>
    <row r="299" spans="1:11">
      <c r="A299" s="3" t="str">
        <f>"GO:0061037"</f>
        <v>GO:0061037</v>
      </c>
      <c r="B299" s="3" t="str">
        <f>"negative regulation of cartilage development"</f>
        <v>negative regulation of cartilage development</v>
      </c>
      <c r="C299" s="6" t="str">
        <f>"BP"</f>
        <v>BP</v>
      </c>
      <c r="D299" s="6">
        <v>7</v>
      </c>
      <c r="E299" s="3">
        <v>0.233333333333333</v>
      </c>
      <c r="F299" s="3">
        <v>6.2534181356359896E-3</v>
      </c>
      <c r="G299" s="3" t="str">
        <f>"7/836"</f>
        <v>7/836</v>
      </c>
      <c r="H299" s="3" t="str">
        <f>"30/18670"</f>
        <v>30/18670</v>
      </c>
      <c r="I299" s="3">
        <v>2.9008735196846502E-4</v>
      </c>
      <c r="J299" s="3">
        <v>5.0396985478177898E-3</v>
      </c>
      <c r="K299" s="3" t="str">
        <f>"81792/652/2202/2487/5744/6591/7481"</f>
        <v>81792/652/2202/2487/5744/6591/7481</v>
      </c>
    </row>
    <row r="300" spans="1:11">
      <c r="A300" s="3" t="str">
        <f>"GO:0050673"</f>
        <v>GO:0050673</v>
      </c>
      <c r="B300" s="3" t="str">
        <f>"epithelial cell proliferation"</f>
        <v>epithelial cell proliferation</v>
      </c>
      <c r="C300" s="6" t="str">
        <f>"BP"</f>
        <v>BP</v>
      </c>
      <c r="D300" s="6">
        <v>36</v>
      </c>
      <c r="E300" s="3">
        <v>8.2949308755760398E-2</v>
      </c>
      <c r="F300" s="3">
        <v>6.3012637614039101E-3</v>
      </c>
      <c r="G300" s="3" t="str">
        <f>"36/836"</f>
        <v>36/836</v>
      </c>
      <c r="H300" s="3" t="str">
        <f>"434/18670"</f>
        <v>434/18670</v>
      </c>
      <c r="I300" s="3">
        <v>2.9358889142654999E-4</v>
      </c>
      <c r="J300" s="3">
        <v>5.0782578645741597E-3</v>
      </c>
      <c r="K300" s="3" t="str">
        <f>"652/653/857/858/6387/1910/2247/2252/2260/2263/8324/3249/3479/3676/3912/8549/4323/4824/8013/8828/81285/116039/5228/5241/5468/5578/9104/6423/6591/6678/4070/6899/7049/7060/58189/7472"</f>
        <v>652/653/857/858/6387/1910/2247/2252/2260/2263/8324/3249/3479/3676/3912/8549/4323/4824/8013/8828/81285/116039/5228/5241/5468/5578/9104/6423/6591/6678/4070/6899/7049/7060/58189/7472</v>
      </c>
    </row>
    <row r="301" spans="1:11">
      <c r="A301" s="3" t="str">
        <f>"GO:0072089"</f>
        <v>GO:0072089</v>
      </c>
      <c r="B301" s="3" t="str">
        <f>"stem cell proliferation"</f>
        <v>stem cell proliferation</v>
      </c>
      <c r="C301" s="6" t="str">
        <f>"BP"</f>
        <v>BP</v>
      </c>
      <c r="D301" s="6">
        <v>15</v>
      </c>
      <c r="E301" s="3">
        <v>0.125</v>
      </c>
      <c r="F301" s="3">
        <v>6.4894372980661297E-3</v>
      </c>
      <c r="G301" s="3" t="str">
        <f>"15/836"</f>
        <v>15/836</v>
      </c>
      <c r="H301" s="3" t="str">
        <f>"120/18670"</f>
        <v>120/18670</v>
      </c>
      <c r="I301" s="3">
        <v>3.0367661822079499E-4</v>
      </c>
      <c r="J301" s="3">
        <v>5.22990899022816E-3</v>
      </c>
      <c r="K301" s="3" t="str">
        <f>"1524/4072/2192/2247/2260/2263/64399/8091/3400/4254/6423/6591/6660/407738/7482"</f>
        <v>1524/4072/2192/2247/2260/2263/64399/8091/3400/4254/6423/6591/6660/407738/7482</v>
      </c>
    </row>
    <row r="302" spans="1:11">
      <c r="A302" s="3" t="str">
        <f>"GO:0090287"</f>
        <v>GO:0090287</v>
      </c>
      <c r="B302" s="3" t="str">
        <f>"regulation of cellular response to growth factor stimulus"</f>
        <v>regulation of cellular response to growth factor stimulus</v>
      </c>
      <c r="C302" s="6" t="str">
        <f>"BP"</f>
        <v>BP</v>
      </c>
      <c r="D302" s="6">
        <v>27</v>
      </c>
      <c r="E302" s="3">
        <v>9.2465753424657501E-2</v>
      </c>
      <c r="F302" s="3">
        <v>6.5586923304320503E-3</v>
      </c>
      <c r="G302" s="3" t="str">
        <f>"27/836"</f>
        <v>27/836</v>
      </c>
      <c r="H302" s="3" t="str">
        <f>"292/18670"</f>
        <v>292/18670</v>
      </c>
      <c r="I302" s="3">
        <v>3.0825186741196398E-4</v>
      </c>
      <c r="J302" s="3">
        <v>5.2857223835553503E-3</v>
      </c>
      <c r="K302" s="3" t="str">
        <f>"81792/54829/652/857/858/91851/10563/1634/22943/27122/1745/2200/2247/2260/64388/64399/8516/8425/93649/4916/9480/5579/348093/494470/6423/7043/7049"</f>
        <v>81792/54829/652/857/858/91851/10563/1634/22943/27122/1745/2200/2247/2260/64388/64399/8516/8425/93649/4916/9480/5579/348093/494470/6423/7043/7049</v>
      </c>
    </row>
    <row r="303" spans="1:11">
      <c r="A303" s="3" t="str">
        <f>"GO:0055006"</f>
        <v>GO:0055006</v>
      </c>
      <c r="B303" s="3" t="str">
        <f>"cardiac cell development"</f>
        <v>cardiac cell development</v>
      </c>
      <c r="C303" s="6" t="str">
        <f>"BP"</f>
        <v>BP</v>
      </c>
      <c r="D303" s="6">
        <v>13</v>
      </c>
      <c r="E303" s="3">
        <v>0.13684210526315799</v>
      </c>
      <c r="F303" s="3">
        <v>6.55892494414239E-3</v>
      </c>
      <c r="G303" s="3" t="str">
        <f>"13/836"</f>
        <v>13/836</v>
      </c>
      <c r="H303" s="3" t="str">
        <f>"95/18670"</f>
        <v>95/18670</v>
      </c>
      <c r="I303" s="3">
        <v>3.0959727101546999E-4</v>
      </c>
      <c r="J303" s="3">
        <v>5.2859098495064098E-3</v>
      </c>
      <c r="K303" s="3" t="str">
        <f>"70/148/57538/652/80206/3479/4629/4624/10611/6443/6444/6546/7049"</f>
        <v>70/148/57538/652/80206/3479/4629/4624/10611/6443/6444/6546/7049</v>
      </c>
    </row>
    <row r="304" spans="1:11">
      <c r="A304" s="3" t="str">
        <f>"GO:0016504"</f>
        <v>GO:0016504</v>
      </c>
      <c r="B304" s="3" t="str">
        <f>"peptidase activator activity"</f>
        <v>peptidase activator activity</v>
      </c>
      <c r="C304" s="6" t="str">
        <f>"MF"</f>
        <v>MF</v>
      </c>
      <c r="D304" s="6">
        <v>8</v>
      </c>
      <c r="E304" s="3">
        <v>0.21052631578947401</v>
      </c>
      <c r="F304" s="3">
        <v>6.61609463125789E-3</v>
      </c>
      <c r="G304" s="3" t="str">
        <f>"8/813"</f>
        <v>8/813</v>
      </c>
      <c r="H304" s="3" t="str">
        <f>"38/17696"</f>
        <v>38/17696</v>
      </c>
      <c r="I304" s="3">
        <v>2.7466082718286699E-4</v>
      </c>
      <c r="J304" s="3">
        <v>5.8928778092175596E-3</v>
      </c>
      <c r="K304" s="3" t="str">
        <f>"857/2192/4118/4824/22861/91662/5118/6423"</f>
        <v>857/2192/4118/4824/22861/91662/5118/6423</v>
      </c>
    </row>
    <row r="305" spans="1:11">
      <c r="A305" s="3" t="str">
        <f>"GO:0046883"</f>
        <v>GO:0046883</v>
      </c>
      <c r="B305" s="3" t="str">
        <f>"regulation of hormone secretion"</f>
        <v>regulation of hormone secretion</v>
      </c>
      <c r="C305" s="6" t="str">
        <f t="shared" ref="C305:C319" si="17">"BP"</f>
        <v>BP</v>
      </c>
      <c r="D305" s="6">
        <v>25</v>
      </c>
      <c r="E305" s="3">
        <v>9.5419847328244295E-2</v>
      </c>
      <c r="F305" s="3">
        <v>6.6367898624174904E-3</v>
      </c>
      <c r="G305" s="3" t="str">
        <f>"25/836"</f>
        <v>25/836</v>
      </c>
      <c r="H305" s="3" t="str">
        <f>"262/18670"</f>
        <v>262/18670</v>
      </c>
      <c r="I305" s="3">
        <v>3.1659550328754101E-4</v>
      </c>
      <c r="J305" s="3">
        <v>5.3486620447131799E-3</v>
      </c>
      <c r="K305" s="3" t="str">
        <f>"114897/773/1803/1908/131177/2867/2260/51083/2587/2645/3382/286676/6453/3745/3747/4824/5578/5950/133308/9066/143425/6863/6865/54795/7447"</f>
        <v>114897/773/1803/1908/131177/2867/2260/51083/2587/2645/3382/286676/6453/3745/3747/4824/5578/5950/133308/9066/143425/6863/6865/54795/7447</v>
      </c>
    </row>
    <row r="306" spans="1:11">
      <c r="A306" s="3" t="str">
        <f>"GO:0048880"</f>
        <v>GO:0048880</v>
      </c>
      <c r="B306" s="3" t="str">
        <f>"sensory system development"</f>
        <v>sensory system development</v>
      </c>
      <c r="C306" s="6" t="str">
        <f t="shared" si="17"/>
        <v>BP</v>
      </c>
      <c r="D306" s="6">
        <v>32</v>
      </c>
      <c r="E306" s="3">
        <v>8.6253369272237201E-2</v>
      </c>
      <c r="F306" s="3">
        <v>6.6367898624174904E-3</v>
      </c>
      <c r="G306" s="3" t="str">
        <f>"32/836"</f>
        <v>32/836</v>
      </c>
      <c r="H306" s="3" t="str">
        <f>"371/18670"</f>
        <v>371/18670</v>
      </c>
      <c r="I306" s="3">
        <v>3.1692584891414798E-4</v>
      </c>
      <c r="J306" s="3">
        <v>5.3486620447131799E-3</v>
      </c>
      <c r="K306" s="3" t="str">
        <f>"170692/652/658/56853/91851/1290/1410/1745/1746/2202/2047/2200/2295/2823/4693/4916/116039/64805/5308/5950/57381/10371/285590/80736/23657/84189/64093/6909/7472/7482/7490/9839"</f>
        <v>170692/652/658/56853/91851/1290/1410/1745/1746/2202/2047/2200/2295/2823/4693/4916/116039/64805/5308/5950/57381/10371/285590/80736/23657/84189/64093/6909/7472/7482/7490/9839</v>
      </c>
    </row>
    <row r="307" spans="1:11">
      <c r="A307" s="3" t="str">
        <f>"GO:0030278"</f>
        <v>GO:0030278</v>
      </c>
      <c r="B307" s="3" t="str">
        <f>"regulation of ossification"</f>
        <v>regulation of ossification</v>
      </c>
      <c r="C307" s="6" t="str">
        <f t="shared" si="17"/>
        <v>BP</v>
      </c>
      <c r="D307" s="6">
        <v>21</v>
      </c>
      <c r="E307" s="3">
        <v>0.10344827586206901</v>
      </c>
      <c r="F307" s="3">
        <v>6.6367898624174904E-3</v>
      </c>
      <c r="G307" s="3" t="str">
        <f>"21/836"</f>
        <v>21/836</v>
      </c>
      <c r="H307" s="3" t="str">
        <f>"203/18670"</f>
        <v>203/18670</v>
      </c>
      <c r="I307" s="3">
        <v>3.1849064182031602E-4</v>
      </c>
      <c r="J307" s="3">
        <v>5.3486620447131799E-3</v>
      </c>
      <c r="K307" s="3" t="str">
        <f>"84059/196527/8313/652/658/4921/22943/2263/2662/2824/3479/4880/116039/6423/6546/64093/6591/6863/7043/54795/117581"</f>
        <v>84059/196527/8313/652/658/4921/22943/2263/2662/2824/3479/4880/116039/6423/6546/64093/6591/6863/7043/54795/117581</v>
      </c>
    </row>
    <row r="308" spans="1:11">
      <c r="A308" s="3" t="str">
        <f>"GO:0033622"</f>
        <v>GO:0033622</v>
      </c>
      <c r="B308" s="3" t="str">
        <f>"integrin activation"</f>
        <v>integrin activation</v>
      </c>
      <c r="C308" s="6" t="str">
        <f t="shared" si="17"/>
        <v>BP</v>
      </c>
      <c r="D308" s="6">
        <v>6</v>
      </c>
      <c r="E308" s="3">
        <v>0.27272727272727298</v>
      </c>
      <c r="F308" s="3">
        <v>6.6367898624174904E-3</v>
      </c>
      <c r="G308" s="3" t="str">
        <f>"6/836"</f>
        <v>6/836</v>
      </c>
      <c r="H308" s="3" t="str">
        <f>"22/18670"</f>
        <v>22/18670</v>
      </c>
      <c r="I308" s="3">
        <v>3.1867393845992398E-4</v>
      </c>
      <c r="J308" s="3">
        <v>5.3486620447131799E-3</v>
      </c>
      <c r="K308" s="3" t="str">
        <f>"1015/1307/6387/10563/10979/64805"</f>
        <v>1015/1307/6387/10563/10979/64805</v>
      </c>
    </row>
    <row r="309" spans="1:11">
      <c r="A309" s="3" t="str">
        <f>"GO:0006814"</f>
        <v>GO:0006814</v>
      </c>
      <c r="B309" s="3" t="str">
        <f>"sodium ion transport"</f>
        <v>sodium ion transport</v>
      </c>
      <c r="C309" s="6" t="str">
        <f t="shared" si="17"/>
        <v>BP</v>
      </c>
      <c r="D309" s="6">
        <v>22</v>
      </c>
      <c r="E309" s="3">
        <v>0.100917431192661</v>
      </c>
      <c r="F309" s="3">
        <v>6.7831595070428899E-3</v>
      </c>
      <c r="G309" s="3" t="str">
        <f>"22/836"</f>
        <v>22/836</v>
      </c>
      <c r="H309" s="3" t="str">
        <f>"218/18670"</f>
        <v>218/18670</v>
      </c>
      <c r="I309" s="3">
        <v>3.2856397972401901E-4</v>
      </c>
      <c r="J309" s="3">
        <v>5.4666229533656199E-3</v>
      </c>
      <c r="K309" s="3" t="str">
        <f>"196527/477/1272/5348/53826/23327/79570/4842/5652/6332/5270/201780/64849/57419/151258/55089/8671/6546/84679/133308/7871/54795"</f>
        <v>196527/477/1272/5348/53826/23327/79570/4842/5652/6332/5270/201780/64849/57419/151258/55089/8671/6546/84679/133308/7871/54795</v>
      </c>
    </row>
    <row r="310" spans="1:11">
      <c r="A310" s="3" t="str">
        <f>"GO:0001822"</f>
        <v>GO:0001822</v>
      </c>
      <c r="B310" s="3" t="str">
        <f>"kidney development"</f>
        <v>kidney development</v>
      </c>
      <c r="C310" s="6" t="str">
        <f t="shared" si="17"/>
        <v>BP</v>
      </c>
      <c r="D310" s="6">
        <v>26</v>
      </c>
      <c r="E310" s="3">
        <v>9.3525179856115095E-2</v>
      </c>
      <c r="F310" s="3">
        <v>6.7831595070428899E-3</v>
      </c>
      <c r="G310" s="3" t="str">
        <f>"26/836"</f>
        <v>26/836</v>
      </c>
      <c r="H310" s="3" t="str">
        <f>"278/18670"</f>
        <v>278/18670</v>
      </c>
      <c r="I310" s="3">
        <v>3.3156148638889202E-4</v>
      </c>
      <c r="J310" s="3">
        <v>5.4666229533656199E-3</v>
      </c>
      <c r="K310" s="3" t="str">
        <f>"284/652/1634/2028/4072/2045/79633/2200/2247/2260/2263/2650/153572/8516/55083/4811/4824/116039/5228/9104/6092/4070/6943/7481/7482/7490"</f>
        <v>284/652/1634/2028/4072/2045/79633/2200/2247/2260/2263/2650/153572/8516/55083/4811/4824/116039/5228/9104/6092/4070/6943/7481/7482/7490</v>
      </c>
    </row>
    <row r="311" spans="1:11">
      <c r="A311" s="3" t="str">
        <f>"GO:0060425"</f>
        <v>GO:0060425</v>
      </c>
      <c r="B311" s="3" t="str">
        <f>"lung morphogenesis"</f>
        <v>lung morphogenesis</v>
      </c>
      <c r="C311" s="6" t="str">
        <f t="shared" si="17"/>
        <v>BP</v>
      </c>
      <c r="D311" s="6">
        <v>9</v>
      </c>
      <c r="E311" s="3">
        <v>0.18</v>
      </c>
      <c r="F311" s="3">
        <v>6.7831595070428899E-3</v>
      </c>
      <c r="G311" s="3" t="str">
        <f>"9/836"</f>
        <v>9/836</v>
      </c>
      <c r="H311" s="3" t="str">
        <f>"50/18670"</f>
        <v>50/18670</v>
      </c>
      <c r="I311" s="3">
        <v>3.3250770832167497E-4</v>
      </c>
      <c r="J311" s="3">
        <v>5.4666229533656199E-3</v>
      </c>
      <c r="K311" s="3" t="str">
        <f>"652/2252/2263/3169/2294/64399/6943/7472/7482"</f>
        <v>652/2252/2263/3169/2294/64399/6943/7472/7482</v>
      </c>
    </row>
    <row r="312" spans="1:11">
      <c r="A312" s="3" t="str">
        <f>"GO:0086009"</f>
        <v>GO:0086009</v>
      </c>
      <c r="B312" s="3" t="str">
        <f>"membrane repolarization"</f>
        <v>membrane repolarization</v>
      </c>
      <c r="C312" s="6" t="str">
        <f t="shared" si="17"/>
        <v>BP</v>
      </c>
      <c r="D312" s="6">
        <v>9</v>
      </c>
      <c r="E312" s="3">
        <v>0.18</v>
      </c>
      <c r="F312" s="3">
        <v>6.7831595070428899E-3</v>
      </c>
      <c r="G312" s="3" t="str">
        <f>"9/836"</f>
        <v>9/836</v>
      </c>
      <c r="H312" s="3" t="str">
        <f>"50/18670"</f>
        <v>50/18670</v>
      </c>
      <c r="I312" s="3">
        <v>3.3250770832167497E-4</v>
      </c>
      <c r="J312" s="3">
        <v>5.4666229533656199E-3</v>
      </c>
      <c r="K312" s="3" t="str">
        <f>"287/477/857/10008/23630/3760/3764/3781/23327"</f>
        <v>287/477/857/10008/23630/3760/3764/3781/23327</v>
      </c>
    </row>
    <row r="313" spans="1:11">
      <c r="A313" s="3" t="str">
        <f>"GO:0010811"</f>
        <v>GO:0010811</v>
      </c>
      <c r="B313" s="3" t="str">
        <f>"positive regulation of cell-substrate adhesion"</f>
        <v>positive regulation of cell-substrate adhesion</v>
      </c>
      <c r="C313" s="6" t="str">
        <f t="shared" si="17"/>
        <v>BP</v>
      </c>
      <c r="D313" s="6">
        <v>15</v>
      </c>
      <c r="E313" s="3">
        <v>0.12396694214876</v>
      </c>
      <c r="F313" s="3">
        <v>6.7831595070428899E-3</v>
      </c>
      <c r="G313" s="3" t="str">
        <f>"15/836"</f>
        <v>15/836</v>
      </c>
      <c r="H313" s="3" t="str">
        <f>"121/18670"</f>
        <v>121/18670</v>
      </c>
      <c r="I313" s="3">
        <v>3.32602531271076E-4</v>
      </c>
      <c r="J313" s="3">
        <v>5.4666229533656199E-3</v>
      </c>
      <c r="K313" s="3" t="str">
        <f>"25890/10551/151887/6366/4680/1307/10085/25975/133584/2199/2294/79625/4811/5881/5212"</f>
        <v>25890/10551/151887/6366/4680/1307/10085/25975/133584/2199/2294/79625/4811/5881/5212</v>
      </c>
    </row>
    <row r="314" spans="1:11">
      <c r="A314" s="3" t="str">
        <f>"GO:0034764"</f>
        <v>GO:0034764</v>
      </c>
      <c r="B314" s="3" t="str">
        <f>"positive regulation of transmembrane transport"</f>
        <v>positive regulation of transmembrane transport</v>
      </c>
      <c r="C314" s="6" t="str">
        <f t="shared" si="17"/>
        <v>BP</v>
      </c>
      <c r="D314" s="6">
        <v>21</v>
      </c>
      <c r="E314" s="3">
        <v>0.10294117647058799</v>
      </c>
      <c r="F314" s="3">
        <v>6.9144328202234203E-3</v>
      </c>
      <c r="G314" s="3" t="str">
        <f>"21/836"</f>
        <v>21/836</v>
      </c>
      <c r="H314" s="3" t="str">
        <f>"204/18670"</f>
        <v>204/18670</v>
      </c>
      <c r="I314" s="3">
        <v>3.40446132755659E-4</v>
      </c>
      <c r="J314" s="3">
        <v>5.5724175622424797E-3</v>
      </c>
      <c r="K314" s="3" t="str">
        <f>"287/196527/114898/57214/25999/1908/2259/5348/51083/3479/3747/10008/23630/3779/4842/8013/9104/8787/6262/6769/7220"</f>
        <v>287/196527/114898/57214/25999/1908/2259/5348/51083/3479/3747/10008/23630/3779/4842/8013/9104/8787/6262/6769/7220</v>
      </c>
    </row>
    <row r="315" spans="1:11">
      <c r="A315" s="3" t="str">
        <f>"GO:0042490"</f>
        <v>GO:0042490</v>
      </c>
      <c r="B315" s="3" t="str">
        <f>"mechanoreceptor differentiation"</f>
        <v>mechanoreceptor differentiation</v>
      </c>
      <c r="C315" s="6" t="str">
        <f t="shared" si="17"/>
        <v>BP</v>
      </c>
      <c r="D315" s="6">
        <v>10</v>
      </c>
      <c r="E315" s="3">
        <v>0.16393442622950799</v>
      </c>
      <c r="F315" s="3">
        <v>7.0000838880016503E-3</v>
      </c>
      <c r="G315" s="3" t="str">
        <f>"10/836"</f>
        <v>10/836</v>
      </c>
      <c r="H315" s="3" t="str">
        <f>"61/18670"</f>
        <v>61/18670</v>
      </c>
      <c r="I315" s="3">
        <v>3.47857726317365E-4</v>
      </c>
      <c r="J315" s="3">
        <v>5.64144470108694E-3</v>
      </c>
      <c r="K315" s="3" t="str">
        <f>"84059/652/79633/2260/2562/4914/4916/9750/80736/84189"</f>
        <v>84059/652/79633/2260/2562/4914/4916/9750/80736/84189</v>
      </c>
    </row>
    <row r="316" spans="1:11">
      <c r="A316" s="3" t="str">
        <f>"GO:0050886"</f>
        <v>GO:0050886</v>
      </c>
      <c r="B316" s="3" t="str">
        <f>"endocrine process"</f>
        <v>endocrine process</v>
      </c>
      <c r="C316" s="6" t="str">
        <f t="shared" si="17"/>
        <v>BP</v>
      </c>
      <c r="D316" s="6">
        <v>12</v>
      </c>
      <c r="E316" s="3">
        <v>0.14285714285714299</v>
      </c>
      <c r="F316" s="3">
        <v>7.0000838880016503E-3</v>
      </c>
      <c r="G316" s="3" t="str">
        <f>"12/836"</f>
        <v>12/836</v>
      </c>
      <c r="H316" s="3" t="str">
        <f>"84/18670"</f>
        <v>84/18670</v>
      </c>
      <c r="I316" s="3">
        <v>3.48936022901405E-4</v>
      </c>
      <c r="J316" s="3">
        <v>5.64144470108694E-3</v>
      </c>
      <c r="K316" s="3" t="str">
        <f>"114897/1066/1359/1908/2028/2260/51083/2587/4824/81285/6863/6865"</f>
        <v>114897/1066/1359/1908/2028/2260/51083/2587/4824/81285/6863/6865</v>
      </c>
    </row>
    <row r="317" spans="1:11">
      <c r="A317" s="3" t="str">
        <f>"GO:0060420"</f>
        <v>GO:0060420</v>
      </c>
      <c r="B317" s="3" t="str">
        <f>"regulation of heart growth"</f>
        <v>regulation of heart growth</v>
      </c>
      <c r="C317" s="6" t="str">
        <f t="shared" si="17"/>
        <v>BP</v>
      </c>
      <c r="D317" s="6">
        <v>12</v>
      </c>
      <c r="E317" s="3">
        <v>0.14285714285714299</v>
      </c>
      <c r="F317" s="3">
        <v>7.0000838880016503E-3</v>
      </c>
      <c r="G317" s="3" t="str">
        <f>"12/836"</f>
        <v>12/836</v>
      </c>
      <c r="H317" s="3" t="str">
        <f>"84/18670"</f>
        <v>84/18670</v>
      </c>
      <c r="I317" s="3">
        <v>3.48936022901405E-4</v>
      </c>
      <c r="J317" s="3">
        <v>5.64144470108694E-3</v>
      </c>
      <c r="K317" s="3" t="str">
        <f>"2247/2260/2263/2627/3479/4624/5950/6909/6910/7049/7472/7490"</f>
        <v>2247/2260/2263/2627/3479/4624/5950/6909/6910/7049/7472/7490</v>
      </c>
    </row>
    <row r="318" spans="1:11">
      <c r="A318" s="3" t="str">
        <f>"GO:0051149"</f>
        <v>GO:0051149</v>
      </c>
      <c r="B318" s="3" t="str">
        <f>"positive regulation of muscle cell differentiation"</f>
        <v>positive regulation of muscle cell differentiation</v>
      </c>
      <c r="C318" s="6" t="str">
        <f t="shared" si="17"/>
        <v>BP</v>
      </c>
      <c r="D318" s="6">
        <v>14</v>
      </c>
      <c r="E318" s="3">
        <v>0.12844036697247699</v>
      </c>
      <c r="F318" s="3">
        <v>7.1960984345273401E-3</v>
      </c>
      <c r="G318" s="3" t="str">
        <f>"14/836"</f>
        <v>14/836</v>
      </c>
      <c r="H318" s="3" t="str">
        <f>"109/18670"</f>
        <v>109/18670</v>
      </c>
      <c r="I318" s="3">
        <v>3.6017094911367702E-4</v>
      </c>
      <c r="J318" s="3">
        <v>5.7994149829472298E-3</v>
      </c>
      <c r="K318" s="3" t="str">
        <f>"652/663/1000/30846/2323/9518/3479/4323/93649/341676/3084/9750/92304/6899"</f>
        <v>652/663/1000/30846/2323/9518/3479/4323/93649/341676/3084/9750/92304/6899</v>
      </c>
    </row>
    <row r="319" spans="1:11">
      <c r="A319" s="3" t="str">
        <f>"GO:0003128"</f>
        <v>GO:0003128</v>
      </c>
      <c r="B319" s="3" t="str">
        <f>"heart field specification"</f>
        <v>heart field specification</v>
      </c>
      <c r="C319" s="6" t="str">
        <f t="shared" si="17"/>
        <v>BP</v>
      </c>
      <c r="D319" s="6">
        <v>5</v>
      </c>
      <c r="E319" s="3">
        <v>0.33333333333333298</v>
      </c>
      <c r="F319" s="3">
        <v>7.3002411879891102E-3</v>
      </c>
      <c r="G319" s="3" t="str">
        <f>"5/836"</f>
        <v>5/836</v>
      </c>
      <c r="H319" s="3" t="str">
        <f>"15/18670"</f>
        <v>15/18670</v>
      </c>
      <c r="I319" s="3">
        <v>3.6686868228551602E-4</v>
      </c>
      <c r="J319" s="3">
        <v>5.8833447749430902E-3</v>
      </c>
      <c r="K319" s="3" t="str">
        <f>"8313/652/22943/140628/6092"</f>
        <v>8313/652/22943/140628/6092</v>
      </c>
    </row>
    <row r="320" spans="1:11">
      <c r="A320" s="3" t="str">
        <f>"GO:0045211"</f>
        <v>GO:0045211</v>
      </c>
      <c r="B320" s="3" t="str">
        <f>"postsynaptic membrane"</f>
        <v>postsynaptic membrane</v>
      </c>
      <c r="C320" s="6" t="str">
        <f>"CC"</f>
        <v>CC</v>
      </c>
      <c r="D320" s="6">
        <v>28</v>
      </c>
      <c r="E320" s="3">
        <v>8.6687306501548003E-2</v>
      </c>
      <c r="F320" s="3">
        <v>7.36815706789233E-3</v>
      </c>
      <c r="G320" s="3" t="str">
        <f>"28/873"</f>
        <v>28/873</v>
      </c>
      <c r="H320" s="3" t="str">
        <f>"323/19717"</f>
        <v>323/19717</v>
      </c>
      <c r="I320" s="3">
        <v>5.7273489813448799E-4</v>
      </c>
      <c r="J320" s="3">
        <v>5.7843780608177299E-3</v>
      </c>
      <c r="K320" s="3" t="str">
        <f>"148/287/1008/1000/1131/22866/1272/1305/64506/2045/53826/2562/2892/2897/9455/388135/642938/3745/3747/3778/57554/8828/4916/10611/8787/7732/6546/23345"</f>
        <v>148/287/1008/1000/1131/22866/1272/1305/64506/2045/53826/2562/2892/2897/9455/388135/642938/3745/3747/3778/57554/8828/4916/10611/8787/7732/6546/23345</v>
      </c>
    </row>
    <row r="321" spans="1:11">
      <c r="A321" s="3" t="str">
        <f>"GO:1903779"</f>
        <v>GO:1903779</v>
      </c>
      <c r="B321" s="3" t="str">
        <f>"regulation of cardiac conduction"</f>
        <v>regulation of cardiac conduction</v>
      </c>
      <c r="C321" s="6" t="str">
        <f>"BP"</f>
        <v>BP</v>
      </c>
      <c r="D321" s="6">
        <v>11</v>
      </c>
      <c r="E321" s="3">
        <v>0.150684931506849</v>
      </c>
      <c r="F321" s="3">
        <v>7.5328208270188197E-3</v>
      </c>
      <c r="G321" s="3" t="str">
        <f>"11/836"</f>
        <v>11/836</v>
      </c>
      <c r="H321" s="3" t="str">
        <f>"73/18670"</f>
        <v>73/18670</v>
      </c>
      <c r="I321" s="3">
        <v>3.8134653258478602E-4</v>
      </c>
      <c r="J321" s="3">
        <v>6.0707832675637096E-3</v>
      </c>
      <c r="K321" s="3" t="str">
        <f>"287/477/857/5348/53826/4842/4880/6262/6546/7220/54795"</f>
        <v>287/477/857/5348/53826/4842/4880/6262/6546/7220/54795</v>
      </c>
    </row>
    <row r="322" spans="1:11">
      <c r="A322" s="3" t="str">
        <f>"GO:0001101"</f>
        <v>GO:0001101</v>
      </c>
      <c r="B322" s="3" t="str">
        <f>"response to acid chemical"</f>
        <v>response to acid chemical</v>
      </c>
      <c r="C322" s="6" t="str">
        <f>"BP"</f>
        <v>BP</v>
      </c>
      <c r="D322" s="6">
        <v>30</v>
      </c>
      <c r="E322" s="3">
        <v>8.7463556851311894E-2</v>
      </c>
      <c r="F322" s="3">
        <v>7.5328208270188197E-3</v>
      </c>
      <c r="G322" s="3" t="str">
        <f>"30/836"</f>
        <v>30/836</v>
      </c>
      <c r="H322" s="3" t="str">
        <f>"343/18670"</f>
        <v>343/18670</v>
      </c>
      <c r="I322" s="3">
        <v>3.8162205207074E-4</v>
      </c>
      <c r="J322" s="3">
        <v>6.0707832675637096E-3</v>
      </c>
      <c r="K322" s="3" t="str">
        <f>"6366/1307/1278/1290/1291/64506/22943/2042/2867/2263/8324/2706/3779/4914/4916/81285/56034/5468/10891/5732/5737/5753/5950/6319/7356/6678/6899/7049/7481/7472"</f>
        <v>6366/1307/1278/1290/1291/64506/22943/2042/2867/2263/8324/2706/3779/4914/4916/81285/56034/5468/10891/5732/5737/5753/5950/6319/7356/6678/6899/7049/7481/7472</v>
      </c>
    </row>
    <row r="323" spans="1:11">
      <c r="A323" s="3" t="str">
        <f>"GO:0050679"</f>
        <v>GO:0050679</v>
      </c>
      <c r="B323" s="3" t="str">
        <f>"positive regulation of epithelial cell proliferation"</f>
        <v>positive regulation of epithelial cell proliferation</v>
      </c>
      <c r="C323" s="6" t="str">
        <f>"BP"</f>
        <v>BP</v>
      </c>
      <c r="D323" s="6">
        <v>21</v>
      </c>
      <c r="E323" s="3">
        <v>0.101941747572816</v>
      </c>
      <c r="F323" s="3">
        <v>7.6351338667189203E-3</v>
      </c>
      <c r="G323" s="3" t="str">
        <f>"21/836"</f>
        <v>21/836</v>
      </c>
      <c r="H323" s="3" t="str">
        <f>"206/18670"</f>
        <v>206/18670</v>
      </c>
      <c r="I323" s="3">
        <v>3.8835879281378001E-4</v>
      </c>
      <c r="J323" s="3">
        <v>6.1532384730873897E-3</v>
      </c>
      <c r="K323" s="3" t="str">
        <f>"652/653/858/6387/2247/2252/2260/2263/8324/3249/3479/3676/3912/8013/8828/116039/5228/5578/6899/7060/7472"</f>
        <v>652/653/858/6387/2247/2252/2260/2263/8324/3249/3479/3676/3912/8013/8828/116039/5228/5578/6899/7060/7472</v>
      </c>
    </row>
    <row r="324" spans="1:11">
      <c r="A324" s="3" t="str">
        <f>"GO:0009925"</f>
        <v>GO:0009925</v>
      </c>
      <c r="B324" s="3" t="str">
        <f>"basal plasma membrane"</f>
        <v>basal plasma membrane</v>
      </c>
      <c r="C324" s="6" t="str">
        <f>"CC"</f>
        <v>CC</v>
      </c>
      <c r="D324" s="6">
        <v>7</v>
      </c>
      <c r="E324" s="3">
        <v>0.20588235294117599</v>
      </c>
      <c r="F324" s="3">
        <v>7.6897339406487098E-3</v>
      </c>
      <c r="G324" s="3" t="str">
        <f>"7/873"</f>
        <v>7/873</v>
      </c>
      <c r="H324" s="3" t="str">
        <f>"34/19717"</f>
        <v>34/19717</v>
      </c>
      <c r="I324" s="3">
        <v>6.1388632299296398E-4</v>
      </c>
      <c r="J324" s="3">
        <v>6.0368322621191803E-3</v>
      </c>
      <c r="K324" s="3" t="str">
        <f>"9635/1364/667/2065/3680/64805/4070"</f>
        <v>9635/1364/667/2065/3680/64805/4070</v>
      </c>
    </row>
    <row r="325" spans="1:11">
      <c r="A325" s="3" t="str">
        <f>"GO:0050808"</f>
        <v>GO:0050808</v>
      </c>
      <c r="B325" s="3" t="str">
        <f>"synapse organization"</f>
        <v>synapse organization</v>
      </c>
      <c r="C325" s="6" t="str">
        <f t="shared" ref="C325:C330" si="18">"BP"</f>
        <v>BP</v>
      </c>
      <c r="D325" s="6">
        <v>34</v>
      </c>
      <c r="E325" s="3">
        <v>8.3333333333333301E-2</v>
      </c>
      <c r="F325" s="3">
        <v>7.6936286804302799E-3</v>
      </c>
      <c r="G325" s="3" t="str">
        <f>"34/836"</f>
        <v>34/836</v>
      </c>
      <c r="H325" s="3" t="str">
        <f>"408/18670"</f>
        <v>408/18670</v>
      </c>
      <c r="I325" s="3">
        <v>3.9355385055349801E-4</v>
      </c>
      <c r="J325" s="3">
        <v>6.2003800876926996E-3</v>
      </c>
      <c r="K325" s="3" t="str">
        <f>"23284/58504/627/10882/1000/1056/22866/1501/1524/22943/2045/2047/2119/2562/2823/6453/158038/54674/4131/3084/8828/4914/4916/10611/55607/64284/6092/9723/23657/26050/84189/6623/6678/6853"</f>
        <v>23284/58504/627/10882/1000/1056/22866/1501/1524/22943/2045/2047/2119/2562/2823/6453/158038/54674/4131/3084/8828/4914/4916/10611/55607/64284/6092/9723/23657/26050/84189/6623/6678/6853</v>
      </c>
    </row>
    <row r="326" spans="1:11">
      <c r="A326" s="3" t="str">
        <f>"GO:0006939"</f>
        <v>GO:0006939</v>
      </c>
      <c r="B326" s="3" t="str">
        <f>"smooth muscle contraction"</f>
        <v>smooth muscle contraction</v>
      </c>
      <c r="C326" s="6" t="str">
        <f t="shared" si="18"/>
        <v>BP</v>
      </c>
      <c r="D326" s="6">
        <v>14</v>
      </c>
      <c r="E326" s="3">
        <v>0.12727272727272701</v>
      </c>
      <c r="F326" s="3">
        <v>7.6936286804302799E-3</v>
      </c>
      <c r="G326" s="3" t="str">
        <f>"14/836"</f>
        <v>14/836</v>
      </c>
      <c r="H326" s="3" t="str">
        <f>"110/18670"</f>
        <v>110/18670</v>
      </c>
      <c r="I326" s="3">
        <v>3.9604006117644001E-4</v>
      </c>
      <c r="J326" s="3">
        <v>6.2003800876926996E-3</v>
      </c>
      <c r="K326" s="3" t="str">
        <f>"100/148/477/857/1131/1908/1910/3778/4629/4638/93649/5592/6546/6865"</f>
        <v>100/148/477/857/1131/1908/1910/3778/4629/4638/93649/5592/6546/6865</v>
      </c>
    </row>
    <row r="327" spans="1:11">
      <c r="A327" s="3" t="str">
        <f>"GO:1901617"</f>
        <v>GO:1901617</v>
      </c>
      <c r="B327" s="3" t="str">
        <f>"organic hydroxy compound biosynthetic process"</f>
        <v>organic hydroxy compound biosynthetic process</v>
      </c>
      <c r="C327" s="6" t="str">
        <f t="shared" si="18"/>
        <v>BP</v>
      </c>
      <c r="D327" s="6">
        <v>25</v>
      </c>
      <c r="E327" s="3">
        <v>9.3984962406015005E-2</v>
      </c>
      <c r="F327" s="3">
        <v>7.6936286804302799E-3</v>
      </c>
      <c r="G327" s="3" t="str">
        <f>"25/836"</f>
        <v>25/836</v>
      </c>
      <c r="H327" s="3" t="str">
        <f>"266/18670"</f>
        <v>266/18670</v>
      </c>
      <c r="I327" s="3">
        <v>3.9780734064765702E-4</v>
      </c>
      <c r="J327" s="3">
        <v>6.2003800876926996E-3</v>
      </c>
      <c r="K327" s="3" t="str">
        <f>"10449/8309/23600/653/1066/9023/1718/27122/2194/10826/2247/2264/2672/3158/117283/4948/5334/6319/11001/51151/23657/6591/7108/7220/9839"</f>
        <v>10449/8309/23600/653/1066/9023/1718/27122/2194/10826/2247/2264/2672/3158/117283/4948/5334/6319/11001/51151/23657/6591/7108/7220/9839</v>
      </c>
    </row>
    <row r="328" spans="1:11">
      <c r="A328" s="3" t="str">
        <f>"GO:0044272"</f>
        <v>GO:0044272</v>
      </c>
      <c r="B328" s="3" t="str">
        <f>"sulfur compound biosynthetic process"</f>
        <v>sulfur compound biosynthetic process</v>
      </c>
      <c r="C328" s="6" t="str">
        <f t="shared" si="18"/>
        <v>BP</v>
      </c>
      <c r="D328" s="6">
        <v>20</v>
      </c>
      <c r="E328" s="3">
        <v>0.104166666666667</v>
      </c>
      <c r="F328" s="3">
        <v>7.6936286804302799E-3</v>
      </c>
      <c r="G328" s="3" t="str">
        <f>"20/836"</f>
        <v>20/836</v>
      </c>
      <c r="H328" s="3" t="str">
        <f>"192/18670"</f>
        <v>192/18670</v>
      </c>
      <c r="I328" s="3">
        <v>4.0029763040027802E-4</v>
      </c>
      <c r="J328" s="3">
        <v>6.2003800876926996E-3</v>
      </c>
      <c r="K328" s="3" t="str">
        <f>"262/284/9331/23743/9469/4166/1634/54898/79993/2194/2687/2681/2949/4060/4969/6319/79966/51000/23657/1462"</f>
        <v>262/284/9331/23743/9469/4166/1634/54898/79993/2194/2687/2681/2949/4060/4969/6319/79966/51000/23657/1462</v>
      </c>
    </row>
    <row r="329" spans="1:11">
      <c r="A329" s="3" t="str">
        <f>"GO:0010721"</f>
        <v>GO:0010721</v>
      </c>
      <c r="B329" s="3" t="str">
        <f>"negative regulation of cell development"</f>
        <v>negative regulation of cell development</v>
      </c>
      <c r="C329" s="6" t="str">
        <f t="shared" si="18"/>
        <v>BP</v>
      </c>
      <c r="D329" s="6">
        <v>30</v>
      </c>
      <c r="E329" s="3">
        <v>8.7209302325581398E-2</v>
      </c>
      <c r="F329" s="3">
        <v>7.6936286804302799E-3</v>
      </c>
      <c r="G329" s="3" t="str">
        <f>"30/836"</f>
        <v>30/836</v>
      </c>
      <c r="H329" s="3" t="str">
        <f>"344/18670"</f>
        <v>344/18670</v>
      </c>
      <c r="I329" s="3">
        <v>4.0072568313694002E-4</v>
      </c>
      <c r="J329" s="3">
        <v>6.2003800876926996E-3</v>
      </c>
      <c r="K329" s="3" t="str">
        <f>"1600/22943/1745/1746/1910/2045/2192/2200/2288/2487/51083/2672/23462/3400/3479/64843/4168/4880/3084/4916/10769/5376/5744/1903/10371/9723/80031/11075/4070/9745"</f>
        <v>1600/22943/1745/1746/1910/2045/2192/2200/2288/2487/51083/2672/23462/3400/3479/64843/4168/4880/3084/4916/10769/5376/5744/1903/10371/9723/80031/11075/4070/9745</v>
      </c>
    </row>
    <row r="330" spans="1:11">
      <c r="A330" s="3" t="str">
        <f>"GO:0085029"</f>
        <v>GO:0085029</v>
      </c>
      <c r="B330" s="3" t="str">
        <f>"extracellular matrix assembly"</f>
        <v>extracellular matrix assembly</v>
      </c>
      <c r="C330" s="6" t="str">
        <f t="shared" si="18"/>
        <v>BP</v>
      </c>
      <c r="D330" s="6">
        <v>8</v>
      </c>
      <c r="E330" s="3">
        <v>0.19512195121951201</v>
      </c>
      <c r="F330" s="3">
        <v>7.6936286804302799E-3</v>
      </c>
      <c r="G330" s="3" t="str">
        <f>"8/836"</f>
        <v>8/836</v>
      </c>
      <c r="H330" s="3" t="str">
        <f>"41/18670"</f>
        <v>41/18670</v>
      </c>
      <c r="I330" s="3">
        <v>4.0072613269382502E-4</v>
      </c>
      <c r="J330" s="3">
        <v>6.2003800876926996E-3</v>
      </c>
      <c r="K330" s="3" t="str">
        <f>"84168/1278/10516/2824/3912/4239/4629/5768"</f>
        <v>84168/1278/10516/2824/3912/4239/4629/5768</v>
      </c>
    </row>
    <row r="331" spans="1:11">
      <c r="A331" s="3" t="str">
        <f>"GO:0031234"</f>
        <v>GO:0031234</v>
      </c>
      <c r="B331" s="3" t="str">
        <f>"extrinsic component of cytoplasmic side of plasma membrane"</f>
        <v>extrinsic component of cytoplasmic side of plasma membrane</v>
      </c>
      <c r="C331" s="6" t="str">
        <f>"CC"</f>
        <v>CC</v>
      </c>
      <c r="D331" s="6">
        <v>12</v>
      </c>
      <c r="E331" s="3">
        <v>0.13186813186813201</v>
      </c>
      <c r="F331" s="3">
        <v>7.9348532478064494E-3</v>
      </c>
      <c r="G331" s="3" t="str">
        <f>"12/873"</f>
        <v>12/873</v>
      </c>
      <c r="H331" s="3" t="str">
        <f>"91/19717"</f>
        <v>91/19717</v>
      </c>
      <c r="I331" s="3">
        <v>6.6481564109330097E-4</v>
      </c>
      <c r="J331" s="3">
        <v>6.2292633856065698E-3</v>
      </c>
      <c r="K331" s="3" t="str">
        <f>"858/1837/10979/2775/2781/2786/7881/57664/5753/6277/6769/7053"</f>
        <v>858/1837/10979/2775/2781/2786/7881/57664/5753/6277/6769/7053</v>
      </c>
    </row>
    <row r="332" spans="1:11">
      <c r="A332" s="3" t="str">
        <f>"GO:0097440"</f>
        <v>GO:0097440</v>
      </c>
      <c r="B332" s="3" t="str">
        <f>"apical dendrite"</f>
        <v>apical dendrite</v>
      </c>
      <c r="C332" s="6" t="str">
        <f>"CC"</f>
        <v>CC</v>
      </c>
      <c r="D332" s="6">
        <v>5</v>
      </c>
      <c r="E332" s="3">
        <v>0.29411764705882398</v>
      </c>
      <c r="F332" s="3">
        <v>7.9348532478064494E-3</v>
      </c>
      <c r="G332" s="3" t="str">
        <f>"5/873"</f>
        <v>5/873</v>
      </c>
      <c r="H332" s="3" t="str">
        <f>"17/19717"</f>
        <v>17/19717</v>
      </c>
      <c r="I332" s="3">
        <v>6.6679439057197099E-4</v>
      </c>
      <c r="J332" s="3">
        <v>6.2292633856065698E-3</v>
      </c>
      <c r="K332" s="3" t="str">
        <f>"1191/6453/4131/4642/10891"</f>
        <v>1191/6453/4131/4642/10891</v>
      </c>
    </row>
    <row r="333" spans="1:11">
      <c r="A333" s="3" t="str">
        <f>"GO:0051589"</f>
        <v>GO:0051589</v>
      </c>
      <c r="B333" s="3" t="str">
        <f>"negative regulation of neurotransmitter transport"</f>
        <v>negative regulation of neurotransmitter transport</v>
      </c>
      <c r="C333" s="6" t="str">
        <f t="shared" ref="C333:C346" si="19">"BP"</f>
        <v>BP</v>
      </c>
      <c r="D333" s="6">
        <v>6</v>
      </c>
      <c r="E333" s="3">
        <v>0.26086956521739102</v>
      </c>
      <c r="F333" s="3">
        <v>7.9353395216674606E-3</v>
      </c>
      <c r="G333" s="3" t="str">
        <f>"6/836"</f>
        <v>6/836</v>
      </c>
      <c r="H333" s="3" t="str">
        <f>"23/18670"</f>
        <v>23/18670</v>
      </c>
      <c r="I333" s="3">
        <v>4.1493026593459502E-4</v>
      </c>
      <c r="J333" s="3">
        <v>6.3951775167392297E-3</v>
      </c>
      <c r="K333" s="3" t="str">
        <f>"2824/4129/4842/25953/55607/23208"</f>
        <v>2824/4129/4842/25953/55607/23208</v>
      </c>
    </row>
    <row r="334" spans="1:11">
      <c r="A334" s="3" t="str">
        <f>"GO:0099504"</f>
        <v>GO:0099504</v>
      </c>
      <c r="B334" s="3" t="str">
        <f>"synaptic vesicle cycle"</f>
        <v>synaptic vesicle cycle</v>
      </c>
      <c r="C334" s="6" t="str">
        <f t="shared" si="19"/>
        <v>BP</v>
      </c>
      <c r="D334" s="6">
        <v>20</v>
      </c>
      <c r="E334" s="3">
        <v>0.10362694300518099</v>
      </c>
      <c r="F334" s="3">
        <v>8.1585534401322195E-3</v>
      </c>
      <c r="G334" s="3" t="str">
        <f>"20/836"</f>
        <v>20/836</v>
      </c>
      <c r="H334" s="3" t="str">
        <f>"193/18670"</f>
        <v>193/18670</v>
      </c>
      <c r="I334" s="3">
        <v>4.2826180825109099E-4</v>
      </c>
      <c r="J334" s="3">
        <v>6.5750680720067503E-3</v>
      </c>
      <c r="K334" s="3" t="str">
        <f>"148/321/8618/1000/1056/2259/6453/5337/5579/5865/6456/85439/415117/9900/6853/6857/23208/9066/143425/114088"</f>
        <v>148/321/8618/1000/1056/2259/6453/5337/5579/5865/6456/85439/415117/9900/6853/6857/23208/9066/143425/114088</v>
      </c>
    </row>
    <row r="335" spans="1:11">
      <c r="A335" s="3" t="str">
        <f>"GO:0072078"</f>
        <v>GO:0072078</v>
      </c>
      <c r="B335" s="3" t="str">
        <f>"nephron tubule morphogenesis"</f>
        <v>nephron tubule morphogenesis</v>
      </c>
      <c r="C335" s="6" t="str">
        <f t="shared" si="19"/>
        <v>BP</v>
      </c>
      <c r="D335" s="6">
        <v>11</v>
      </c>
      <c r="E335" s="3">
        <v>0.14864864864864899</v>
      </c>
      <c r="F335" s="3">
        <v>8.1623187342807005E-3</v>
      </c>
      <c r="G335" s="3" t="str">
        <f>"11/836"</f>
        <v>11/836</v>
      </c>
      <c r="H335" s="3" t="str">
        <f>"74/18670"</f>
        <v>74/18670</v>
      </c>
      <c r="I335" s="3">
        <v>4.3012015303737599E-4</v>
      </c>
      <c r="J335" s="3">
        <v>6.5781025640302597E-3</v>
      </c>
      <c r="K335" s="3" t="str">
        <f>"652/79633/2247/153572/55083/5228/4070/6943/7481/7482/7490"</f>
        <v>652/79633/2247/153572/55083/5228/4070/6943/7481/7482/7490</v>
      </c>
    </row>
    <row r="336" spans="1:11">
      <c r="A336" s="3" t="str">
        <f>"GO:0048736"</f>
        <v>GO:0048736</v>
      </c>
      <c r="B336" s="3" t="str">
        <f>"appendage development"</f>
        <v>appendage development</v>
      </c>
      <c r="C336" s="6" t="str">
        <f t="shared" si="19"/>
        <v>BP</v>
      </c>
      <c r="D336" s="6">
        <v>19</v>
      </c>
      <c r="E336" s="3">
        <v>0.106145251396648</v>
      </c>
      <c r="F336" s="3">
        <v>8.2389779172490091E-3</v>
      </c>
      <c r="G336" s="3" t="str">
        <f>"19/836"</f>
        <v>19/836</v>
      </c>
      <c r="H336" s="3" t="str">
        <f>"179/18670"</f>
        <v>179/18670</v>
      </c>
      <c r="I336" s="3">
        <v>4.3751235735544101E-4</v>
      </c>
      <c r="J336" s="3">
        <v>6.6398830438738603E-3</v>
      </c>
      <c r="K336" s="3" t="str">
        <f>"652/658/1280/22943/137392/2260/2263/3236/3239/116039/5307/5308/494470/6423/23657/64093/6909/9496/6910"</f>
        <v>652/658/1280/22943/137392/2260/2263/3236/3239/116039/5307/5308/494470/6423/23657/64093/6909/9496/6910</v>
      </c>
    </row>
    <row r="337" spans="1:11">
      <c r="A337" s="3" t="str">
        <f>"GO:0060173"</f>
        <v>GO:0060173</v>
      </c>
      <c r="B337" s="3" t="str">
        <f>"limb development"</f>
        <v>limb development</v>
      </c>
      <c r="C337" s="6" t="str">
        <f t="shared" si="19"/>
        <v>BP</v>
      </c>
      <c r="D337" s="6">
        <v>19</v>
      </c>
      <c r="E337" s="3">
        <v>0.106145251396648</v>
      </c>
      <c r="F337" s="3">
        <v>8.2389779172490091E-3</v>
      </c>
      <c r="G337" s="3" t="str">
        <f>"19/836"</f>
        <v>19/836</v>
      </c>
      <c r="H337" s="3" t="str">
        <f>"179/18670"</f>
        <v>179/18670</v>
      </c>
      <c r="I337" s="3">
        <v>4.3751235735544101E-4</v>
      </c>
      <c r="J337" s="3">
        <v>6.6398830438738603E-3</v>
      </c>
      <c r="K337" s="3" t="str">
        <f>"652/658/1280/22943/137392/2260/2263/3236/3239/116039/5307/5308/494470/6423/23657/64093/6909/9496/6910"</f>
        <v>652/658/1280/22943/137392/2260/2263/3236/3239/116039/5307/5308/494470/6423/23657/64093/6909/9496/6910</v>
      </c>
    </row>
    <row r="338" spans="1:11">
      <c r="A338" s="3" t="str">
        <f>"GO:0042311"</f>
        <v>GO:0042311</v>
      </c>
      <c r="B338" s="3" t="str">
        <f>"vasodilation"</f>
        <v>vasodilation</v>
      </c>
      <c r="C338" s="6" t="str">
        <f t="shared" si="19"/>
        <v>BP</v>
      </c>
      <c r="D338" s="6">
        <v>7</v>
      </c>
      <c r="E338" s="3">
        <v>0.21875</v>
      </c>
      <c r="F338" s="3">
        <v>8.32173469581899E-3</v>
      </c>
      <c r="G338" s="3" t="str">
        <f>"7/836"</f>
        <v>7/836</v>
      </c>
      <c r="H338" s="3" t="str">
        <f>"32/18670"</f>
        <v>32/18670</v>
      </c>
      <c r="I338" s="3">
        <v>4.4360009975677998E-4</v>
      </c>
      <c r="J338" s="3">
        <v>6.7065776431689999E-3</v>
      </c>
      <c r="K338" s="3" t="str">
        <f>"153/155/1910/3672/3778/4842/5592"</f>
        <v>153/155/1910/3672/3778/4842/5592</v>
      </c>
    </row>
    <row r="339" spans="1:11">
      <c r="A339" s="3" t="str">
        <f>"GO:2000027"</f>
        <v>GO:2000027</v>
      </c>
      <c r="B339" s="3" t="str">
        <f>"regulation of animal organ morphogenesis"</f>
        <v>regulation of animal organ morphogenesis</v>
      </c>
      <c r="C339" s="6" t="str">
        <f t="shared" si="19"/>
        <v>BP</v>
      </c>
      <c r="D339" s="6">
        <v>24</v>
      </c>
      <c r="E339" s="3">
        <v>9.4861660079051405E-2</v>
      </c>
      <c r="F339" s="3">
        <v>8.4195312417204692E-3</v>
      </c>
      <c r="G339" s="3" t="str">
        <f>"24/836"</f>
        <v>24/836</v>
      </c>
      <c r="H339" s="3" t="str">
        <f>"253/18670"</f>
        <v>253/18670</v>
      </c>
      <c r="I339" s="3">
        <v>4.5052629024872499E-4</v>
      </c>
      <c r="J339" s="3">
        <v>6.7853929565977701E-3</v>
      </c>
      <c r="K339" s="3" t="str">
        <f>"54829/652/22943/2119/2252/2260/2263/8324/140628/10082/3239/3249/57664/6092/6423/6591/4070/6899/6909/6910/7481/7472/7482/7490"</f>
        <v>54829/652/22943/2119/2252/2260/2263/8324/140628/10082/3239/3249/57664/6092/6423/6591/4070/6899/6909/6910/7481/7472/7482/7490</v>
      </c>
    </row>
    <row r="340" spans="1:11">
      <c r="A340" s="3" t="str">
        <f>"GO:0046622"</f>
        <v>GO:0046622</v>
      </c>
      <c r="B340" s="3" t="str">
        <f>"positive regulation of organ growth"</f>
        <v>positive regulation of organ growth</v>
      </c>
      <c r="C340" s="6" t="str">
        <f t="shared" si="19"/>
        <v>BP</v>
      </c>
      <c r="D340" s="6">
        <v>10</v>
      </c>
      <c r="E340" s="3">
        <v>0.158730158730159</v>
      </c>
      <c r="F340" s="3">
        <v>8.4678681102044306E-3</v>
      </c>
      <c r="G340" s="3" t="str">
        <f>"10/836"</f>
        <v>10/836</v>
      </c>
      <c r="H340" s="3" t="str">
        <f>"63/18670"</f>
        <v>63/18670</v>
      </c>
      <c r="I340" s="3">
        <v>4.5483564213509001E-4</v>
      </c>
      <c r="J340" s="3">
        <v>6.82434817126932E-3</v>
      </c>
      <c r="K340" s="3" t="str">
        <f>"2247/2260/2263/2627/3479/6909/6910/7049/7472/7490"</f>
        <v>2247/2260/2263/2627/3479/6909/6910/7049/7472/7490</v>
      </c>
    </row>
    <row r="341" spans="1:11">
      <c r="A341" s="3" t="str">
        <f>"GO:0008202"</f>
        <v>GO:0008202</v>
      </c>
      <c r="B341" s="3" t="str">
        <f>"steroid metabolic process"</f>
        <v>steroid metabolic process</v>
      </c>
      <c r="C341" s="6" t="str">
        <f t="shared" si="19"/>
        <v>BP</v>
      </c>
      <c r="D341" s="6">
        <v>29</v>
      </c>
      <c r="E341" s="3">
        <v>8.7613293051359495E-2</v>
      </c>
      <c r="F341" s="3">
        <v>8.5512672610883293E-3</v>
      </c>
      <c r="G341" s="3" t="str">
        <f>"29/836"</f>
        <v>29/836</v>
      </c>
      <c r="H341" s="3" t="str">
        <f>"331/18670"</f>
        <v>331/18670</v>
      </c>
      <c r="I341" s="3">
        <v>4.6105510156427401E-4</v>
      </c>
      <c r="J341" s="3">
        <v>6.8915604654870496E-3</v>
      </c>
      <c r="K341" s="3" t="str">
        <f>"10449/8309/23600/319/653/1056/1066/9023/1583/1718/27122/2194/10826/2260/2264/51083/2672/3158/3290/3931/10891/8608/6097/6319/11001/6591/6646/6783/7108"</f>
        <v>10449/8309/23600/319/653/1056/1066/9023/1583/1718/27122/2194/10826/2260/2264/51083/2672/3158/3290/3931/10891/8608/6097/6319/11001/6591/6646/6783/7108</v>
      </c>
    </row>
    <row r="342" spans="1:11">
      <c r="A342" s="3" t="str">
        <f>"GO:0071229"</f>
        <v>GO:0071229</v>
      </c>
      <c r="B342" s="3" t="str">
        <f>"cellular response to acid chemical"</f>
        <v>cellular response to acid chemical</v>
      </c>
      <c r="C342" s="6" t="str">
        <f t="shared" si="19"/>
        <v>BP</v>
      </c>
      <c r="D342" s="6">
        <v>21</v>
      </c>
      <c r="E342" s="3">
        <v>0.100478468899522</v>
      </c>
      <c r="F342" s="3">
        <v>8.6755146151759107E-3</v>
      </c>
      <c r="G342" s="3" t="str">
        <f>"21/836"</f>
        <v>21/836</v>
      </c>
      <c r="H342" s="3" t="str">
        <f>"209/18670"</f>
        <v>209/18670</v>
      </c>
      <c r="I342" s="3">
        <v>4.7124909143660902E-4</v>
      </c>
      <c r="J342" s="3">
        <v>6.9916927765501799E-3</v>
      </c>
      <c r="K342" s="3" t="str">
        <f>"1307/1278/1290/1291/64506/2042/2867/2263/8324/3779/4916/81285/56034/5468/10891/5732/5737/5753/6899/7481/7472"</f>
        <v>1307/1278/1290/1291/64506/2042/2867/2263/8324/3779/4916/81285/56034/5468/10891/5732/5737/5753/6899/7481/7472</v>
      </c>
    </row>
    <row r="343" spans="1:11">
      <c r="A343" s="3" t="str">
        <f>"GO:1903169"</f>
        <v>GO:1903169</v>
      </c>
      <c r="B343" s="3" t="str">
        <f>"regulation of calcium ion transmembrane transport"</f>
        <v>regulation of calcium ion transmembrane transport</v>
      </c>
      <c r="C343" s="6" t="str">
        <f t="shared" si="19"/>
        <v>BP</v>
      </c>
      <c r="D343" s="6">
        <v>17</v>
      </c>
      <c r="E343" s="3">
        <v>0.11184210526315801</v>
      </c>
      <c r="F343" s="3">
        <v>8.6755146151759107E-3</v>
      </c>
      <c r="G343" s="3" t="str">
        <f>"17/836"</f>
        <v>17/836</v>
      </c>
      <c r="H343" s="3" t="str">
        <f>"152/18670"</f>
        <v>152/18670</v>
      </c>
      <c r="I343" s="3">
        <v>4.7128431378473402E-4</v>
      </c>
      <c r="J343" s="3">
        <v>6.9916927765501799E-3</v>
      </c>
      <c r="K343" s="3" t="str">
        <f>"79026/287/477/57214/2259/2669/10008/4842/5350/9104/8787/6236/6262/6546/6769/7220/27075"</f>
        <v>79026/287/477/57214/2259/2669/10008/4842/5350/9104/8787/6236/6262/6546/6769/7220/27075</v>
      </c>
    </row>
    <row r="344" spans="1:11">
      <c r="A344" s="3" t="str">
        <f>"GO:0003279"</f>
        <v>GO:0003279</v>
      </c>
      <c r="B344" s="3" t="str">
        <f>"cardiac septum development"</f>
        <v>cardiac septum development</v>
      </c>
      <c r="C344" s="6" t="str">
        <f t="shared" si="19"/>
        <v>BP</v>
      </c>
      <c r="D344" s="6">
        <v>14</v>
      </c>
      <c r="E344" s="3">
        <v>0.125</v>
      </c>
      <c r="F344" s="3">
        <v>8.7153789410422296E-3</v>
      </c>
      <c r="G344" s="3" t="str">
        <f>"14/836"</f>
        <v>14/836</v>
      </c>
      <c r="H344" s="3" t="str">
        <f>"112/18670"</f>
        <v>112/18670</v>
      </c>
      <c r="I344" s="3">
        <v>4.76996324545343E-4</v>
      </c>
      <c r="J344" s="3">
        <v>7.0238198758134397E-3</v>
      </c>
      <c r="K344" s="3" t="str">
        <f>"287/652/653/2263/2627/23462/8828/6092/6586/6899/6909/6910/7049/7481"</f>
        <v>287/652/653/2263/2627/23462/8828/6092/6586/6899/6909/6910/7049/7481</v>
      </c>
    </row>
    <row r="345" spans="1:11">
      <c r="A345" s="3" t="str">
        <f>"GO:0060419"</f>
        <v>GO:0060419</v>
      </c>
      <c r="B345" s="3" t="str">
        <f>"heart growth"</f>
        <v>heart growth</v>
      </c>
      <c r="C345" s="6" t="str">
        <f t="shared" si="19"/>
        <v>BP</v>
      </c>
      <c r="D345" s="6">
        <v>14</v>
      </c>
      <c r="E345" s="3">
        <v>0.125</v>
      </c>
      <c r="F345" s="3">
        <v>8.7153789410422296E-3</v>
      </c>
      <c r="G345" s="3" t="str">
        <f>"14/836"</f>
        <v>14/836</v>
      </c>
      <c r="H345" s="3" t="str">
        <f>"112/18670"</f>
        <v>112/18670</v>
      </c>
      <c r="I345" s="3">
        <v>4.76996324545343E-4</v>
      </c>
      <c r="J345" s="3">
        <v>7.0238198758134397E-3</v>
      </c>
      <c r="K345" s="3" t="str">
        <f>"148/2247/2260/2263/2627/3479/4624/10611/5950/6909/6910/7049/7472/7490"</f>
        <v>148/2247/2260/2263/2627/3479/4624/10611/5950/6909/6910/7049/7472/7490</v>
      </c>
    </row>
    <row r="346" spans="1:11">
      <c r="A346" s="3" t="str">
        <f>"GO:0015837"</f>
        <v>GO:0015837</v>
      </c>
      <c r="B346" s="3" t="str">
        <f>"amine transport"</f>
        <v>amine transport</v>
      </c>
      <c r="C346" s="6" t="str">
        <f t="shared" si="19"/>
        <v>BP</v>
      </c>
      <c r="D346" s="6">
        <v>13</v>
      </c>
      <c r="E346" s="3">
        <v>0.13</v>
      </c>
      <c r="F346" s="3">
        <v>9.3541858870527794E-3</v>
      </c>
      <c r="G346" s="3" t="str">
        <f>"13/836"</f>
        <v>13/836</v>
      </c>
      <c r="H346" s="3" t="str">
        <f>"100/18670"</f>
        <v>100/18670</v>
      </c>
      <c r="I346" s="3">
        <v>5.1386168657258395E-4</v>
      </c>
      <c r="J346" s="3">
        <v>7.5386414291330802E-3</v>
      </c>
      <c r="K346" s="3" t="str">
        <f>"477/6387/3745/64805/5865/6623/9900/6857/23208/57586/9066/143425/6865"</f>
        <v>477/6387/3745/64805/5865/6623/9900/6857/23208/57586/9066/143425/6865</v>
      </c>
    </row>
    <row r="347" spans="1:11">
      <c r="A347" s="3" t="str">
        <f>"GO:0003779"</f>
        <v>GO:0003779</v>
      </c>
      <c r="B347" s="3" t="str">
        <f>"actin binding"</f>
        <v>actin binding</v>
      </c>
      <c r="C347" s="6" t="str">
        <f>"MF"</f>
        <v>MF</v>
      </c>
      <c r="D347" s="6">
        <v>36</v>
      </c>
      <c r="E347" s="3">
        <v>8.3526682134570804E-2</v>
      </c>
      <c r="F347" s="3">
        <v>9.3937676820789792E-3</v>
      </c>
      <c r="G347" s="3" t="str">
        <f>"36/813"</f>
        <v>36/813</v>
      </c>
      <c r="H347" s="3" t="str">
        <f>"431/17696"</f>
        <v>431/17696</v>
      </c>
      <c r="I347" s="3">
        <v>4.1247374006182102E-4</v>
      </c>
      <c r="J347" s="3">
        <v>8.3669185832282496E-3</v>
      </c>
      <c r="K347" s="3" t="str">
        <f>"84168/309/55971/1073/1773/667/11170/10979/80206/2317/2318/9455/10788/3778/11155/25802/4130/4131/4629/4624/4638/4642/4646/91624/23022/10611/130271/55607/6275/201191/6853/23345/171024/7145/7169/7414"</f>
        <v>84168/309/55971/1073/1773/667/11170/10979/80206/2317/2318/9455/10788/3778/11155/25802/4130/4131/4629/4624/4638/4642/4646/91624/23022/10611/130271/55607/6275/201191/6853/23345/171024/7145/7169/7414</v>
      </c>
    </row>
    <row r="348" spans="1:11">
      <c r="A348" s="3" t="str">
        <f>"GO:0015269"</f>
        <v>GO:0015269</v>
      </c>
      <c r="B348" s="3" t="str">
        <f>"calcium-activated potassium channel activity"</f>
        <v>calcium-activated potassium channel activity</v>
      </c>
      <c r="C348" s="6" t="str">
        <f>"MF"</f>
        <v>MF</v>
      </c>
      <c r="D348" s="6">
        <v>5</v>
      </c>
      <c r="E348" s="3">
        <v>0.33333333333333298</v>
      </c>
      <c r="F348" s="3">
        <v>9.3937676820789792E-3</v>
      </c>
      <c r="G348" s="3" t="str">
        <f>"5/813"</f>
        <v>5/813</v>
      </c>
      <c r="H348" s="3" t="str">
        <f>"15/17696"</f>
        <v>15/17696</v>
      </c>
      <c r="I348" s="3">
        <v>4.1291286514632901E-4</v>
      </c>
      <c r="J348" s="3">
        <v>8.3669185832282496E-3</v>
      </c>
      <c r="K348" s="3" t="str">
        <f>"3249/3778/3779/3781/3783"</f>
        <v>3249/3778/3779/3781/3783</v>
      </c>
    </row>
    <row r="349" spans="1:11">
      <c r="A349" s="3" t="str">
        <f>"GO:0006694"</f>
        <v>GO:0006694</v>
      </c>
      <c r="B349" s="3" t="str">
        <f>"steroid biosynthetic process"</f>
        <v>steroid biosynthetic process</v>
      </c>
      <c r="C349" s="6" t="str">
        <f t="shared" ref="C349:C355" si="20">"BP"</f>
        <v>BP</v>
      </c>
      <c r="D349" s="6">
        <v>20</v>
      </c>
      <c r="E349" s="3">
        <v>0.102040816326531</v>
      </c>
      <c r="F349" s="3">
        <v>9.4780474162982093E-3</v>
      </c>
      <c r="G349" s="3" t="str">
        <f>"20/836"</f>
        <v>20/836</v>
      </c>
      <c r="H349" s="3" t="str">
        <f>"196/18670"</f>
        <v>196/18670</v>
      </c>
      <c r="I349" s="3">
        <v>5.2259427259752098E-4</v>
      </c>
      <c r="J349" s="3">
        <v>7.6384627997066199E-3</v>
      </c>
      <c r="K349" s="3" t="str">
        <f>"10449/8309/23600/653/1066/9023/1583/1718/27122/2194/10826/2264/2672/3158/3290/10891/6319/11001/6591/7108"</f>
        <v>10449/8309/23600/653/1066/9023/1583/1718/27122/2194/10826/2264/2672/3158/3290/10891/6319/11001/6591/7108</v>
      </c>
    </row>
    <row r="350" spans="1:11">
      <c r="A350" s="3" t="str">
        <f>"GO:0003433"</f>
        <v>GO:0003433</v>
      </c>
      <c r="B350" s="3" t="str">
        <f>"chondrocyte development involved in endochondral bone morphogenesis"</f>
        <v>chondrocyte development involved in endochondral bone morphogenesis</v>
      </c>
      <c r="C350" s="6" t="str">
        <f t="shared" si="20"/>
        <v>BP</v>
      </c>
      <c r="D350" s="6">
        <v>6</v>
      </c>
      <c r="E350" s="3">
        <v>0.25</v>
      </c>
      <c r="F350" s="3">
        <v>9.6157742296074499E-3</v>
      </c>
      <c r="G350" s="3" t="str">
        <f>"6/836"</f>
        <v>6/836</v>
      </c>
      <c r="H350" s="3" t="str">
        <f>"24/18670"</f>
        <v>24/18670</v>
      </c>
      <c r="I350" s="3">
        <v>5.3244984517037699E-4</v>
      </c>
      <c r="J350" s="3">
        <v>7.7494583554131502E-3</v>
      </c>
      <c r="K350" s="3" t="str">
        <f>"7373/1291/1292/4147/51435/5212"</f>
        <v>7373/1291/1292/4147/51435/5212</v>
      </c>
    </row>
    <row r="351" spans="1:11">
      <c r="A351" s="3" t="str">
        <f>"GO:0090596"</f>
        <v>GO:0090596</v>
      </c>
      <c r="B351" s="3" t="str">
        <f>"sensory organ morphogenesis"</f>
        <v>sensory organ morphogenesis</v>
      </c>
      <c r="C351" s="6" t="str">
        <f t="shared" si="20"/>
        <v>BP</v>
      </c>
      <c r="D351" s="6">
        <v>24</v>
      </c>
      <c r="E351" s="3">
        <v>9.375E-2</v>
      </c>
      <c r="F351" s="3">
        <v>9.6157742296074499E-3</v>
      </c>
      <c r="G351" s="3" t="str">
        <f>"24/836"</f>
        <v>24/836</v>
      </c>
      <c r="H351" s="3" t="str">
        <f>"256/18670"</f>
        <v>256/18670</v>
      </c>
      <c r="I351" s="3">
        <v>5.3410098976252999E-4</v>
      </c>
      <c r="J351" s="3">
        <v>7.7494583554131502E-3</v>
      </c>
      <c r="K351" s="3" t="str">
        <f>"652/1280/1290/2202/2047/2200/2260/2263/2295/2487/3249/8516/8013/116039/5308/5950/9750/80736/84189/6899/6909/259236/7472/7482"</f>
        <v>652/1280/1290/2202/2047/2200/2260/2263/2295/2487/3249/8516/8013/116039/5308/5950/9750/80736/84189/6899/6909/259236/7472/7482</v>
      </c>
    </row>
    <row r="352" spans="1:11">
      <c r="A352" s="3" t="str">
        <f>"GO:0072073"</f>
        <v>GO:0072073</v>
      </c>
      <c r="B352" s="3" t="str">
        <f>"kidney epithelium development"</f>
        <v>kidney epithelium development</v>
      </c>
      <c r="C352" s="6" t="str">
        <f t="shared" si="20"/>
        <v>BP</v>
      </c>
      <c r="D352" s="6">
        <v>16</v>
      </c>
      <c r="E352" s="3">
        <v>0.114285714285714</v>
      </c>
      <c r="F352" s="3">
        <v>9.6424054928083893E-3</v>
      </c>
      <c r="G352" s="3" t="str">
        <f>"16/836"</f>
        <v>16/836</v>
      </c>
      <c r="H352" s="3" t="str">
        <f>"140/18670"</f>
        <v>140/18670</v>
      </c>
      <c r="I352" s="3">
        <v>5.3851068362772796E-4</v>
      </c>
      <c r="J352" s="3">
        <v>7.7709207837314302E-3</v>
      </c>
      <c r="K352" s="3" t="str">
        <f>"652/4072/2045/79633/2247/2260/2263/153572/55083/5228/6092/4070/6943/7481/7482/7490"</f>
        <v>652/4072/2045/79633/2247/2260/2263/153572/55083/5228/6092/4070/6943/7481/7482/7490</v>
      </c>
    </row>
    <row r="353" spans="1:11">
      <c r="A353" s="3" t="str">
        <f>"GO:0090092"</f>
        <v>GO:0090092</v>
      </c>
      <c r="B353" s="3" t="str">
        <f>"regulation of transmembrane receptor protein serine/threonine kinase signaling pathway"</f>
        <v>regulation of transmembrane receptor protein serine/threonine kinase signaling pathway</v>
      </c>
      <c r="C353" s="6" t="str">
        <f t="shared" si="20"/>
        <v>BP</v>
      </c>
      <c r="D353" s="6">
        <v>23</v>
      </c>
      <c r="E353" s="3">
        <v>9.5435684647302899E-2</v>
      </c>
      <c r="F353" s="3">
        <v>9.6424054928083893E-3</v>
      </c>
      <c r="G353" s="3" t="str">
        <f>"23/836"</f>
        <v>23/836</v>
      </c>
      <c r="H353" s="3" t="str">
        <f>"241/18670"</f>
        <v>241/18670</v>
      </c>
      <c r="I353" s="3">
        <v>5.39503867858048E-4</v>
      </c>
      <c r="J353" s="3">
        <v>7.7709207837314302E-3</v>
      </c>
      <c r="K353" s="3" t="str">
        <f>"54829/652/653/857/858/91851/22943/27122/1745/2200/2662/9518/64388/3547/8516/8425/93649/9480/348093/494470/6423/7043/7049"</f>
        <v>54829/652/653/857/858/91851/22943/27122/1745/2200/2662/9518/64388/3547/8516/8425/93649/9480/348093/494470/6423/7043/7049</v>
      </c>
    </row>
    <row r="354" spans="1:11">
      <c r="A354" s="3" t="str">
        <f>"GO:0010464"</f>
        <v>GO:0010464</v>
      </c>
      <c r="B354" s="3" t="str">
        <f>"regulation of mesenchymal cell proliferation"</f>
        <v>regulation of mesenchymal cell proliferation</v>
      </c>
      <c r="C354" s="6" t="str">
        <f t="shared" si="20"/>
        <v>BP</v>
      </c>
      <c r="D354" s="6">
        <v>7</v>
      </c>
      <c r="E354" s="3">
        <v>0.21212121212121199</v>
      </c>
      <c r="F354" s="3">
        <v>9.6425843455363505E-3</v>
      </c>
      <c r="G354" s="3" t="str">
        <f>"7/836"</f>
        <v>7/836</v>
      </c>
      <c r="H354" s="3" t="str">
        <f>"33/18670"</f>
        <v>33/18670</v>
      </c>
      <c r="I354" s="3">
        <v>5.4150465001378103E-4</v>
      </c>
      <c r="J354" s="3">
        <v>7.77106492311469E-3</v>
      </c>
      <c r="K354" s="3" t="str">
        <f>"652/2260/2263/2294/6899/7481/7472"</f>
        <v>652/2260/2263/2294/6899/7481/7472</v>
      </c>
    </row>
    <row r="355" spans="1:11">
      <c r="A355" s="3" t="str">
        <f>"GO:0072088"</f>
        <v>GO:0072088</v>
      </c>
      <c r="B355" s="3" t="str">
        <f>"nephron epithelium morphogenesis"</f>
        <v>nephron epithelium morphogenesis</v>
      </c>
      <c r="C355" s="6" t="str">
        <f t="shared" si="20"/>
        <v>BP</v>
      </c>
      <c r="D355" s="6">
        <v>11</v>
      </c>
      <c r="E355" s="3">
        <v>0.144736842105263</v>
      </c>
      <c r="F355" s="3">
        <v>9.6425843455363505E-3</v>
      </c>
      <c r="G355" s="3" t="str">
        <f>"11/836"</f>
        <v>11/836</v>
      </c>
      <c r="H355" s="3" t="str">
        <f>"76/18670"</f>
        <v>76/18670</v>
      </c>
      <c r="I355" s="3">
        <v>5.4343761214925102E-4</v>
      </c>
      <c r="J355" s="3">
        <v>7.77106492311469E-3</v>
      </c>
      <c r="K355" s="3" t="str">
        <f>"652/79633/2247/153572/55083/5228/4070/6943/7481/7482/7490"</f>
        <v>652/79633/2247/153572/55083/5228/4070/6943/7481/7482/7490</v>
      </c>
    </row>
    <row r="356" spans="1:11">
      <c r="A356" s="3" t="str">
        <f>"GO:0016328"</f>
        <v>GO:0016328</v>
      </c>
      <c r="B356" s="3" t="str">
        <f>"lateral plasma membrane"</f>
        <v>lateral plasma membrane</v>
      </c>
      <c r="C356" s="6" t="str">
        <f>"CC"</f>
        <v>CC</v>
      </c>
      <c r="D356" s="6">
        <v>9</v>
      </c>
      <c r="E356" s="3">
        <v>0.157894736842105</v>
      </c>
      <c r="F356" s="3">
        <v>9.6642961837423106E-3</v>
      </c>
      <c r="G356" s="3" t="str">
        <f>"9/873"</f>
        <v>9/873</v>
      </c>
      <c r="H356" s="3" t="str">
        <f>"57/19717"</f>
        <v>57/19717</v>
      </c>
      <c r="I356" s="3">
        <v>8.3480320136698901E-4</v>
      </c>
      <c r="J356" s="3">
        <v>7.5869640540214998E-3</v>
      </c>
      <c r="K356" s="3" t="str">
        <f>"1365/1364/4072/2065/2705/2706/29899/3745/4070"</f>
        <v>1365/1364/4072/2065/2705/2706/29899/3745/4070</v>
      </c>
    </row>
    <row r="357" spans="1:11">
      <c r="A357" s="3" t="str">
        <f>"GO:0008021"</f>
        <v>GO:0008021</v>
      </c>
      <c r="B357" s="3" t="str">
        <f>"synaptic vesicle"</f>
        <v>synaptic vesicle</v>
      </c>
      <c r="C357" s="6" t="str">
        <f>"CC"</f>
        <v>CC</v>
      </c>
      <c r="D357" s="6">
        <v>19</v>
      </c>
      <c r="E357" s="3">
        <v>9.9476439790575896E-2</v>
      </c>
      <c r="F357" s="3">
        <v>9.6642961837423106E-3</v>
      </c>
      <c r="G357" s="3" t="str">
        <f>"19/873"</f>
        <v>19/873</v>
      </c>
      <c r="H357" s="3" t="str">
        <f>"191/19717"</f>
        <v>191/19717</v>
      </c>
      <c r="I357" s="3">
        <v>8.5273201621255705E-4</v>
      </c>
      <c r="J357" s="3">
        <v>7.5869640540214998E-3</v>
      </c>
      <c r="K357" s="3" t="str">
        <f>"321/627/3382/5179/5799/5865/7732/6456/133308/85439/415117/9900/6853/9144/6857/23208/9066/143425/114088"</f>
        <v>321/627/3382/5179/5799/5865/7732/6456/133308/85439/415117/9900/6853/9144/6857/23208/9066/143425/114088</v>
      </c>
    </row>
    <row r="358" spans="1:11">
      <c r="A358" s="3" t="str">
        <f>"GO:0050900"</f>
        <v>GO:0050900</v>
      </c>
      <c r="B358" s="3" t="str">
        <f>"leukocyte migration"</f>
        <v>leukocyte migration</v>
      </c>
      <c r="C358" s="6" t="str">
        <f>"BP"</f>
        <v>BP</v>
      </c>
      <c r="D358" s="6">
        <v>39</v>
      </c>
      <c r="E358" s="3">
        <v>7.8156312625250496E-2</v>
      </c>
      <c r="F358" s="3">
        <v>9.6845918065986396E-3</v>
      </c>
      <c r="G358" s="3" t="str">
        <f>"39/836"</f>
        <v>39/836</v>
      </c>
      <c r="H358" s="3" t="str">
        <f>"499/18670"</f>
        <v>499/18670</v>
      </c>
      <c r="I358" s="3">
        <v>5.4777548773843798E-4</v>
      </c>
      <c r="J358" s="3">
        <v>7.8049191986358998E-3</v>
      </c>
      <c r="K358" s="3" t="str">
        <f>"100/284/196527/653/857/6366/4345/4680/9023/1278/1524/6387/10563/2833/1908/1910/1991/4072/2867/2650/3603/3635/3672/3676/3680/83700/4254/4323/159296/91662/64805/5228/7941/5919/9750/23657/6793/7060/54795"</f>
        <v>100/284/196527/653/857/6366/4345/4680/9023/1278/1524/6387/10563/2833/1908/1910/1991/4072/2867/2650/3603/3635/3672/3676/3680/83700/4254/4323/159296/91662/64805/5228/7941/5919/9750/23657/6793/7060/54795</v>
      </c>
    </row>
    <row r="359" spans="1:11">
      <c r="A359" s="3" t="str">
        <f>"GO:0017158"</f>
        <v>GO:0017158</v>
      </c>
      <c r="B359" s="3" t="str">
        <f>"regulation of calcium ion-dependent exocytosis"</f>
        <v>regulation of calcium ion-dependent exocytosis</v>
      </c>
      <c r="C359" s="6" t="str">
        <f>"BP"</f>
        <v>BP</v>
      </c>
      <c r="D359" s="6">
        <v>8</v>
      </c>
      <c r="E359" s="3">
        <v>0.186046511627907</v>
      </c>
      <c r="F359" s="3">
        <v>9.8642183637836101E-3</v>
      </c>
      <c r="G359" s="3" t="str">
        <f>"8/836"</f>
        <v>8/836</v>
      </c>
      <c r="H359" s="3" t="str">
        <f>"43/18670"</f>
        <v>43/18670</v>
      </c>
      <c r="I359" s="3">
        <v>5.6194936762144702E-4</v>
      </c>
      <c r="J359" s="3">
        <v>7.9496822193966307E-3</v>
      </c>
      <c r="K359" s="3" t="str">
        <f>"3745/6857/23208/57586/9066/143425/114088/55503"</f>
        <v>3745/6857/23208/57586/9066/143425/114088/55503</v>
      </c>
    </row>
    <row r="360" spans="1:11">
      <c r="A360" s="3" t="str">
        <f>"GO:0086004"</f>
        <v>GO:0086004</v>
      </c>
      <c r="B360" s="3" t="str">
        <f>"regulation of cardiac muscle cell contraction"</f>
        <v>regulation of cardiac muscle cell contraction</v>
      </c>
      <c r="C360" s="6" t="str">
        <f>"BP"</f>
        <v>BP</v>
      </c>
      <c r="D360" s="6">
        <v>8</v>
      </c>
      <c r="E360" s="3">
        <v>0.186046511627907</v>
      </c>
      <c r="F360" s="3">
        <v>9.8642183637836101E-3</v>
      </c>
      <c r="G360" s="3" t="str">
        <f>"8/836"</f>
        <v>8/836</v>
      </c>
      <c r="H360" s="3" t="str">
        <f>"43/18670"</f>
        <v>43/18670</v>
      </c>
      <c r="I360" s="3">
        <v>5.6194936762144702E-4</v>
      </c>
      <c r="J360" s="3">
        <v>7.9496822193966307E-3</v>
      </c>
      <c r="K360" s="3" t="str">
        <f>"287/477/857/1824/10008/5350/6262/54795"</f>
        <v>287/477/857/1824/10008/5350/6262/54795</v>
      </c>
    </row>
    <row r="361" spans="1:11">
      <c r="A361" s="3" t="str">
        <f>"GO:0050839"</f>
        <v>GO:0050839</v>
      </c>
      <c r="B361" s="3" t="str">
        <f>"cell adhesion molecule binding"</f>
        <v>cell adhesion molecule binding</v>
      </c>
      <c r="C361" s="6" t="str">
        <f>"MF"</f>
        <v>MF</v>
      </c>
      <c r="D361" s="6">
        <v>40</v>
      </c>
      <c r="E361" s="3">
        <v>8.0160320641282604E-2</v>
      </c>
      <c r="F361" s="3">
        <v>1.02785225828906E-2</v>
      </c>
      <c r="G361" s="3" t="str">
        <f>"40/813"</f>
        <v>40/813</v>
      </c>
      <c r="H361" s="3" t="str">
        <f>"499/17696"</f>
        <v>499/17696</v>
      </c>
      <c r="I361" s="3">
        <v>4.64353279080527E-4</v>
      </c>
      <c r="J361" s="3">
        <v>9.1549593855705606E-3</v>
      </c>
      <c r="K361" s="3" t="str">
        <f>"11096/79026/55971/1008/1015/1000/1307/1501/6387/667/10085/25975/4072/2194/10516/2200/2247/2317/83872/3479/3676/26548/83700/3875/3912/8425/4323/5819/3084/9369/10611/5578/11122/1903/6423/4070/7060/7223/7103/7414"</f>
        <v>11096/79026/55971/1008/1015/1000/1307/1501/6387/667/10085/25975/4072/2194/10516/2200/2247/2317/83872/3479/3676/26548/83700/3875/3912/8425/4323/5819/3084/9369/10611/5578/11122/1903/6423/4070/7060/7223/7103/7414</v>
      </c>
    </row>
    <row r="362" spans="1:11">
      <c r="A362" s="3" t="str">
        <f>"GO:0060675"</f>
        <v>GO:0060675</v>
      </c>
      <c r="B362" s="3" t="str">
        <f>"ureteric bud morphogenesis"</f>
        <v>ureteric bud morphogenesis</v>
      </c>
      <c r="C362" s="6" t="str">
        <f>"BP"</f>
        <v>BP</v>
      </c>
      <c r="D362" s="6">
        <v>10</v>
      </c>
      <c r="E362" s="3">
        <v>0.15384615384615399</v>
      </c>
      <c r="F362" s="3">
        <v>1.0281106449070199E-2</v>
      </c>
      <c r="G362" s="3" t="str">
        <f>"10/836"</f>
        <v>10/836</v>
      </c>
      <c r="H362" s="3" t="str">
        <f>"65/18670"</f>
        <v>65/18670</v>
      </c>
      <c r="I362" s="3">
        <v>5.8779062302924E-4</v>
      </c>
      <c r="J362" s="3">
        <v>8.2856569187452003E-3</v>
      </c>
      <c r="K362" s="3" t="str">
        <f>"652/79633/2247/55083/5228/4070/6943/7481/7482/7490"</f>
        <v>652/79633/2247/55083/5228/4070/6943/7481/7482/7490</v>
      </c>
    </row>
    <row r="363" spans="1:11">
      <c r="A363" s="3" t="str">
        <f>"GO:0055013"</f>
        <v>GO:0055013</v>
      </c>
      <c r="B363" s="3" t="str">
        <f>"cardiac muscle cell development"</f>
        <v>cardiac muscle cell development</v>
      </c>
      <c r="C363" s="6" t="str">
        <f>"BP"</f>
        <v>BP</v>
      </c>
      <c r="D363" s="6">
        <v>12</v>
      </c>
      <c r="E363" s="3">
        <v>0.13483146067415699</v>
      </c>
      <c r="F363" s="3">
        <v>1.0345604996805801E-2</v>
      </c>
      <c r="G363" s="3" t="str">
        <f>"12/836"</f>
        <v>12/836</v>
      </c>
      <c r="H363" s="3" t="str">
        <f>"89/18670"</f>
        <v>89/18670</v>
      </c>
      <c r="I363" s="3">
        <v>5.9779284213486205E-4</v>
      </c>
      <c r="J363" s="3">
        <v>8.3376370087230693E-3</v>
      </c>
      <c r="K363" s="3" t="str">
        <f>"70/148/57538/652/80206/3479/4629/4624/10611/6443/6444/6546"</f>
        <v>70/148/57538/652/80206/3479/4629/4624/10611/6443/6444/6546</v>
      </c>
    </row>
    <row r="364" spans="1:11">
      <c r="A364" s="3" t="str">
        <f>"GO:0060021"</f>
        <v>GO:0060021</v>
      </c>
      <c r="B364" s="3" t="str">
        <f>"roof of mouth development"</f>
        <v>roof of mouth development</v>
      </c>
      <c r="C364" s="6" t="str">
        <f>"BP"</f>
        <v>BP</v>
      </c>
      <c r="D364" s="6">
        <v>12</v>
      </c>
      <c r="E364" s="3">
        <v>0.13483146067415699</v>
      </c>
      <c r="F364" s="3">
        <v>1.0345604996805801E-2</v>
      </c>
      <c r="G364" s="3" t="str">
        <f>"12/836"</f>
        <v>12/836</v>
      </c>
      <c r="H364" s="3" t="str">
        <f>"89/18670"</f>
        <v>89/18670</v>
      </c>
      <c r="I364" s="3">
        <v>5.9779284213486205E-4</v>
      </c>
      <c r="J364" s="3">
        <v>8.3376370087230693E-3</v>
      </c>
      <c r="K364" s="3" t="str">
        <f>"1280/2304/2295/2562/116039/6591/6899/6909/6943/7043/7049/7481"</f>
        <v>1280/2304/2295/2562/116039/6591/6899/6909/6943/7043/7049/7481</v>
      </c>
    </row>
    <row r="365" spans="1:11">
      <c r="A365" s="3" t="str">
        <f>"GO:1901019"</f>
        <v>GO:1901019</v>
      </c>
      <c r="B365" s="3" t="str">
        <f>"regulation of calcium ion transmembrane transporter activity"</f>
        <v>regulation of calcium ion transmembrane transporter activity</v>
      </c>
      <c r="C365" s="6" t="str">
        <f>"BP"</f>
        <v>BP</v>
      </c>
      <c r="D365" s="6">
        <v>12</v>
      </c>
      <c r="E365" s="3">
        <v>0.13483146067415699</v>
      </c>
      <c r="F365" s="3">
        <v>1.0345604996805801E-2</v>
      </c>
      <c r="G365" s="3" t="str">
        <f>"12/836"</f>
        <v>12/836</v>
      </c>
      <c r="H365" s="3" t="str">
        <f>"89/18670"</f>
        <v>89/18670</v>
      </c>
      <c r="I365" s="3">
        <v>5.9779284213486205E-4</v>
      </c>
      <c r="J365" s="3">
        <v>8.3376370087230693E-3</v>
      </c>
      <c r="K365" s="3" t="str">
        <f>"79026/287/477/2259/2669/10008/4842/5350/9104/6236/6262/6769"</f>
        <v>79026/287/477/2259/2669/10008/4842/5350/9104/6236/6262/6769</v>
      </c>
    </row>
    <row r="366" spans="1:11">
      <c r="A366" s="3" t="str">
        <f>"GO:0030199"</f>
        <v>GO:0030199</v>
      </c>
      <c r="B366" s="3" t="str">
        <f>"collagen fibril organization"</f>
        <v>collagen fibril organization</v>
      </c>
      <c r="C366" s="6" t="str">
        <f>"BP"</f>
        <v>BP</v>
      </c>
      <c r="D366" s="6">
        <v>9</v>
      </c>
      <c r="E366" s="3">
        <v>0.16666666666666699</v>
      </c>
      <c r="F366" s="3">
        <v>1.03743105458726E-2</v>
      </c>
      <c r="G366" s="3" t="str">
        <f>"9/836"</f>
        <v>9/836</v>
      </c>
      <c r="H366" s="3" t="str">
        <f>"54/18670"</f>
        <v>54/18670</v>
      </c>
      <c r="I366" s="3">
        <v>6.0156225952669303E-4</v>
      </c>
      <c r="J366" s="3">
        <v>8.3607711268659096E-3</v>
      </c>
      <c r="K366" s="3" t="str">
        <f>"7373/1278/1280/1290/50509/4921/1805/4060/6423"</f>
        <v>7373/1278/1280/1290/50509/4921/1805/4060/6423</v>
      </c>
    </row>
    <row r="367" spans="1:11">
      <c r="A367" s="3" t="str">
        <f>"GO:0098984"</f>
        <v>GO:0098984</v>
      </c>
      <c r="B367" s="3" t="str">
        <f>"neuron to neuron synapse"</f>
        <v>neuron to neuron synapse</v>
      </c>
      <c r="C367" s="6" t="str">
        <f>"CC"</f>
        <v>CC</v>
      </c>
      <c r="D367" s="6">
        <v>29</v>
      </c>
      <c r="E367" s="3">
        <v>8.2857142857142893E-2</v>
      </c>
      <c r="F367" s="3">
        <v>1.0472678147343199E-2</v>
      </c>
      <c r="G367" s="3" t="str">
        <f>"29/873"</f>
        <v>29/873</v>
      </c>
      <c r="H367" s="3" t="str">
        <f>"350/19717"</f>
        <v>350/19717</v>
      </c>
      <c r="I367" s="3">
        <v>9.4606126120957805E-4</v>
      </c>
      <c r="J367" s="3">
        <v>8.2215850117356194E-3</v>
      </c>
      <c r="K367" s="3" t="str">
        <f>"1000/1131/22866/64506/1410/1501/1600/2045/9455/388135/642938/8516/57554/4131/4842/10611/5179/55607/8787/7732/201191/6456/57537/6853/6857/23208/9066/143425/23043"</f>
        <v>1000/1131/22866/64506/1410/1501/1600/2045/9455/388135/642938/8516/57554/4131/4842/10611/5179/55607/8787/7732/201191/6456/57537/6853/6857/23208/9066/143425/23043</v>
      </c>
    </row>
    <row r="368" spans="1:11">
      <c r="A368" s="3" t="str">
        <f>"GO:0002687"</f>
        <v>GO:0002687</v>
      </c>
      <c r="B368" s="3" t="str">
        <f>"positive regulation of leukocyte migration"</f>
        <v>positive regulation of leukocyte migration</v>
      </c>
      <c r="C368" s="6" t="str">
        <f t="shared" ref="C368:C387" si="21">"BP"</f>
        <v>BP</v>
      </c>
      <c r="D368" s="6">
        <v>15</v>
      </c>
      <c r="E368" s="3">
        <v>0.1171875</v>
      </c>
      <c r="F368" s="3">
        <v>1.04757479415786E-2</v>
      </c>
      <c r="G368" s="3" t="str">
        <f>"15/836"</f>
        <v>15/836</v>
      </c>
      <c r="H368" s="3" t="str">
        <f>"128/18670"</f>
        <v>128/18670</v>
      </c>
      <c r="I368" s="3">
        <v>6.0957556689552196E-4</v>
      </c>
      <c r="J368" s="3">
        <v>8.4425206412508304E-3</v>
      </c>
      <c r="K368" s="3" t="str">
        <f>"196527/6366/6387/10563/1908/1991/3676/4254/4323/64805/5228/7941/5919/9750/7060"</f>
        <v>196527/6366/6387/10563/1908/1991/3676/4254/4323/64805/5228/7941/5919/9750/7060</v>
      </c>
    </row>
    <row r="369" spans="1:11">
      <c r="A369" s="3" t="str">
        <f>"GO:0048639"</f>
        <v>GO:0048639</v>
      </c>
      <c r="B369" s="3" t="str">
        <f>"positive regulation of developmental growth"</f>
        <v>positive regulation of developmental growth</v>
      </c>
      <c r="C369" s="6" t="str">
        <f t="shared" si="21"/>
        <v>BP</v>
      </c>
      <c r="D369" s="6">
        <v>19</v>
      </c>
      <c r="E369" s="3">
        <v>0.103260869565217</v>
      </c>
      <c r="F369" s="3">
        <v>1.05530658291937E-2</v>
      </c>
      <c r="G369" s="3" t="str">
        <f>"19/836"</f>
        <v>19/836</v>
      </c>
      <c r="H369" s="3" t="str">
        <f>"184/18670"</f>
        <v>184/18670</v>
      </c>
      <c r="I369" s="3">
        <v>6.1622174831711099E-4</v>
      </c>
      <c r="J369" s="3">
        <v>8.5048319784239504E-3</v>
      </c>
      <c r="K369" s="3" t="str">
        <f>"10551/627/57699/6387/2247/2260/2263/2627/3479/4131/23327/4916/285590/6857/6909/6910/7049/7472/7490"</f>
        <v>10551/627/57699/6387/2247/2260/2263/2627/3479/4131/23327/4916/285590/6857/6909/6910/7049/7472/7490</v>
      </c>
    </row>
    <row r="370" spans="1:11">
      <c r="A370" s="3" t="str">
        <f>"GO:0009100"</f>
        <v>GO:0009100</v>
      </c>
      <c r="B370" s="3" t="str">
        <f>"glycoprotein metabolic process"</f>
        <v>glycoprotein metabolic process</v>
      </c>
      <c r="C370" s="6" t="str">
        <f t="shared" si="21"/>
        <v>BP</v>
      </c>
      <c r="D370" s="6">
        <v>34</v>
      </c>
      <c r="E370" s="3">
        <v>8.1145584725536998E-2</v>
      </c>
      <c r="F370" s="3">
        <v>1.08018256384553E-2</v>
      </c>
      <c r="G370" s="3" t="str">
        <f>"34/836"</f>
        <v>34/836</v>
      </c>
      <c r="H370" s="3" t="str">
        <f>"419/18670"</f>
        <v>419/18670</v>
      </c>
      <c r="I370" s="3">
        <v>6.3294522561040004E-4</v>
      </c>
      <c r="J370" s="3">
        <v>8.7053102484354293E-3</v>
      </c>
      <c r="K370" s="3" t="str">
        <f>"81792/8707/27087/9331/658/124583/6366/9469/1280/1634/133584/957/115290/2300/114805/2591/51809/2650/2681/9955/90161/3479/9452/9215/10071/4583/57876/79625/5238/6646/50859/6489/84899/1462"</f>
        <v>81792/8707/27087/9331/658/124583/6366/9469/1280/1634/133584/957/115290/2300/114805/2591/51809/2650/2681/9955/90161/3479/9452/9215/10071/4583/57876/79625/5238/6646/50859/6489/84899/1462</v>
      </c>
    </row>
    <row r="371" spans="1:11">
      <c r="A371" s="3" t="str">
        <f>"GO:0034767"</f>
        <v>GO:0034767</v>
      </c>
      <c r="B371" s="3" t="str">
        <f>"positive regulation of ion transmembrane transport"</f>
        <v>positive regulation of ion transmembrane transport</v>
      </c>
      <c r="C371" s="6" t="str">
        <f t="shared" si="21"/>
        <v>BP</v>
      </c>
      <c r="D371" s="6">
        <v>17</v>
      </c>
      <c r="E371" s="3">
        <v>0.108974358974359</v>
      </c>
      <c r="F371" s="3">
        <v>1.0811508890745E-2</v>
      </c>
      <c r="G371" s="3" t="str">
        <f>"17/836"</f>
        <v>17/836</v>
      </c>
      <c r="H371" s="3" t="str">
        <f>"156/18670"</f>
        <v>156/18670</v>
      </c>
      <c r="I371" s="3">
        <v>6.3621983820116195E-4</v>
      </c>
      <c r="J371" s="3">
        <v>8.7131140881027101E-3</v>
      </c>
      <c r="K371" s="3" t="str">
        <f>"287/196527/57214/1908/2259/5348/51083/3747/10008/23630/3779/4842/9104/8787/6262/6769/7220"</f>
        <v>287/196527/57214/1908/2259/5348/51083/3747/10008/23630/3779/4842/9104/8787/6262/6769/7220</v>
      </c>
    </row>
    <row r="372" spans="1:11">
      <c r="A372" s="3" t="str">
        <f>"GO:0006066"</f>
        <v>GO:0006066</v>
      </c>
      <c r="B372" s="3" t="str">
        <f>"alcohol metabolic process"</f>
        <v>alcohol metabolic process</v>
      </c>
      <c r="C372" s="6" t="str">
        <f t="shared" si="21"/>
        <v>BP</v>
      </c>
      <c r="D372" s="6">
        <v>31</v>
      </c>
      <c r="E372" s="3">
        <v>8.3783783783783802E-2</v>
      </c>
      <c r="F372" s="3">
        <v>1.0811508890745E-2</v>
      </c>
      <c r="G372" s="3" t="str">
        <f>"31/836"</f>
        <v>31/836</v>
      </c>
      <c r="H372" s="3" t="str">
        <f>"370/18670"</f>
        <v>370/18670</v>
      </c>
      <c r="I372" s="3">
        <v>6.3791202000326795E-4</v>
      </c>
      <c r="J372" s="3">
        <v>8.7131140881027101E-3</v>
      </c>
      <c r="K372" s="3" t="str">
        <f>"10449/125/126/222/319/653/1056/1066/9023/1583/1718/27122/2194/2247/2260/2672/3158/3419/3479/3633/3635/117283/3931/170685/5334/5950/8608/6319/6646/6783/7108"</f>
        <v>10449/125/126/222/319/653/1056/1066/9023/1583/1718/27122/2194/2247/2260/2672/3158/3419/3479/3633/3635/117283/3931/170685/5334/5950/8608/6319/6646/6783/7108</v>
      </c>
    </row>
    <row r="373" spans="1:11">
      <c r="A373" s="3" t="str">
        <f>"GO:0007435"</f>
        <v>GO:0007435</v>
      </c>
      <c r="B373" s="3" t="str">
        <f>"salivary gland morphogenesis"</f>
        <v>salivary gland morphogenesis</v>
      </c>
      <c r="C373" s="6" t="str">
        <f t="shared" si="21"/>
        <v>BP</v>
      </c>
      <c r="D373" s="6">
        <v>7</v>
      </c>
      <c r="E373" s="3">
        <v>0.20588235294117599</v>
      </c>
      <c r="F373" s="3">
        <v>1.0927012539145299E-2</v>
      </c>
      <c r="G373" s="3" t="str">
        <f>"7/836"</f>
        <v>7/836</v>
      </c>
      <c r="H373" s="3" t="str">
        <f>"34/18670"</f>
        <v>34/18670</v>
      </c>
      <c r="I373" s="3">
        <v>6.5584307203415298E-4</v>
      </c>
      <c r="J373" s="3">
        <v>8.8061997504532297E-3</v>
      </c>
      <c r="K373" s="3" t="str">
        <f>"2252/2260/2263/4824/10371/6591/7043"</f>
        <v>2252/2260/2263/4824/10371/6591/7043</v>
      </c>
    </row>
    <row r="374" spans="1:11">
      <c r="A374" s="3" t="str">
        <f>"GO:0031128"</f>
        <v>GO:0031128</v>
      </c>
      <c r="B374" s="3" t="str">
        <f>"developmental induction"</f>
        <v>developmental induction</v>
      </c>
      <c r="C374" s="6" t="str">
        <f t="shared" si="21"/>
        <v>BP</v>
      </c>
      <c r="D374" s="6">
        <v>7</v>
      </c>
      <c r="E374" s="3">
        <v>0.20588235294117599</v>
      </c>
      <c r="F374" s="3">
        <v>1.0927012539145299E-2</v>
      </c>
      <c r="G374" s="3" t="str">
        <f>"7/836"</f>
        <v>7/836</v>
      </c>
      <c r="H374" s="3" t="str">
        <f>"34/18670"</f>
        <v>34/18670</v>
      </c>
      <c r="I374" s="3">
        <v>6.5584307203415298E-4</v>
      </c>
      <c r="J374" s="3">
        <v>8.8061997504532297E-3</v>
      </c>
      <c r="K374" s="3" t="str">
        <f>"652/22943/2260/140628/6092/7472/7482"</f>
        <v>652/22943/2260/140628/6092/7472/7482</v>
      </c>
    </row>
    <row r="375" spans="1:11">
      <c r="A375" s="3" t="str">
        <f>"GO:0048566"</f>
        <v>GO:0048566</v>
      </c>
      <c r="B375" s="3" t="str">
        <f>"embryonic digestive tract development"</f>
        <v>embryonic digestive tract development</v>
      </c>
      <c r="C375" s="6" t="str">
        <f t="shared" si="21"/>
        <v>BP</v>
      </c>
      <c r="D375" s="6">
        <v>7</v>
      </c>
      <c r="E375" s="3">
        <v>0.20588235294117599</v>
      </c>
      <c r="F375" s="3">
        <v>1.0927012539145299E-2</v>
      </c>
      <c r="G375" s="3" t="str">
        <f>"7/836"</f>
        <v>7/836</v>
      </c>
      <c r="H375" s="3" t="str">
        <f>"34/18670"</f>
        <v>34/18670</v>
      </c>
      <c r="I375" s="3">
        <v>6.5584307203415298E-4</v>
      </c>
      <c r="J375" s="3">
        <v>8.8061997504532297E-3</v>
      </c>
      <c r="K375" s="3" t="str">
        <f>"100/2263/2294/2295/5919/348093/6943"</f>
        <v>100/2263/2294/2295/5919/348093/6943</v>
      </c>
    </row>
    <row r="376" spans="1:11">
      <c r="A376" s="3" t="str">
        <f>"GO:0048665"</f>
        <v>GO:0048665</v>
      </c>
      <c r="B376" s="3" t="str">
        <f>"neuron fate specification"</f>
        <v>neuron fate specification</v>
      </c>
      <c r="C376" s="6" t="str">
        <f t="shared" si="21"/>
        <v>BP</v>
      </c>
      <c r="D376" s="6">
        <v>7</v>
      </c>
      <c r="E376" s="3">
        <v>0.20588235294117599</v>
      </c>
      <c r="F376" s="3">
        <v>1.0927012539145299E-2</v>
      </c>
      <c r="G376" s="3" t="str">
        <f>"7/836"</f>
        <v>7/836</v>
      </c>
      <c r="H376" s="3" t="str">
        <f>"34/18670"</f>
        <v>34/18670</v>
      </c>
      <c r="I376" s="3">
        <v>6.5584307203415298E-4</v>
      </c>
      <c r="J376" s="3">
        <v>8.8061997504532297E-3</v>
      </c>
      <c r="K376" s="3" t="str">
        <f>"54738/3169/3236/64843/3110/23040/4916"</f>
        <v>54738/3169/3236/64843/3110/23040/4916</v>
      </c>
    </row>
    <row r="377" spans="1:11">
      <c r="A377" s="3" t="str">
        <f>"GO:0098901"</f>
        <v>GO:0098901</v>
      </c>
      <c r="B377" s="3" t="str">
        <f>"regulation of cardiac muscle cell action potential"</f>
        <v>regulation of cardiac muscle cell action potential</v>
      </c>
      <c r="C377" s="6" t="str">
        <f t="shared" si="21"/>
        <v>BP</v>
      </c>
      <c r="D377" s="6">
        <v>7</v>
      </c>
      <c r="E377" s="3">
        <v>0.20588235294117599</v>
      </c>
      <c r="F377" s="3">
        <v>1.0927012539145299E-2</v>
      </c>
      <c r="G377" s="3" t="str">
        <f>"7/836"</f>
        <v>7/836</v>
      </c>
      <c r="H377" s="3" t="str">
        <f>"34/18670"</f>
        <v>34/18670</v>
      </c>
      <c r="I377" s="3">
        <v>6.5584307203415298E-4</v>
      </c>
      <c r="J377" s="3">
        <v>8.8061997504532297E-3</v>
      </c>
      <c r="K377" s="3" t="str">
        <f>"287/857/1824/10008/6262/7871/54795"</f>
        <v>287/857/1824/10008/6262/7871/54795</v>
      </c>
    </row>
    <row r="378" spans="1:11">
      <c r="A378" s="3" t="str">
        <f>"GO:0044060"</f>
        <v>GO:0044060</v>
      </c>
      <c r="B378" s="3" t="str">
        <f>"regulation of endocrine process"</f>
        <v>regulation of endocrine process</v>
      </c>
      <c r="C378" s="6" t="str">
        <f t="shared" si="21"/>
        <v>BP</v>
      </c>
      <c r="D378" s="6">
        <v>8</v>
      </c>
      <c r="E378" s="3">
        <v>0.18181818181818199</v>
      </c>
      <c r="F378" s="3">
        <v>1.09631282151369E-2</v>
      </c>
      <c r="G378" s="3" t="str">
        <f>"8/836"</f>
        <v>8/836</v>
      </c>
      <c r="H378" s="3" t="str">
        <f>"44/18670"</f>
        <v>44/18670</v>
      </c>
      <c r="I378" s="3">
        <v>6.6024129230529498E-4</v>
      </c>
      <c r="J378" s="3">
        <v>8.8353057714965298E-3</v>
      </c>
      <c r="K378" s="3" t="str">
        <f>"114897/2260/51083/2587/4824/81285/6863/6865"</f>
        <v>114897/2260/51083/2587/4824/81285/6863/6865</v>
      </c>
    </row>
    <row r="379" spans="1:11">
      <c r="A379" s="3" t="str">
        <f>"GO:0072171"</f>
        <v>GO:0072171</v>
      </c>
      <c r="B379" s="3" t="str">
        <f>"mesonephric tubule morphogenesis"</f>
        <v>mesonephric tubule morphogenesis</v>
      </c>
      <c r="C379" s="6" t="str">
        <f t="shared" si="21"/>
        <v>BP</v>
      </c>
      <c r="D379" s="6">
        <v>10</v>
      </c>
      <c r="E379" s="3">
        <v>0.15151515151515199</v>
      </c>
      <c r="F379" s="3">
        <v>1.1012177825188801E-2</v>
      </c>
      <c r="G379" s="3" t="str">
        <f>"10/836"</f>
        <v>10/836</v>
      </c>
      <c r="H379" s="3" t="str">
        <f>"66/18670"</f>
        <v>66/18670</v>
      </c>
      <c r="I379" s="3">
        <v>6.6543577092188701E-4</v>
      </c>
      <c r="J379" s="3">
        <v>8.8748353924474905E-3</v>
      </c>
      <c r="K379" s="3" t="str">
        <f>"652/79633/2247/55083/5228/4070/6943/7481/7482/7490"</f>
        <v>652/79633/2247/55083/5228/4070/6943/7481/7482/7490</v>
      </c>
    </row>
    <row r="380" spans="1:11">
      <c r="A380" s="3" t="str">
        <f>"GO:0001505"</f>
        <v>GO:0001505</v>
      </c>
      <c r="B380" s="3" t="str">
        <f>"regulation of neurotransmitter levels"</f>
        <v>regulation of neurotransmitter levels</v>
      </c>
      <c r="C380" s="6" t="str">
        <f t="shared" si="21"/>
        <v>BP</v>
      </c>
      <c r="D380" s="6">
        <v>30</v>
      </c>
      <c r="E380" s="3">
        <v>8.4507042253521097E-2</v>
      </c>
      <c r="F380" s="3">
        <v>1.10423742737889E-2</v>
      </c>
      <c r="G380" s="3" t="str">
        <f>"30/836"</f>
        <v>30/836</v>
      </c>
      <c r="H380" s="3" t="str">
        <f>"355/18670"</f>
        <v>355/18670</v>
      </c>
      <c r="I380" s="3">
        <v>6.73774380527995E-4</v>
      </c>
      <c r="J380" s="3">
        <v>8.8991710429443295E-3</v>
      </c>
      <c r="K380" s="3" t="str">
        <f>"148/321/477/8618/857/55349/1191/1524/2824/4129/4842/25953/55607/5579/5740/5799/5865/9104/80736/23657/6623/415117/9900/6853/6857/23208/9066/143425/6865/114088"</f>
        <v>148/321/477/8618/857/55349/1191/1524/2824/4129/4842/25953/55607/5579/5740/5799/5865/9104/80736/23657/6623/415117/9900/6853/6857/23208/9066/143425/6865/114088</v>
      </c>
    </row>
    <row r="381" spans="1:11">
      <c r="A381" s="3" t="str">
        <f>"GO:0050901"</f>
        <v>GO:0050901</v>
      </c>
      <c r="B381" s="3" t="str">
        <f>"leukocyte tethering or rolling"</f>
        <v>leukocyte tethering or rolling</v>
      </c>
      <c r="C381" s="6" t="str">
        <f t="shared" si="21"/>
        <v>BP</v>
      </c>
      <c r="D381" s="6">
        <v>6</v>
      </c>
      <c r="E381" s="3">
        <v>0.24</v>
      </c>
      <c r="F381" s="3">
        <v>1.10423742737889E-2</v>
      </c>
      <c r="G381" s="3" t="str">
        <f>"6/836"</f>
        <v>6/836</v>
      </c>
      <c r="H381" s="3" t="str">
        <f>"25/18670"</f>
        <v>25/18670</v>
      </c>
      <c r="I381" s="3">
        <v>6.7428777786640505E-4</v>
      </c>
      <c r="J381" s="3">
        <v>8.8991710429443295E-3</v>
      </c>
      <c r="K381" s="3" t="str">
        <f>"6366/1524/6387/1991/2650/3676"</f>
        <v>6366/1524/6387/1991/2650/3676</v>
      </c>
    </row>
    <row r="382" spans="1:11">
      <c r="A382" s="3" t="str">
        <f>"GO:0060571"</f>
        <v>GO:0060571</v>
      </c>
      <c r="B382" s="3" t="str">
        <f>"morphogenesis of an epithelial fold"</f>
        <v>morphogenesis of an epithelial fold</v>
      </c>
      <c r="C382" s="6" t="str">
        <f t="shared" si="21"/>
        <v>BP</v>
      </c>
      <c r="D382" s="6">
        <v>6</v>
      </c>
      <c r="E382" s="3">
        <v>0.24</v>
      </c>
      <c r="F382" s="3">
        <v>1.10423742737889E-2</v>
      </c>
      <c r="G382" s="3" t="str">
        <f>"6/836"</f>
        <v>6/836</v>
      </c>
      <c r="H382" s="3" t="str">
        <f>"25/18670"</f>
        <v>25/18670</v>
      </c>
      <c r="I382" s="3">
        <v>6.7428777786640505E-4</v>
      </c>
      <c r="J382" s="3">
        <v>8.8991710429443295E-3</v>
      </c>
      <c r="K382" s="3" t="str">
        <f>"652/653/2263/3239/7472/7482"</f>
        <v>652/653/2263/3239/7472/7482</v>
      </c>
    </row>
    <row r="383" spans="1:11">
      <c r="A383" s="3" t="str">
        <f>"GO:0072028"</f>
        <v>GO:0072028</v>
      </c>
      <c r="B383" s="3" t="str">
        <f>"nephron morphogenesis"</f>
        <v>nephron morphogenesis</v>
      </c>
      <c r="C383" s="6" t="str">
        <f t="shared" si="21"/>
        <v>BP</v>
      </c>
      <c r="D383" s="6">
        <v>11</v>
      </c>
      <c r="E383" s="3">
        <v>0.141025641025641</v>
      </c>
      <c r="F383" s="3">
        <v>1.10423742737889E-2</v>
      </c>
      <c r="G383" s="3" t="str">
        <f>"11/836"</f>
        <v>11/836</v>
      </c>
      <c r="H383" s="3" t="str">
        <f>"78/18670"</f>
        <v>78/18670</v>
      </c>
      <c r="I383" s="3">
        <v>6.8064808235973205E-4</v>
      </c>
      <c r="J383" s="3">
        <v>8.8991710429443295E-3</v>
      </c>
      <c r="K383" s="3" t="str">
        <f>"652/79633/2247/153572/55083/5228/4070/6943/7481/7482/7490"</f>
        <v>652/79633/2247/153572/55083/5228/4070/6943/7481/7482/7490</v>
      </c>
    </row>
    <row r="384" spans="1:11">
      <c r="A384" s="3" t="str">
        <f>"GO:0035296"</f>
        <v>GO:0035296</v>
      </c>
      <c r="B384" s="3" t="str">
        <f>"regulation of tube diameter"</f>
        <v>regulation of tube diameter</v>
      </c>
      <c r="C384" s="6" t="str">
        <f t="shared" si="21"/>
        <v>BP</v>
      </c>
      <c r="D384" s="6">
        <v>16</v>
      </c>
      <c r="E384" s="3">
        <v>0.111888111888112</v>
      </c>
      <c r="F384" s="3">
        <v>1.10423742737889E-2</v>
      </c>
      <c r="G384" s="3" t="str">
        <f>"16/836"</f>
        <v>16/836</v>
      </c>
      <c r="H384" s="3" t="str">
        <f>"143/18670"</f>
        <v>143/18670</v>
      </c>
      <c r="I384" s="3">
        <v>6.8074046896399805E-4</v>
      </c>
      <c r="J384" s="3">
        <v>8.8991710429443295E-3</v>
      </c>
      <c r="K384" s="3" t="str">
        <f>"148/153/155/477/857/1131/1908/1910/3672/3778/3779/4842/4880/5592/6546/54795"</f>
        <v>148/153/155/477/857/1131/1908/1910/3672/3778/3779/4842/4880/5592/6546/54795</v>
      </c>
    </row>
    <row r="385" spans="1:11">
      <c r="A385" s="3" t="str">
        <f>"GO:0097746"</f>
        <v>GO:0097746</v>
      </c>
      <c r="B385" s="3" t="str">
        <f>"regulation of blood vessel diameter"</f>
        <v>regulation of blood vessel diameter</v>
      </c>
      <c r="C385" s="6" t="str">
        <f t="shared" si="21"/>
        <v>BP</v>
      </c>
      <c r="D385" s="6">
        <v>16</v>
      </c>
      <c r="E385" s="3">
        <v>0.111888111888112</v>
      </c>
      <c r="F385" s="3">
        <v>1.10423742737889E-2</v>
      </c>
      <c r="G385" s="3" t="str">
        <f>"16/836"</f>
        <v>16/836</v>
      </c>
      <c r="H385" s="3" t="str">
        <f>"143/18670"</f>
        <v>143/18670</v>
      </c>
      <c r="I385" s="3">
        <v>6.8074046896399805E-4</v>
      </c>
      <c r="J385" s="3">
        <v>8.8991710429443295E-3</v>
      </c>
      <c r="K385" s="3" t="str">
        <f>"148/153/155/477/857/1131/1908/1910/3672/3778/3779/4842/4880/5592/6546/54795"</f>
        <v>148/153/155/477/857/1131/1908/1910/3672/3778/3779/4842/4880/5592/6546/54795</v>
      </c>
    </row>
    <row r="386" spans="1:11">
      <c r="A386" s="3" t="str">
        <f>"GO:0035988"</f>
        <v>GO:0035988</v>
      </c>
      <c r="B386" s="3" t="str">
        <f>"chondrocyte proliferation"</f>
        <v>chondrocyte proliferation</v>
      </c>
      <c r="C386" s="6" t="str">
        <f t="shared" si="21"/>
        <v>BP</v>
      </c>
      <c r="D386" s="6">
        <v>5</v>
      </c>
      <c r="E386" s="3">
        <v>0.29411764705882398</v>
      </c>
      <c r="F386" s="3">
        <v>1.13423243946691E-2</v>
      </c>
      <c r="G386" s="3" t="str">
        <f>"5/836"</f>
        <v>5/836</v>
      </c>
      <c r="H386" s="3" t="str">
        <f>"17/18670"</f>
        <v>17/18670</v>
      </c>
      <c r="I386" s="3">
        <v>7.0153949460415098E-4</v>
      </c>
      <c r="J386" s="3">
        <v>9.1409041488761094E-3</v>
      </c>
      <c r="K386" s="3" t="str">
        <f>"658/4921/8091/4323/4325"</f>
        <v>658/4921/8091/4323/4325</v>
      </c>
    </row>
    <row r="387" spans="1:11">
      <c r="A387" s="3" t="str">
        <f>"GO:0046879"</f>
        <v>GO:0046879</v>
      </c>
      <c r="B387" s="3" t="str">
        <f>"hormone secretion"</f>
        <v>hormone secretion</v>
      </c>
      <c r="C387" s="6" t="str">
        <f t="shared" si="21"/>
        <v>BP</v>
      </c>
      <c r="D387" s="6">
        <v>27</v>
      </c>
      <c r="E387" s="3">
        <v>8.7662337662337705E-2</v>
      </c>
      <c r="F387" s="3">
        <v>1.1395725536601099E-2</v>
      </c>
      <c r="G387" s="3" t="str">
        <f>"27/836"</f>
        <v>27/836</v>
      </c>
      <c r="H387" s="3" t="str">
        <f>"308/18670"</f>
        <v>308/18670</v>
      </c>
      <c r="I387" s="3">
        <v>7.0716099464157101E-4</v>
      </c>
      <c r="J387" s="3">
        <v>9.1839407172950201E-3</v>
      </c>
      <c r="K387" s="3" t="str">
        <f>"114897/773/1803/1908/131177/2867/2260/51083/2587/2645/3382/286676/6453/3745/3747/8425/4824/5578/5799/5950/133308/9066/143425/6863/6865/54795/7447"</f>
        <v>114897/773/1803/1908/131177/2867/2260/51083/2587/2645/3382/286676/6453/3745/3747/8425/4824/5578/5799/5950/133308/9066/143425/6863/6865/54795/7447</v>
      </c>
    </row>
    <row r="388" spans="1:11">
      <c r="A388" s="3" t="str">
        <f>"GO:0015459"</f>
        <v>GO:0015459</v>
      </c>
      <c r="B388" s="3" t="str">
        <f>"potassium channel regulator activity"</f>
        <v>potassium channel regulator activity</v>
      </c>
      <c r="C388" s="6" t="str">
        <f>"MF"</f>
        <v>MF</v>
      </c>
      <c r="D388" s="6">
        <v>9</v>
      </c>
      <c r="E388" s="3">
        <v>0.17307692307692299</v>
      </c>
      <c r="F388" s="3">
        <v>1.16878900500164E-2</v>
      </c>
      <c r="G388" s="3" t="str">
        <f>"9/813"</f>
        <v>9/813</v>
      </c>
      <c r="H388" s="3" t="str">
        <f>"52/17696"</f>
        <v>52/17696</v>
      </c>
      <c r="I388" s="3">
        <v>5.4229526483592601E-4</v>
      </c>
      <c r="J388" s="3">
        <v>1.04102664413102E-2</v>
      </c>
      <c r="K388" s="3" t="str">
        <f>"857/57628/1804/7881/10008/23630/30818/3779/23327"</f>
        <v>857/57628/1804/7881/10008/23630/30818/3779/23327</v>
      </c>
    </row>
    <row r="389" spans="1:11">
      <c r="A389" s="3" t="str">
        <f>"GO:0035150"</f>
        <v>GO:0035150</v>
      </c>
      <c r="B389" s="3" t="str">
        <f>"regulation of tube size"</f>
        <v>regulation of tube size</v>
      </c>
      <c r="C389" s="6" t="str">
        <f t="shared" ref="C389:C395" si="22">"BP"</f>
        <v>BP</v>
      </c>
      <c r="D389" s="6">
        <v>16</v>
      </c>
      <c r="E389" s="3">
        <v>0.11111111111111099</v>
      </c>
      <c r="F389" s="3">
        <v>1.18019545558699E-2</v>
      </c>
      <c r="G389" s="3" t="str">
        <f>"16/836"</f>
        <v>16/836</v>
      </c>
      <c r="H389" s="3" t="str">
        <f>"144/18670"</f>
        <v>144/18670</v>
      </c>
      <c r="I389" s="3">
        <v>7.3477072107755697E-4</v>
      </c>
      <c r="J389" s="3">
        <v>9.5113251579458102E-3</v>
      </c>
      <c r="K389" s="3" t="str">
        <f>"148/153/155/477/857/1131/1908/1910/3672/3778/3779/4842/4880/5592/6546/54795"</f>
        <v>148/153/155/477/857/1131/1908/1910/3672/3778/3779/4842/4880/5592/6546/54795</v>
      </c>
    </row>
    <row r="390" spans="1:11">
      <c r="A390" s="3" t="str">
        <f>"GO:0051480"</f>
        <v>GO:0051480</v>
      </c>
      <c r="B390" s="3" t="str">
        <f>"regulation of cytosolic calcium ion concentration"</f>
        <v>regulation of cytosolic calcium ion concentration</v>
      </c>
      <c r="C390" s="6" t="str">
        <f t="shared" si="22"/>
        <v>BP</v>
      </c>
      <c r="D390" s="6">
        <v>30</v>
      </c>
      <c r="E390" s="3">
        <v>8.40336134453782E-2</v>
      </c>
      <c r="F390" s="3">
        <v>1.1815697182259799E-2</v>
      </c>
      <c r="G390" s="3" t="str">
        <f>"30/836"</f>
        <v>30/836</v>
      </c>
      <c r="H390" s="3" t="str">
        <f>"357/18670"</f>
        <v>357/18670</v>
      </c>
      <c r="I390" s="3">
        <v>7.3803032247279096E-4</v>
      </c>
      <c r="J390" s="3">
        <v>9.5224004919085004E-3</v>
      </c>
      <c r="K390" s="3" t="str">
        <f>"148/287/477/114897/773/857/6366/57214/1524/10563/2833/1910/2247/2587/9170/931/4842/5350/5732/5737/6262/1903/159371/6546/6863/130733/7220/7223/54795/55503"</f>
        <v>148/287/477/114897/773/857/6366/57214/1524/10563/2833/1910/2247/2587/9170/931/4842/5350/5732/5737/6262/1903/159371/6546/6863/130733/7220/7223/54795/55503</v>
      </c>
    </row>
    <row r="391" spans="1:11">
      <c r="A391" s="3" t="str">
        <f>"GO:0003151"</f>
        <v>GO:0003151</v>
      </c>
      <c r="B391" s="3" t="str">
        <f>"outflow tract morphogenesis"</f>
        <v>outflow tract morphogenesis</v>
      </c>
      <c r="C391" s="6" t="str">
        <f t="shared" si="22"/>
        <v>BP</v>
      </c>
      <c r="D391" s="6">
        <v>11</v>
      </c>
      <c r="E391" s="3">
        <v>0.139240506329114</v>
      </c>
      <c r="F391" s="3">
        <v>1.21179006446176E-2</v>
      </c>
      <c r="G391" s="3" t="str">
        <f>"11/836"</f>
        <v>11/836</v>
      </c>
      <c r="H391" s="3" t="str">
        <f>"79/18670"</f>
        <v>79/18670</v>
      </c>
      <c r="I391" s="3">
        <v>7.5937200377257602E-4</v>
      </c>
      <c r="J391" s="3">
        <v>9.7659495905543497E-3</v>
      </c>
      <c r="K391" s="3" t="str">
        <f>"652/2263/2627/8828/5308/6092/6423/6899/6909/7049/7481"</f>
        <v>652/2263/2627/8828/5308/6092/6423/6899/6909/7049/7481</v>
      </c>
    </row>
    <row r="392" spans="1:11">
      <c r="A392" s="3" t="str">
        <f>"GO:0050769"</f>
        <v>GO:0050769</v>
      </c>
      <c r="B392" s="3" t="str">
        <f>"positive regulation of neurogenesis"</f>
        <v>positive regulation of neurogenesis</v>
      </c>
      <c r="C392" s="6" t="str">
        <f t="shared" si="22"/>
        <v>BP</v>
      </c>
      <c r="D392" s="6">
        <v>37</v>
      </c>
      <c r="E392" s="3">
        <v>7.8059071729957796E-2</v>
      </c>
      <c r="F392" s="3">
        <v>1.21604167241533E-2</v>
      </c>
      <c r="G392" s="3" t="str">
        <f>"37/836"</f>
        <v>37/836</v>
      </c>
      <c r="H392" s="3" t="str">
        <f>"474/18670"</f>
        <v>474/18670</v>
      </c>
      <c r="I392" s="3">
        <v>7.6924686182655805E-4</v>
      </c>
      <c r="J392" s="3">
        <v>9.8002137673049907E-3</v>
      </c>
      <c r="K392" s="3" t="str">
        <f>"443/627/652/653/1272/57699/1524/6387/1600/22943/1745/1746/80237/2042/2119/9638/2260/3169/6453/57554/4131/79625/23327/257194/4914/4916/64805/5468/55607/5753/7732/6092/10371/5270/11075/6857/9839"</f>
        <v>443/627/652/653/1272/57699/1524/6387/1600/22943/1745/1746/80237/2042/2119/9638/2260/3169/6453/57554/4131/79625/23327/257194/4914/4916/64805/5468/55607/5753/7732/6092/10371/5270/11075/6857/9839</v>
      </c>
    </row>
    <row r="393" spans="1:11">
      <c r="A393" s="3" t="str">
        <f>"GO:0050920"</f>
        <v>GO:0050920</v>
      </c>
      <c r="B393" s="3" t="str">
        <f>"regulation of chemotaxis"</f>
        <v>regulation of chemotaxis</v>
      </c>
      <c r="C393" s="6" t="str">
        <f t="shared" si="22"/>
        <v>BP</v>
      </c>
      <c r="D393" s="6">
        <v>21</v>
      </c>
      <c r="E393" s="3">
        <v>9.6774193548387094E-2</v>
      </c>
      <c r="F393" s="3">
        <v>1.21604167241533E-2</v>
      </c>
      <c r="G393" s="3" t="str">
        <f>"21/836"</f>
        <v>21/836</v>
      </c>
      <c r="H393" s="3" t="str">
        <f>"217/18670"</f>
        <v>217/18670</v>
      </c>
      <c r="I393" s="3">
        <v>7.7165019126163796E-4</v>
      </c>
      <c r="J393" s="3">
        <v>9.8002137673049907E-3</v>
      </c>
      <c r="K393" s="3" t="str">
        <f>"196527/6366/6387/10563/1908/1991/2247/2260/3603/83700/4916/64805/5228/7941/5919/9750/6092/10371/9723/80031/7060"</f>
        <v>196527/6366/6387/10563/1908/1991/2247/2260/3603/83700/4916/64805/5228/7941/5919/9750/6092/10371/9723/80031/7060</v>
      </c>
    </row>
    <row r="394" spans="1:11">
      <c r="A394" s="3" t="str">
        <f>"GO:0035987"</f>
        <v>GO:0035987</v>
      </c>
      <c r="B394" s="3" t="str">
        <f>"endodermal cell differentiation"</f>
        <v>endodermal cell differentiation</v>
      </c>
      <c r="C394" s="6" t="str">
        <f t="shared" si="22"/>
        <v>BP</v>
      </c>
      <c r="D394" s="6">
        <v>8</v>
      </c>
      <c r="E394" s="3">
        <v>0.17777777777777801</v>
      </c>
      <c r="F394" s="3">
        <v>1.21604167241533E-2</v>
      </c>
      <c r="G394" s="3" t="str">
        <f>"8/836"</f>
        <v>8/836</v>
      </c>
      <c r="H394" s="3" t="str">
        <f>"45/18670"</f>
        <v>45/18670</v>
      </c>
      <c r="I394" s="3">
        <v>7.7193286224533602E-4</v>
      </c>
      <c r="J394" s="3">
        <v>9.8002137673049907E-3</v>
      </c>
      <c r="K394" s="3" t="str">
        <f>"1290/1291/22943/2627/8091/3676/3912/4323"</f>
        <v>1290/1291/22943/2627/8091/3676/3912/4323</v>
      </c>
    </row>
    <row r="395" spans="1:11">
      <c r="A395" s="3" t="str">
        <f>"GO:1900274"</f>
        <v>GO:1900274</v>
      </c>
      <c r="B395" s="3" t="str">
        <f>"regulation of phospholipase C activity"</f>
        <v>regulation of phospholipase C activity</v>
      </c>
      <c r="C395" s="6" t="str">
        <f t="shared" si="22"/>
        <v>BP</v>
      </c>
      <c r="D395" s="6">
        <v>8</v>
      </c>
      <c r="E395" s="3">
        <v>0.17777777777777801</v>
      </c>
      <c r="F395" s="3">
        <v>1.21604167241533E-2</v>
      </c>
      <c r="G395" s="3" t="str">
        <f>"8/836"</f>
        <v>8/836</v>
      </c>
      <c r="H395" s="3" t="str">
        <f>"45/18670"</f>
        <v>45/18670</v>
      </c>
      <c r="I395" s="3">
        <v>7.7193286224533602E-4</v>
      </c>
      <c r="J395" s="3">
        <v>9.8002137673049907E-3</v>
      </c>
      <c r="K395" s="3" t="str">
        <f>"148/627/636/2247/2260/9170/4916/64805"</f>
        <v>148/627/636/2247/2260/9170/4916/64805</v>
      </c>
    </row>
    <row r="396" spans="1:11">
      <c r="A396" s="3" t="str">
        <f>"GO:0016010"</f>
        <v>GO:0016010</v>
      </c>
      <c r="B396" s="3" t="str">
        <f>"dystrophin-associated glycoprotein complex"</f>
        <v>dystrophin-associated glycoprotein complex</v>
      </c>
      <c r="C396" s="6" t="str">
        <f>"CC"</f>
        <v>CC</v>
      </c>
      <c r="D396" s="6">
        <v>5</v>
      </c>
      <c r="E396" s="3">
        <v>0.26315789473684198</v>
      </c>
      <c r="F396" s="3">
        <v>1.2230768322111099E-2</v>
      </c>
      <c r="G396" s="3" t="str">
        <f>"5/873"</f>
        <v>5/873</v>
      </c>
      <c r="H396" s="3" t="str">
        <f>"19/19717"</f>
        <v>19/19717</v>
      </c>
      <c r="I396" s="3">
        <v>1.16393028899785E-3</v>
      </c>
      <c r="J396" s="3">
        <v>9.6017752197024003E-3</v>
      </c>
      <c r="K396" s="3" t="str">
        <f>"5239/6442/6443/6444/6445"</f>
        <v>5239/6442/6443/6444/6445</v>
      </c>
    </row>
    <row r="397" spans="1:11">
      <c r="A397" s="3" t="str">
        <f>"GO:0090665"</f>
        <v>GO:0090665</v>
      </c>
      <c r="B397" s="3" t="str">
        <f>"glycoprotein complex"</f>
        <v>glycoprotein complex</v>
      </c>
      <c r="C397" s="6" t="str">
        <f>"CC"</f>
        <v>CC</v>
      </c>
      <c r="D397" s="6">
        <v>5</v>
      </c>
      <c r="E397" s="3">
        <v>0.26315789473684198</v>
      </c>
      <c r="F397" s="3">
        <v>1.2230768322111099E-2</v>
      </c>
      <c r="G397" s="3" t="str">
        <f>"5/873"</f>
        <v>5/873</v>
      </c>
      <c r="H397" s="3" t="str">
        <f>"19/19717"</f>
        <v>19/19717</v>
      </c>
      <c r="I397" s="3">
        <v>1.16393028899785E-3</v>
      </c>
      <c r="J397" s="3">
        <v>9.6017752197024003E-3</v>
      </c>
      <c r="K397" s="3" t="str">
        <f>"5239/6442/6443/6444/6445"</f>
        <v>5239/6442/6443/6444/6445</v>
      </c>
    </row>
    <row r="398" spans="1:11">
      <c r="A398" s="3" t="str">
        <f>"GO:0098793"</f>
        <v>GO:0098793</v>
      </c>
      <c r="B398" s="3" t="str">
        <f>"presynapse"</f>
        <v>presynapse</v>
      </c>
      <c r="C398" s="6" t="str">
        <f>"CC"</f>
        <v>CC</v>
      </c>
      <c r="D398" s="6">
        <v>37</v>
      </c>
      <c r="E398" s="3">
        <v>7.5356415478615102E-2</v>
      </c>
      <c r="F398" s="3">
        <v>1.2230768322111099E-2</v>
      </c>
      <c r="G398" s="3" t="str">
        <f>"37/873"</f>
        <v>37/873</v>
      </c>
      <c r="H398" s="3" t="str">
        <f>"491/19717"</f>
        <v>491/19717</v>
      </c>
      <c r="I398" s="3">
        <v>1.1976816000709299E-3</v>
      </c>
      <c r="J398" s="3">
        <v>9.6017752197024003E-3</v>
      </c>
      <c r="K398" s="3" t="str">
        <f>"148/321/627/10882/8618/1008/1000/1056/1131/1272/53826/2823/2897/3382/6453/3747/30818/3760/4842/5179/5579/5799/5865/7732/6456/133308/85439/415117/9900/6853/9144/6857/23208/9066/143425/23043/114088"</f>
        <v>148/321/627/10882/8618/1008/1000/1056/1131/1272/53826/2823/2897/3382/6453/3747/30818/3760/4842/5179/5579/5799/5865/7732/6456/133308/85439/415117/9900/6853/9144/6857/23208/9066/143425/23043/114088</v>
      </c>
    </row>
    <row r="399" spans="1:11">
      <c r="A399" s="3" t="str">
        <f>"GO:0044298"</f>
        <v>GO:0044298</v>
      </c>
      <c r="B399" s="3" t="str">
        <f>"cell body membrane"</f>
        <v>cell body membrane</v>
      </c>
      <c r="C399" s="6" t="str">
        <f>"CC"</f>
        <v>CC</v>
      </c>
      <c r="D399" s="6">
        <v>6</v>
      </c>
      <c r="E399" s="3">
        <v>0.214285714285714</v>
      </c>
      <c r="F399" s="3">
        <v>1.2230768322111099E-2</v>
      </c>
      <c r="G399" s="3" t="str">
        <f>"6/873"</f>
        <v>6/873</v>
      </c>
      <c r="H399" s="3" t="str">
        <f>"28/19717"</f>
        <v>28/19717</v>
      </c>
      <c r="I399" s="3">
        <v>1.2076598973513001E-3</v>
      </c>
      <c r="J399" s="3">
        <v>9.6017752197024003E-3</v>
      </c>
      <c r="K399" s="3" t="str">
        <f>"1524/3745/3747/10008/64805/90249"</f>
        <v>1524/3745/3747/10008/64805/90249</v>
      </c>
    </row>
    <row r="400" spans="1:11">
      <c r="A400" s="3" t="str">
        <f>"GO:0003203"</f>
        <v>GO:0003203</v>
      </c>
      <c r="B400" s="3" t="str">
        <f>"endocardial cushion morphogenesis"</f>
        <v>endocardial cushion morphogenesis</v>
      </c>
      <c r="C400" s="6" t="str">
        <f t="shared" ref="C400:C411" si="23">"BP"</f>
        <v>BP</v>
      </c>
      <c r="D400" s="6">
        <v>7</v>
      </c>
      <c r="E400" s="3">
        <v>0.2</v>
      </c>
      <c r="F400" s="3">
        <v>1.23818189458591E-2</v>
      </c>
      <c r="G400" s="3" t="str">
        <f>"7/836"</f>
        <v>7/836</v>
      </c>
      <c r="H400" s="3" t="str">
        <f>"35/18670"</f>
        <v>35/18670</v>
      </c>
      <c r="I400" s="3">
        <v>7.8850647610455998E-4</v>
      </c>
      <c r="J400" s="3">
        <v>9.9786442562013102E-3</v>
      </c>
      <c r="K400" s="3" t="str">
        <f>"653/140628/23462/6092/6591/6909/55273"</f>
        <v>653/140628/23462/6092/6591/6909/55273</v>
      </c>
    </row>
    <row r="401" spans="1:11">
      <c r="A401" s="3" t="str">
        <f>"GO:0042445"</f>
        <v>GO:0042445</v>
      </c>
      <c r="B401" s="3" t="str">
        <f>"hormone metabolic process"</f>
        <v>hormone metabolic process</v>
      </c>
      <c r="C401" s="6" t="str">
        <f t="shared" si="23"/>
        <v>BP</v>
      </c>
      <c r="D401" s="6">
        <v>22</v>
      </c>
      <c r="E401" s="3">
        <v>9.4420600858369105E-2</v>
      </c>
      <c r="F401" s="3">
        <v>1.27238618722608E-2</v>
      </c>
      <c r="G401" s="3" t="str">
        <f>"22/836"</f>
        <v>22/836</v>
      </c>
      <c r="H401" s="3" t="str">
        <f>"233/18670"</f>
        <v>233/18670</v>
      </c>
      <c r="I401" s="3">
        <v>8.1374434852367599E-4</v>
      </c>
      <c r="J401" s="3">
        <v>1.0254300417693899E-2</v>
      </c>
      <c r="K401" s="3" t="str">
        <f>"125/126/653/1066/1359/1583/8528/27122/2028/2260/3169/2304/51083/2672/3249/3290/10891/5947/5950/8608/80736/6783"</f>
        <v>125/126/653/1066/1359/1583/8528/27122/2028/2260/3169/2304/51083/2672/3249/3290/10891/5947/5950/8608/80736/6783</v>
      </c>
    </row>
    <row r="402" spans="1:11">
      <c r="A402" s="3" t="str">
        <f>"GO:0032956"</f>
        <v>GO:0032956</v>
      </c>
      <c r="B402" s="3" t="str">
        <f>"regulation of actin cytoskeleton organization"</f>
        <v>regulation of actin cytoskeleton organization</v>
      </c>
      <c r="C402" s="6" t="str">
        <f t="shared" si="23"/>
        <v>BP</v>
      </c>
      <c r="D402" s="6">
        <v>29</v>
      </c>
      <c r="E402" s="3">
        <v>8.4548104956268202E-2</v>
      </c>
      <c r="F402" s="3">
        <v>1.27238618722608E-2</v>
      </c>
      <c r="G402" s="3" t="str">
        <f>"29/836"</f>
        <v>29/836</v>
      </c>
      <c r="H402" s="3" t="str">
        <f>"343/18670"</f>
        <v>343/18670</v>
      </c>
      <c r="I402" s="3">
        <v>8.1546622375628904E-4</v>
      </c>
      <c r="J402" s="3">
        <v>1.0254300417693899E-2</v>
      </c>
      <c r="K402" s="3" t="str">
        <f>"55971/684/6366/10602/1073/6387/2042/11170/80206/2824/10788/83700/163782/25802/4916/130271/22843/55607/5881/57381/390/9723/285590/440335/171024/6863/4070/7043/7481"</f>
        <v>55971/684/6366/10602/1073/6387/2042/11170/80206/2824/10788/83700/163782/25802/4916/130271/22843/55607/5881/57381/390/9723/285590/440335/171024/6863/4070/7043/7481</v>
      </c>
    </row>
    <row r="403" spans="1:11">
      <c r="A403" s="3" t="str">
        <f>"GO:0010460"</f>
        <v>GO:0010460</v>
      </c>
      <c r="B403" s="3" t="str">
        <f>"positive regulation of heart rate"</f>
        <v>positive regulation of heart rate</v>
      </c>
      <c r="C403" s="6" t="str">
        <f t="shared" si="23"/>
        <v>BP</v>
      </c>
      <c r="D403" s="6">
        <v>6</v>
      </c>
      <c r="E403" s="3">
        <v>0.230769230769231</v>
      </c>
      <c r="F403" s="3">
        <v>1.3030278897527199E-2</v>
      </c>
      <c r="G403" s="3" t="str">
        <f>"6/836"</f>
        <v>6/836</v>
      </c>
      <c r="H403" s="3" t="str">
        <f>"26/18670"</f>
        <v>26/18670</v>
      </c>
      <c r="I403" s="3">
        <v>8.4369262976904404E-4</v>
      </c>
      <c r="J403" s="3">
        <v>1.05012452730941E-2</v>
      </c>
      <c r="K403" s="3" t="str">
        <f>"100/148/153/1908/6262/54795"</f>
        <v>100/148/153/1908/6262/54795</v>
      </c>
    </row>
    <row r="404" spans="1:11">
      <c r="A404" s="3" t="str">
        <f>"GO:0030318"</f>
        <v>GO:0030318</v>
      </c>
      <c r="B404" s="3" t="str">
        <f>"melanocyte differentiation"</f>
        <v>melanocyte differentiation</v>
      </c>
      <c r="C404" s="6" t="str">
        <f t="shared" si="23"/>
        <v>BP</v>
      </c>
      <c r="D404" s="6">
        <v>6</v>
      </c>
      <c r="E404" s="3">
        <v>0.230769230769231</v>
      </c>
      <c r="F404" s="3">
        <v>1.3030278897527199E-2</v>
      </c>
      <c r="G404" s="3" t="str">
        <f>"6/836"</f>
        <v>6/836</v>
      </c>
      <c r="H404" s="3" t="str">
        <f>"26/18670"</f>
        <v>26/18670</v>
      </c>
      <c r="I404" s="3">
        <v>8.4369262976904404E-4</v>
      </c>
      <c r="J404" s="3">
        <v>1.05012452730941E-2</v>
      </c>
      <c r="K404" s="3" t="str">
        <f>"1908/1910/4254/4948/81285/9839"</f>
        <v>1908/1910/4254/4948/81285/9839</v>
      </c>
    </row>
    <row r="405" spans="1:11">
      <c r="A405" s="3" t="str">
        <f>"GO:0021537"</f>
        <v>GO:0021537</v>
      </c>
      <c r="B405" s="3" t="str">
        <f>"telencephalon development"</f>
        <v>telencephalon development</v>
      </c>
      <c r="C405" s="6" t="str">
        <f t="shared" si="23"/>
        <v>BP</v>
      </c>
      <c r="D405" s="6">
        <v>23</v>
      </c>
      <c r="E405" s="3">
        <v>9.2369477911646597E-2</v>
      </c>
      <c r="F405" s="3">
        <v>1.3030278897527199E-2</v>
      </c>
      <c r="G405" s="3" t="str">
        <f>"23/836"</f>
        <v>23/836</v>
      </c>
      <c r="H405" s="3" t="str">
        <f>"249/18670"</f>
        <v>249/18670</v>
      </c>
      <c r="I405" s="3">
        <v>8.4674980268033804E-4</v>
      </c>
      <c r="J405" s="3">
        <v>1.05012452730941E-2</v>
      </c>
      <c r="K405" s="3" t="str">
        <f>"306/652/1000/6387/1600/1745/1746/1767/2018/79633/9638/3400/3912/4852/8013/3084/64805/6092/10371/23657/6546/26050/9839"</f>
        <v>306/652/1000/6387/1600/1745/1746/1767/2018/79633/9638/3400/3912/4852/8013/3084/64805/6092/10371/23657/6546/26050/9839</v>
      </c>
    </row>
    <row r="406" spans="1:11">
      <c r="A406" s="3" t="str">
        <f>"GO:0071560"</f>
        <v>GO:0071560</v>
      </c>
      <c r="B406" s="3" t="str">
        <f>"cellular response to transforming growth factor beta stimulus"</f>
        <v>cellular response to transforming growth factor beta stimulus</v>
      </c>
      <c r="C406" s="6" t="str">
        <f t="shared" si="23"/>
        <v>BP</v>
      </c>
      <c r="D406" s="6">
        <v>23</v>
      </c>
      <c r="E406" s="3">
        <v>9.2369477911646597E-2</v>
      </c>
      <c r="F406" s="3">
        <v>1.3030278897527199E-2</v>
      </c>
      <c r="G406" s="3" t="str">
        <f>"23/836"</f>
        <v>23/836</v>
      </c>
      <c r="H406" s="3" t="str">
        <f>"249/18670"</f>
        <v>249/18670</v>
      </c>
      <c r="I406" s="3">
        <v>8.4674980268033804E-4</v>
      </c>
      <c r="J406" s="3">
        <v>1.05012452730941E-2</v>
      </c>
      <c r="K406" s="3" t="str">
        <f>"54829/658/857/858/1278/1524/27122/1745/2200/10979/2263/2662/9518/8516/8425/93649/9480/5179/10891/6660/7043/7049/7472"</f>
        <v>54829/658/857/858/1278/1524/27122/1745/2200/10979/2263/2662/9518/8516/8425/93649/9480/5179/10891/6660/7043/7049/7472</v>
      </c>
    </row>
    <row r="407" spans="1:11">
      <c r="A407" s="3" t="str">
        <f>"GO:0007519"</f>
        <v>GO:0007519</v>
      </c>
      <c r="B407" s="3" t="str">
        <f>"skeletal muscle tissue development"</f>
        <v>skeletal muscle tissue development</v>
      </c>
      <c r="C407" s="6" t="str">
        <f t="shared" si="23"/>
        <v>BP</v>
      </c>
      <c r="D407" s="6">
        <v>17</v>
      </c>
      <c r="E407" s="3">
        <v>0.10625</v>
      </c>
      <c r="F407" s="3">
        <v>1.3030278897527199E-2</v>
      </c>
      <c r="G407" s="3" t="str">
        <f>"17/836"</f>
        <v>17/836</v>
      </c>
      <c r="H407" s="3" t="str">
        <f>"160/18670"</f>
        <v>160/18670</v>
      </c>
      <c r="I407" s="3">
        <v>8.4835996891326399E-4</v>
      </c>
      <c r="J407" s="3">
        <v>1.05012452730941E-2</v>
      </c>
      <c r="K407" s="3" t="str">
        <f>"857/858/1073/1634/22943/2047/2317/9734/3236/7881/93649/5307/64208/9750/6899/6943/7093"</f>
        <v>857/858/1073/1634/22943/2047/2317/9734/3236/7881/93649/5307/64208/9750/6899/6943/7093</v>
      </c>
    </row>
    <row r="408" spans="1:11">
      <c r="A408" s="3" t="str">
        <f>"GO:0048588"</f>
        <v>GO:0048588</v>
      </c>
      <c r="B408" s="3" t="str">
        <f>"developmental cell growth"</f>
        <v>developmental cell growth</v>
      </c>
      <c r="C408" s="6" t="str">
        <f t="shared" si="23"/>
        <v>BP</v>
      </c>
      <c r="D408" s="6">
        <v>22</v>
      </c>
      <c r="E408" s="3">
        <v>9.4017094017094002E-2</v>
      </c>
      <c r="F408" s="3">
        <v>1.31876898949499E-2</v>
      </c>
      <c r="G408" s="3" t="str">
        <f>"22/836"</f>
        <v>22/836</v>
      </c>
      <c r="H408" s="3" t="str">
        <f>"234/18670"</f>
        <v>234/18670</v>
      </c>
      <c r="I408" s="3">
        <v>8.6129164929378001E-4</v>
      </c>
      <c r="J408" s="3">
        <v>1.0628104529570401E-2</v>
      </c>
      <c r="K408" s="3" t="str">
        <f>"148/627/57699/6387/1808/2045/51083/3479/3676/4131/23327/8828/4916/10611/10371/9723/80031/6456/6586/6857/7414/9839"</f>
        <v>148/627/57699/6387/1808/2045/51083/3479/3676/4131/23327/8828/4916/10611/10371/9723/80031/6456/6586/6857/7414/9839</v>
      </c>
    </row>
    <row r="409" spans="1:11">
      <c r="A409" s="3" t="str">
        <f>"GO:0003018"</f>
        <v>GO:0003018</v>
      </c>
      <c r="B409" s="3" t="str">
        <f>"vascular process in circulatory system"</f>
        <v>vascular process in circulatory system</v>
      </c>
      <c r="C409" s="6" t="str">
        <f t="shared" si="23"/>
        <v>BP</v>
      </c>
      <c r="D409" s="6">
        <v>18</v>
      </c>
      <c r="E409" s="3">
        <v>0.10285714285714299</v>
      </c>
      <c r="F409" s="3">
        <v>1.35423176952062E-2</v>
      </c>
      <c r="G409" s="3" t="str">
        <f>"18/836"</f>
        <v>18/836</v>
      </c>
      <c r="H409" s="3" t="str">
        <f>"175/18670"</f>
        <v>175/18670</v>
      </c>
      <c r="I409" s="3">
        <v>8.8720779203588999E-4</v>
      </c>
      <c r="J409" s="3">
        <v>1.09139029795065E-2</v>
      </c>
      <c r="K409" s="3" t="str">
        <f>"148/153/155/284/477/857/1131/1908/1910/3672/3778/3779/4842/4880/5592/6546/6865/54795"</f>
        <v>148/153/155/284/477/857/1131/1908/1910/3672/3778/3779/4842/4880/5592/6546/6865/54795</v>
      </c>
    </row>
    <row r="410" spans="1:11">
      <c r="A410" s="3" t="str">
        <f>"GO:0033628"</f>
        <v>GO:0033628</v>
      </c>
      <c r="B410" s="3" t="str">
        <f>"regulation of cell adhesion mediated by integrin"</f>
        <v>regulation of cell adhesion mediated by integrin</v>
      </c>
      <c r="C410" s="6" t="str">
        <f t="shared" si="23"/>
        <v>BP</v>
      </c>
      <c r="D410" s="6">
        <v>8</v>
      </c>
      <c r="E410" s="3">
        <v>0.173913043478261</v>
      </c>
      <c r="F410" s="3">
        <v>1.36694688597631E-2</v>
      </c>
      <c r="G410" s="3" t="str">
        <f>"8/836"</f>
        <v>8/836</v>
      </c>
      <c r="H410" s="3" t="str">
        <f>"46/18670"</f>
        <v>46/18670</v>
      </c>
      <c r="I410" s="3">
        <v>8.9831911326622199E-4</v>
      </c>
      <c r="J410" s="3">
        <v>1.1016375503408201E-2</v>
      </c>
      <c r="K410" s="3" t="str">
        <f>"100/6366/10563/1803/64805/5881/6423/6591"</f>
        <v>100/6366/10563/1803/64805/5881/6423/6591</v>
      </c>
    </row>
    <row r="411" spans="1:11">
      <c r="A411" s="3" t="str">
        <f>"GO:0060043"</f>
        <v>GO:0060043</v>
      </c>
      <c r="B411" s="3" t="str">
        <f>"regulation of cardiac muscle cell proliferation"</f>
        <v>regulation of cardiac muscle cell proliferation</v>
      </c>
      <c r="C411" s="6" t="str">
        <f t="shared" si="23"/>
        <v>BP</v>
      </c>
      <c r="D411" s="6">
        <v>9</v>
      </c>
      <c r="E411" s="3">
        <v>0.157894736842105</v>
      </c>
      <c r="F411" s="3">
        <v>1.36977067447142E-2</v>
      </c>
      <c r="G411" s="3" t="str">
        <f>"9/836"</f>
        <v>9/836</v>
      </c>
      <c r="H411" s="3" t="str">
        <f>"57/18670"</f>
        <v>57/18670</v>
      </c>
      <c r="I411" s="3">
        <v>9.0296174675227002E-4</v>
      </c>
      <c r="J411" s="3">
        <v>1.10391327258895E-2</v>
      </c>
      <c r="K411" s="3" t="str">
        <f>"2247/2260/2263/2627/5950/6909/6910/7049/7472"</f>
        <v>2247/2260/2263/2627/5950/6909/6910/7049/7472</v>
      </c>
    </row>
    <row r="412" spans="1:11">
      <c r="A412" s="3" t="str">
        <f>"GO:0005614"</f>
        <v>GO:0005614</v>
      </c>
      <c r="B412" s="3" t="str">
        <f>"interstitial matrix"</f>
        <v>interstitial matrix</v>
      </c>
      <c r="C412" s="6" t="str">
        <f>"CC"</f>
        <v>CC</v>
      </c>
      <c r="D412" s="6">
        <v>4</v>
      </c>
      <c r="E412" s="3">
        <v>0.33333333333333298</v>
      </c>
      <c r="F412" s="3">
        <v>1.4084371422479499E-2</v>
      </c>
      <c r="G412" s="3" t="str">
        <f>"4/873"</f>
        <v>4/873</v>
      </c>
      <c r="H412" s="3" t="str">
        <f>"12/19717"</f>
        <v>12/19717</v>
      </c>
      <c r="I412" s="3">
        <v>1.4202727484853299E-3</v>
      </c>
      <c r="J412" s="3">
        <v>1.1056947932287099E-2</v>
      </c>
      <c r="K412" s="3" t="str">
        <f>"25890/151887/133584/5212"</f>
        <v>25890/151887/133584/5212</v>
      </c>
    </row>
    <row r="413" spans="1:11">
      <c r="A413" s="3" t="str">
        <f>"GO:0090330"</f>
        <v>GO:0090330</v>
      </c>
      <c r="B413" s="3" t="str">
        <f>"regulation of platelet aggregation"</f>
        <v>regulation of platelet aggregation</v>
      </c>
      <c r="C413" s="6" t="str">
        <f t="shared" ref="C413:C418" si="24">"BP"</f>
        <v>BP</v>
      </c>
      <c r="D413" s="6">
        <v>5</v>
      </c>
      <c r="E413" s="3">
        <v>0.27777777777777801</v>
      </c>
      <c r="F413" s="3">
        <v>1.4108069251715301E-2</v>
      </c>
      <c r="G413" s="3" t="str">
        <f>"5/836"</f>
        <v>5/836</v>
      </c>
      <c r="H413" s="3" t="str">
        <f>"18/18670"</f>
        <v>18/18670</v>
      </c>
      <c r="I413" s="3">
        <v>9.3580077461237205E-4</v>
      </c>
      <c r="J413" s="3">
        <v>1.13698483898281E-2</v>
      </c>
      <c r="K413" s="3" t="str">
        <f>"170692/114897/5578/5592/5270"</f>
        <v>170692/114897/5578/5592/5270</v>
      </c>
    </row>
    <row r="414" spans="1:11">
      <c r="A414" s="3" t="str">
        <f>"GO:0014855"</f>
        <v>GO:0014855</v>
      </c>
      <c r="B414" s="3" t="str">
        <f>"striated muscle cell proliferation"</f>
        <v>striated muscle cell proliferation</v>
      </c>
      <c r="C414" s="6" t="str">
        <f t="shared" si="24"/>
        <v>BP</v>
      </c>
      <c r="D414" s="6">
        <v>11</v>
      </c>
      <c r="E414" s="3">
        <v>0.13580246913580199</v>
      </c>
      <c r="F414" s="3">
        <v>1.4108069251715301E-2</v>
      </c>
      <c r="G414" s="3" t="str">
        <f>"11/836"</f>
        <v>11/836</v>
      </c>
      <c r="H414" s="3" t="str">
        <f>"81/18670"</f>
        <v>81/18670</v>
      </c>
      <c r="I414" s="3">
        <v>9.39575032170437E-4</v>
      </c>
      <c r="J414" s="3">
        <v>1.13698483898281E-2</v>
      </c>
      <c r="K414" s="3" t="str">
        <f>"284/2047/2247/2260/2263/2627/5950/6909/6910/7049/7472"</f>
        <v>284/2047/2247/2260/2263/2627/5950/6909/6910/7049/7472</v>
      </c>
    </row>
    <row r="415" spans="1:11">
      <c r="A415" s="3" t="str">
        <f>"GO:0110110"</f>
        <v>GO:0110110</v>
      </c>
      <c r="B415" s="3" t="str">
        <f>"positive regulation of animal organ morphogenesis"</f>
        <v>positive regulation of animal organ morphogenesis</v>
      </c>
      <c r="C415" s="6" t="str">
        <f t="shared" si="24"/>
        <v>BP</v>
      </c>
      <c r="D415" s="6">
        <v>11</v>
      </c>
      <c r="E415" s="3">
        <v>0.13580246913580199</v>
      </c>
      <c r="F415" s="3">
        <v>1.4108069251715301E-2</v>
      </c>
      <c r="G415" s="3" t="str">
        <f>"11/836"</f>
        <v>11/836</v>
      </c>
      <c r="H415" s="3" t="str">
        <f>"81/18670"</f>
        <v>81/18670</v>
      </c>
      <c r="I415" s="3">
        <v>9.39575032170437E-4</v>
      </c>
      <c r="J415" s="3">
        <v>1.13698483898281E-2</v>
      </c>
      <c r="K415" s="3" t="str">
        <f>"652/22943/2252/2260/2263/140628/3249/6092/7472/7482/7490"</f>
        <v>652/22943/2252/2260/2263/140628/3249/6092/7472/7482/7490</v>
      </c>
    </row>
    <row r="416" spans="1:11">
      <c r="A416" s="3" t="str">
        <f>"GO:0010453"</f>
        <v>GO:0010453</v>
      </c>
      <c r="B416" s="3" t="str">
        <f>"regulation of cell fate commitment"</f>
        <v>regulation of cell fate commitment</v>
      </c>
      <c r="C416" s="6" t="str">
        <f t="shared" si="24"/>
        <v>BP</v>
      </c>
      <c r="D416" s="6">
        <v>7</v>
      </c>
      <c r="E416" s="3">
        <v>0.194444444444444</v>
      </c>
      <c r="F416" s="3">
        <v>1.4108069251715301E-2</v>
      </c>
      <c r="G416" s="3" t="str">
        <f>"7/836"</f>
        <v>7/836</v>
      </c>
      <c r="H416" s="3" t="str">
        <f>"36/18670"</f>
        <v>36/18670</v>
      </c>
      <c r="I416" s="3">
        <v>9.4149475372586598E-4</v>
      </c>
      <c r="J416" s="3">
        <v>1.13698483898281E-2</v>
      </c>
      <c r="K416" s="3" t="str">
        <f>"652/22943/2247/2260/8324/6423/25803"</f>
        <v>652/22943/2247/2260/8324/6423/25803</v>
      </c>
    </row>
    <row r="417" spans="1:11">
      <c r="A417" s="3" t="str">
        <f>"GO:0051897"</f>
        <v>GO:0051897</v>
      </c>
      <c r="B417" s="3" t="str">
        <f>"positive regulation of protein kinase B signaling"</f>
        <v>positive regulation of protein kinase B signaling</v>
      </c>
      <c r="C417" s="6" t="str">
        <f t="shared" si="24"/>
        <v>BP</v>
      </c>
      <c r="D417" s="6">
        <v>18</v>
      </c>
      <c r="E417" s="3">
        <v>0.102272727272727</v>
      </c>
      <c r="F417" s="3">
        <v>1.4158747633130899E-2</v>
      </c>
      <c r="G417" s="3" t="str">
        <f>"18/836"</f>
        <v>18/836</v>
      </c>
      <c r="H417" s="3" t="str">
        <f>"176/18670"</f>
        <v>176/18670</v>
      </c>
      <c r="I417" s="3">
        <v>9.4801181965055805E-4</v>
      </c>
      <c r="J417" s="3">
        <v>1.1410690655559601E-2</v>
      </c>
      <c r="K417" s="3" t="str">
        <f>"284/114897/6366/1524/1950/2065/2159/2247/2252/2260/2263/2264/9518/6453/4254/3084/9542/64805"</f>
        <v>284/114897/6366/1524/1950/2065/2159/2247/2252/2260/2263/2264/9518/6453/4254/3084/9542/64805</v>
      </c>
    </row>
    <row r="418" spans="1:11">
      <c r="A418" s="3" t="str">
        <f>"GO:0030166"</f>
        <v>GO:0030166</v>
      </c>
      <c r="B418" s="3" t="str">
        <f>"proteoglycan biosynthetic process"</f>
        <v>proteoglycan biosynthetic process</v>
      </c>
      <c r="C418" s="6" t="str">
        <f t="shared" si="24"/>
        <v>BP</v>
      </c>
      <c r="D418" s="6">
        <v>10</v>
      </c>
      <c r="E418" s="3">
        <v>0.14492753623188401</v>
      </c>
      <c r="F418" s="3">
        <v>1.4158747633130899E-2</v>
      </c>
      <c r="G418" s="3" t="str">
        <f>"10/836"</f>
        <v>10/836</v>
      </c>
      <c r="H418" s="3" t="str">
        <f>"69/18670"</f>
        <v>69/18670</v>
      </c>
      <c r="I418" s="3">
        <v>9.5063819306881003E-4</v>
      </c>
      <c r="J418" s="3">
        <v>1.1410690655559601E-2</v>
      </c>
      <c r="K418" s="3" t="str">
        <f>"27087/658/124583/9469/1634/2300/9955/90161/3479/1462"</f>
        <v>27087/658/124583/9469/1634/2300/9955/90161/3479/1462</v>
      </c>
    </row>
    <row r="419" spans="1:11">
      <c r="A419" s="3" t="str">
        <f>"GO:0014704"</f>
        <v>GO:0014704</v>
      </c>
      <c r="B419" s="3" t="str">
        <f>"intercalated disc"</f>
        <v>intercalated disc</v>
      </c>
      <c r="C419" s="6" t="str">
        <f>"CC"</f>
        <v>CC</v>
      </c>
      <c r="D419" s="6">
        <v>8</v>
      </c>
      <c r="E419" s="3">
        <v>0.16</v>
      </c>
      <c r="F419" s="3">
        <v>1.42962238810405E-2</v>
      </c>
      <c r="G419" s="3" t="str">
        <f>"8/873"</f>
        <v>8/873</v>
      </c>
      <c r="H419" s="3" t="str">
        <f>"50/19717"</f>
        <v>50/19717</v>
      </c>
      <c r="I419" s="3">
        <v>1.4716701054012301E-3</v>
      </c>
      <c r="J419" s="3">
        <v>1.12232628875926E-2</v>
      </c>
      <c r="K419" s="3" t="str">
        <f>"287/477/1000/1824/5348/5239/6546/7414"</f>
        <v>287/477/1000/1824/5348/5239/6546/7414</v>
      </c>
    </row>
    <row r="420" spans="1:11">
      <c r="A420" s="3" t="str">
        <f>"GO:0019898"</f>
        <v>GO:0019898</v>
      </c>
      <c r="B420" s="3" t="str">
        <f>"extrinsic component of membrane"</f>
        <v>extrinsic component of membrane</v>
      </c>
      <c r="C420" s="6" t="str">
        <f>"CC"</f>
        <v>CC</v>
      </c>
      <c r="D420" s="6">
        <v>25</v>
      </c>
      <c r="E420" s="3">
        <v>8.4745762711864403E-2</v>
      </c>
      <c r="F420" s="3">
        <v>1.43964739129596E-2</v>
      </c>
      <c r="G420" s="3" t="str">
        <f>"25/873"</f>
        <v>25/873</v>
      </c>
      <c r="H420" s="3" t="str">
        <f>"295/19717"</f>
        <v>295/19717</v>
      </c>
      <c r="I420" s="3">
        <v>1.5122346547226499E-3</v>
      </c>
      <c r="J420" s="3">
        <v>1.13019642616114E-2</v>
      </c>
      <c r="K420" s="3" t="str">
        <f>"858/1008/1015/1000/22866/1837/30846/55040/10979/2775/2781/2786/7881/4118/57664/5652/5753/7732/6277/5270/6768/6769/6853/7053/7472"</f>
        <v>858/1008/1015/1000/22866/1837/30846/55040/10979/2775/2781/2786/7881/4118/57664/5652/5753/7732/6277/5270/6768/6769/6853/7053/7472</v>
      </c>
    </row>
    <row r="421" spans="1:11">
      <c r="A421" s="3" t="str">
        <f>"GO:0060993"</f>
        <v>GO:0060993</v>
      </c>
      <c r="B421" s="3" t="str">
        <f>"kidney morphogenesis"</f>
        <v>kidney morphogenesis</v>
      </c>
      <c r="C421" s="6" t="str">
        <f t="shared" ref="C421:C438" si="25">"BP"</f>
        <v>BP</v>
      </c>
      <c r="D421" s="6">
        <v>12</v>
      </c>
      <c r="E421" s="3">
        <v>0.12765957446808501</v>
      </c>
      <c r="F421" s="3">
        <v>1.44801811926966E-2</v>
      </c>
      <c r="G421" s="3" t="str">
        <f>"12/836"</f>
        <v>12/836</v>
      </c>
      <c r="H421" s="3" t="str">
        <f>"94/18670"</f>
        <v>94/18670</v>
      </c>
      <c r="I421" s="3">
        <v>9.8105805435767498E-4</v>
      </c>
      <c r="J421" s="3">
        <v>1.16697375013369E-2</v>
      </c>
      <c r="K421" s="3" t="str">
        <f>"652/79633/2247/2650/153572/55083/5228/4070/6943/7481/7482/7490"</f>
        <v>652/79633/2247/2650/153572/55083/5228/4070/6943/7481/7482/7490</v>
      </c>
    </row>
    <row r="422" spans="1:11">
      <c r="A422" s="3" t="str">
        <f>"GO:0070167"</f>
        <v>GO:0070167</v>
      </c>
      <c r="B422" s="3" t="str">
        <f>"regulation of biomineral tissue development"</f>
        <v>regulation of biomineral tissue development</v>
      </c>
      <c r="C422" s="6" t="str">
        <f t="shared" si="25"/>
        <v>BP</v>
      </c>
      <c r="D422" s="6">
        <v>12</v>
      </c>
      <c r="E422" s="3">
        <v>0.12765957446808501</v>
      </c>
      <c r="F422" s="3">
        <v>1.44801811926966E-2</v>
      </c>
      <c r="G422" s="3" t="str">
        <f>"12/836"</f>
        <v>12/836</v>
      </c>
      <c r="H422" s="3" t="str">
        <f>"94/18670"</f>
        <v>94/18670</v>
      </c>
      <c r="I422" s="3">
        <v>9.8105805435767498E-4</v>
      </c>
      <c r="J422" s="3">
        <v>1.16697375013369E-2</v>
      </c>
      <c r="K422" s="3" t="str">
        <f>"84059/196527/54829/652/658/4921/2824/23462/116039/6546/7043/54795"</f>
        <v>84059/196527/54829/652/658/4921/2824/23462/116039/6546/7043/54795</v>
      </c>
    </row>
    <row r="423" spans="1:11">
      <c r="A423" s="3" t="str">
        <f>"GO:0110149"</f>
        <v>GO:0110149</v>
      </c>
      <c r="B423" s="3" t="str">
        <f>"regulation of biomineralization"</f>
        <v>regulation of biomineralization</v>
      </c>
      <c r="C423" s="6" t="str">
        <f t="shared" si="25"/>
        <v>BP</v>
      </c>
      <c r="D423" s="6">
        <v>12</v>
      </c>
      <c r="E423" s="3">
        <v>0.12765957446808501</v>
      </c>
      <c r="F423" s="3">
        <v>1.44801811926966E-2</v>
      </c>
      <c r="G423" s="3" t="str">
        <f>"12/836"</f>
        <v>12/836</v>
      </c>
      <c r="H423" s="3" t="str">
        <f>"94/18670"</f>
        <v>94/18670</v>
      </c>
      <c r="I423" s="3">
        <v>9.8105805435767498E-4</v>
      </c>
      <c r="J423" s="3">
        <v>1.16697375013369E-2</v>
      </c>
      <c r="K423" s="3" t="str">
        <f>"84059/196527/54829/652/658/4921/2824/23462/116039/6546/7043/54795"</f>
        <v>84059/196527/54829/652/658/4921/2824/23462/116039/6546/7043/54795</v>
      </c>
    </row>
    <row r="424" spans="1:11">
      <c r="A424" s="3" t="str">
        <f>"GO:0035107"</f>
        <v>GO:0035107</v>
      </c>
      <c r="B424" s="3" t="str">
        <f>"appendage morphogenesis"</f>
        <v>appendage morphogenesis</v>
      </c>
      <c r="C424" s="6" t="str">
        <f t="shared" si="25"/>
        <v>BP</v>
      </c>
      <c r="D424" s="6">
        <v>16</v>
      </c>
      <c r="E424" s="3">
        <v>0.108108108108108</v>
      </c>
      <c r="F424" s="3">
        <v>1.4509950321301901E-2</v>
      </c>
      <c r="G424" s="3" t="str">
        <f>"16/836"</f>
        <v>16/836</v>
      </c>
      <c r="H424" s="3" t="str">
        <f>"148/18670"</f>
        <v>148/18670</v>
      </c>
      <c r="I424" s="3">
        <v>9.889793199666611E-4</v>
      </c>
      <c r="J424" s="3">
        <v>1.1693728769943601E-2</v>
      </c>
      <c r="K424" s="3" t="str">
        <f>"652/658/1280/22943/137392/2260/2263/3236/3239/116039/5307/494470/6423/6909/9496/6910"</f>
        <v>652/658/1280/22943/137392/2260/2263/3236/3239/116039/5307/494470/6423/6909/9496/6910</v>
      </c>
    </row>
    <row r="425" spans="1:11">
      <c r="A425" s="3" t="str">
        <f>"GO:0035108"</f>
        <v>GO:0035108</v>
      </c>
      <c r="B425" s="3" t="str">
        <f>"limb morphogenesis"</f>
        <v>limb morphogenesis</v>
      </c>
      <c r="C425" s="6" t="str">
        <f t="shared" si="25"/>
        <v>BP</v>
      </c>
      <c r="D425" s="6">
        <v>16</v>
      </c>
      <c r="E425" s="3">
        <v>0.108108108108108</v>
      </c>
      <c r="F425" s="3">
        <v>1.4509950321301901E-2</v>
      </c>
      <c r="G425" s="3" t="str">
        <f>"16/836"</f>
        <v>16/836</v>
      </c>
      <c r="H425" s="3" t="str">
        <f>"148/18670"</f>
        <v>148/18670</v>
      </c>
      <c r="I425" s="3">
        <v>9.889793199666611E-4</v>
      </c>
      <c r="J425" s="3">
        <v>1.1693728769943601E-2</v>
      </c>
      <c r="K425" s="3" t="str">
        <f>"652/658/1280/22943/137392/2260/2263/3236/3239/116039/5307/494470/6423/6909/9496/6910"</f>
        <v>652/658/1280/22943/137392/2260/2263/3236/3239/116039/5307/494470/6423/6909/9496/6910</v>
      </c>
    </row>
    <row r="426" spans="1:11">
      <c r="A426" s="3" t="str">
        <f>"GO:0032060"</f>
        <v>GO:0032060</v>
      </c>
      <c r="B426" s="3" t="str">
        <f>"bleb assembly"</f>
        <v>bleb assembly</v>
      </c>
      <c r="C426" s="6" t="str">
        <f t="shared" si="25"/>
        <v>BP</v>
      </c>
      <c r="D426" s="6">
        <v>4</v>
      </c>
      <c r="E426" s="3">
        <v>0.36363636363636398</v>
      </c>
      <c r="F426" s="3">
        <v>1.4876978446175399E-2</v>
      </c>
      <c r="G426" s="3" t="str">
        <f>"4/836"</f>
        <v>4/836</v>
      </c>
      <c r="H426" s="3" t="str">
        <f>"11/18670"</f>
        <v>11/18670</v>
      </c>
      <c r="I426" s="3">
        <v>1.02307603556608E-3</v>
      </c>
      <c r="J426" s="3">
        <v>1.19895207780603E-2</v>
      </c>
      <c r="K426" s="3" t="str">
        <f>"196527/2014/4638/5376"</f>
        <v>196527/2014/4638/5376</v>
      </c>
    </row>
    <row r="427" spans="1:11">
      <c r="A427" s="3" t="str">
        <f>"GO:0060525"</f>
        <v>GO:0060525</v>
      </c>
      <c r="B427" s="3" t="str">
        <f>"prostate glandular acinus development"</f>
        <v>prostate glandular acinus development</v>
      </c>
      <c r="C427" s="6" t="str">
        <f t="shared" si="25"/>
        <v>BP</v>
      </c>
      <c r="D427" s="6">
        <v>4</v>
      </c>
      <c r="E427" s="3">
        <v>0.36363636363636398</v>
      </c>
      <c r="F427" s="3">
        <v>1.4876978446175399E-2</v>
      </c>
      <c r="G427" s="3" t="str">
        <f>"4/836"</f>
        <v>4/836</v>
      </c>
      <c r="H427" s="3" t="str">
        <f>"11/18670"</f>
        <v>11/18670</v>
      </c>
      <c r="I427" s="3">
        <v>1.02307603556608E-3</v>
      </c>
      <c r="J427" s="3">
        <v>1.19895207780603E-2</v>
      </c>
      <c r="K427" s="3" t="str">
        <f>"2263/3169/10481/3239"</f>
        <v>2263/3169/10481/3239</v>
      </c>
    </row>
    <row r="428" spans="1:11">
      <c r="A428" s="3" t="str">
        <f>"GO:0072584"</f>
        <v>GO:0072584</v>
      </c>
      <c r="B428" s="3" t="str">
        <f>"caveolin-mediated endocytosis"</f>
        <v>caveolin-mediated endocytosis</v>
      </c>
      <c r="C428" s="6" t="str">
        <f t="shared" si="25"/>
        <v>BP</v>
      </c>
      <c r="D428" s="6">
        <v>4</v>
      </c>
      <c r="E428" s="3">
        <v>0.36363636363636398</v>
      </c>
      <c r="F428" s="3">
        <v>1.4876978446175399E-2</v>
      </c>
      <c r="G428" s="3" t="str">
        <f>"4/836"</f>
        <v>4/836</v>
      </c>
      <c r="H428" s="3" t="str">
        <f>"11/18670"</f>
        <v>11/18670</v>
      </c>
      <c r="I428" s="3">
        <v>1.02307603556608E-3</v>
      </c>
      <c r="J428" s="3">
        <v>1.19895207780603E-2</v>
      </c>
      <c r="K428" s="3" t="str">
        <f>"857/6453/23209/23327"</f>
        <v>857/6453/23209/23327</v>
      </c>
    </row>
    <row r="429" spans="1:11">
      <c r="A429" s="3" t="str">
        <f>"GO:0006949"</f>
        <v>GO:0006949</v>
      </c>
      <c r="B429" s="3" t="str">
        <f>"syncytium formation"</f>
        <v>syncytium formation</v>
      </c>
      <c r="C429" s="6" t="str">
        <f t="shared" si="25"/>
        <v>BP</v>
      </c>
      <c r="D429" s="6">
        <v>9</v>
      </c>
      <c r="E429" s="3">
        <v>0.15517241379310301</v>
      </c>
      <c r="F429" s="3">
        <v>1.48912261914109E-2</v>
      </c>
      <c r="G429" s="3" t="str">
        <f>"9/836"</f>
        <v>9/836</v>
      </c>
      <c r="H429" s="3" t="str">
        <f>"58/18670"</f>
        <v>58/18670</v>
      </c>
      <c r="I429" s="3">
        <v>1.02708559082163E-3</v>
      </c>
      <c r="J429" s="3">
        <v>1.2001003192863799E-2</v>
      </c>
      <c r="K429" s="3" t="str">
        <f>"8038/30846/405754/90625/2323/9518/4842/9750/92304"</f>
        <v>8038/30846/405754/90625/2323/9518/4842/9750/92304</v>
      </c>
    </row>
    <row r="430" spans="1:11">
      <c r="A430" s="3" t="str">
        <f>"GO:0040013"</f>
        <v>GO:0040013</v>
      </c>
      <c r="B430" s="3" t="str">
        <f>"negative regulation of locomotion"</f>
        <v>negative regulation of locomotion</v>
      </c>
      <c r="C430" s="6" t="str">
        <f t="shared" si="25"/>
        <v>BP</v>
      </c>
      <c r="D430" s="6">
        <v>31</v>
      </c>
      <c r="E430" s="3">
        <v>8.13648293963255E-2</v>
      </c>
      <c r="F430" s="3">
        <v>1.49080934779545E-2</v>
      </c>
      <c r="G430" s="3" t="str">
        <f>"31/836"</f>
        <v>31/836</v>
      </c>
      <c r="H430" s="3" t="str">
        <f>"381/18670"</f>
        <v>381/18670</v>
      </c>
      <c r="I430" s="3">
        <v>1.0312821531036701E-3</v>
      </c>
      <c r="J430" s="3">
        <v>1.20145967248579E-2</v>
      </c>
      <c r="K430" s="3" t="str">
        <f>"100/653/684/6366/4345/1524/6387/10563/1634/1991/2192/2247/93649/89795/3084/5468/10891/5592/11122/9104/9750/6092/10371/9723/80031/6423/50859/4070/6910/7414/7481"</f>
        <v>100/653/684/6366/4345/1524/6387/10563/1634/1991/2192/2247/93649/89795/3084/5468/10891/5592/11122/9104/9750/6092/10371/9723/80031/6423/50859/4070/6910/7414/7481</v>
      </c>
    </row>
    <row r="431" spans="1:11">
      <c r="A431" s="3" t="str">
        <f>"GO:0070169"</f>
        <v>GO:0070169</v>
      </c>
      <c r="B431" s="3" t="str">
        <f>"positive regulation of biomineral tissue development"</f>
        <v>positive regulation of biomineral tissue development</v>
      </c>
      <c r="C431" s="6" t="str">
        <f t="shared" si="25"/>
        <v>BP</v>
      </c>
      <c r="D431" s="6">
        <v>8</v>
      </c>
      <c r="E431" s="3">
        <v>0.170212765957447</v>
      </c>
      <c r="F431" s="3">
        <v>1.4913551046804099E-2</v>
      </c>
      <c r="G431" s="3" t="str">
        <f>"8/836"</f>
        <v>8/836</v>
      </c>
      <c r="H431" s="3" t="str">
        <f>"47/18670"</f>
        <v>47/18670</v>
      </c>
      <c r="I431" s="3">
        <v>1.04076256542295E-3</v>
      </c>
      <c r="J431" s="3">
        <v>1.2018995039701E-2</v>
      </c>
      <c r="K431" s="3" t="str">
        <f>"84059/196527/652/658/2824/116039/6546/7043"</f>
        <v>84059/196527/652/658/2824/116039/6546/7043</v>
      </c>
    </row>
    <row r="432" spans="1:11">
      <c r="A432" s="3" t="str">
        <f>"GO:0110151"</f>
        <v>GO:0110151</v>
      </c>
      <c r="B432" s="3" t="str">
        <f>"positive regulation of biomineralization"</f>
        <v>positive regulation of biomineralization</v>
      </c>
      <c r="C432" s="6" t="str">
        <f t="shared" si="25"/>
        <v>BP</v>
      </c>
      <c r="D432" s="6">
        <v>8</v>
      </c>
      <c r="E432" s="3">
        <v>0.170212765957447</v>
      </c>
      <c r="F432" s="3">
        <v>1.4913551046804099E-2</v>
      </c>
      <c r="G432" s="3" t="str">
        <f>"8/836"</f>
        <v>8/836</v>
      </c>
      <c r="H432" s="3" t="str">
        <f>"47/18670"</f>
        <v>47/18670</v>
      </c>
      <c r="I432" s="3">
        <v>1.04076256542295E-3</v>
      </c>
      <c r="J432" s="3">
        <v>1.2018995039701E-2</v>
      </c>
      <c r="K432" s="3" t="str">
        <f>"84059/196527/652/658/2824/116039/6546/7043"</f>
        <v>84059/196527/652/658/2824/116039/6546/7043</v>
      </c>
    </row>
    <row r="433" spans="1:11">
      <c r="A433" s="3" t="str">
        <f>"GO:1903115"</f>
        <v>GO:1903115</v>
      </c>
      <c r="B433" s="3" t="str">
        <f>"regulation of actin filament-based movement"</f>
        <v>regulation of actin filament-based movement</v>
      </c>
      <c r="C433" s="6" t="str">
        <f t="shared" si="25"/>
        <v>BP</v>
      </c>
      <c r="D433" s="6">
        <v>8</v>
      </c>
      <c r="E433" s="3">
        <v>0.170212765957447</v>
      </c>
      <c r="F433" s="3">
        <v>1.4913551046804099E-2</v>
      </c>
      <c r="G433" s="3" t="str">
        <f>"8/836"</f>
        <v>8/836</v>
      </c>
      <c r="H433" s="3" t="str">
        <f>"47/18670"</f>
        <v>47/18670</v>
      </c>
      <c r="I433" s="3">
        <v>1.04076256542295E-3</v>
      </c>
      <c r="J433" s="3">
        <v>1.2018995039701E-2</v>
      </c>
      <c r="K433" s="3" t="str">
        <f>"287/477/857/1824/10008/5350/6262/54795"</f>
        <v>287/477/857/1824/10008/5350/6262/54795</v>
      </c>
    </row>
    <row r="434" spans="1:11">
      <c r="A434" s="3" t="str">
        <f>"GO:0050921"</f>
        <v>GO:0050921</v>
      </c>
      <c r="B434" s="3" t="str">
        <f>"positive regulation of chemotaxis"</f>
        <v>positive regulation of chemotaxis</v>
      </c>
      <c r="C434" s="6" t="str">
        <f t="shared" si="25"/>
        <v>BP</v>
      </c>
      <c r="D434" s="6">
        <v>15</v>
      </c>
      <c r="E434" s="3">
        <v>0.11111111111111099</v>
      </c>
      <c r="F434" s="3">
        <v>1.51843614073018E-2</v>
      </c>
      <c r="G434" s="3" t="str">
        <f>"15/836"</f>
        <v>15/836</v>
      </c>
      <c r="H434" s="3" t="str">
        <f>"135/18670"</f>
        <v>135/18670</v>
      </c>
      <c r="I434" s="3">
        <v>1.0627508289139001E-3</v>
      </c>
      <c r="J434" s="3">
        <v>1.22372440918085E-2</v>
      </c>
      <c r="K434" s="3" t="str">
        <f>"196527/6366/6387/10563/1908/2247/2260/3603/4916/64805/5228/7941/5919/9750/7060"</f>
        <v>196527/6366/6387/10563/1908/2247/2260/3603/4916/64805/5228/7941/5919/9750/7060</v>
      </c>
    </row>
    <row r="435" spans="1:11">
      <c r="A435" s="3" t="str">
        <f>"GO:0007178"</f>
        <v>GO:0007178</v>
      </c>
      <c r="B435" s="3" t="str">
        <f>"transmembrane receptor protein serine/threonine kinase signaling pathway"</f>
        <v>transmembrane receptor protein serine/threonine kinase signaling pathway</v>
      </c>
      <c r="C435" s="6" t="str">
        <f t="shared" si="25"/>
        <v>BP</v>
      </c>
      <c r="D435" s="6">
        <v>29</v>
      </c>
      <c r="E435" s="3">
        <v>8.3094555873925502E-2</v>
      </c>
      <c r="F435" s="3">
        <v>1.5228279393252799E-2</v>
      </c>
      <c r="G435" s="3" t="str">
        <f>"29/836"</f>
        <v>29/836</v>
      </c>
      <c r="H435" s="3" t="str">
        <f>"349/18670"</f>
        <v>349/18670</v>
      </c>
      <c r="I435" s="3">
        <v>1.0689229686006599E-3</v>
      </c>
      <c r="J435" s="3">
        <v>1.22726380803792E-2</v>
      </c>
      <c r="K435" s="3" t="str">
        <f>"54829/652/653/658/857/858/91851/1278/22943/27122/1745/2200/10979/2662/9518/64388/3547/8516/8425/4624/93649/9480/348093/494470/6262/6423/7043/7049/55273"</f>
        <v>54829/652/653/658/857/858/91851/1278/22943/27122/1745/2200/10979/2662/9518/64388/3547/8516/8425/4624/93649/9480/348093/494470/6262/6423/7043/7049/55273</v>
      </c>
    </row>
    <row r="436" spans="1:11">
      <c r="A436" s="3" t="str">
        <f>"GO:0061326"</f>
        <v>GO:0061326</v>
      </c>
      <c r="B436" s="3" t="str">
        <f>"renal tubule development"</f>
        <v>renal tubule development</v>
      </c>
      <c r="C436" s="6" t="str">
        <f t="shared" si="25"/>
        <v>BP</v>
      </c>
      <c r="D436" s="6">
        <v>12</v>
      </c>
      <c r="E436" s="3">
        <v>0.12631578947368399</v>
      </c>
      <c r="F436" s="3">
        <v>1.5315150253724701E-2</v>
      </c>
      <c r="G436" s="3" t="str">
        <f>"12/836"</f>
        <v>12/836</v>
      </c>
      <c r="H436" s="3" t="str">
        <f>"95/18670"</f>
        <v>95/18670</v>
      </c>
      <c r="I436" s="3">
        <v>1.0781367218288399E-3</v>
      </c>
      <c r="J436" s="3">
        <v>1.23426482635897E-2</v>
      </c>
      <c r="K436" s="3" t="str">
        <f>"652/79633/2247/153572/55083/8549/5228/4070/6943/7481/7482/7490"</f>
        <v>652/79633/2247/153572/55083/8549/5228/4070/6943/7481/7482/7490</v>
      </c>
    </row>
    <row r="437" spans="1:11">
      <c r="A437" s="3" t="str">
        <f>"GO:0009914"</f>
        <v>GO:0009914</v>
      </c>
      <c r="B437" s="3" t="str">
        <f>"hormone transport"</f>
        <v>hormone transport</v>
      </c>
      <c r="C437" s="6" t="str">
        <f t="shared" si="25"/>
        <v>BP</v>
      </c>
      <c r="D437" s="6">
        <v>27</v>
      </c>
      <c r="E437" s="3">
        <v>8.5173501577287106E-2</v>
      </c>
      <c r="F437" s="3">
        <v>1.54282007529268E-2</v>
      </c>
      <c r="G437" s="3" t="str">
        <f>"27/836"</f>
        <v>27/836</v>
      </c>
      <c r="H437" s="3" t="str">
        <f>"317/18670"</f>
        <v>317/18670</v>
      </c>
      <c r="I437" s="3">
        <v>1.0892341121598399E-3</v>
      </c>
      <c r="J437" s="3">
        <v>1.2433756905983501E-2</v>
      </c>
      <c r="K437" s="3" t="str">
        <f>"114897/773/1803/1908/131177/2867/2260/51083/2587/2645/3382/286676/6453/3745/3747/8425/4824/5578/5799/5950/133308/9066/143425/6863/6865/54795/7447"</f>
        <v>114897/773/1803/1908/131177/2867/2260/51083/2587/2645/3382/286676/6453/3745/3747/8425/4824/5578/5799/5950/133308/9066/143425/6863/6865/54795/7447</v>
      </c>
    </row>
    <row r="438" spans="1:11">
      <c r="A438" s="3" t="str">
        <f>"GO:0150063"</f>
        <v>GO:0150063</v>
      </c>
      <c r="B438" s="3" t="str">
        <f>"visual system development"</f>
        <v>visual system development</v>
      </c>
      <c r="C438" s="6" t="str">
        <f t="shared" si="25"/>
        <v>BP</v>
      </c>
      <c r="D438" s="6">
        <v>30</v>
      </c>
      <c r="E438" s="3">
        <v>8.1967213114754106E-2</v>
      </c>
      <c r="F438" s="3">
        <v>1.55124487534209E-2</v>
      </c>
      <c r="G438" s="3" t="str">
        <f>"30/836"</f>
        <v>30/836</v>
      </c>
      <c r="H438" s="3" t="str">
        <f>"366/18670"</f>
        <v>366/18670</v>
      </c>
      <c r="I438" s="3">
        <v>1.0983381823378401E-3</v>
      </c>
      <c r="J438" s="3">
        <v>1.25016532974509E-2</v>
      </c>
      <c r="K438" s="3" t="str">
        <f>"170692/652/658/56853/91851/1290/1410/1745/1746/2202/2047/2200/2295/2823/4693/4916/116039/64805/5308/5950/57381/285590/23657/84189/64093/6909/7472/7482/7490/9839"</f>
        <v>170692/652/658/56853/91851/1290/1410/1745/1746/2202/2047/2200/2295/2823/4693/4916/116039/64805/5308/5950/57381/285590/23657/84189/64093/6909/7472/7482/7490/9839</v>
      </c>
    </row>
    <row r="439" spans="1:11">
      <c r="A439" s="3" t="str">
        <f>"GO:0032432"</f>
        <v>GO:0032432</v>
      </c>
      <c r="B439" s="3" t="str">
        <f>"actin filament bundle"</f>
        <v>actin filament bundle</v>
      </c>
      <c r="C439" s="6" t="str">
        <f>"CC"</f>
        <v>CC</v>
      </c>
      <c r="D439" s="6">
        <v>10</v>
      </c>
      <c r="E439" s="3">
        <v>0.133333333333333</v>
      </c>
      <c r="F439" s="3">
        <v>1.5668501273829301E-2</v>
      </c>
      <c r="G439" s="3" t="str">
        <f>"10/873"</f>
        <v>10/873</v>
      </c>
      <c r="H439" s="3" t="str">
        <f>"75/19717"</f>
        <v>75/19717</v>
      </c>
      <c r="I439" s="3">
        <v>1.6787679936245701E-3</v>
      </c>
      <c r="J439" s="3">
        <v>1.2300570438322399E-2</v>
      </c>
      <c r="K439" s="3" t="str">
        <f>"1410/11170/10979/2317/11155/4624/4638/10611/5239/171024"</f>
        <v>1410/11170/10979/2317/11155/4624/4638/10611/5239/171024</v>
      </c>
    </row>
    <row r="440" spans="1:11">
      <c r="A440" s="3" t="str">
        <f>"GO:0007431"</f>
        <v>GO:0007431</v>
      </c>
      <c r="B440" s="3" t="str">
        <f>"salivary gland development"</f>
        <v>salivary gland development</v>
      </c>
      <c r="C440" s="6" t="str">
        <f t="shared" ref="C440:C452" si="26">"BP"</f>
        <v>BP</v>
      </c>
      <c r="D440" s="6">
        <v>7</v>
      </c>
      <c r="E440" s="3">
        <v>0.18918918918918901</v>
      </c>
      <c r="F440" s="3">
        <v>1.5729594366365E-2</v>
      </c>
      <c r="G440" s="3" t="str">
        <f>"7/836"</f>
        <v>7/836</v>
      </c>
      <c r="H440" s="3" t="str">
        <f>"37/18670"</f>
        <v>37/18670</v>
      </c>
      <c r="I440" s="3">
        <v>1.11691321136549E-3</v>
      </c>
      <c r="J440" s="3">
        <v>1.26766533384658E-2</v>
      </c>
      <c r="K440" s="3" t="str">
        <f>"2252/2260/2263/4824/10371/6591/7043"</f>
        <v>2252/2260/2263/4824/10371/6591/7043</v>
      </c>
    </row>
    <row r="441" spans="1:11">
      <c r="A441" s="3" t="str">
        <f>"GO:0031346"</f>
        <v>GO:0031346</v>
      </c>
      <c r="B441" s="3" t="str">
        <f>"positive regulation of cell projection organization"</f>
        <v>positive regulation of cell projection organization</v>
      </c>
      <c r="C441" s="6" t="str">
        <f t="shared" si="26"/>
        <v>BP</v>
      </c>
      <c r="D441" s="6">
        <v>31</v>
      </c>
      <c r="E441" s="3">
        <v>8.0939947780678895E-2</v>
      </c>
      <c r="F441" s="3">
        <v>1.5756215069776602E-2</v>
      </c>
      <c r="G441" s="3" t="str">
        <f>"31/836"</f>
        <v>31/836</v>
      </c>
      <c r="H441" s="3" t="str">
        <f>"383/18670"</f>
        <v>383/18670</v>
      </c>
      <c r="I441" s="3">
        <v>1.1220092114795101E-3</v>
      </c>
      <c r="J441" s="3">
        <v>1.26981072565336E-2</v>
      </c>
      <c r="K441" s="3" t="str">
        <f>"627/653/6366/10602/55835/1272/57699/6387/22873/2042/9638/2260/2823/6453/57554/4131/89795/79625/23327/257194/4914/4916/64805/55607/5753/9750/6092/11075/6857/7043/9839"</f>
        <v>627/653/6366/10602/55835/1272/57699/6387/22873/2042/9638/2260/2823/6453/57554/4131/89795/79625/23327/257194/4914/4916/64805/55607/5753/9750/6092/11075/6857/7043/9839</v>
      </c>
    </row>
    <row r="442" spans="1:11">
      <c r="A442" s="3" t="str">
        <f>"GO:0097755"</f>
        <v>GO:0097755</v>
      </c>
      <c r="B442" s="3" t="str">
        <f>"positive regulation of blood vessel diameter"</f>
        <v>positive regulation of blood vessel diameter</v>
      </c>
      <c r="C442" s="6" t="str">
        <f t="shared" si="26"/>
        <v>BP</v>
      </c>
      <c r="D442" s="6">
        <v>9</v>
      </c>
      <c r="E442" s="3">
        <v>0.152542372881356</v>
      </c>
      <c r="F442" s="3">
        <v>1.6243469712363501E-2</v>
      </c>
      <c r="G442" s="3" t="str">
        <f>"9/836"</f>
        <v>9/836</v>
      </c>
      <c r="H442" s="3" t="str">
        <f>"59/18670"</f>
        <v>59/18670</v>
      </c>
      <c r="I442" s="3">
        <v>1.16467152341658E-3</v>
      </c>
      <c r="J442" s="3">
        <v>1.30907911393958E-2</v>
      </c>
      <c r="K442" s="3" t="str">
        <f>"153/155/1910/3672/3778/3779/4842/4880/5592"</f>
        <v>153/155/1910/3672/3778/3779/4842/4880/5592</v>
      </c>
    </row>
    <row r="443" spans="1:11">
      <c r="A443" s="3" t="str">
        <f>"GO:0071559"</f>
        <v>GO:0071559</v>
      </c>
      <c r="B443" s="3" t="str">
        <f>"response to transforming growth factor beta"</f>
        <v>response to transforming growth factor beta</v>
      </c>
      <c r="C443" s="6" t="str">
        <f t="shared" si="26"/>
        <v>BP</v>
      </c>
      <c r="D443" s="6">
        <v>23</v>
      </c>
      <c r="E443" s="3">
        <v>9.0196078431372506E-2</v>
      </c>
      <c r="F443" s="3">
        <v>1.6243469712363501E-2</v>
      </c>
      <c r="G443" s="3" t="str">
        <f>"23/836"</f>
        <v>23/836</v>
      </c>
      <c r="H443" s="3" t="str">
        <f>"255/18670"</f>
        <v>255/18670</v>
      </c>
      <c r="I443" s="3">
        <v>1.16737643426115E-3</v>
      </c>
      <c r="J443" s="3">
        <v>1.30907911393958E-2</v>
      </c>
      <c r="K443" s="3" t="str">
        <f>"54829/658/857/858/1278/1524/27122/1745/2200/10979/2263/2662/9518/8516/8425/93649/9480/5179/10891/6660/7043/7049/7472"</f>
        <v>54829/658/857/858/1278/1524/27122/1745/2200/10979/2263/2662/9518/8516/8425/93649/9480/5179/10891/6660/7043/7049/7472</v>
      </c>
    </row>
    <row r="444" spans="1:11">
      <c r="A444" s="3" t="str">
        <f>"GO:0021761"</f>
        <v>GO:0021761</v>
      </c>
      <c r="B444" s="3" t="str">
        <f>"limbic system development"</f>
        <v>limbic system development</v>
      </c>
      <c r="C444" s="6" t="str">
        <f t="shared" si="26"/>
        <v>BP</v>
      </c>
      <c r="D444" s="6">
        <v>13</v>
      </c>
      <c r="E444" s="3">
        <v>0.119266055045872</v>
      </c>
      <c r="F444" s="3">
        <v>1.6243469712363501E-2</v>
      </c>
      <c r="G444" s="3" t="str">
        <f>"13/836"</f>
        <v>13/836</v>
      </c>
      <c r="H444" s="3" t="str">
        <f>"109/18670"</f>
        <v>109/18670</v>
      </c>
      <c r="I444" s="3">
        <v>1.1691218470443101E-3</v>
      </c>
      <c r="J444" s="3">
        <v>1.30907911393958E-2</v>
      </c>
      <c r="K444" s="3" t="str">
        <f>"306/1600/1745/1746/2018/9638/2260/2263/3400/8013/8828/10371/9839"</f>
        <v>306/1600/1745/1746/2018/9638/2260/2263/3400/8013/8828/10371/9839</v>
      </c>
    </row>
    <row r="445" spans="1:11">
      <c r="A445" s="3" t="str">
        <f>"GO:0051271"</f>
        <v>GO:0051271</v>
      </c>
      <c r="B445" s="3" t="str">
        <f>"negative regulation of cellular component movement"</f>
        <v>negative regulation of cellular component movement</v>
      </c>
      <c r="C445" s="6" t="str">
        <f t="shared" si="26"/>
        <v>BP</v>
      </c>
      <c r="D445" s="6">
        <v>31</v>
      </c>
      <c r="E445" s="3">
        <v>8.0729166666666699E-2</v>
      </c>
      <c r="F445" s="3">
        <v>1.6243469712363501E-2</v>
      </c>
      <c r="G445" s="3" t="str">
        <f>"31/836"</f>
        <v>31/836</v>
      </c>
      <c r="H445" s="3" t="str">
        <f>"384/18670"</f>
        <v>384/18670</v>
      </c>
      <c r="I445" s="3">
        <v>1.1699264045120399E-3</v>
      </c>
      <c r="J445" s="3">
        <v>1.30907911393958E-2</v>
      </c>
      <c r="K445" s="3" t="str">
        <f>"100/653/684/6366/4345/1524/6387/10563/1634/2192/2247/10008/93649/89795/3084/5468/10891/5592/11122/9104/9750/10371/9723/80031/6423/50859/4070/6910/7049/7414/7481"</f>
        <v>100/653/684/6366/4345/1524/6387/10563/1634/2192/2247/10008/93649/89795/3084/5468/10891/5592/11122/9104/9750/10371/9723/80031/6423/50859/4070/6910/7049/7414/7481</v>
      </c>
    </row>
    <row r="446" spans="1:11">
      <c r="A446" s="3" t="str">
        <f>"GO:0007204"</f>
        <v>GO:0007204</v>
      </c>
      <c r="B446" s="3" t="str">
        <f>"positive regulation of cytosolic calcium ion concentration"</f>
        <v>positive regulation of cytosolic calcium ion concentration</v>
      </c>
      <c r="C446" s="6" t="str">
        <f t="shared" si="26"/>
        <v>BP</v>
      </c>
      <c r="D446" s="6">
        <v>27</v>
      </c>
      <c r="E446" s="3">
        <v>8.4639498432601906E-2</v>
      </c>
      <c r="F446" s="3">
        <v>1.6530537060665099E-2</v>
      </c>
      <c r="G446" s="3" t="str">
        <f>"27/836"</f>
        <v>27/836</v>
      </c>
      <c r="H446" s="3" t="str">
        <f>"319/18670"</f>
        <v>319/18670</v>
      </c>
      <c r="I446" s="3">
        <v>1.19512044249502E-3</v>
      </c>
      <c r="J446" s="3">
        <v>1.33221418770215E-2</v>
      </c>
      <c r="K446" s="3" t="str">
        <f>"148/287/477/114897/773/857/6366/57214/1524/10563/2833/1910/2247/2587/9170/931/4842/5350/5732/5737/6262/1903/6546/6863/7220/54795/55503"</f>
        <v>148/287/477/114897/773/857/6366/57214/1524/10563/2833/1910/2247/2587/9170/931/4842/5350/5732/5737/6262/1903/6546/6863/7220/54795/55503</v>
      </c>
    </row>
    <row r="447" spans="1:11">
      <c r="A447" s="3" t="str">
        <f>"GO:0030850"</f>
        <v>GO:0030850</v>
      </c>
      <c r="B447" s="3" t="str">
        <f>"prostate gland development"</f>
        <v>prostate gland development</v>
      </c>
      <c r="C447" s="6" t="str">
        <f t="shared" si="26"/>
        <v>BP</v>
      </c>
      <c r="D447" s="6">
        <v>8</v>
      </c>
      <c r="E447" s="3">
        <v>0.16666666666666699</v>
      </c>
      <c r="F447" s="3">
        <v>1.6530537060665099E-2</v>
      </c>
      <c r="G447" s="3" t="str">
        <f>"8/836"</f>
        <v>8/836</v>
      </c>
      <c r="H447" s="3" t="str">
        <f>"48/18670"</f>
        <v>48/18670</v>
      </c>
      <c r="I447" s="3">
        <v>1.2006921120361E-3</v>
      </c>
      <c r="J447" s="3">
        <v>1.33221418770215E-2</v>
      </c>
      <c r="K447" s="3" t="str">
        <f>"652/2263/2288/3169/10481/3239/3400/4824"</f>
        <v>652/2263/2288/3169/10481/3239/3400/4824</v>
      </c>
    </row>
    <row r="448" spans="1:11">
      <c r="A448" s="3" t="str">
        <f>"GO:0043268"</f>
        <v>GO:0043268</v>
      </c>
      <c r="B448" s="3" t="str">
        <f>"positive regulation of potassium ion transport"</f>
        <v>positive regulation of potassium ion transport</v>
      </c>
      <c r="C448" s="6" t="str">
        <f t="shared" si="26"/>
        <v>BP</v>
      </c>
      <c r="D448" s="6">
        <v>8</v>
      </c>
      <c r="E448" s="3">
        <v>0.16666666666666699</v>
      </c>
      <c r="F448" s="3">
        <v>1.6530537060665099E-2</v>
      </c>
      <c r="G448" s="3" t="str">
        <f>"8/836"</f>
        <v>8/836</v>
      </c>
      <c r="H448" s="3" t="str">
        <f>"48/18670"</f>
        <v>48/18670</v>
      </c>
      <c r="I448" s="3">
        <v>1.2006921120361E-3</v>
      </c>
      <c r="J448" s="3">
        <v>1.33221418770215E-2</v>
      </c>
      <c r="K448" s="3" t="str">
        <f>"287/196527/1908/2273/51083/3747/23630/3779"</f>
        <v>287/196527/1908/2273/51083/3747/23630/3779</v>
      </c>
    </row>
    <row r="449" spans="1:11">
      <c r="A449" s="3" t="str">
        <f>"GO:0098911"</f>
        <v>GO:0098911</v>
      </c>
      <c r="B449" s="3" t="str">
        <f>"regulation of ventricular cardiac muscle cell action potential"</f>
        <v>regulation of ventricular cardiac muscle cell action potential</v>
      </c>
      <c r="C449" s="6" t="str">
        <f t="shared" si="26"/>
        <v>BP</v>
      </c>
      <c r="D449" s="6">
        <v>5</v>
      </c>
      <c r="E449" s="3">
        <v>0.26315789473684198</v>
      </c>
      <c r="F449" s="3">
        <v>1.66771430333729E-2</v>
      </c>
      <c r="G449" s="3" t="str">
        <f>"5/836"</f>
        <v>5/836</v>
      </c>
      <c r="H449" s="3" t="str">
        <f>"19/18670"</f>
        <v>19/18670</v>
      </c>
      <c r="I449" s="3">
        <v>1.2235748351439001E-3</v>
      </c>
      <c r="J449" s="3">
        <v>1.3440293245078399E-2</v>
      </c>
      <c r="K449" s="3" t="str">
        <f>"857/1824/10008/6262/54795"</f>
        <v>857/1824/10008/6262/54795</v>
      </c>
    </row>
    <row r="450" spans="1:11">
      <c r="A450" s="3" t="str">
        <f>"GO:1901741"</f>
        <v>GO:1901741</v>
      </c>
      <c r="B450" s="3" t="str">
        <f>"positive regulation of myoblast fusion"</f>
        <v>positive regulation of myoblast fusion</v>
      </c>
      <c r="C450" s="6" t="str">
        <f t="shared" si="26"/>
        <v>BP</v>
      </c>
      <c r="D450" s="6">
        <v>5</v>
      </c>
      <c r="E450" s="3">
        <v>0.26315789473684198</v>
      </c>
      <c r="F450" s="3">
        <v>1.66771430333729E-2</v>
      </c>
      <c r="G450" s="3" t="str">
        <f>"5/836"</f>
        <v>5/836</v>
      </c>
      <c r="H450" s="3" t="str">
        <f>"19/18670"</f>
        <v>19/18670</v>
      </c>
      <c r="I450" s="3">
        <v>1.2235748351439001E-3</v>
      </c>
      <c r="J450" s="3">
        <v>1.3440293245078399E-2</v>
      </c>
      <c r="K450" s="3" t="str">
        <f>"30846/2323/9518/9750/92304"</f>
        <v>30846/2323/9518/9750/92304</v>
      </c>
    </row>
    <row r="451" spans="1:11">
      <c r="A451" s="3" t="str">
        <f>"GO:2000831"</f>
        <v>GO:2000831</v>
      </c>
      <c r="B451" s="3" t="str">
        <f>"regulation of steroid hormone secretion"</f>
        <v>regulation of steroid hormone secretion</v>
      </c>
      <c r="C451" s="6" t="str">
        <f t="shared" si="26"/>
        <v>BP</v>
      </c>
      <c r="D451" s="6">
        <v>5</v>
      </c>
      <c r="E451" s="3">
        <v>0.26315789473684198</v>
      </c>
      <c r="F451" s="3">
        <v>1.66771430333729E-2</v>
      </c>
      <c r="G451" s="3" t="str">
        <f>"5/836"</f>
        <v>5/836</v>
      </c>
      <c r="H451" s="3" t="str">
        <f>"19/18670"</f>
        <v>19/18670</v>
      </c>
      <c r="I451" s="3">
        <v>1.2235748351439001E-3</v>
      </c>
      <c r="J451" s="3">
        <v>1.3440293245078399E-2</v>
      </c>
      <c r="K451" s="3" t="str">
        <f>"114897/51083/2587/4824/6863"</f>
        <v>114897/51083/2587/4824/6863</v>
      </c>
    </row>
    <row r="452" spans="1:11">
      <c r="A452" s="3" t="str">
        <f>"GO:0001649"</f>
        <v>GO:0001649</v>
      </c>
      <c r="B452" s="3" t="str">
        <f>"osteoblast differentiation"</f>
        <v>osteoblast differentiation</v>
      </c>
      <c r="C452" s="6" t="str">
        <f t="shared" si="26"/>
        <v>BP</v>
      </c>
      <c r="D452" s="6">
        <v>21</v>
      </c>
      <c r="E452" s="3">
        <v>9.3333333333333296E-2</v>
      </c>
      <c r="F452" s="3">
        <v>1.66771430333729E-2</v>
      </c>
      <c r="G452" s="3" t="str">
        <f>"21/836"</f>
        <v>21/836</v>
      </c>
      <c r="H452" s="3" t="str">
        <f>"225/18670"</f>
        <v>225/18670</v>
      </c>
      <c r="I452" s="3">
        <v>1.2249132522986E-3</v>
      </c>
      <c r="J452" s="3">
        <v>1.3440293245078399E-2</v>
      </c>
      <c r="K452" s="3" t="str">
        <f>"8313/652/658/1291/4921/2194/2263/2662/3400/3479/4880/5179/5744/6423/285590/64093/6591/54795/117581/1462/7481"</f>
        <v>8313/652/658/1291/4921/2194/2263/2662/3400/3479/4880/5179/5744/6423/285590/64093/6591/54795/117581/1462/7481</v>
      </c>
    </row>
    <row r="453" spans="1:11">
      <c r="A453" s="3" t="str">
        <f>"GO:0098978"</f>
        <v>GO:0098978</v>
      </c>
      <c r="B453" s="3" t="str">
        <f>"glutamatergic synapse"</f>
        <v>glutamatergic synapse</v>
      </c>
      <c r="C453" s="6" t="str">
        <f>"CC"</f>
        <v>CC</v>
      </c>
      <c r="D453" s="6">
        <v>28</v>
      </c>
      <c r="E453" s="3">
        <v>8.0229226361031497E-2</v>
      </c>
      <c r="F453" s="3">
        <v>1.69487785171092E-2</v>
      </c>
      <c r="G453" s="3" t="str">
        <f>"28/873"</f>
        <v>28/873</v>
      </c>
      <c r="H453" s="3" t="str">
        <f>"349/19717"</f>
        <v>349/19717</v>
      </c>
      <c r="I453" s="3">
        <v>1.8515472329615099E-3</v>
      </c>
      <c r="J453" s="3">
        <v>1.3305653192334699E-2</v>
      </c>
      <c r="K453" s="3" t="str">
        <f>"70/23284/148/58504/8618/1008/1131/22866/2045/2047/53826/10082/2823/9455/6453/4885/3084/8828/4916/57460/55607/5577/8787/6456/6678/9900/6857/23043"</f>
        <v>70/23284/148/58504/8618/1008/1131/22866/2045/2047/53826/10082/2823/9455/6453/4885/3084/8828/4916/57460/55607/5577/8787/6456/6678/9900/6857/23043</v>
      </c>
    </row>
    <row r="454" spans="1:11">
      <c r="A454" s="3" t="str">
        <f>"GO:0006024"</f>
        <v>GO:0006024</v>
      </c>
      <c r="B454" s="3" t="str">
        <f>"glycosaminoglycan biosynthetic process"</f>
        <v>glycosaminoglycan biosynthetic process</v>
      </c>
      <c r="C454" s="6" t="str">
        <f t="shared" ref="C454:C466" si="27">"BP"</f>
        <v>BP</v>
      </c>
      <c r="D454" s="6">
        <v>13</v>
      </c>
      <c r="E454" s="3">
        <v>0.118181818181818</v>
      </c>
      <c r="F454" s="3">
        <v>1.72803083355824E-2</v>
      </c>
      <c r="G454" s="3" t="str">
        <f>"13/836"</f>
        <v>13/836</v>
      </c>
      <c r="H454" s="3" t="str">
        <f>"110/18670"</f>
        <v>110/18670</v>
      </c>
      <c r="I454" s="3">
        <v>1.2727307461812499E-3</v>
      </c>
      <c r="J454" s="3">
        <v>1.39263908051179E-2</v>
      </c>
      <c r="K454" s="3" t="str">
        <f>"284/9331/57214/9469/4166/1634/1950/10082/9955/90161/4060/4969/1462"</f>
        <v>284/9331/57214/9469/4166/1634/1950/10082/9955/90161/4060/4969/1462</v>
      </c>
    </row>
    <row r="455" spans="1:11">
      <c r="A455" s="3" t="str">
        <f>"GO:0043405"</f>
        <v>GO:0043405</v>
      </c>
      <c r="B455" s="3" t="str">
        <f>"regulation of MAP kinase activity"</f>
        <v>regulation of MAP kinase activity</v>
      </c>
      <c r="C455" s="6" t="str">
        <f t="shared" si="27"/>
        <v>BP</v>
      </c>
      <c r="D455" s="6">
        <v>28</v>
      </c>
      <c r="E455" s="3">
        <v>8.3086053412462904E-2</v>
      </c>
      <c r="F455" s="3">
        <v>1.75036059142753E-2</v>
      </c>
      <c r="G455" s="3" t="str">
        <f>"28/836"</f>
        <v>28/836</v>
      </c>
      <c r="H455" s="3" t="str">
        <f>"337/18670"</f>
        <v>337/18670</v>
      </c>
      <c r="I455" s="3">
        <v>1.2944823813757101E-3</v>
      </c>
      <c r="J455" s="3">
        <v>1.41063487830846E-2</v>
      </c>
      <c r="K455" s="3" t="str">
        <f>"652/114898/857/23624/22943/142679/1908/1950/1991/2247/2260/9518/3479/11213/3672/4254/7786/3084/203447/4914/4916/8654/56034/6423/7043/23043/57761/9839"</f>
        <v>652/114898/857/23624/22943/142679/1908/1950/1991/2247/2260/9518/3479/11213/3672/4254/7786/3084/203447/4914/4916/8654/56034/6423/7043/23043/57761/9839</v>
      </c>
    </row>
    <row r="456" spans="1:11">
      <c r="A456" s="3" t="str">
        <f>"GO:0006942"</f>
        <v>GO:0006942</v>
      </c>
      <c r="B456" s="3" t="str">
        <f>"regulation of striated muscle contraction"</f>
        <v>regulation of striated muscle contraction</v>
      </c>
      <c r="C456" s="6" t="str">
        <f t="shared" si="27"/>
        <v>BP</v>
      </c>
      <c r="D456" s="6">
        <v>12</v>
      </c>
      <c r="E456" s="3">
        <v>0.123711340206186</v>
      </c>
      <c r="F456" s="3">
        <v>1.75036059142753E-2</v>
      </c>
      <c r="G456" s="3" t="str">
        <f>"12/836"</f>
        <v>12/836</v>
      </c>
      <c r="H456" s="3" t="str">
        <f>"97/18670"</f>
        <v>97/18670</v>
      </c>
      <c r="I456" s="3">
        <v>1.29629960382425E-3</v>
      </c>
      <c r="J456" s="3">
        <v>1.41063487830846E-2</v>
      </c>
      <c r="K456" s="3" t="str">
        <f>"148/287/477/857/1824/10008/4842/8654/5350/6262/6546/54795"</f>
        <v>148/287/477/857/1824/10008/4842/8654/5350/6262/6546/54795</v>
      </c>
    </row>
    <row r="457" spans="1:11">
      <c r="A457" s="3" t="str">
        <f>"GO:0010831"</f>
        <v>GO:0010831</v>
      </c>
      <c r="B457" s="3" t="str">
        <f>"positive regulation of myotube differentiation"</f>
        <v>positive regulation of myotube differentiation</v>
      </c>
      <c r="C457" s="6" t="str">
        <f t="shared" si="27"/>
        <v>BP</v>
      </c>
      <c r="D457" s="6">
        <v>7</v>
      </c>
      <c r="E457" s="3">
        <v>0.18421052631578899</v>
      </c>
      <c r="F457" s="3">
        <v>1.76625521015032E-2</v>
      </c>
      <c r="G457" s="3" t="str">
        <f>"7/836"</f>
        <v>7/836</v>
      </c>
      <c r="H457" s="3" t="str">
        <f>"38/18670"</f>
        <v>38/18670</v>
      </c>
      <c r="I457" s="3">
        <v>1.3169685383403399E-3</v>
      </c>
      <c r="J457" s="3">
        <v>1.42344452659327E-2</v>
      </c>
      <c r="K457" s="3" t="str">
        <f>"30846/2323/9518/4323/9750/92304/6899"</f>
        <v>30846/2323/9518/4323/9750/92304/6899</v>
      </c>
    </row>
    <row r="458" spans="1:11">
      <c r="A458" s="3" t="str">
        <f>"GO:0086091"</f>
        <v>GO:0086091</v>
      </c>
      <c r="B458" s="3" t="str">
        <f>"regulation of heart rate by cardiac conduction"</f>
        <v>regulation of heart rate by cardiac conduction</v>
      </c>
      <c r="C458" s="6" t="str">
        <f t="shared" si="27"/>
        <v>BP</v>
      </c>
      <c r="D458" s="6">
        <v>7</v>
      </c>
      <c r="E458" s="3">
        <v>0.18421052631578899</v>
      </c>
      <c r="F458" s="3">
        <v>1.76625521015032E-2</v>
      </c>
      <c r="G458" s="3" t="str">
        <f>"7/836"</f>
        <v>7/836</v>
      </c>
      <c r="H458" s="3" t="str">
        <f>"38/18670"</f>
        <v>38/18670</v>
      </c>
      <c r="I458" s="3">
        <v>1.3169685383403399E-3</v>
      </c>
      <c r="J458" s="3">
        <v>1.42344452659327E-2</v>
      </c>
      <c r="K458" s="3" t="str">
        <f>"287/857/1824/10008/23630/3760/54795"</f>
        <v>287/857/1824/10008/23630/3760/54795</v>
      </c>
    </row>
    <row r="459" spans="1:11">
      <c r="A459" s="3" t="str">
        <f>"GO:0014013"</f>
        <v>GO:0014013</v>
      </c>
      <c r="B459" s="3" t="str">
        <f>"regulation of gliogenesis"</f>
        <v>regulation of gliogenesis</v>
      </c>
      <c r="C459" s="6" t="str">
        <f t="shared" si="27"/>
        <v>BP</v>
      </c>
      <c r="D459" s="6">
        <v>14</v>
      </c>
      <c r="E459" s="3">
        <v>0.112903225806452</v>
      </c>
      <c r="F459" s="3">
        <v>1.76625521015032E-2</v>
      </c>
      <c r="G459" s="3" t="str">
        <f>"14/836"</f>
        <v>14/836</v>
      </c>
      <c r="H459" s="3" t="str">
        <f>"124/18670"</f>
        <v>124/18670</v>
      </c>
      <c r="I459" s="3">
        <v>1.31885180493421E-3</v>
      </c>
      <c r="J459" s="3">
        <v>1.42344452659327E-2</v>
      </c>
      <c r="K459" s="3" t="str">
        <f>"443/1000/1524/1600/1745/1746/2119/3400/4916/64805/5468/7732/5270/85414"</f>
        <v>443/1000/1524/1600/1745/1746/2119/3400/4916/64805/5468/7732/5270/85414</v>
      </c>
    </row>
    <row r="460" spans="1:11">
      <c r="A460" s="3" t="str">
        <f>"GO:0061035"</f>
        <v>GO:0061035</v>
      </c>
      <c r="B460" s="3" t="str">
        <f>"regulation of cartilage development"</f>
        <v>regulation of cartilage development</v>
      </c>
      <c r="C460" s="6" t="str">
        <f t="shared" si="27"/>
        <v>BP</v>
      </c>
      <c r="D460" s="6">
        <v>10</v>
      </c>
      <c r="E460" s="3">
        <v>0.13888888888888901</v>
      </c>
      <c r="F460" s="3">
        <v>1.7750560579728299E-2</v>
      </c>
      <c r="G460" s="3" t="str">
        <f>"10/836"</f>
        <v>10/836</v>
      </c>
      <c r="H460" s="3" t="str">
        <f>"72/18670"</f>
        <v>72/18670</v>
      </c>
      <c r="I460" s="3">
        <v>1.3290348511373401E-3</v>
      </c>
      <c r="J460" s="3">
        <v>1.43053722678198E-2</v>
      </c>
      <c r="K460" s="3" t="str">
        <f>"81792/8313/652/658/2202/2487/5744/6591/6660/7481"</f>
        <v>81792/8313/652/658/2202/2487/5744/6591/6660/7481</v>
      </c>
    </row>
    <row r="461" spans="1:11">
      <c r="A461" s="3" t="str">
        <f>"GO:0045666"</f>
        <v>GO:0045666</v>
      </c>
      <c r="B461" s="3" t="str">
        <f>"positive regulation of neuron differentiation"</f>
        <v>positive regulation of neuron differentiation</v>
      </c>
      <c r="C461" s="6" t="str">
        <f t="shared" si="27"/>
        <v>BP</v>
      </c>
      <c r="D461" s="6">
        <v>30</v>
      </c>
      <c r="E461" s="3">
        <v>8.0862533692722394E-2</v>
      </c>
      <c r="F461" s="3">
        <v>1.8092012408351999E-2</v>
      </c>
      <c r="G461" s="3" t="str">
        <f>"30/836"</f>
        <v>30/836</v>
      </c>
      <c r="H461" s="3" t="str">
        <f>"371/18670"</f>
        <v>371/18670</v>
      </c>
      <c r="I461" s="3">
        <v>1.35828129779896E-3</v>
      </c>
      <c r="J461" s="3">
        <v>1.45805520571031E-2</v>
      </c>
      <c r="K461" s="3" t="str">
        <f>"627/652/653/1272/57699/6387/1600/22943/1745/1746/2042/2119/9638/2260/3169/6453/57554/4131/79625/23327/257194/4914/4916/55607/5753/7732/6092/11075/6857/9839"</f>
        <v>627/652/653/1272/57699/6387/1600/22943/1745/1746/2042/2119/9638/2260/3169/6453/57554/4131/79625/23327/257194/4914/4916/55607/5753/7732/6092/11075/6857/9839</v>
      </c>
    </row>
    <row r="462" spans="1:11">
      <c r="A462" s="3" t="str">
        <f>"GO:0043406"</f>
        <v>GO:0043406</v>
      </c>
      <c r="B462" s="3" t="str">
        <f>"positive regulation of MAP kinase activity"</f>
        <v>positive regulation of MAP kinase activity</v>
      </c>
      <c r="C462" s="6" t="str">
        <f t="shared" si="27"/>
        <v>BP</v>
      </c>
      <c r="D462" s="6">
        <v>23</v>
      </c>
      <c r="E462" s="3">
        <v>8.9147286821705404E-2</v>
      </c>
      <c r="F462" s="3">
        <v>1.8113656395028301E-2</v>
      </c>
      <c r="G462" s="3" t="str">
        <f>"23/836"</f>
        <v>23/836</v>
      </c>
      <c r="H462" s="3" t="str">
        <f>"258/18670"</f>
        <v>258/18670</v>
      </c>
      <c r="I462" s="3">
        <v>1.3635916309583801E-3</v>
      </c>
      <c r="J462" s="3">
        <v>1.45979951843425E-2</v>
      </c>
      <c r="K462" s="3" t="str">
        <f>"652/114898/22943/142679/1908/1950/1991/2247/2260/9518/3479/3672/4254/7786/3084/203447/4914/4916/8654/56034/7043/23043/9839"</f>
        <v>652/114898/22943/142679/1908/1950/1991/2247/2260/9518/3479/3672/4254/7786/3084/203447/4914/4916/8654/56034/7043/23043/9839</v>
      </c>
    </row>
    <row r="463" spans="1:11">
      <c r="A463" s="3" t="str">
        <f>"GO:0003044"</f>
        <v>GO:0003044</v>
      </c>
      <c r="B463" s="3" t="str">
        <f>"regulation of systemic arterial blood pressure mediated by a chemical signal"</f>
        <v>regulation of systemic arterial blood pressure mediated by a chemical signal</v>
      </c>
      <c r="C463" s="6" t="str">
        <f t="shared" si="27"/>
        <v>BP</v>
      </c>
      <c r="D463" s="6">
        <v>8</v>
      </c>
      <c r="E463" s="3">
        <v>0.16326530612244899</v>
      </c>
      <c r="F463" s="3">
        <v>1.8276932127166801E-2</v>
      </c>
      <c r="G463" s="3" t="str">
        <f>"8/836"</f>
        <v>8/836</v>
      </c>
      <c r="H463" s="3" t="str">
        <f>"49/18670"</f>
        <v>49/18670</v>
      </c>
      <c r="I463" s="3">
        <v>1.37960159088075E-3</v>
      </c>
      <c r="J463" s="3">
        <v>1.47295808951178E-2</v>
      </c>
      <c r="K463" s="3" t="str">
        <f>"148/153/155/1066/1359/1908/2028/81285"</f>
        <v>148/153/155/1066/1359/1908/2028/81285</v>
      </c>
    </row>
    <row r="464" spans="1:11">
      <c r="A464" s="3" t="str">
        <f>"GO:0008217"</f>
        <v>GO:0008217</v>
      </c>
      <c r="B464" s="3" t="str">
        <f>"regulation of blood pressure"</f>
        <v>regulation of blood pressure</v>
      </c>
      <c r="C464" s="6" t="str">
        <f t="shared" si="27"/>
        <v>BP</v>
      </c>
      <c r="D464" s="6">
        <v>18</v>
      </c>
      <c r="E464" s="3">
        <v>9.8901098901098897E-2</v>
      </c>
      <c r="F464" s="3">
        <v>1.8401293209449401E-2</v>
      </c>
      <c r="G464" s="3" t="str">
        <f>"18/836"</f>
        <v>18/836</v>
      </c>
      <c r="H464" s="3" t="str">
        <f>"182/18670"</f>
        <v>182/18670</v>
      </c>
      <c r="I464" s="3">
        <v>1.3927326701760299E-3</v>
      </c>
      <c r="J464" s="3">
        <v>1.48298048609858E-2</v>
      </c>
      <c r="K464" s="3" t="str">
        <f>"148/153/155/477/1066/1278/1359/1908/1910/2028/3817/4624/4842/4852/81285/5468/5742/6863"</f>
        <v>148/153/155/477/1066/1278/1359/1908/1910/2028/3817/4624/4842/4852/81285/5468/5742/6863</v>
      </c>
    </row>
    <row r="465" spans="1:11">
      <c r="A465" s="3" t="str">
        <f>"GO:0002028"</f>
        <v>GO:0002028</v>
      </c>
      <c r="B465" s="3" t="str">
        <f>"regulation of sodium ion transport"</f>
        <v>regulation of sodium ion transport</v>
      </c>
      <c r="C465" s="6" t="str">
        <f t="shared" si="27"/>
        <v>BP</v>
      </c>
      <c r="D465" s="6">
        <v>11</v>
      </c>
      <c r="E465" s="3">
        <v>0.129411764705882</v>
      </c>
      <c r="F465" s="3">
        <v>1.8534296424952499E-2</v>
      </c>
      <c r="G465" s="3" t="str">
        <f>"11/836"</f>
        <v>11/836</v>
      </c>
      <c r="H465" s="3" t="str">
        <f>"85/18670"</f>
        <v>85/18670</v>
      </c>
      <c r="I465" s="3">
        <v>1.4065702068173499E-3</v>
      </c>
      <c r="J465" s="3">
        <v>1.49369936171968E-2</v>
      </c>
      <c r="K465" s="3" t="str">
        <f>"477/1272/5348/53826/23327/79570/4842/5652/5270/6546/7871"</f>
        <v>477/1272/5348/53826/23327/79570/4842/5652/5270/6546/7871</v>
      </c>
    </row>
    <row r="466" spans="1:11">
      <c r="A466" s="3" t="str">
        <f>"GO:0042472"</f>
        <v>GO:0042472</v>
      </c>
      <c r="B466" s="3" t="str">
        <f>"inner ear morphogenesis"</f>
        <v>inner ear morphogenesis</v>
      </c>
      <c r="C466" s="6" t="str">
        <f t="shared" si="27"/>
        <v>BP</v>
      </c>
      <c r="D466" s="6">
        <v>12</v>
      </c>
      <c r="E466" s="3">
        <v>0.122448979591837</v>
      </c>
      <c r="F466" s="3">
        <v>1.8639669005174199E-2</v>
      </c>
      <c r="G466" s="3" t="str">
        <f>"12/836"</f>
        <v>12/836</v>
      </c>
      <c r="H466" s="3" t="str">
        <f>"98/18670"</f>
        <v>98/18670</v>
      </c>
      <c r="I466" s="3">
        <v>1.4183593505463199E-3</v>
      </c>
      <c r="J466" s="3">
        <v>1.50219145401232E-2</v>
      </c>
      <c r="K466" s="3" t="str">
        <f>"1280/2260/2263/2487/3249/8516/8013/9750/80736/84189/6899/259236"</f>
        <v>1280/2260/2263/2487/3249/8516/8013/9750/80736/84189/6899/259236</v>
      </c>
    </row>
    <row r="467" spans="1:11">
      <c r="A467" s="3" t="str">
        <f>"GO:0030175"</f>
        <v>GO:0030175</v>
      </c>
      <c r="B467" s="3" t="str">
        <f>"filopodium"</f>
        <v>filopodium</v>
      </c>
      <c r="C467" s="6" t="str">
        <f>"CC"</f>
        <v>CC</v>
      </c>
      <c r="D467" s="6">
        <v>12</v>
      </c>
      <c r="E467" s="3">
        <v>0.115384615384615</v>
      </c>
      <c r="F467" s="3">
        <v>1.8692946732142099E-2</v>
      </c>
      <c r="G467" s="3" t="str">
        <f>"12/873"</f>
        <v>12/873</v>
      </c>
      <c r="H467" s="3" t="str">
        <f>"104/19717"</f>
        <v>104/19717</v>
      </c>
      <c r="I467" s="3">
        <v>2.1598993072853298E-3</v>
      </c>
      <c r="J467" s="3">
        <v>1.4674913953804601E-2</v>
      </c>
      <c r="K467" s="3" t="str">
        <f>"55/70/84168/2047/2823/10788/4254/4646/4885/55607/9750/8633"</f>
        <v>55/70/84168/2047/2823/10788/4254/4646/4885/55607/9750/8633</v>
      </c>
    </row>
    <row r="468" spans="1:11">
      <c r="A468" s="3" t="str">
        <f>"GO:0030672"</f>
        <v>GO:0030672</v>
      </c>
      <c r="B468" s="3" t="str">
        <f>"synaptic vesicle membrane"</f>
        <v>synaptic vesicle membrane</v>
      </c>
      <c r="C468" s="6" t="str">
        <f>"CC"</f>
        <v>CC</v>
      </c>
      <c r="D468" s="6">
        <v>12</v>
      </c>
      <c r="E468" s="3">
        <v>0.115384615384615</v>
      </c>
      <c r="F468" s="3">
        <v>1.8692946732142099E-2</v>
      </c>
      <c r="G468" s="3" t="str">
        <f>"12/873"</f>
        <v>12/873</v>
      </c>
      <c r="H468" s="3" t="str">
        <f>"104/19717"</f>
        <v>104/19717</v>
      </c>
      <c r="I468" s="3">
        <v>2.1598993072853298E-3</v>
      </c>
      <c r="J468" s="3">
        <v>1.4674913953804601E-2</v>
      </c>
      <c r="K468" s="3" t="str">
        <f>"3382/5799/5865/6456/133308/9900/6853/9144/6857/23208/9066/143425"</f>
        <v>3382/5799/5865/6456/133308/9900/6853/9144/6857/23208/9066/143425</v>
      </c>
    </row>
    <row r="469" spans="1:11">
      <c r="A469" s="3" t="str">
        <f>"GO:0099501"</f>
        <v>GO:0099501</v>
      </c>
      <c r="B469" s="3" t="str">
        <f>"exocytic vesicle membrane"</f>
        <v>exocytic vesicle membrane</v>
      </c>
      <c r="C469" s="6" t="str">
        <f>"CC"</f>
        <v>CC</v>
      </c>
      <c r="D469" s="6">
        <v>12</v>
      </c>
      <c r="E469" s="3">
        <v>0.115384615384615</v>
      </c>
      <c r="F469" s="3">
        <v>1.8692946732142099E-2</v>
      </c>
      <c r="G469" s="3" t="str">
        <f>"12/873"</f>
        <v>12/873</v>
      </c>
      <c r="H469" s="3" t="str">
        <f>"104/19717"</f>
        <v>104/19717</v>
      </c>
      <c r="I469" s="3">
        <v>2.1598993072853298E-3</v>
      </c>
      <c r="J469" s="3">
        <v>1.4674913953804601E-2</v>
      </c>
      <c r="K469" s="3" t="str">
        <f>"3382/5799/5865/6456/133308/9900/6853/9144/6857/23208/9066/143425"</f>
        <v>3382/5799/5865/6456/133308/9900/6853/9144/6857/23208/9066/143425</v>
      </c>
    </row>
    <row r="470" spans="1:11">
      <c r="A470" s="3" t="str">
        <f>"GO:0007156"</f>
        <v>GO:0007156</v>
      </c>
      <c r="B470" s="3" t="str">
        <f>"homophilic cell adhesion via plasma membrane adhesion molecules"</f>
        <v>homophilic cell adhesion via plasma membrane adhesion molecules</v>
      </c>
      <c r="C470" s="6" t="str">
        <f t="shared" ref="C470:C492" si="28">"BP"</f>
        <v>BP</v>
      </c>
      <c r="D470" s="6">
        <v>17</v>
      </c>
      <c r="E470" s="3">
        <v>0.101190476190476</v>
      </c>
      <c r="F470" s="3">
        <v>1.9101952096956299E-2</v>
      </c>
      <c r="G470" s="3" t="str">
        <f>"17/836"</f>
        <v>17/836</v>
      </c>
      <c r="H470" s="3" t="str">
        <f>"168/18670"</f>
        <v>168/18670</v>
      </c>
      <c r="I470" s="3">
        <v>1.4574225913242299E-3</v>
      </c>
      <c r="J470" s="3">
        <v>1.5394473575166601E-2</v>
      </c>
      <c r="K470" s="3" t="str">
        <f>"306/1008/1015/1000/4680/1824/120114/79633/83872/5819/91624/23022/57575/5101/11122/6092/128434"</f>
        <v>306/1008/1015/1000/4680/1824/120114/79633/83872/5819/91624/23022/57575/5101/11122/6092/128434</v>
      </c>
    </row>
    <row r="471" spans="1:11">
      <c r="A471" s="3" t="str">
        <f>"GO:0099003"</f>
        <v>GO:0099003</v>
      </c>
      <c r="B471" s="3" t="str">
        <f>"vesicle-mediated transport in synapse"</f>
        <v>vesicle-mediated transport in synapse</v>
      </c>
      <c r="C471" s="6" t="str">
        <f t="shared" si="28"/>
        <v>BP</v>
      </c>
      <c r="D471" s="6">
        <v>20</v>
      </c>
      <c r="E471" s="3">
        <v>9.3896713615023497E-2</v>
      </c>
      <c r="F471" s="3">
        <v>1.9115797062151801E-2</v>
      </c>
      <c r="G471" s="3" t="str">
        <f>"20/836"</f>
        <v>20/836</v>
      </c>
      <c r="H471" s="3" t="str">
        <f>"213/18670"</f>
        <v>213/18670</v>
      </c>
      <c r="I471" s="3">
        <v>1.4723652088292399E-3</v>
      </c>
      <c r="J471" s="3">
        <v>1.54056313850998E-2</v>
      </c>
      <c r="K471" s="3" t="str">
        <f>"148/321/8618/1000/1056/2259/6453/5337/5579/5865/6456/85439/415117/9900/6853/6857/23208/9066/143425/114088"</f>
        <v>148/321/8618/1000/1056/2259/6453/5337/5579/5865/6456/85439/415117/9900/6853/6857/23208/9066/143425/114088</v>
      </c>
    </row>
    <row r="472" spans="1:11">
      <c r="A472" s="3" t="str">
        <f>"GO:0045685"</f>
        <v>GO:0045685</v>
      </c>
      <c r="B472" s="3" t="str">
        <f>"regulation of glial cell differentiation"</f>
        <v>regulation of glial cell differentiation</v>
      </c>
      <c r="C472" s="6" t="str">
        <f t="shared" si="28"/>
        <v>BP</v>
      </c>
      <c r="D472" s="6">
        <v>10</v>
      </c>
      <c r="E472" s="3">
        <v>0.13698630136986301</v>
      </c>
      <c r="F472" s="3">
        <v>1.9115797062151801E-2</v>
      </c>
      <c r="G472" s="3" t="str">
        <f>"10/836"</f>
        <v>10/836</v>
      </c>
      <c r="H472" s="3" t="str">
        <f>"73/18670"</f>
        <v>73/18670</v>
      </c>
      <c r="I472" s="3">
        <v>1.4794615683678999E-3</v>
      </c>
      <c r="J472" s="3">
        <v>1.54056313850998E-2</v>
      </c>
      <c r="K472" s="3" t="str">
        <f>"443/1600/1745/1746/3400/4916/5468/7732/5270/85414"</f>
        <v>443/1600/1745/1746/3400/4916/5468/7732/5270/85414</v>
      </c>
    </row>
    <row r="473" spans="1:11">
      <c r="A473" s="3" t="str">
        <f>"GO:1903524"</f>
        <v>GO:1903524</v>
      </c>
      <c r="B473" s="3" t="str">
        <f>"positive regulation of blood circulation"</f>
        <v>positive regulation of blood circulation</v>
      </c>
      <c r="C473" s="6" t="str">
        <f t="shared" si="28"/>
        <v>BP</v>
      </c>
      <c r="D473" s="6">
        <v>10</v>
      </c>
      <c r="E473" s="3">
        <v>0.13698630136986301</v>
      </c>
      <c r="F473" s="3">
        <v>1.9115797062151801E-2</v>
      </c>
      <c r="G473" s="3" t="str">
        <f>"10/836"</f>
        <v>10/836</v>
      </c>
      <c r="H473" s="3" t="str">
        <f>"73/18670"</f>
        <v>73/18670</v>
      </c>
      <c r="I473" s="3">
        <v>1.4794615683678999E-3</v>
      </c>
      <c r="J473" s="3">
        <v>1.54056313850998E-2</v>
      </c>
      <c r="K473" s="3" t="str">
        <f>"100/148/153/857/1131/1908/81285/5732/6262/54795"</f>
        <v>100/148/153/857/1131/1908/81285/5732/6262/54795</v>
      </c>
    </row>
    <row r="474" spans="1:11">
      <c r="A474" s="3" t="str">
        <f>"GO:0048642"</f>
        <v>GO:0048642</v>
      </c>
      <c r="B474" s="3" t="str">
        <f>"negative regulation of skeletal muscle tissue development"</f>
        <v>negative regulation of skeletal muscle tissue development</v>
      </c>
      <c r="C474" s="6" t="str">
        <f t="shared" si="28"/>
        <v>BP</v>
      </c>
      <c r="D474" s="6">
        <v>4</v>
      </c>
      <c r="E474" s="3">
        <v>0.33333333333333298</v>
      </c>
      <c r="F474" s="3">
        <v>1.9115797062151801E-2</v>
      </c>
      <c r="G474" s="3" t="str">
        <f>"4/836"</f>
        <v>4/836</v>
      </c>
      <c r="H474" s="3" t="str">
        <f>"12/18670"</f>
        <v>12/18670</v>
      </c>
      <c r="I474" s="3">
        <v>1.4804797231555201E-3</v>
      </c>
      <c r="J474" s="3">
        <v>1.54056313850998E-2</v>
      </c>
      <c r="K474" s="3" t="str">
        <f>"22943/2047/93649/7093"</f>
        <v>22943/2047/93649/7093</v>
      </c>
    </row>
    <row r="475" spans="1:11">
      <c r="A475" s="3" t="str">
        <f>"GO:0090331"</f>
        <v>GO:0090331</v>
      </c>
      <c r="B475" s="3" t="str">
        <f>"negative regulation of platelet aggregation"</f>
        <v>negative regulation of platelet aggregation</v>
      </c>
      <c r="C475" s="6" t="str">
        <f t="shared" si="28"/>
        <v>BP</v>
      </c>
      <c r="D475" s="6">
        <v>4</v>
      </c>
      <c r="E475" s="3">
        <v>0.33333333333333298</v>
      </c>
      <c r="F475" s="3">
        <v>1.9115797062151801E-2</v>
      </c>
      <c r="G475" s="3" t="str">
        <f>"4/836"</f>
        <v>4/836</v>
      </c>
      <c r="H475" s="3" t="str">
        <f>"12/18670"</f>
        <v>12/18670</v>
      </c>
      <c r="I475" s="3">
        <v>1.4804797231555201E-3</v>
      </c>
      <c r="J475" s="3">
        <v>1.54056313850998E-2</v>
      </c>
      <c r="K475" s="3" t="str">
        <f>"170692/114897/5592/5270"</f>
        <v>170692/114897/5592/5270</v>
      </c>
    </row>
    <row r="476" spans="1:11">
      <c r="A476" s="3" t="str">
        <f>"GO:0021953"</f>
        <v>GO:0021953</v>
      </c>
      <c r="B476" s="3" t="str">
        <f>"central nervous system neuron differentiation"</f>
        <v>central nervous system neuron differentiation</v>
      </c>
      <c r="C476" s="6" t="str">
        <f t="shared" si="28"/>
        <v>BP</v>
      </c>
      <c r="D476" s="6">
        <v>18</v>
      </c>
      <c r="E476" s="3">
        <v>9.8360655737704902E-2</v>
      </c>
      <c r="F476" s="3">
        <v>1.9115797062151801E-2</v>
      </c>
      <c r="G476" s="3" t="str">
        <f>"18/836"</f>
        <v>18/836</v>
      </c>
      <c r="H476" s="3" t="str">
        <f>"183/18670"</f>
        <v>183/18670</v>
      </c>
      <c r="I476" s="3">
        <v>1.4818145840650701E-3</v>
      </c>
      <c r="J476" s="3">
        <v>1.54056313850998E-2</v>
      </c>
      <c r="K476" s="3" t="str">
        <f>"9331/22943/1745/1746/2047/2263/3236/3400/64843/3110/4852/8828/5881/6092/10371/6423/7472/9839"</f>
        <v>9331/22943/1745/1746/2047/2263/3236/3400/64843/3110/4852/8828/5881/6092/10371/6423/7472/9839</v>
      </c>
    </row>
    <row r="477" spans="1:11">
      <c r="A477" s="3" t="str">
        <f>"GO:0048706"</f>
        <v>GO:0048706</v>
      </c>
      <c r="B477" s="3" t="str">
        <f>"embryonic skeletal system development"</f>
        <v>embryonic skeletal system development</v>
      </c>
      <c r="C477" s="6" t="str">
        <f t="shared" si="28"/>
        <v>BP</v>
      </c>
      <c r="D477" s="6">
        <v>14</v>
      </c>
      <c r="E477" s="3">
        <v>0.11111111111111099</v>
      </c>
      <c r="F477" s="3">
        <v>1.97532118091194E-2</v>
      </c>
      <c r="G477" s="3" t="str">
        <f>"14/836"</f>
        <v>14/836</v>
      </c>
      <c r="H477" s="3" t="str">
        <f>"126/18670"</f>
        <v>126/18670</v>
      </c>
      <c r="I477" s="3">
        <v>1.53926350414908E-3</v>
      </c>
      <c r="J477" s="3">
        <v>1.59193309498777E-2</v>
      </c>
      <c r="K477" s="3" t="str">
        <f>"652/1280/1745/1746/2263/3223/3236/4323/4325/116039/5950/6899/7043/7481"</f>
        <v>652/1280/1745/1746/2263/3223/3236/4323/4325/116039/5950/6899/7043/7481</v>
      </c>
    </row>
    <row r="478" spans="1:11">
      <c r="A478" s="3" t="str">
        <f>"GO:0090101"</f>
        <v>GO:0090101</v>
      </c>
      <c r="B478" s="3" t="str">
        <f>"negative regulation of transmembrane receptor protein serine/threonine kinase signaling pathway"</f>
        <v>negative regulation of transmembrane receptor protein serine/threonine kinase signaling pathway</v>
      </c>
      <c r="C478" s="6" t="str">
        <f t="shared" si="28"/>
        <v>BP</v>
      </c>
      <c r="D478" s="6">
        <v>14</v>
      </c>
      <c r="E478" s="3">
        <v>0.11111111111111099</v>
      </c>
      <c r="F478" s="3">
        <v>1.97532118091194E-2</v>
      </c>
      <c r="G478" s="3" t="str">
        <f>"14/836"</f>
        <v>14/836</v>
      </c>
      <c r="H478" s="3" t="str">
        <f>"126/18670"</f>
        <v>126/18670</v>
      </c>
      <c r="I478" s="3">
        <v>1.53926350414908E-3</v>
      </c>
      <c r="J478" s="3">
        <v>1.59193309498777E-2</v>
      </c>
      <c r="K478" s="3" t="str">
        <f>"54829/857/858/91851/22943/1745/2200/64388/3547/9480/348093/6423/7043/7049"</f>
        <v>54829/857/858/91851/22943/1745/2200/64388/3547/9480/348093/6423/7043/7049</v>
      </c>
    </row>
    <row r="479" spans="1:11">
      <c r="A479" s="3" t="str">
        <f>"GO:1901570"</f>
        <v>GO:1901570</v>
      </c>
      <c r="B479" s="3" t="str">
        <f>"fatty acid derivative biosynthetic process"</f>
        <v>fatty acid derivative biosynthetic process</v>
      </c>
      <c r="C479" s="6" t="str">
        <f t="shared" si="28"/>
        <v>BP</v>
      </c>
      <c r="D479" s="6">
        <v>12</v>
      </c>
      <c r="E479" s="3">
        <v>0.12121212121212099</v>
      </c>
      <c r="F479" s="3">
        <v>1.9767472717496699E-2</v>
      </c>
      <c r="G479" s="3" t="str">
        <f>"12/836"</f>
        <v>12/836</v>
      </c>
      <c r="H479" s="3" t="str">
        <f>"99/18670"</f>
        <v>99/18670</v>
      </c>
      <c r="I479" s="3">
        <v>1.5497516861303999E-3</v>
      </c>
      <c r="J479" s="3">
        <v>1.5930823973002099E-2</v>
      </c>
      <c r="K479" s="3" t="str">
        <f>"54898/79993/2194/2687/2681/54511/3158/5730/5740/5742/6319/79966"</f>
        <v>54898/79993/2194/2687/2681/54511/3158/5730/5740/5742/6319/79966</v>
      </c>
    </row>
    <row r="480" spans="1:11">
      <c r="A480" s="3" t="str">
        <f>"GO:0045822"</f>
        <v>GO:0045822</v>
      </c>
      <c r="B480" s="3" t="str">
        <f>"negative regulation of heart contraction"</f>
        <v>negative regulation of heart contraction</v>
      </c>
      <c r="C480" s="6" t="str">
        <f t="shared" si="28"/>
        <v>BP</v>
      </c>
      <c r="D480" s="6">
        <v>6</v>
      </c>
      <c r="E480" s="3">
        <v>0.20689655172413801</v>
      </c>
      <c r="F480" s="3">
        <v>1.9767472717496699E-2</v>
      </c>
      <c r="G480" s="3" t="str">
        <f>"6/836"</f>
        <v>6/836</v>
      </c>
      <c r="H480" s="3" t="str">
        <f>"29/18670"</f>
        <v>29/18670</v>
      </c>
      <c r="I480" s="3">
        <v>1.55244038025508E-3</v>
      </c>
      <c r="J480" s="3">
        <v>1.5930823973002099E-2</v>
      </c>
      <c r="K480" s="3" t="str">
        <f>"148/477/10008/8654/5350/6863"</f>
        <v>148/477/10008/8654/5350/6863</v>
      </c>
    </row>
    <row r="481" spans="1:11">
      <c r="A481" s="3" t="str">
        <f>"GO:0060914"</f>
        <v>GO:0060914</v>
      </c>
      <c r="B481" s="3" t="str">
        <f>"heart formation"</f>
        <v>heart formation</v>
      </c>
      <c r="C481" s="6" t="str">
        <f t="shared" si="28"/>
        <v>BP</v>
      </c>
      <c r="D481" s="6">
        <v>6</v>
      </c>
      <c r="E481" s="3">
        <v>0.20689655172413801</v>
      </c>
      <c r="F481" s="3">
        <v>1.9767472717496699E-2</v>
      </c>
      <c r="G481" s="3" t="str">
        <f>"6/836"</f>
        <v>6/836</v>
      </c>
      <c r="H481" s="3" t="str">
        <f>"29/18670"</f>
        <v>29/18670</v>
      </c>
      <c r="I481" s="3">
        <v>1.55244038025508E-3</v>
      </c>
      <c r="J481" s="3">
        <v>1.5930823973002099E-2</v>
      </c>
      <c r="K481" s="3" t="str">
        <f>"8313/652/22943/140628/6092/6910"</f>
        <v>8313/652/22943/140628/6092/6910</v>
      </c>
    </row>
    <row r="482" spans="1:11">
      <c r="A482" s="3" t="str">
        <f>"GO:0007620"</f>
        <v>GO:0007620</v>
      </c>
      <c r="B482" s="3" t="str">
        <f>"copulation"</f>
        <v>copulation</v>
      </c>
      <c r="C482" s="6" t="str">
        <f t="shared" si="28"/>
        <v>BP</v>
      </c>
      <c r="D482" s="6">
        <v>5</v>
      </c>
      <c r="E482" s="3">
        <v>0.25</v>
      </c>
      <c r="F482" s="3">
        <v>1.9849158925084501E-2</v>
      </c>
      <c r="G482" s="3" t="str">
        <f>"5/836"</f>
        <v>5/836</v>
      </c>
      <c r="H482" s="3" t="str">
        <f>"20/18670"</f>
        <v>20/18670</v>
      </c>
      <c r="I482" s="3">
        <v>1.57184764058692E-3</v>
      </c>
      <c r="J482" s="3">
        <v>1.5996655787351901E-2</v>
      </c>
      <c r="K482" s="3" t="str">
        <f>"100/8528/1910/5270/6863"</f>
        <v>100/8528/1910/5270/6863</v>
      </c>
    </row>
    <row r="483" spans="1:11">
      <c r="A483" s="3" t="str">
        <f>"GO:0010002"</f>
        <v>GO:0010002</v>
      </c>
      <c r="B483" s="3" t="str">
        <f>"cardioblast differentiation"</f>
        <v>cardioblast differentiation</v>
      </c>
      <c r="C483" s="6" t="str">
        <f t="shared" si="28"/>
        <v>BP</v>
      </c>
      <c r="D483" s="6">
        <v>5</v>
      </c>
      <c r="E483" s="3">
        <v>0.25</v>
      </c>
      <c r="F483" s="3">
        <v>1.9849158925084501E-2</v>
      </c>
      <c r="G483" s="3" t="str">
        <f>"5/836"</f>
        <v>5/836</v>
      </c>
      <c r="H483" s="3" t="str">
        <f>"20/18670"</f>
        <v>20/18670</v>
      </c>
      <c r="I483" s="3">
        <v>1.57184764058692E-3</v>
      </c>
      <c r="J483" s="3">
        <v>1.5996655787351901E-2</v>
      </c>
      <c r="K483" s="3" t="str">
        <f>"2627/93649/3084/6909/6910"</f>
        <v>2627/93649/3084/6909/6910</v>
      </c>
    </row>
    <row r="484" spans="1:11">
      <c r="A484" s="3" t="str">
        <f>"GO:0033630"</f>
        <v>GO:0033630</v>
      </c>
      <c r="B484" s="3" t="str">
        <f>"positive regulation of cell adhesion mediated by integrin"</f>
        <v>positive regulation of cell adhesion mediated by integrin</v>
      </c>
      <c r="C484" s="6" t="str">
        <f t="shared" si="28"/>
        <v>BP</v>
      </c>
      <c r="D484" s="6">
        <v>5</v>
      </c>
      <c r="E484" s="3">
        <v>0.25</v>
      </c>
      <c r="F484" s="3">
        <v>1.9849158925084501E-2</v>
      </c>
      <c r="G484" s="3" t="str">
        <f>"5/836"</f>
        <v>5/836</v>
      </c>
      <c r="H484" s="3" t="str">
        <f>"20/18670"</f>
        <v>20/18670</v>
      </c>
      <c r="I484" s="3">
        <v>1.57184764058692E-3</v>
      </c>
      <c r="J484" s="3">
        <v>1.5996655787351901E-2</v>
      </c>
      <c r="K484" s="3" t="str">
        <f>"6366/10563/64805/5881/6423"</f>
        <v>6366/10563/64805/5881/6423</v>
      </c>
    </row>
    <row r="485" spans="1:11">
      <c r="A485" s="3" t="str">
        <f>"GO:0001706"</f>
        <v>GO:0001706</v>
      </c>
      <c r="B485" s="3" t="str">
        <f>"endoderm formation"</f>
        <v>endoderm formation</v>
      </c>
      <c r="C485" s="6" t="str">
        <f t="shared" si="28"/>
        <v>BP</v>
      </c>
      <c r="D485" s="6">
        <v>8</v>
      </c>
      <c r="E485" s="3">
        <v>0.16</v>
      </c>
      <c r="F485" s="3">
        <v>1.9849158925084501E-2</v>
      </c>
      <c r="G485" s="3" t="str">
        <f>"8/836"</f>
        <v>8/836</v>
      </c>
      <c r="H485" s="3" t="str">
        <f>"50/18670"</f>
        <v>50/18670</v>
      </c>
      <c r="I485" s="3">
        <v>1.57904804470153E-3</v>
      </c>
      <c r="J485" s="3">
        <v>1.5996655787351901E-2</v>
      </c>
      <c r="K485" s="3" t="str">
        <f>"1290/1291/22943/2627/8091/3676/3912/4323"</f>
        <v>1290/1291/22943/2627/8091/3676/3912/4323</v>
      </c>
    </row>
    <row r="486" spans="1:11">
      <c r="A486" s="3" t="str">
        <f>"GO:0097035"</f>
        <v>GO:0097035</v>
      </c>
      <c r="B486" s="3" t="str">
        <f>"regulation of membrane lipid distribution"</f>
        <v>regulation of membrane lipid distribution</v>
      </c>
      <c r="C486" s="6" t="str">
        <f t="shared" si="28"/>
        <v>BP</v>
      </c>
      <c r="D486" s="6">
        <v>8</v>
      </c>
      <c r="E486" s="3">
        <v>0.16</v>
      </c>
      <c r="F486" s="3">
        <v>1.9849158925084501E-2</v>
      </c>
      <c r="G486" s="3" t="str">
        <f>"8/836"</f>
        <v>8/836</v>
      </c>
      <c r="H486" s="3" t="str">
        <f>"50/18670"</f>
        <v>50/18670</v>
      </c>
      <c r="I486" s="3">
        <v>1.57904804470153E-3</v>
      </c>
      <c r="J486" s="3">
        <v>1.5996655787351901E-2</v>
      </c>
      <c r="K486" s="3" t="str">
        <f>"121601/196527/23200/286410/10396/3783/5359/116238"</f>
        <v>121601/196527/23200/286410/10396/3783/5359/116238</v>
      </c>
    </row>
    <row r="487" spans="1:11">
      <c r="A487" s="3" t="str">
        <f>"GO:0046620"</f>
        <v>GO:0046620</v>
      </c>
      <c r="B487" s="3" t="str">
        <f>"regulation of organ growth"</f>
        <v>regulation of organ growth</v>
      </c>
      <c r="C487" s="6" t="str">
        <f t="shared" si="28"/>
        <v>BP</v>
      </c>
      <c r="D487" s="6">
        <v>13</v>
      </c>
      <c r="E487" s="3">
        <v>0.11504424778761101</v>
      </c>
      <c r="F487" s="3">
        <v>2.03905419378193E-2</v>
      </c>
      <c r="G487" s="3" t="str">
        <f>"13/836"</f>
        <v>13/836</v>
      </c>
      <c r="H487" s="3" t="str">
        <f>"113/18670"</f>
        <v>113/18670</v>
      </c>
      <c r="I487" s="3">
        <v>1.6304136279884E-3</v>
      </c>
      <c r="J487" s="3">
        <v>1.6432962319861601E-2</v>
      </c>
      <c r="K487" s="3" t="str">
        <f>"2247/2260/2263/2627/3479/4624/5950/6909/6910/7049/7472/7490/23286"</f>
        <v>2247/2260/2263/2627/3479/4624/5950/6909/6910/7049/7472/7490/23286</v>
      </c>
    </row>
    <row r="488" spans="1:11">
      <c r="A488" s="3" t="str">
        <f>"GO:0048640"</f>
        <v>GO:0048640</v>
      </c>
      <c r="B488" s="3" t="str">
        <f>"negative regulation of developmental growth"</f>
        <v>negative regulation of developmental growth</v>
      </c>
      <c r="C488" s="6" t="str">
        <f t="shared" si="28"/>
        <v>BP</v>
      </c>
      <c r="D488" s="6">
        <v>13</v>
      </c>
      <c r="E488" s="3">
        <v>0.11504424778761101</v>
      </c>
      <c r="F488" s="3">
        <v>2.03905419378193E-2</v>
      </c>
      <c r="G488" s="3" t="str">
        <f>"13/836"</f>
        <v>13/836</v>
      </c>
      <c r="H488" s="3" t="str">
        <f>"113/18670"</f>
        <v>113/18670</v>
      </c>
      <c r="I488" s="3">
        <v>1.6304136279884E-3</v>
      </c>
      <c r="J488" s="3">
        <v>1.6432962319861601E-2</v>
      </c>
      <c r="K488" s="3" t="str">
        <f>"153/652/2045/51083/9518/5950/10371/9723/80031/6423/6910/7093/23286"</f>
        <v>153/652/2045/51083/9518/5950/10371/9723/80031/6423/6910/7093/23286</v>
      </c>
    </row>
    <row r="489" spans="1:11">
      <c r="A489" s="3" t="str">
        <f>"GO:0051145"</f>
        <v>GO:0051145</v>
      </c>
      <c r="B489" s="3" t="str">
        <f>"smooth muscle cell differentiation"</f>
        <v>smooth muscle cell differentiation</v>
      </c>
      <c r="C489" s="6" t="str">
        <f t="shared" si="28"/>
        <v>BP</v>
      </c>
      <c r="D489" s="6">
        <v>10</v>
      </c>
      <c r="E489" s="3">
        <v>0.135135135135135</v>
      </c>
      <c r="F489" s="3">
        <v>2.05010533593473E-2</v>
      </c>
      <c r="G489" s="3" t="str">
        <f>"10/836"</f>
        <v>10/836</v>
      </c>
      <c r="H489" s="3" t="str">
        <f>"74/18670"</f>
        <v>74/18670</v>
      </c>
      <c r="I489" s="3">
        <v>1.6434211645132901E-3</v>
      </c>
      <c r="J489" s="3">
        <v>1.6522024691593699E-2</v>
      </c>
      <c r="K489" s="3" t="str">
        <f>"652/1910/2263/2294/2627/23462/8516/93649/348093/6443"</f>
        <v>652/1910/2263/2294/2627/23462/8516/93649/348093/6443</v>
      </c>
    </row>
    <row r="490" spans="1:11">
      <c r="A490" s="3" t="str">
        <f>"GO:0007269"</f>
        <v>GO:0007269</v>
      </c>
      <c r="B490" s="3" t="str">
        <f>"neurotransmitter secretion"</f>
        <v>neurotransmitter secretion</v>
      </c>
      <c r="C490" s="6" t="str">
        <f t="shared" si="28"/>
        <v>BP</v>
      </c>
      <c r="D490" s="6">
        <v>17</v>
      </c>
      <c r="E490" s="3">
        <v>0.1</v>
      </c>
      <c r="F490" s="3">
        <v>2.05701935871507E-2</v>
      </c>
      <c r="G490" s="3" t="str">
        <f>"17/836"</f>
        <v>17/836</v>
      </c>
      <c r="H490" s="3" t="str">
        <f>"170/18670"</f>
        <v>170/18670</v>
      </c>
      <c r="I490" s="3">
        <v>1.65733401027704E-3</v>
      </c>
      <c r="J490" s="3">
        <v>1.65777455626595E-2</v>
      </c>
      <c r="K490" s="3" t="str">
        <f>"148/321/8618/25953/55607/5579/5799/6623/415117/9900/6853/6857/23208/9066/143425/6865/114088"</f>
        <v>148/321/8618/25953/55607/5579/5799/6623/415117/9900/6853/6857/23208/9066/143425/6865/114088</v>
      </c>
    </row>
    <row r="491" spans="1:11">
      <c r="A491" s="3" t="str">
        <f>"GO:0099643"</f>
        <v>GO:0099643</v>
      </c>
      <c r="B491" s="3" t="str">
        <f>"signal release from synapse"</f>
        <v>signal release from synapse</v>
      </c>
      <c r="C491" s="6" t="str">
        <f t="shared" si="28"/>
        <v>BP</v>
      </c>
      <c r="D491" s="6">
        <v>17</v>
      </c>
      <c r="E491" s="3">
        <v>0.1</v>
      </c>
      <c r="F491" s="3">
        <v>2.05701935871507E-2</v>
      </c>
      <c r="G491" s="3" t="str">
        <f>"17/836"</f>
        <v>17/836</v>
      </c>
      <c r="H491" s="3" t="str">
        <f>"170/18670"</f>
        <v>170/18670</v>
      </c>
      <c r="I491" s="3">
        <v>1.65733401027704E-3</v>
      </c>
      <c r="J491" s="3">
        <v>1.65777455626595E-2</v>
      </c>
      <c r="K491" s="3" t="str">
        <f>"148/321/8618/25953/55607/5579/5799/6623/415117/9900/6853/6857/23208/9066/143425/6865/114088"</f>
        <v>148/321/8618/25953/55607/5579/5799/6623/415117/9900/6853/6857/23208/9066/143425/6865/114088</v>
      </c>
    </row>
    <row r="492" spans="1:11">
      <c r="A492" s="3" t="str">
        <f>"GO:0050433"</f>
        <v>GO:0050433</v>
      </c>
      <c r="B492" s="3" t="str">
        <f>"regulation of catecholamine secretion"</f>
        <v>regulation of catecholamine secretion</v>
      </c>
      <c r="C492" s="6" t="str">
        <f t="shared" si="28"/>
        <v>BP</v>
      </c>
      <c r="D492" s="6">
        <v>9</v>
      </c>
      <c r="E492" s="3">
        <v>0.14516129032258099</v>
      </c>
      <c r="F492" s="3">
        <v>2.06614895722508E-2</v>
      </c>
      <c r="G492" s="3" t="str">
        <f>"9/836"</f>
        <v>9/836</v>
      </c>
      <c r="H492" s="3" t="str">
        <f>"62/18670"</f>
        <v>62/18670</v>
      </c>
      <c r="I492" s="3">
        <v>1.66889346087153E-3</v>
      </c>
      <c r="J492" s="3">
        <v>1.6651322002544201E-2</v>
      </c>
      <c r="K492" s="3" t="str">
        <f>"6387/3745/64805/6623/6857/23208/57586/9066/143425"</f>
        <v>6387/3745/64805/6623/6857/23208/57586/9066/143425</v>
      </c>
    </row>
    <row r="493" spans="1:11">
      <c r="A493" s="3" t="str">
        <f>"GO:0043204"</f>
        <v>GO:0043204</v>
      </c>
      <c r="B493" s="3" t="str">
        <f>"perikaryon"</f>
        <v>perikaryon</v>
      </c>
      <c r="C493" s="6" t="str">
        <f>"CC"</f>
        <v>CC</v>
      </c>
      <c r="D493" s="6">
        <v>14</v>
      </c>
      <c r="E493" s="3">
        <v>0.104477611940299</v>
      </c>
      <c r="F493" s="3">
        <v>2.0797412536486499E-2</v>
      </c>
      <c r="G493" s="3" t="str">
        <f>"14/873"</f>
        <v>14/873</v>
      </c>
      <c r="H493" s="3" t="str">
        <f>"134/19717"</f>
        <v>134/19717</v>
      </c>
      <c r="I493" s="3">
        <v>2.4893171879543001E-3</v>
      </c>
      <c r="J493" s="3">
        <v>1.6327026648502201E-2</v>
      </c>
      <c r="K493" s="3" t="str">
        <f>"57699/1410/1501/3672/8516/7881/3745/3747/10008/4131/4642/5179/146713/55273"</f>
        <v>57699/1410/1501/3672/8516/7881/3745/3747/10008/4131/4642/5179/146713/55273</v>
      </c>
    </row>
    <row r="494" spans="1:11">
      <c r="A494" s="3" t="str">
        <f>"GO:0042641"</f>
        <v>GO:0042641</v>
      </c>
      <c r="B494" s="3" t="str">
        <f>"actomyosin"</f>
        <v>actomyosin</v>
      </c>
      <c r="C494" s="6" t="str">
        <f>"CC"</f>
        <v>CC</v>
      </c>
      <c r="D494" s="6">
        <v>10</v>
      </c>
      <c r="E494" s="3">
        <v>0.126582278481013</v>
      </c>
      <c r="F494" s="3">
        <v>2.0797412536486499E-2</v>
      </c>
      <c r="G494" s="3" t="str">
        <f>"10/873"</f>
        <v>10/873</v>
      </c>
      <c r="H494" s="3" t="str">
        <f>"79/19717"</f>
        <v>79/19717</v>
      </c>
      <c r="I494" s="3">
        <v>2.4904464592011102E-3</v>
      </c>
      <c r="J494" s="3">
        <v>1.6327026648502201E-2</v>
      </c>
      <c r="K494" s="3" t="str">
        <f>"70/11170/10979/2317/11155/4624/4638/10611/5239/171024"</f>
        <v>70/11170/10979/2317/11155/4624/4638/10611/5239/171024</v>
      </c>
    </row>
    <row r="495" spans="1:11">
      <c r="A495" s="3" t="str">
        <f>"GO:0001725"</f>
        <v>GO:0001725</v>
      </c>
      <c r="B495" s="3" t="str">
        <f>"stress fiber"</f>
        <v>stress fiber</v>
      </c>
      <c r="C495" s="6" t="str">
        <f>"CC"</f>
        <v>CC</v>
      </c>
      <c r="D495" s="6">
        <v>9</v>
      </c>
      <c r="E495" s="3">
        <v>0.134328358208955</v>
      </c>
      <c r="F495" s="3">
        <v>2.1608446127114399E-2</v>
      </c>
      <c r="G495" s="3" t="str">
        <f>"9/873"</f>
        <v>9/873</v>
      </c>
      <c r="H495" s="3" t="str">
        <f>"67/19717"</f>
        <v>67/19717</v>
      </c>
      <c r="I495" s="3">
        <v>2.6783578182767902E-3</v>
      </c>
      <c r="J495" s="3">
        <v>1.6963729268300799E-2</v>
      </c>
      <c r="K495" s="3" t="str">
        <f>"11170/10979/2317/11155/4624/4638/10611/5239/171024"</f>
        <v>11170/10979/2317/11155/4624/4638/10611/5239/171024</v>
      </c>
    </row>
    <row r="496" spans="1:11">
      <c r="A496" s="3" t="str">
        <f>"GO:0097517"</f>
        <v>GO:0097517</v>
      </c>
      <c r="B496" s="3" t="str">
        <f>"contractile actin filament bundle"</f>
        <v>contractile actin filament bundle</v>
      </c>
      <c r="C496" s="6" t="str">
        <f>"CC"</f>
        <v>CC</v>
      </c>
      <c r="D496" s="6">
        <v>9</v>
      </c>
      <c r="E496" s="3">
        <v>0.134328358208955</v>
      </c>
      <c r="F496" s="3">
        <v>2.1608446127114399E-2</v>
      </c>
      <c r="G496" s="3" t="str">
        <f>"9/873"</f>
        <v>9/873</v>
      </c>
      <c r="H496" s="3" t="str">
        <f>"67/19717"</f>
        <v>67/19717</v>
      </c>
      <c r="I496" s="3">
        <v>2.6783578182767902E-3</v>
      </c>
      <c r="J496" s="3">
        <v>1.6963729268300799E-2</v>
      </c>
      <c r="K496" s="3" t="str">
        <f>"11170/10979/2317/11155/4624/4638/10611/5239/171024"</f>
        <v>11170/10979/2317/11155/4624/4638/10611/5239/171024</v>
      </c>
    </row>
    <row r="497" spans="1:11">
      <c r="A497" s="3" t="str">
        <f>"GO:0001667"</f>
        <v>GO:0001667</v>
      </c>
      <c r="B497" s="3" t="str">
        <f>"ameboidal-type cell migration"</f>
        <v>ameboidal-type cell migration</v>
      </c>
      <c r="C497" s="6" t="str">
        <f t="shared" ref="C497:C503" si="29">"BP"</f>
        <v>BP</v>
      </c>
      <c r="D497" s="6">
        <v>35</v>
      </c>
      <c r="E497" s="3">
        <v>7.5757575757575801E-2</v>
      </c>
      <c r="F497" s="3">
        <v>2.1699019888616299E-2</v>
      </c>
      <c r="G497" s="3" t="str">
        <f>"35/836"</f>
        <v>35/836</v>
      </c>
      <c r="H497" s="3" t="str">
        <f>"462/18670"</f>
        <v>462/18670</v>
      </c>
      <c r="I497" s="3">
        <v>1.75711290247595E-3</v>
      </c>
      <c r="J497" s="3">
        <v>1.7487479111391199E-2</v>
      </c>
      <c r="K497" s="3" t="str">
        <f>"284/306/309/652/10563/1634/4921/1803/1908/1910/2247/2252/2260/9734/3676/4254/8828/64805/5308/10769/5468/5578/57381/10371/9723/80031/6546/6678/85360/6863/4070/6899/7145/7481/9839"</f>
        <v>284/306/309/652/10563/1634/4921/1803/1908/1910/2247/2252/2260/9734/3676/4254/8828/64805/5308/10769/5468/5578/57381/10371/9723/80031/6546/6678/85360/6863/4070/6899/7145/7481/9839</v>
      </c>
    </row>
    <row r="498" spans="1:11">
      <c r="A498" s="3" t="str">
        <f>"GO:0014046"</f>
        <v>GO:0014046</v>
      </c>
      <c r="B498" s="3" t="str">
        <f>"dopamine secretion"</f>
        <v>dopamine secretion</v>
      </c>
      <c r="C498" s="6" t="str">
        <f t="shared" si="29"/>
        <v>BP</v>
      </c>
      <c r="D498" s="6">
        <v>7</v>
      </c>
      <c r="E498" s="3">
        <v>0.17499999999999999</v>
      </c>
      <c r="F498" s="3">
        <v>2.2121123862923399E-2</v>
      </c>
      <c r="G498" s="3" t="str">
        <f>"7/836"</f>
        <v>7/836</v>
      </c>
      <c r="H498" s="3" t="str">
        <f>"40/18670"</f>
        <v>40/18670</v>
      </c>
      <c r="I498" s="3">
        <v>1.80029492272012E-3</v>
      </c>
      <c r="J498" s="3">
        <v>1.78276573531468E-2</v>
      </c>
      <c r="K498" s="3" t="str">
        <f>"6387/6623/6857/23208/57586/9066/143425"</f>
        <v>6387/6623/6857/23208/57586/9066/143425</v>
      </c>
    </row>
    <row r="499" spans="1:11">
      <c r="A499" s="3" t="str">
        <f>"GO:0014059"</f>
        <v>GO:0014059</v>
      </c>
      <c r="B499" s="3" t="str">
        <f>"regulation of dopamine secretion"</f>
        <v>regulation of dopamine secretion</v>
      </c>
      <c r="C499" s="6" t="str">
        <f t="shared" si="29"/>
        <v>BP</v>
      </c>
      <c r="D499" s="6">
        <v>7</v>
      </c>
      <c r="E499" s="3">
        <v>0.17499999999999999</v>
      </c>
      <c r="F499" s="3">
        <v>2.2121123862923399E-2</v>
      </c>
      <c r="G499" s="3" t="str">
        <f>"7/836"</f>
        <v>7/836</v>
      </c>
      <c r="H499" s="3" t="str">
        <f>"40/18670"</f>
        <v>40/18670</v>
      </c>
      <c r="I499" s="3">
        <v>1.80029492272012E-3</v>
      </c>
      <c r="J499" s="3">
        <v>1.78276573531468E-2</v>
      </c>
      <c r="K499" s="3" t="str">
        <f>"6387/6623/6857/23208/57586/9066/143425"</f>
        <v>6387/6623/6857/23208/57586/9066/143425</v>
      </c>
    </row>
    <row r="500" spans="1:11">
      <c r="A500" s="3" t="str">
        <f>"GO:0001707"</f>
        <v>GO:0001707</v>
      </c>
      <c r="B500" s="3" t="str">
        <f>"mesoderm formation"</f>
        <v>mesoderm formation</v>
      </c>
      <c r="C500" s="6" t="str">
        <f t="shared" si="29"/>
        <v>BP</v>
      </c>
      <c r="D500" s="6">
        <v>10</v>
      </c>
      <c r="E500" s="3">
        <v>0.133333333333333</v>
      </c>
      <c r="F500" s="3">
        <v>2.2273895919030701E-2</v>
      </c>
      <c r="G500" s="3" t="str">
        <f>"10/836"</f>
        <v>10/836</v>
      </c>
      <c r="H500" s="3" t="str">
        <f>"75/18670"</f>
        <v>75/18670</v>
      </c>
      <c r="I500" s="3">
        <v>1.8217916906307901E-3</v>
      </c>
      <c r="J500" s="3">
        <v>1.7950778035725701E-2</v>
      </c>
      <c r="K500" s="3" t="str">
        <f>"652/22943/2260/2263/2294/8091/8516/8013/6423/7481"</f>
        <v>652/22943/2260/2263/2294/8091/8516/8013/6423/7481</v>
      </c>
    </row>
    <row r="501" spans="1:11">
      <c r="A501" s="3" t="str">
        <f>"GO:0007422"</f>
        <v>GO:0007422</v>
      </c>
      <c r="B501" s="3" t="str">
        <f>"peripheral nervous system development"</f>
        <v>peripheral nervous system development</v>
      </c>
      <c r="C501" s="6" t="str">
        <f t="shared" si="29"/>
        <v>BP</v>
      </c>
      <c r="D501" s="6">
        <v>10</v>
      </c>
      <c r="E501" s="3">
        <v>0.133333333333333</v>
      </c>
      <c r="F501" s="3">
        <v>2.2273895919030701E-2</v>
      </c>
      <c r="G501" s="3" t="str">
        <f>"10/836"</f>
        <v>10/836</v>
      </c>
      <c r="H501" s="3" t="str">
        <f>"75/18670"</f>
        <v>75/18670</v>
      </c>
      <c r="I501" s="3">
        <v>1.8217916906307901E-3</v>
      </c>
      <c r="J501" s="3">
        <v>1.7950778035725701E-2</v>
      </c>
      <c r="K501" s="3" t="str">
        <f>"627/1910/2065/3236/64843/3908/3084/4916/9480/5376"</f>
        <v>627/1910/2065/3236/64843/3908/3084/4916/9480/5376</v>
      </c>
    </row>
    <row r="502" spans="1:11">
      <c r="A502" s="3" t="str">
        <f>"GO:0030509"</f>
        <v>GO:0030509</v>
      </c>
      <c r="B502" s="3" t="str">
        <f>"BMP signaling pathway"</f>
        <v>BMP signaling pathway</v>
      </c>
      <c r="C502" s="6" t="str">
        <f t="shared" si="29"/>
        <v>BP</v>
      </c>
      <c r="D502" s="6">
        <v>16</v>
      </c>
      <c r="E502" s="3">
        <v>0.101910828025478</v>
      </c>
      <c r="F502" s="3">
        <v>2.24799130788313E-2</v>
      </c>
      <c r="G502" s="3" t="str">
        <f>"16/836"</f>
        <v>16/836</v>
      </c>
      <c r="H502" s="3" t="str">
        <f>"157/18670"</f>
        <v>157/18670</v>
      </c>
      <c r="I502" s="3">
        <v>1.84321566038027E-3</v>
      </c>
      <c r="J502" s="3">
        <v>1.8116809533788601E-2</v>
      </c>
      <c r="K502" s="3" t="str">
        <f>"652/653/658/91851/22943/1745/2200/9518/64388/4624/348093/494470/6262/6423/7049/55273"</f>
        <v>652/653/658/91851/22943/1745/2200/9518/64388/4624/348093/494470/6262/6423/7049/55273</v>
      </c>
    </row>
    <row r="503" spans="1:11">
      <c r="A503" s="3" t="str">
        <f>"GO:0001654"</f>
        <v>GO:0001654</v>
      </c>
      <c r="B503" s="3" t="str">
        <f>"eye development"</f>
        <v>eye development</v>
      </c>
      <c r="C503" s="6" t="str">
        <f t="shared" si="29"/>
        <v>BP</v>
      </c>
      <c r="D503" s="6">
        <v>29</v>
      </c>
      <c r="E503" s="3">
        <v>8.0110497237569106E-2</v>
      </c>
      <c r="F503" s="3">
        <v>2.26609167407111E-2</v>
      </c>
      <c r="G503" s="3" t="str">
        <f>"29/836"</f>
        <v>29/836</v>
      </c>
      <c r="H503" s="3" t="str">
        <f>"362/18670"</f>
        <v>362/18670</v>
      </c>
      <c r="I503" s="3">
        <v>1.86266741876852E-3</v>
      </c>
      <c r="J503" s="3">
        <v>1.82626823783896E-2</v>
      </c>
      <c r="K503" s="3" t="str">
        <f>"170692/652/658/56853/91851/1290/1410/1745/1746/2202/2047/2200/2295/2823/4693/4916/116039/5308/5950/57381/285590/23657/84189/64093/6909/7472/7482/7490/9839"</f>
        <v>170692/652/658/56853/91851/1290/1410/1745/1746/2202/2047/2200/2295/2823/4693/4916/116039/5308/5950/57381/285590/23657/84189/64093/6909/7472/7482/7490/9839</v>
      </c>
    </row>
    <row r="504" spans="1:11">
      <c r="A504" s="3" t="str">
        <f>"GO:0002080"</f>
        <v>GO:0002080</v>
      </c>
      <c r="B504" s="3" t="str">
        <f>"acrosomal membrane"</f>
        <v>acrosomal membrane</v>
      </c>
      <c r="C504" s="6" t="str">
        <f>"CC"</f>
        <v>CC</v>
      </c>
      <c r="D504" s="6">
        <v>5</v>
      </c>
      <c r="E504" s="3">
        <v>0.217391304347826</v>
      </c>
      <c r="F504" s="3">
        <v>2.30696844255497E-2</v>
      </c>
      <c r="G504" s="3" t="str">
        <f>"5/873"</f>
        <v>5/873</v>
      </c>
      <c r="H504" s="3" t="str">
        <f>"23/19717"</f>
        <v>23/19717</v>
      </c>
      <c r="I504" s="3">
        <v>2.9079434149852498E-3</v>
      </c>
      <c r="J504" s="3">
        <v>1.8110875654732701E-2</v>
      </c>
      <c r="K504" s="3" t="str">
        <f>"857/858/64753/51365/5104"</f>
        <v>857/858/64753/51365/5104</v>
      </c>
    </row>
    <row r="505" spans="1:11">
      <c r="A505" s="3" t="str">
        <f>"GO:0044304"</f>
        <v>GO:0044304</v>
      </c>
      <c r="B505" s="3" t="str">
        <f>"main axon"</f>
        <v>main axon</v>
      </c>
      <c r="C505" s="6" t="str">
        <f>"CC"</f>
        <v>CC</v>
      </c>
      <c r="D505" s="6">
        <v>9</v>
      </c>
      <c r="E505" s="3">
        <v>0.13235294117647101</v>
      </c>
      <c r="F505" s="3">
        <v>2.31627297915823E-2</v>
      </c>
      <c r="G505" s="3" t="str">
        <f>"9/873"</f>
        <v>9/873</v>
      </c>
      <c r="H505" s="3" t="str">
        <f>"68/19717"</f>
        <v>68/19717</v>
      </c>
      <c r="I505" s="3">
        <v>2.96833301950949E-3</v>
      </c>
      <c r="J505" s="3">
        <v>1.8183920999583599E-2</v>
      </c>
      <c r="K505" s="3" t="str">
        <f>"287/7881/3747/3785/57554/4130/4131/4642/6092"</f>
        <v>287/7881/3747/3785/57554/4130/4131/4642/6092</v>
      </c>
    </row>
    <row r="506" spans="1:11">
      <c r="A506" s="3" t="str">
        <f>"GO:0006023"</f>
        <v>GO:0006023</v>
      </c>
      <c r="B506" s="3" t="str">
        <f>"aminoglycan biosynthetic process"</f>
        <v>aminoglycan biosynthetic process</v>
      </c>
      <c r="C506" s="6" t="str">
        <f>"BP"</f>
        <v>BP</v>
      </c>
      <c r="D506" s="6">
        <v>13</v>
      </c>
      <c r="E506" s="3">
        <v>0.11304347826087</v>
      </c>
      <c r="F506" s="3">
        <v>2.32066760990659E-2</v>
      </c>
      <c r="G506" s="3" t="str">
        <f>"13/836"</f>
        <v>13/836</v>
      </c>
      <c r="H506" s="3" t="str">
        <f>"115/18670"</f>
        <v>115/18670</v>
      </c>
      <c r="I506" s="3">
        <v>1.91224899697288E-3</v>
      </c>
      <c r="J506" s="3">
        <v>1.8702515856033601E-2</v>
      </c>
      <c r="K506" s="3" t="str">
        <f>"284/9331/57214/9469/4166/1634/1950/10082/9955/90161/4060/4969/1462"</f>
        <v>284/9331/57214/9469/4166/1634/1950/10082/9955/90161/4060/4969/1462</v>
      </c>
    </row>
    <row r="507" spans="1:11">
      <c r="A507" s="3" t="str">
        <f>"GO:0007043"</f>
        <v>GO:0007043</v>
      </c>
      <c r="B507" s="3" t="str">
        <f>"cell-cell junction assembly"</f>
        <v>cell-cell junction assembly</v>
      </c>
      <c r="C507" s="6" t="str">
        <f>"BP"</f>
        <v>BP</v>
      </c>
      <c r="D507" s="6">
        <v>14</v>
      </c>
      <c r="E507" s="3">
        <v>0.108527131782946</v>
      </c>
      <c r="F507" s="3">
        <v>2.3325971277073001E-2</v>
      </c>
      <c r="G507" s="3" t="str">
        <f>"14/836"</f>
        <v>14/836</v>
      </c>
      <c r="H507" s="3" t="str">
        <f>"129/18670"</f>
        <v>129/18670</v>
      </c>
      <c r="I507" s="3">
        <v>1.92682489084265E-3</v>
      </c>
      <c r="J507" s="3">
        <v>1.87986571538525E-2</v>
      </c>
      <c r="K507" s="3" t="str">
        <f>"287/857/1008/1015/1000/1365/1501/2705/2706/51599/5578/6591/7414/7481"</f>
        <v>287/857/1008/1015/1000/1365/1501/2705/2706/51599/5578/6591/7414/7481</v>
      </c>
    </row>
    <row r="508" spans="1:11">
      <c r="A508" s="3" t="str">
        <f>"GO:0018108"</f>
        <v>GO:0018108</v>
      </c>
      <c r="B508" s="3" t="str">
        <f>"peptidyl-tyrosine phosphorylation"</f>
        <v>peptidyl-tyrosine phosphorylation</v>
      </c>
      <c r="C508" s="6" t="str">
        <f>"BP"</f>
        <v>BP</v>
      </c>
      <c r="D508" s="6">
        <v>29</v>
      </c>
      <c r="E508" s="3">
        <v>7.9889807162534396E-2</v>
      </c>
      <c r="F508" s="3">
        <v>2.3436014138181999E-2</v>
      </c>
      <c r="G508" s="3" t="str">
        <f>"29/836"</f>
        <v>29/836</v>
      </c>
      <c r="H508" s="3" t="str">
        <f>"363/18670"</f>
        <v>363/18670</v>
      </c>
      <c r="I508" s="3">
        <v>1.9406831646470099E-3</v>
      </c>
      <c r="J508" s="3">
        <v>1.8887341907582299E-2</v>
      </c>
      <c r="K508" s="3" t="str">
        <f>"148/284/627/857/23624/1272/4921/1795/2202/1950/2042/2045/2047/2065/2252/2260/2263/2264/3479/4254/3084/4914/4916/56034/79834/5753/6423/7060/85480"</f>
        <v>148/284/627/857/23624/1272/4921/1795/2202/1950/2042/2045/2047/2065/2252/2260/2263/2264/3479/4254/3084/4914/4916/56034/79834/5753/6423/7060/85480</v>
      </c>
    </row>
    <row r="509" spans="1:11">
      <c r="A509" s="3" t="str">
        <f>"GO:0097493"</f>
        <v>GO:0097493</v>
      </c>
      <c r="B509" s="3" t="str">
        <f>"structural molecule activity conferring elasticity"</f>
        <v>structural molecule activity conferring elasticity</v>
      </c>
      <c r="C509" s="6" t="str">
        <f>"MF"</f>
        <v>MF</v>
      </c>
      <c r="D509" s="6">
        <v>4</v>
      </c>
      <c r="E509" s="3">
        <v>0.36363636363636398</v>
      </c>
      <c r="F509" s="3">
        <v>2.3647029380617302E-2</v>
      </c>
      <c r="G509" s="3" t="str">
        <f>"4/813"</f>
        <v>4/813</v>
      </c>
      <c r="H509" s="3" t="str">
        <f>"11/17696"</f>
        <v>11/17696</v>
      </c>
      <c r="I509" s="3">
        <v>1.1260490181246401E-3</v>
      </c>
      <c r="J509" s="3">
        <v>2.1062131432128799E-2</v>
      </c>
      <c r="K509" s="3" t="str">
        <f>"79026/2199/10516/2200"</f>
        <v>79026/2199/10516/2200</v>
      </c>
    </row>
    <row r="510" spans="1:11">
      <c r="A510" s="3" t="str">
        <f>"GO:0031290"</f>
        <v>GO:0031290</v>
      </c>
      <c r="B510" s="3" t="str">
        <f>"retinal ganglion cell axon guidance"</f>
        <v>retinal ganglion cell axon guidance</v>
      </c>
      <c r="C510" s="6" t="str">
        <f t="shared" ref="C510:C527" si="30">"BP"</f>
        <v>BP</v>
      </c>
      <c r="D510" s="6">
        <v>5</v>
      </c>
      <c r="E510" s="3">
        <v>0.238095238095238</v>
      </c>
      <c r="F510" s="3">
        <v>2.37712704897689E-2</v>
      </c>
      <c r="G510" s="3" t="str">
        <f>"5/836"</f>
        <v>5/836</v>
      </c>
      <c r="H510" s="3" t="str">
        <f>"21/18670"</f>
        <v>21/18670</v>
      </c>
      <c r="I510" s="3">
        <v>1.9877908792055002E-3</v>
      </c>
      <c r="J510" s="3">
        <v>1.91575286936875E-2</v>
      </c>
      <c r="K510" s="3" t="str">
        <f>"658/2045/2047/64843/6092"</f>
        <v>658/2045/2047/64843/6092</v>
      </c>
    </row>
    <row r="511" spans="1:11">
      <c r="A511" s="3" t="str">
        <f>"GO:0042438"</f>
        <v>GO:0042438</v>
      </c>
      <c r="B511" s="3" t="str">
        <f>"melanin biosynthetic process"</f>
        <v>melanin biosynthetic process</v>
      </c>
      <c r="C511" s="6" t="str">
        <f t="shared" si="30"/>
        <v>BP</v>
      </c>
      <c r="D511" s="6">
        <v>5</v>
      </c>
      <c r="E511" s="3">
        <v>0.238095238095238</v>
      </c>
      <c r="F511" s="3">
        <v>2.37712704897689E-2</v>
      </c>
      <c r="G511" s="3" t="str">
        <f>"5/836"</f>
        <v>5/836</v>
      </c>
      <c r="H511" s="3" t="str">
        <f>"21/18670"</f>
        <v>21/18670</v>
      </c>
      <c r="I511" s="3">
        <v>1.9877908792055002E-3</v>
      </c>
      <c r="J511" s="3">
        <v>1.91575286936875E-2</v>
      </c>
      <c r="K511" s="3" t="str">
        <f>"4948/51151/23657/7220/9839"</f>
        <v>4948/51151/23657/7220/9839</v>
      </c>
    </row>
    <row r="512" spans="1:11">
      <c r="A512" s="3" t="str">
        <f>"GO:1901739"</f>
        <v>GO:1901739</v>
      </c>
      <c r="B512" s="3" t="str">
        <f>"regulation of myoblast fusion"</f>
        <v>regulation of myoblast fusion</v>
      </c>
      <c r="C512" s="6" t="str">
        <f t="shared" si="30"/>
        <v>BP</v>
      </c>
      <c r="D512" s="6">
        <v>5</v>
      </c>
      <c r="E512" s="3">
        <v>0.238095238095238</v>
      </c>
      <c r="F512" s="3">
        <v>2.37712704897689E-2</v>
      </c>
      <c r="G512" s="3" t="str">
        <f>"5/836"</f>
        <v>5/836</v>
      </c>
      <c r="H512" s="3" t="str">
        <f>"21/18670"</f>
        <v>21/18670</v>
      </c>
      <c r="I512" s="3">
        <v>1.9877908792055002E-3</v>
      </c>
      <c r="J512" s="3">
        <v>1.91575286936875E-2</v>
      </c>
      <c r="K512" s="3" t="str">
        <f>"30846/2323/9518/9750/92304"</f>
        <v>30846/2323/9518/9750/92304</v>
      </c>
    </row>
    <row r="513" spans="1:11">
      <c r="A513" s="3" t="str">
        <f>"GO:2000738"</f>
        <v>GO:2000738</v>
      </c>
      <c r="B513" s="3" t="str">
        <f>"positive regulation of stem cell differentiation"</f>
        <v>positive regulation of stem cell differentiation</v>
      </c>
      <c r="C513" s="6" t="str">
        <f t="shared" si="30"/>
        <v>BP</v>
      </c>
      <c r="D513" s="6">
        <v>5</v>
      </c>
      <c r="E513" s="3">
        <v>0.238095238095238</v>
      </c>
      <c r="F513" s="3">
        <v>2.37712704897689E-2</v>
      </c>
      <c r="G513" s="3" t="str">
        <f>"5/836"</f>
        <v>5/836</v>
      </c>
      <c r="H513" s="3" t="str">
        <f>"21/18670"</f>
        <v>21/18670</v>
      </c>
      <c r="I513" s="3">
        <v>1.9877908792055002E-3</v>
      </c>
      <c r="J513" s="3">
        <v>1.91575286936875E-2</v>
      </c>
      <c r="K513" s="3" t="str">
        <f>"652/2627/6660/4070/6910"</f>
        <v>652/2627/6660/4070/6910</v>
      </c>
    </row>
    <row r="514" spans="1:11">
      <c r="A514" s="3" t="str">
        <f>"GO:0006575"</f>
        <v>GO:0006575</v>
      </c>
      <c r="B514" s="3" t="str">
        <f>"cellular modified amino acid metabolic process"</f>
        <v>cellular modified amino acid metabolic process</v>
      </c>
      <c r="C514" s="6" t="str">
        <f t="shared" si="30"/>
        <v>BP</v>
      </c>
      <c r="D514" s="6">
        <v>18</v>
      </c>
      <c r="E514" s="3">
        <v>9.5744680851063801E-2</v>
      </c>
      <c r="F514" s="3">
        <v>2.3894904840847501E-2</v>
      </c>
      <c r="G514" s="3" t="str">
        <f>"18/836"</f>
        <v>18/836</v>
      </c>
      <c r="H514" s="3" t="str">
        <f>"188/18670"</f>
        <v>188/18670</v>
      </c>
      <c r="I514" s="3">
        <v>2.0029910059876301E-3</v>
      </c>
      <c r="J514" s="3">
        <v>1.9257166978874401E-2</v>
      </c>
      <c r="K514" s="3" t="str">
        <f>"160428/23743/55349/1158/2346/2304/2628/2687/2949/112817/3249/51365/5320/5359/256987/6573/23657/55217"</f>
        <v>160428/23743/55349/1158/2346/2304/2628/2687/2949/112817/3249/51365/5320/5359/256987/6573/23657/55217</v>
      </c>
    </row>
    <row r="515" spans="1:11">
      <c r="A515" s="3" t="str">
        <f>"GO:0030500"</f>
        <v>GO:0030500</v>
      </c>
      <c r="B515" s="3" t="str">
        <f>"regulation of bone mineralization"</f>
        <v>regulation of bone mineralization</v>
      </c>
      <c r="C515" s="6" t="str">
        <f t="shared" si="30"/>
        <v>BP</v>
      </c>
      <c r="D515" s="6">
        <v>10</v>
      </c>
      <c r="E515" s="3">
        <v>0.13157894736842099</v>
      </c>
      <c r="F515" s="3">
        <v>2.3970598736356E-2</v>
      </c>
      <c r="G515" s="3" t="str">
        <f>"10/836"</f>
        <v>10/836</v>
      </c>
      <c r="H515" s="3" t="str">
        <f>"76/18670"</f>
        <v>76/18670</v>
      </c>
      <c r="I515" s="3">
        <v>2.0154817025219399E-3</v>
      </c>
      <c r="J515" s="3">
        <v>1.9318169522922899E-2</v>
      </c>
      <c r="K515" s="3" t="str">
        <f>"84059/196527/652/658/4921/2824/116039/6546/7043/54795"</f>
        <v>84059/196527/652/658/4921/2824/116039/6546/7043/54795</v>
      </c>
    </row>
    <row r="516" spans="1:11">
      <c r="A516" s="3" t="str">
        <f>"GO:0030072"</f>
        <v>GO:0030072</v>
      </c>
      <c r="B516" s="3" t="str">
        <f>"peptide hormone secretion"</f>
        <v>peptide hormone secretion</v>
      </c>
      <c r="C516" s="6" t="str">
        <f t="shared" si="30"/>
        <v>BP</v>
      </c>
      <c r="D516" s="6">
        <v>22</v>
      </c>
      <c r="E516" s="3">
        <v>8.7999999999999995E-2</v>
      </c>
      <c r="F516" s="3">
        <v>2.3970598736356E-2</v>
      </c>
      <c r="G516" s="3" t="str">
        <f>"22/836"</f>
        <v>22/836</v>
      </c>
      <c r="H516" s="3" t="str">
        <f>"250/18670"</f>
        <v>250/18670</v>
      </c>
      <c r="I516" s="3">
        <v>2.0190901071925498E-3</v>
      </c>
      <c r="J516" s="3">
        <v>1.9318169522922899E-2</v>
      </c>
      <c r="K516" s="3" t="str">
        <f>"773/1803/1908/131177/2867/51083/2645/3382/286676/6453/3745/3747/8425/5578/5799/5950/133308/9066/143425/6865/54795/7447"</f>
        <v>773/1803/1908/131177/2867/51083/2645/3382/286676/6453/3745/3747/8425/5578/5799/5950/133308/9066/143425/6865/54795/7447</v>
      </c>
    </row>
    <row r="517" spans="1:11">
      <c r="A517" s="3" t="str">
        <f>"GO:0015872"</f>
        <v>GO:0015872</v>
      </c>
      <c r="B517" s="3" t="str">
        <f>"dopamine transport"</f>
        <v>dopamine transport</v>
      </c>
      <c r="C517" s="6" t="str">
        <f t="shared" si="30"/>
        <v>BP</v>
      </c>
      <c r="D517" s="6">
        <v>8</v>
      </c>
      <c r="E517" s="3">
        <v>0.15384615384615399</v>
      </c>
      <c r="F517" s="3">
        <v>2.41742802234809E-2</v>
      </c>
      <c r="G517" s="3" t="str">
        <f>"8/836"</f>
        <v>8/836</v>
      </c>
      <c r="H517" s="3" t="str">
        <f>"52/18670"</f>
        <v>52/18670</v>
      </c>
      <c r="I517" s="3">
        <v>2.0460835346832302E-3</v>
      </c>
      <c r="J517" s="3">
        <v>1.9482318676652299E-2</v>
      </c>
      <c r="K517" s="3" t="str">
        <f>"6387/5865/6623/6857/23208/57586/9066/143425"</f>
        <v>6387/5865/6623/6857/23208/57586/9066/143425</v>
      </c>
    </row>
    <row r="518" spans="1:11">
      <c r="A518" s="3" t="str">
        <f>"GO:0032330"</f>
        <v>GO:0032330</v>
      </c>
      <c r="B518" s="3" t="str">
        <f>"regulation of chondrocyte differentiation"</f>
        <v>regulation of chondrocyte differentiation</v>
      </c>
      <c r="C518" s="6" t="str">
        <f t="shared" si="30"/>
        <v>BP</v>
      </c>
      <c r="D518" s="6">
        <v>8</v>
      </c>
      <c r="E518" s="3">
        <v>0.15384615384615399</v>
      </c>
      <c r="F518" s="3">
        <v>2.41742802234809E-2</v>
      </c>
      <c r="G518" s="3" t="str">
        <f>"8/836"</f>
        <v>8/836</v>
      </c>
      <c r="H518" s="3" t="str">
        <f>"52/18670"</f>
        <v>52/18670</v>
      </c>
      <c r="I518" s="3">
        <v>2.0460835346832302E-3</v>
      </c>
      <c r="J518" s="3">
        <v>1.9482318676652299E-2</v>
      </c>
      <c r="K518" s="3" t="str">
        <f>"81792/8313/652/658/2202/5744/6591/6660"</f>
        <v>81792/8313/652/658/2202/5744/6591/6660</v>
      </c>
    </row>
    <row r="519" spans="1:11">
      <c r="A519" s="3" t="str">
        <f>"GO:0007171"</f>
        <v>GO:0007171</v>
      </c>
      <c r="B519" s="3" t="str">
        <f>"activation of transmembrane receptor protein tyrosine kinase activity"</f>
        <v>activation of transmembrane receptor protein tyrosine kinase activity</v>
      </c>
      <c r="C519" s="6" t="str">
        <f t="shared" si="30"/>
        <v>BP</v>
      </c>
      <c r="D519" s="6">
        <v>4</v>
      </c>
      <c r="E519" s="3">
        <v>0.30769230769230799</v>
      </c>
      <c r="F519" s="3">
        <v>2.4201458034215199E-2</v>
      </c>
      <c r="G519" s="3" t="str">
        <f>"4/836"</f>
        <v>4/836</v>
      </c>
      <c r="H519" s="3" t="str">
        <f>"13/18670"</f>
        <v>13/18670</v>
      </c>
      <c r="I519" s="3">
        <v>2.0631558324183401E-3</v>
      </c>
      <c r="J519" s="3">
        <v>1.9504221573647101E-2</v>
      </c>
      <c r="K519" s="3" t="str">
        <f>"284/1950/3084/56034"</f>
        <v>284/1950/3084/56034</v>
      </c>
    </row>
    <row r="520" spans="1:11">
      <c r="A520" s="3" t="str">
        <f>"GO:0007494"</f>
        <v>GO:0007494</v>
      </c>
      <c r="B520" s="3" t="str">
        <f>"midgut development"</f>
        <v>midgut development</v>
      </c>
      <c r="C520" s="6" t="str">
        <f t="shared" si="30"/>
        <v>BP</v>
      </c>
      <c r="D520" s="6">
        <v>4</v>
      </c>
      <c r="E520" s="3">
        <v>0.30769230769230799</v>
      </c>
      <c r="F520" s="3">
        <v>2.4201458034215199E-2</v>
      </c>
      <c r="G520" s="3" t="str">
        <f>"4/836"</f>
        <v>4/836</v>
      </c>
      <c r="H520" s="3" t="str">
        <f>"13/18670"</f>
        <v>13/18670</v>
      </c>
      <c r="I520" s="3">
        <v>2.0631558324183401E-3</v>
      </c>
      <c r="J520" s="3">
        <v>1.9504221573647101E-2</v>
      </c>
      <c r="K520" s="3" t="str">
        <f>"1600/1910/2294/2300"</f>
        <v>1600/1910/2294/2300</v>
      </c>
    </row>
    <row r="521" spans="1:11">
      <c r="A521" s="3" t="str">
        <f>"GO:0010454"</f>
        <v>GO:0010454</v>
      </c>
      <c r="B521" s="3" t="str">
        <f>"negative regulation of cell fate commitment"</f>
        <v>negative regulation of cell fate commitment</v>
      </c>
      <c r="C521" s="6" t="str">
        <f t="shared" si="30"/>
        <v>BP</v>
      </c>
      <c r="D521" s="6">
        <v>4</v>
      </c>
      <c r="E521" s="3">
        <v>0.30769230769230799</v>
      </c>
      <c r="F521" s="3">
        <v>2.4201458034215199E-2</v>
      </c>
      <c r="G521" s="3" t="str">
        <f>"4/836"</f>
        <v>4/836</v>
      </c>
      <c r="H521" s="3" t="str">
        <f>"13/18670"</f>
        <v>13/18670</v>
      </c>
      <c r="I521" s="3">
        <v>2.0631558324183401E-3</v>
      </c>
      <c r="J521" s="3">
        <v>1.9504221573647101E-2</v>
      </c>
      <c r="K521" s="3" t="str">
        <f>"22943/8324/6423/25803"</f>
        <v>22943/8324/6423/25803</v>
      </c>
    </row>
    <row r="522" spans="1:11">
      <c r="A522" s="3" t="str">
        <f>"GO:0003231"</f>
        <v>GO:0003231</v>
      </c>
      <c r="B522" s="3" t="str">
        <f>"cardiac ventricle development"</f>
        <v>cardiac ventricle development</v>
      </c>
      <c r="C522" s="6" t="str">
        <f t="shared" si="30"/>
        <v>BP</v>
      </c>
      <c r="D522" s="6">
        <v>14</v>
      </c>
      <c r="E522" s="3">
        <v>0.107692307692308</v>
      </c>
      <c r="F522" s="3">
        <v>2.4242413080048899E-2</v>
      </c>
      <c r="G522" s="3" t="str">
        <f>"14/836"</f>
        <v>14/836</v>
      </c>
      <c r="H522" s="3" t="str">
        <f>"130/18670"</f>
        <v>130/18670</v>
      </c>
      <c r="I522" s="3">
        <v>2.0727216842441102E-3</v>
      </c>
      <c r="J522" s="3">
        <v>1.9537227696144799E-2</v>
      </c>
      <c r="K522" s="3" t="str">
        <f>"652/2263/2294/23462/4624/93649/3084/6092/6262/6423/6586/6910/7049/7481"</f>
        <v>652/2263/2294/23462/4624/93649/3084/6092/6262/6423/6586/6910/7049/7481</v>
      </c>
    </row>
    <row r="523" spans="1:11">
      <c r="A523" s="3" t="str">
        <f>"GO:0009101"</f>
        <v>GO:0009101</v>
      </c>
      <c r="B523" s="3" t="str">
        <f>"glycoprotein biosynthetic process"</f>
        <v>glycoprotein biosynthetic process</v>
      </c>
      <c r="C523" s="6" t="str">
        <f t="shared" si="30"/>
        <v>BP</v>
      </c>
      <c r="D523" s="6">
        <v>28</v>
      </c>
      <c r="E523" s="3">
        <v>8.04597701149425E-2</v>
      </c>
      <c r="F523" s="3">
        <v>2.4242413080048899E-2</v>
      </c>
      <c r="G523" s="3" t="str">
        <f>"28/836"</f>
        <v>28/836</v>
      </c>
      <c r="H523" s="3" t="str">
        <f>"348/18670"</f>
        <v>348/18670</v>
      </c>
      <c r="I523" s="3">
        <v>2.07651188335719E-3</v>
      </c>
      <c r="J523" s="3">
        <v>1.9537227696144799E-2</v>
      </c>
      <c r="K523" s="3" t="str">
        <f>"8707/27087/9331/658/124583/6366/9469/1634/957/2300/114805/2591/51809/2650/2681/9955/90161/3479/9452/9215/10071/4583/57876/5238/6646/6489/84899/1462"</f>
        <v>8707/27087/9331/658/124583/6366/9469/1634/957/2300/114805/2591/51809/2650/2681/9955/90161/3479/9452/9215/10071/4583/57876/5238/6646/6489/84899/1462</v>
      </c>
    </row>
    <row r="524" spans="1:11">
      <c r="A524" s="3" t="str">
        <f>"GO:0007520"</f>
        <v>GO:0007520</v>
      </c>
      <c r="B524" s="3" t="str">
        <f>"myoblast fusion"</f>
        <v>myoblast fusion</v>
      </c>
      <c r="C524" s="6" t="str">
        <f t="shared" si="30"/>
        <v>BP</v>
      </c>
      <c r="D524" s="6">
        <v>7</v>
      </c>
      <c r="E524" s="3">
        <v>0.17073170731707299</v>
      </c>
      <c r="F524" s="3">
        <v>2.4258651724732301E-2</v>
      </c>
      <c r="G524" s="3" t="str">
        <f>"7/836"</f>
        <v>7/836</v>
      </c>
      <c r="H524" s="3" t="str">
        <f>"41/18670"</f>
        <v>41/18670</v>
      </c>
      <c r="I524" s="3">
        <v>2.0884414383137602E-3</v>
      </c>
      <c r="J524" s="3">
        <v>1.9550314598740199E-2</v>
      </c>
      <c r="K524" s="3" t="str">
        <f>"8038/30846/2323/9518/4842/9750/92304"</f>
        <v>8038/30846/2323/9518/4842/9750/92304</v>
      </c>
    </row>
    <row r="525" spans="1:11">
      <c r="A525" s="3" t="str">
        <f>"GO:1901381"</f>
        <v>GO:1901381</v>
      </c>
      <c r="B525" s="3" t="str">
        <f>"positive regulation of potassium ion transmembrane transport"</f>
        <v>positive regulation of potassium ion transmembrane transport</v>
      </c>
      <c r="C525" s="6" t="str">
        <f t="shared" si="30"/>
        <v>BP</v>
      </c>
      <c r="D525" s="6">
        <v>7</v>
      </c>
      <c r="E525" s="3">
        <v>0.17073170731707299</v>
      </c>
      <c r="F525" s="3">
        <v>2.4258651724732301E-2</v>
      </c>
      <c r="G525" s="3" t="str">
        <f>"7/836"</f>
        <v>7/836</v>
      </c>
      <c r="H525" s="3" t="str">
        <f>"41/18670"</f>
        <v>41/18670</v>
      </c>
      <c r="I525" s="3">
        <v>2.0884414383137602E-3</v>
      </c>
      <c r="J525" s="3">
        <v>1.9550314598740199E-2</v>
      </c>
      <c r="K525" s="3" t="str">
        <f>"287/196527/1908/51083/3747/23630/3779"</f>
        <v>287/196527/1908/51083/3747/23630/3779</v>
      </c>
    </row>
    <row r="526" spans="1:11">
      <c r="A526" s="3" t="str">
        <f>"GO:0050432"</f>
        <v>GO:0050432</v>
      </c>
      <c r="B526" s="3" t="str">
        <f>"catecholamine secretion"</f>
        <v>catecholamine secretion</v>
      </c>
      <c r="C526" s="6" t="str">
        <f t="shared" si="30"/>
        <v>BP</v>
      </c>
      <c r="D526" s="6">
        <v>9</v>
      </c>
      <c r="E526" s="3">
        <v>0.140625</v>
      </c>
      <c r="F526" s="3">
        <v>2.4258651724732301E-2</v>
      </c>
      <c r="G526" s="3" t="str">
        <f>"9/836"</f>
        <v>9/836</v>
      </c>
      <c r="H526" s="3" t="str">
        <f>"64/18670"</f>
        <v>64/18670</v>
      </c>
      <c r="I526" s="3">
        <v>2.0927097316961298E-3</v>
      </c>
      <c r="J526" s="3">
        <v>1.9550314598740199E-2</v>
      </c>
      <c r="K526" s="3" t="str">
        <f>"6387/3745/64805/6623/6857/23208/57586/9066/143425"</f>
        <v>6387/3745/64805/6623/6857/23208/57586/9066/143425</v>
      </c>
    </row>
    <row r="527" spans="1:11">
      <c r="A527" s="3" t="str">
        <f>"GO:2000146"</f>
        <v>GO:2000146</v>
      </c>
      <c r="B527" s="3" t="str">
        <f>"negative regulation of cell motility"</f>
        <v>negative regulation of cell motility</v>
      </c>
      <c r="C527" s="6" t="str">
        <f t="shared" si="30"/>
        <v>BP</v>
      </c>
      <c r="D527" s="6">
        <v>28</v>
      </c>
      <c r="E527" s="3">
        <v>8.0229226361031497E-2</v>
      </c>
      <c r="F527" s="3">
        <v>2.5030663972876701E-2</v>
      </c>
      <c r="G527" s="3" t="str">
        <f>"28/836"</f>
        <v>28/836</v>
      </c>
      <c r="H527" s="3" t="str">
        <f>"349/18670"</f>
        <v>349/18670</v>
      </c>
      <c r="I527" s="3">
        <v>2.1644012590992098E-3</v>
      </c>
      <c r="J527" s="3">
        <v>2.01724877721122E-2</v>
      </c>
      <c r="K527" s="3" t="str">
        <f>"100/653/684/6366/4345/1524/6387/10563/1634/2192/2247/93649/89795/3084/5468/10891/5592/11122/9104/9750/10371/80031/6423/50859/4070/6910/7414/7481"</f>
        <v>100/653/684/6366/4345/1524/6387/10563/1634/2192/2247/93649/89795/3084/5468/10891/5592/11122/9104/9750/10371/80031/6423/50859/4070/6910/7414/7481</v>
      </c>
    </row>
    <row r="528" spans="1:11">
      <c r="A528" s="3" t="str">
        <f>"GO:0098889"</f>
        <v>GO:0098889</v>
      </c>
      <c r="B528" s="3" t="str">
        <f>"intrinsic component of presynaptic membrane"</f>
        <v>intrinsic component of presynaptic membrane</v>
      </c>
      <c r="C528" s="6" t="str">
        <f>"CC"</f>
        <v>CC</v>
      </c>
      <c r="D528" s="6">
        <v>10</v>
      </c>
      <c r="E528" s="3">
        <v>0.12195121951219499</v>
      </c>
      <c r="F528" s="3">
        <v>2.5217980406614798E-2</v>
      </c>
      <c r="G528" s="3" t="str">
        <f>"10/873"</f>
        <v>10/873</v>
      </c>
      <c r="H528" s="3" t="str">
        <f>"82/19717"</f>
        <v>82/19717</v>
      </c>
      <c r="I528" s="3">
        <v>3.2846949269120201E-3</v>
      </c>
      <c r="J528" s="3">
        <v>1.97973972674663E-2</v>
      </c>
      <c r="K528" s="3" t="str">
        <f>"148/1008/1000/1131/1272/53826/2823/3760/23208/9066"</f>
        <v>148/1008/1000/1131/1272/53826/2823/3760/23208/9066</v>
      </c>
    </row>
    <row r="529" spans="1:11">
      <c r="A529" s="3" t="str">
        <f>"GO:0018212"</f>
        <v>GO:0018212</v>
      </c>
      <c r="B529" s="3" t="str">
        <f>"peptidyl-tyrosine modification"</f>
        <v>peptidyl-tyrosine modification</v>
      </c>
      <c r="C529" s="6" t="str">
        <f t="shared" ref="C529:C534" si="31">"BP"</f>
        <v>BP</v>
      </c>
      <c r="D529" s="6">
        <v>29</v>
      </c>
      <c r="E529" s="3">
        <v>7.9234972677595605E-2</v>
      </c>
      <c r="F529" s="3">
        <v>2.5288251690395901E-2</v>
      </c>
      <c r="G529" s="3" t="str">
        <f>"29/836"</f>
        <v>29/836</v>
      </c>
      <c r="H529" s="3" t="str">
        <f>"366/18670"</f>
        <v>366/18670</v>
      </c>
      <c r="I529" s="3">
        <v>2.19181998374541E-3</v>
      </c>
      <c r="J529" s="3">
        <v>2.0380080550615201E-2</v>
      </c>
      <c r="K529" s="3" t="str">
        <f>"148/284/627/857/23624/1272/4921/1795/2202/1950/2042/2045/2047/2065/2252/2260/2263/2264/3479/4254/3084/4914/4916/56034/79834/5753/6423/7060/85480"</f>
        <v>148/284/627/857/23624/1272/4921/1795/2202/1950/2042/2045/2047/2065/2252/2260/2263/2264/3479/4254/3084/4914/4916/56034/79834/5753/6423/7060/85480</v>
      </c>
    </row>
    <row r="530" spans="1:11">
      <c r="A530" s="3" t="str">
        <f>"GO:0048332"</f>
        <v>GO:0048332</v>
      </c>
      <c r="B530" s="3" t="str">
        <f>"mesoderm morphogenesis"</f>
        <v>mesoderm morphogenesis</v>
      </c>
      <c r="C530" s="6" t="str">
        <f t="shared" si="31"/>
        <v>BP</v>
      </c>
      <c r="D530" s="6">
        <v>10</v>
      </c>
      <c r="E530" s="3">
        <v>0.12987012987013</v>
      </c>
      <c r="F530" s="3">
        <v>2.54879505984861E-2</v>
      </c>
      <c r="G530" s="3" t="str">
        <f>"10/836"</f>
        <v>10/836</v>
      </c>
      <c r="H530" s="3" t="str">
        <f>"77/18670"</f>
        <v>77/18670</v>
      </c>
      <c r="I530" s="3">
        <v>2.2254296988884498E-3</v>
      </c>
      <c r="J530" s="3">
        <v>2.05410201000382E-2</v>
      </c>
      <c r="K530" s="3" t="str">
        <f>"652/22943/2260/2263/2294/8091/8516/8013/6423/7481"</f>
        <v>652/22943/2260/2263/2294/8091/8516/8013/6423/7481</v>
      </c>
    </row>
    <row r="531" spans="1:11">
      <c r="A531" s="3" t="str">
        <f>"GO:0051937"</f>
        <v>GO:0051937</v>
      </c>
      <c r="B531" s="3" t="str">
        <f>"catecholamine transport"</f>
        <v>catecholamine transport</v>
      </c>
      <c r="C531" s="6" t="str">
        <f t="shared" si="31"/>
        <v>BP</v>
      </c>
      <c r="D531" s="6">
        <v>10</v>
      </c>
      <c r="E531" s="3">
        <v>0.12987012987013</v>
      </c>
      <c r="F531" s="3">
        <v>2.54879505984861E-2</v>
      </c>
      <c r="G531" s="3" t="str">
        <f>"10/836"</f>
        <v>10/836</v>
      </c>
      <c r="H531" s="3" t="str">
        <f>"77/18670"</f>
        <v>77/18670</v>
      </c>
      <c r="I531" s="3">
        <v>2.2254296988884498E-3</v>
      </c>
      <c r="J531" s="3">
        <v>2.05410201000382E-2</v>
      </c>
      <c r="K531" s="3" t="str">
        <f>"6387/3745/64805/5865/6623/6857/23208/57586/9066/143425"</f>
        <v>6387/3745/64805/5865/6623/6857/23208/57586/9066/143425</v>
      </c>
    </row>
    <row r="532" spans="1:11">
      <c r="A532" s="3" t="str">
        <f>"GO:0086011"</f>
        <v>GO:0086011</v>
      </c>
      <c r="B532" s="3" t="str">
        <f>"membrane repolarization during action potential"</f>
        <v>membrane repolarization during action potential</v>
      </c>
      <c r="C532" s="6" t="str">
        <f t="shared" si="31"/>
        <v>BP</v>
      </c>
      <c r="D532" s="6">
        <v>6</v>
      </c>
      <c r="E532" s="3">
        <v>0.19354838709677399</v>
      </c>
      <c r="F532" s="3">
        <v>2.54879505984861E-2</v>
      </c>
      <c r="G532" s="3" t="str">
        <f>"6/836"</f>
        <v>6/836</v>
      </c>
      <c r="H532" s="3" t="str">
        <f>"31/18670"</f>
        <v>31/18670</v>
      </c>
      <c r="I532" s="3">
        <v>2.22987156812798E-3</v>
      </c>
      <c r="J532" s="3">
        <v>2.05410201000382E-2</v>
      </c>
      <c r="K532" s="3" t="str">
        <f>"857/10008/23630/3760/3764/3781"</f>
        <v>857/10008/23630/3760/3764/3781</v>
      </c>
    </row>
    <row r="533" spans="1:11">
      <c r="A533" s="3" t="str">
        <f>"GO:0090075"</f>
        <v>GO:0090075</v>
      </c>
      <c r="B533" s="3" t="str">
        <f>"relaxation of muscle"</f>
        <v>relaxation of muscle</v>
      </c>
      <c r="C533" s="6" t="str">
        <f t="shared" si="31"/>
        <v>BP</v>
      </c>
      <c r="D533" s="6">
        <v>6</v>
      </c>
      <c r="E533" s="3">
        <v>0.19354838709677399</v>
      </c>
      <c r="F533" s="3">
        <v>2.54879505984861E-2</v>
      </c>
      <c r="G533" s="3" t="str">
        <f>"6/836"</f>
        <v>6/836</v>
      </c>
      <c r="H533" s="3" t="str">
        <f>"31/18670"</f>
        <v>31/18670</v>
      </c>
      <c r="I533" s="3">
        <v>2.22987156812798E-3</v>
      </c>
      <c r="J533" s="3">
        <v>2.05410201000382E-2</v>
      </c>
      <c r="K533" s="3" t="str">
        <f>"477/3778/8654/5350/5592/6546"</f>
        <v>477/3778/8654/5350/5592/6546</v>
      </c>
    </row>
    <row r="534" spans="1:11">
      <c r="A534" s="3" t="str">
        <f>"GO:0001656"</f>
        <v>GO:0001656</v>
      </c>
      <c r="B534" s="3" t="str">
        <f>"metanephros development"</f>
        <v>metanephros development</v>
      </c>
      <c r="C534" s="6" t="str">
        <f t="shared" si="31"/>
        <v>BP</v>
      </c>
      <c r="D534" s="6">
        <v>11</v>
      </c>
      <c r="E534" s="3">
        <v>0.122222222222222</v>
      </c>
      <c r="F534" s="3">
        <v>2.5565389691382098E-2</v>
      </c>
      <c r="G534" s="3" t="str">
        <f>"11/836"</f>
        <v>11/836</v>
      </c>
      <c r="H534" s="3" t="str">
        <f>"90/18670"</f>
        <v>90/18670</v>
      </c>
      <c r="I534" s="3">
        <v>2.2418480075250598E-3</v>
      </c>
      <c r="J534" s="3">
        <v>2.0603429117881999E-2</v>
      </c>
      <c r="K534" s="3" t="str">
        <f>"652/79633/2200/153572/8516/55083/4824/116039/6092/6943/7490"</f>
        <v>652/79633/2200/153572/8516/55083/4824/116039/6092/6943/7490</v>
      </c>
    </row>
    <row r="535" spans="1:11">
      <c r="A535" s="3" t="str">
        <f>"GO:0032589"</f>
        <v>GO:0032589</v>
      </c>
      <c r="B535" s="3" t="str">
        <f>"neuron projection membrane"</f>
        <v>neuron projection membrane</v>
      </c>
      <c r="C535" s="6" t="str">
        <f>"CC"</f>
        <v>CC</v>
      </c>
      <c r="D535" s="6">
        <v>8</v>
      </c>
      <c r="E535" s="3">
        <v>0.140350877192982</v>
      </c>
      <c r="F535" s="3">
        <v>2.5791190227360001E-2</v>
      </c>
      <c r="G535" s="3" t="str">
        <f>"8/873"</f>
        <v>8/873</v>
      </c>
      <c r="H535" s="3" t="str">
        <f>"57/19717"</f>
        <v>57/19717</v>
      </c>
      <c r="I535" s="3">
        <v>3.4522522552491901E-3</v>
      </c>
      <c r="J535" s="3">
        <v>2.0247396131607299E-2</v>
      </c>
      <c r="K535" s="3" t="str">
        <f>"84059/8516/3745/3747/4642/9750/6092/90249"</f>
        <v>84059/8516/3745/3747/4642/9750/6092/90249</v>
      </c>
    </row>
    <row r="536" spans="1:11">
      <c r="A536" s="3" t="str">
        <f>"GO:0009898"</f>
        <v>GO:0009898</v>
      </c>
      <c r="B536" s="3" t="str">
        <f>"cytoplasmic side of plasma membrane"</f>
        <v>cytoplasmic side of plasma membrane</v>
      </c>
      <c r="C536" s="6" t="str">
        <f>"CC"</f>
        <v>CC</v>
      </c>
      <c r="D536" s="6">
        <v>15</v>
      </c>
      <c r="E536" s="3">
        <v>9.7402597402597393E-2</v>
      </c>
      <c r="F536" s="3">
        <v>2.5791190227360001E-2</v>
      </c>
      <c r="G536" s="3" t="str">
        <f>"15/873"</f>
        <v>15/873</v>
      </c>
      <c r="H536" s="3" t="str">
        <f>"154/19717"</f>
        <v>154/19717</v>
      </c>
      <c r="I536" s="3">
        <v>3.5111612174697402E-3</v>
      </c>
      <c r="J536" s="3">
        <v>2.0247396131607299E-2</v>
      </c>
      <c r="K536" s="3" t="str">
        <f>"858/1837/10979/2669/2775/2781/2786/7881/4885/5239/57664/5753/6277/6769/7053"</f>
        <v>858/1837/10979/2669/2775/2781/2786/7881/4885/5239/57664/5753/6277/6769/7053</v>
      </c>
    </row>
    <row r="537" spans="1:11">
      <c r="A537" s="3" t="str">
        <f>"GO:0099059"</f>
        <v>GO:0099059</v>
      </c>
      <c r="B537" s="3" t="str">
        <f>"integral component of presynaptic active zone membrane"</f>
        <v>integral component of presynaptic active zone membrane</v>
      </c>
      <c r="C537" s="6" t="str">
        <f>"CC"</f>
        <v>CC</v>
      </c>
      <c r="D537" s="6">
        <v>4</v>
      </c>
      <c r="E537" s="3">
        <v>0.266666666666667</v>
      </c>
      <c r="F537" s="3">
        <v>2.5791190227360001E-2</v>
      </c>
      <c r="G537" s="3" t="str">
        <f>"4/873"</f>
        <v>4/873</v>
      </c>
      <c r="H537" s="3" t="str">
        <f>"15/19717"</f>
        <v>15/19717</v>
      </c>
      <c r="I537" s="3">
        <v>3.52190622852606E-3</v>
      </c>
      <c r="J537" s="3">
        <v>2.0247396131607299E-2</v>
      </c>
      <c r="K537" s="3" t="str">
        <f>"1008/1000/2823/23208"</f>
        <v>1008/1000/2823/23208</v>
      </c>
    </row>
    <row r="538" spans="1:11">
      <c r="A538" s="3" t="str">
        <f>"GO:0030667"</f>
        <v>GO:0030667</v>
      </c>
      <c r="B538" s="3" t="str">
        <f>"secretory granule membrane"</f>
        <v>secretory granule membrane</v>
      </c>
      <c r="C538" s="6" t="str">
        <f>"CC"</f>
        <v>CC</v>
      </c>
      <c r="D538" s="6">
        <v>24</v>
      </c>
      <c r="E538" s="3">
        <v>8.0536912751677805E-2</v>
      </c>
      <c r="F538" s="3">
        <v>2.5943304609278801E-2</v>
      </c>
      <c r="G538" s="3" t="str">
        <f>"24/873"</f>
        <v>24/873</v>
      </c>
      <c r="H538" s="3" t="str">
        <f>"298/19717"</f>
        <v>298/19717</v>
      </c>
      <c r="I538" s="3">
        <v>3.5971808912025299E-3</v>
      </c>
      <c r="J538" s="3">
        <v>2.0366813658323699E-2</v>
      </c>
      <c r="K538" s="3" t="str">
        <f>"10257/55/196527/23200/10396/684/857/858/64753/4680/53831/3382/10788/51365/5337/5799/326624/51209/5104/11001/6678/6793/6857/143425"</f>
        <v>10257/55/196527/23200/10396/684/857/858/64753/4680/53831/3382/10788/51365/5337/5799/326624/51209/5104/11001/6678/6793/6857/143425</v>
      </c>
    </row>
    <row r="539" spans="1:11">
      <c r="A539" s="3" t="str">
        <f>"GO:0004713"</f>
        <v>GO:0004713</v>
      </c>
      <c r="B539" s="3" t="str">
        <f>"protein tyrosine kinase activity"</f>
        <v>protein tyrosine kinase activity</v>
      </c>
      <c r="C539" s="6" t="str">
        <f>"MF"</f>
        <v>MF</v>
      </c>
      <c r="D539" s="6">
        <v>15</v>
      </c>
      <c r="E539" s="3">
        <v>0.111940298507463</v>
      </c>
      <c r="F539" s="3">
        <v>2.59749067880258E-2</v>
      </c>
      <c r="G539" s="3" t="str">
        <f>"15/813"</f>
        <v>15/813</v>
      </c>
      <c r="H539" s="3" t="str">
        <f>"134/17696"</f>
        <v>134/17696</v>
      </c>
      <c r="I539" s="3">
        <v>1.2686157161428901E-3</v>
      </c>
      <c r="J539" s="3">
        <v>2.3135544507553299E-2</v>
      </c>
      <c r="K539" s="3" t="str">
        <f>"4921/2202/2042/2045/2047/2065/2260/2263/2264/147746/8828/4914/4916/79834/5753"</f>
        <v>4921/2202/2042/2045/2047/2065/2260/2263/2264/147746/8828/4914/4916/79834/5753</v>
      </c>
    </row>
    <row r="540" spans="1:11">
      <c r="A540" s="3" t="str">
        <f>"GO:0071902"</f>
        <v>GO:0071902</v>
      </c>
      <c r="B540" s="3" t="str">
        <f>"positive regulation of protein serine/threonine kinase activity"</f>
        <v>positive regulation of protein serine/threonine kinase activity</v>
      </c>
      <c r="C540" s="6" t="str">
        <f>"BP"</f>
        <v>BP</v>
      </c>
      <c r="D540" s="6">
        <v>27</v>
      </c>
      <c r="E540" s="3">
        <v>8.0838323353293398E-2</v>
      </c>
      <c r="F540" s="3">
        <v>2.6322734195004499E-2</v>
      </c>
      <c r="G540" s="3" t="str">
        <f>"27/836"</f>
        <v>27/836</v>
      </c>
      <c r="H540" s="3" t="str">
        <f>"334/18670"</f>
        <v>334/18670</v>
      </c>
      <c r="I540" s="3">
        <v>2.3136157013717001E-3</v>
      </c>
      <c r="J540" s="3">
        <v>2.1213781394399899E-2</v>
      </c>
      <c r="K540" s="3" t="str">
        <f>"652/114898/894/57214/22943/142679/1908/1950/1991/2247/2260/9518/8091/3479/3672/4254/7786/3084/203447/4914/4916/8654/56034/84722/7043/23043/9839"</f>
        <v>652/114898/894/57214/22943/142679/1908/1950/1991/2247/2260/9518/8091/3479/3672/4254/7786/3084/203447/4914/4916/8654/56034/84722/7043/23043/9839</v>
      </c>
    </row>
    <row r="541" spans="1:11">
      <c r="A541" s="3" t="str">
        <f>"GO:0072330"</f>
        <v>GO:0072330</v>
      </c>
      <c r="B541" s="3" t="str">
        <f>"monocarboxylic acid biosynthetic process"</f>
        <v>monocarboxylic acid biosynthetic process</v>
      </c>
      <c r="C541" s="6" t="str">
        <f>"BP"</f>
        <v>BP</v>
      </c>
      <c r="D541" s="6">
        <v>21</v>
      </c>
      <c r="E541" s="3">
        <v>8.8607594936708903E-2</v>
      </c>
      <c r="F541" s="3">
        <v>2.6367236855840501E-2</v>
      </c>
      <c r="G541" s="3" t="str">
        <f>"21/836"</f>
        <v>21/836</v>
      </c>
      <c r="H541" s="3" t="str">
        <f>"237/18670"</f>
        <v>237/18670</v>
      </c>
      <c r="I541" s="3">
        <v>2.3228918735664198E-3</v>
      </c>
      <c r="J541" s="3">
        <v>2.12496465788998E-2</v>
      </c>
      <c r="K541" s="3" t="str">
        <f>"8309/23600/9023/1634/54898/79993/2194/2264/2628/112817/5730/5740/5742/5947/9104/6319/79966/11001/85414/57761/1462"</f>
        <v>8309/23600/9023/1634/54898/79993/2194/2264/2628/112817/5730/5740/5742/5947/9104/6319/79966/11001/85414/57761/1462</v>
      </c>
    </row>
    <row r="542" spans="1:11">
      <c r="A542" s="3" t="str">
        <f>"GO:0006940"</f>
        <v>GO:0006940</v>
      </c>
      <c r="B542" s="3" t="str">
        <f>"regulation of smooth muscle contraction"</f>
        <v>regulation of smooth muscle contraction</v>
      </c>
      <c r="C542" s="6" t="str">
        <f>"BP"</f>
        <v>BP</v>
      </c>
      <c r="D542" s="6">
        <v>9</v>
      </c>
      <c r="E542" s="3">
        <v>0.138461538461538</v>
      </c>
      <c r="F542" s="3">
        <v>2.63779771479443E-2</v>
      </c>
      <c r="G542" s="3" t="str">
        <f>"9/836"</f>
        <v>9/836</v>
      </c>
      <c r="H542" s="3" t="str">
        <f>"65/18670"</f>
        <v>65/18670</v>
      </c>
      <c r="I542" s="3">
        <v>2.3345717313033101E-3</v>
      </c>
      <c r="J542" s="3">
        <v>2.1258302298594899E-2</v>
      </c>
      <c r="K542" s="3" t="str">
        <f>"100/148/477/857/1131/3778/93649/5592/6865"</f>
        <v>100/148/477/857/1131/3778/93649/5592/6865</v>
      </c>
    </row>
    <row r="543" spans="1:11">
      <c r="A543" s="3" t="str">
        <f>"GO:1901016"</f>
        <v>GO:1901016</v>
      </c>
      <c r="B543" s="3" t="str">
        <f>"regulation of potassium ion transmembrane transporter activity"</f>
        <v>regulation of potassium ion transmembrane transporter activity</v>
      </c>
      <c r="C543" s="6" t="str">
        <f>"BP"</f>
        <v>BP</v>
      </c>
      <c r="D543" s="6">
        <v>9</v>
      </c>
      <c r="E543" s="3">
        <v>0.138461538461538</v>
      </c>
      <c r="F543" s="3">
        <v>2.63779771479443E-2</v>
      </c>
      <c r="G543" s="3" t="str">
        <f>"9/836"</f>
        <v>9/836</v>
      </c>
      <c r="H543" s="3" t="str">
        <f>"65/18670"</f>
        <v>65/18670</v>
      </c>
      <c r="I543" s="3">
        <v>2.3345717313033101E-3</v>
      </c>
      <c r="J543" s="3">
        <v>2.1258302298594899E-2</v>
      </c>
      <c r="K543" s="3" t="str">
        <f>"287/857/2273/51083/7881/3747/10008/23630/23327"</f>
        <v>287/857/2273/51083/7881/3747/10008/23630/23327</v>
      </c>
    </row>
    <row r="544" spans="1:11">
      <c r="A544" s="3" t="str">
        <f>"GO:0043491"</f>
        <v>GO:0043491</v>
      </c>
      <c r="B544" s="3" t="str">
        <f>"protein kinase B signaling"</f>
        <v>protein kinase B signaling</v>
      </c>
      <c r="C544" s="6" t="str">
        <f>"BP"</f>
        <v>BP</v>
      </c>
      <c r="D544" s="6">
        <v>23</v>
      </c>
      <c r="E544" s="3">
        <v>8.5501858736059505E-2</v>
      </c>
      <c r="F544" s="3">
        <v>2.6421610978082599E-2</v>
      </c>
      <c r="G544" s="3" t="str">
        <f>"23/836"</f>
        <v>23/836</v>
      </c>
      <c r="H544" s="3" t="str">
        <f>"269/18670"</f>
        <v>269/18670</v>
      </c>
      <c r="I544" s="3">
        <v>2.3438092342714201E-3</v>
      </c>
      <c r="J544" s="3">
        <v>2.1293467282866602E-2</v>
      </c>
      <c r="K544" s="3" t="str">
        <f>"284/114897/6366/1524/1950/2065/2159/2247/2252/2260/2263/2264/9518/3479/6453/4254/4824/3084/9542/64805/57333/55273/57761"</f>
        <v>284/114897/6366/1524/1950/2065/2159/2247/2252/2260/2263/2264/9518/3479/6453/4254/4824/3084/9542/64805/57333/55273/57761</v>
      </c>
    </row>
    <row r="545" spans="1:11">
      <c r="A545" s="3" t="str">
        <f>"GO:0005003"</f>
        <v>GO:0005003</v>
      </c>
      <c r="B545" s="3" t="str">
        <f>"ephrin receptor activity"</f>
        <v>ephrin receptor activity</v>
      </c>
      <c r="C545" s="6" t="str">
        <f>"MF"</f>
        <v>MF</v>
      </c>
      <c r="D545" s="6">
        <v>5</v>
      </c>
      <c r="E545" s="3">
        <v>0.26315789473684198</v>
      </c>
      <c r="F545" s="3">
        <v>2.67502414558679E-2</v>
      </c>
      <c r="G545" s="3" t="str">
        <f>"5/813"</f>
        <v>5/813</v>
      </c>
      <c r="H545" s="3" t="str">
        <f>"19/17696"</f>
        <v>19/17696</v>
      </c>
      <c r="I545" s="3">
        <v>1.37180725414707E-3</v>
      </c>
      <c r="J545" s="3">
        <v>2.3826125993080802E-2</v>
      </c>
      <c r="K545" s="3" t="str">
        <f>"2042/2045/2047/4914/4916"</f>
        <v>2042/2045/2047/4914/4916</v>
      </c>
    </row>
    <row r="546" spans="1:11">
      <c r="A546" s="3" t="str">
        <f>"GO:0098641"</f>
        <v>GO:0098641</v>
      </c>
      <c r="B546" s="3" t="str">
        <f>"cadherin binding involved in cell-cell adhesion"</f>
        <v>cadherin binding involved in cell-cell adhesion</v>
      </c>
      <c r="C546" s="6" t="str">
        <f>"MF"</f>
        <v>MF</v>
      </c>
      <c r="D546" s="6">
        <v>5</v>
      </c>
      <c r="E546" s="3">
        <v>0.26315789473684198</v>
      </c>
      <c r="F546" s="3">
        <v>2.67502414558679E-2</v>
      </c>
      <c r="G546" s="3" t="str">
        <f>"5/813"</f>
        <v>5/813</v>
      </c>
      <c r="H546" s="3" t="str">
        <f>"19/17696"</f>
        <v>19/17696</v>
      </c>
      <c r="I546" s="3">
        <v>1.37180725414707E-3</v>
      </c>
      <c r="J546" s="3">
        <v>2.3826125993080802E-2</v>
      </c>
      <c r="K546" s="3" t="str">
        <f>"55971/4072/3875/10611/4070"</f>
        <v>55971/4072/3875/10611/4070</v>
      </c>
    </row>
    <row r="547" spans="1:11">
      <c r="A547" s="3" t="str">
        <f>"GO:0005246"</f>
        <v>GO:0005246</v>
      </c>
      <c r="B547" s="3" t="str">
        <f>"calcium channel regulator activity"</f>
        <v>calcium channel regulator activity</v>
      </c>
      <c r="C547" s="6" t="str">
        <f>"MF"</f>
        <v>MF</v>
      </c>
      <c r="D547" s="6">
        <v>8</v>
      </c>
      <c r="E547" s="3">
        <v>0.16666666666666699</v>
      </c>
      <c r="F547" s="3">
        <v>2.6921779048971899E-2</v>
      </c>
      <c r="G547" s="3" t="str">
        <f>"8/813"</f>
        <v>8/813</v>
      </c>
      <c r="H547" s="3" t="str">
        <f>"48/17696"</f>
        <v>48/17696</v>
      </c>
      <c r="I547" s="3">
        <v>1.4134755788837499E-3</v>
      </c>
      <c r="J547" s="3">
        <v>2.3978912513254302E-2</v>
      </c>
      <c r="K547" s="3" t="str">
        <f>"2669/51440/4852/5350/5579/5592/6236/27075"</f>
        <v>2669/51440/4852/5350/5579/5592/6236/27075</v>
      </c>
    </row>
    <row r="548" spans="1:11">
      <c r="A548" s="3" t="str">
        <f>"GO:0042471"</f>
        <v>GO:0042471</v>
      </c>
      <c r="B548" s="3" t="str">
        <f>"ear morphogenesis"</f>
        <v>ear morphogenesis</v>
      </c>
      <c r="C548" s="6" t="str">
        <f t="shared" ref="C548:C556" si="32">"BP"</f>
        <v>BP</v>
      </c>
      <c r="D548" s="6">
        <v>13</v>
      </c>
      <c r="E548" s="3">
        <v>0.110169491525424</v>
      </c>
      <c r="F548" s="3">
        <v>2.7098591981115201E-2</v>
      </c>
      <c r="G548" s="3" t="str">
        <f>"13/836"</f>
        <v>13/836</v>
      </c>
      <c r="H548" s="3" t="str">
        <f>"118/18670"</f>
        <v>118/18670</v>
      </c>
      <c r="I548" s="3">
        <v>2.4093763368763701E-3</v>
      </c>
      <c r="J548" s="3">
        <v>2.1839053729172001E-2</v>
      </c>
      <c r="K548" s="3" t="str">
        <f>"1280/2260/2263/2487/3249/8516/8013/116039/9750/80736/84189/6899/259236"</f>
        <v>1280/2260/2263/2487/3249/8516/8013/116039/9750/80736/84189/6899/259236</v>
      </c>
    </row>
    <row r="549" spans="1:11">
      <c r="A549" s="3" t="str">
        <f>"GO:0051899"</f>
        <v>GO:0051899</v>
      </c>
      <c r="B549" s="3" t="str">
        <f>"membrane depolarization"</f>
        <v>membrane depolarization</v>
      </c>
      <c r="C549" s="6" t="str">
        <f t="shared" si="32"/>
        <v>BP</v>
      </c>
      <c r="D549" s="6">
        <v>11</v>
      </c>
      <c r="E549" s="3">
        <v>0.120879120879121</v>
      </c>
      <c r="F549" s="3">
        <v>2.7445340045002299E-2</v>
      </c>
      <c r="G549" s="3" t="str">
        <f>"11/836"</f>
        <v>11/836</v>
      </c>
      <c r="H549" s="3" t="str">
        <f>"91/18670"</f>
        <v>91/18670</v>
      </c>
      <c r="I549" s="3">
        <v>2.4494030571364398E-3</v>
      </c>
      <c r="J549" s="3">
        <v>2.2118501812784401E-2</v>
      </c>
      <c r="K549" s="3" t="str">
        <f>"287/477/773/857/1634/2273/23327/6332/6546/7871/54795"</f>
        <v>287/477/773/857/1634/2273/23327/6332/6546/7871/54795</v>
      </c>
    </row>
    <row r="550" spans="1:11">
      <c r="A550" s="3" t="str">
        <f>"GO:0055021"</f>
        <v>GO:0055021</v>
      </c>
      <c r="B550" s="3" t="str">
        <f>"regulation of cardiac muscle tissue growth"</f>
        <v>regulation of cardiac muscle tissue growth</v>
      </c>
      <c r="C550" s="6" t="str">
        <f t="shared" si="32"/>
        <v>BP</v>
      </c>
      <c r="D550" s="6">
        <v>10</v>
      </c>
      <c r="E550" s="3">
        <v>0.128205128205128</v>
      </c>
      <c r="F550" s="3">
        <v>2.7445340045002299E-2</v>
      </c>
      <c r="G550" s="3" t="str">
        <f>"10/836"</f>
        <v>10/836</v>
      </c>
      <c r="H550" s="3" t="str">
        <f>"78/18670"</f>
        <v>78/18670</v>
      </c>
      <c r="I550" s="3">
        <v>2.45260346602503E-3</v>
      </c>
      <c r="J550" s="3">
        <v>2.2118501812784401E-2</v>
      </c>
      <c r="K550" s="3" t="str">
        <f>"2247/2260/2263/2627/3479/5950/6909/6910/7049/7472"</f>
        <v>2247/2260/2263/2627/3479/5950/6909/6910/7049/7472</v>
      </c>
    </row>
    <row r="551" spans="1:11">
      <c r="A551" s="3" t="str">
        <f>"GO:0045927"</f>
        <v>GO:0045927</v>
      </c>
      <c r="B551" s="3" t="str">
        <f>"positive regulation of growth"</f>
        <v>positive regulation of growth</v>
      </c>
      <c r="C551" s="6" t="str">
        <f t="shared" si="32"/>
        <v>BP</v>
      </c>
      <c r="D551" s="6">
        <v>23</v>
      </c>
      <c r="E551" s="3">
        <v>8.5185185185185197E-2</v>
      </c>
      <c r="F551" s="3">
        <v>2.7445340045002299E-2</v>
      </c>
      <c r="G551" s="3" t="str">
        <f>"23/836"</f>
        <v>23/836</v>
      </c>
      <c r="H551" s="3" t="str">
        <f>"270/18670"</f>
        <v>270/18670</v>
      </c>
      <c r="I551" s="3">
        <v>2.4569582135912501E-3</v>
      </c>
      <c r="J551" s="3">
        <v>2.2118501812784401E-2</v>
      </c>
      <c r="K551" s="3" t="str">
        <f>"10551/627/57699/6387/2247/2260/2263/2627/3249/3479/4131/4323/23327/4916/6423/285590/80736/6857/6909/6910/7049/7472/7490"</f>
        <v>10551/627/57699/6387/2247/2260/2263/2627/3249/3479/4131/4323/23327/4916/6423/285590/80736/6857/6909/6910/7049/7472/7490</v>
      </c>
    </row>
    <row r="552" spans="1:11">
      <c r="A552" s="3" t="str">
        <f>"GO:0006582"</f>
        <v>GO:0006582</v>
      </c>
      <c r="B552" s="3" t="str">
        <f>"melanin metabolic process"</f>
        <v>melanin metabolic process</v>
      </c>
      <c r="C552" s="6" t="str">
        <f t="shared" si="32"/>
        <v>BP</v>
      </c>
      <c r="D552" s="6">
        <v>5</v>
      </c>
      <c r="E552" s="3">
        <v>0.22727272727272699</v>
      </c>
      <c r="F552" s="3">
        <v>2.7500785517306801E-2</v>
      </c>
      <c r="G552" s="3" t="str">
        <f>"5/836"</f>
        <v>5/836</v>
      </c>
      <c r="H552" s="3" t="str">
        <f>"22/18670"</f>
        <v>22/18670</v>
      </c>
      <c r="I552" s="3">
        <v>2.4787076264835999E-3</v>
      </c>
      <c r="J552" s="3">
        <v>2.2163185929565898E-2</v>
      </c>
      <c r="K552" s="3" t="str">
        <f>"4948/51151/23657/7220/9839"</f>
        <v>4948/51151/23657/7220/9839</v>
      </c>
    </row>
    <row r="553" spans="1:11">
      <c r="A553" s="3" t="str">
        <f>"GO:0035929"</f>
        <v>GO:0035929</v>
      </c>
      <c r="B553" s="3" t="str">
        <f>"steroid hormone secretion"</f>
        <v>steroid hormone secretion</v>
      </c>
      <c r="C553" s="6" t="str">
        <f t="shared" si="32"/>
        <v>BP</v>
      </c>
      <c r="D553" s="6">
        <v>5</v>
      </c>
      <c r="E553" s="3">
        <v>0.22727272727272699</v>
      </c>
      <c r="F553" s="3">
        <v>2.7500785517306801E-2</v>
      </c>
      <c r="G553" s="3" t="str">
        <f>"5/836"</f>
        <v>5/836</v>
      </c>
      <c r="H553" s="3" t="str">
        <f>"22/18670"</f>
        <v>22/18670</v>
      </c>
      <c r="I553" s="3">
        <v>2.4787076264835999E-3</v>
      </c>
      <c r="J553" s="3">
        <v>2.2163185929565898E-2</v>
      </c>
      <c r="K553" s="3" t="str">
        <f>"114897/51083/2587/4824/6863"</f>
        <v>114897/51083/2587/4824/6863</v>
      </c>
    </row>
    <row r="554" spans="1:11">
      <c r="A554" s="3" t="str">
        <f>"GO:0060575"</f>
        <v>GO:0060575</v>
      </c>
      <c r="B554" s="3" t="str">
        <f>"intestinal epithelial cell differentiation"</f>
        <v>intestinal epithelial cell differentiation</v>
      </c>
      <c r="C554" s="6" t="str">
        <f t="shared" si="32"/>
        <v>BP</v>
      </c>
      <c r="D554" s="6">
        <v>5</v>
      </c>
      <c r="E554" s="3">
        <v>0.22727272727272699</v>
      </c>
      <c r="F554" s="3">
        <v>2.7500785517306801E-2</v>
      </c>
      <c r="G554" s="3" t="str">
        <f>"5/836"</f>
        <v>5/836</v>
      </c>
      <c r="H554" s="3" t="str">
        <f>"22/18670"</f>
        <v>22/18670</v>
      </c>
      <c r="I554" s="3">
        <v>2.4787076264835999E-3</v>
      </c>
      <c r="J554" s="3">
        <v>2.2163185929565898E-2</v>
      </c>
      <c r="K554" s="3" t="str">
        <f>"140628/2627/4852/5753/25803"</f>
        <v>140628/2627/4852/5753/25803</v>
      </c>
    </row>
    <row r="555" spans="1:11">
      <c r="A555" s="3" t="str">
        <f>"GO:0045785"</f>
        <v>GO:0045785</v>
      </c>
      <c r="B555" s="3" t="str">
        <f>"positive regulation of cell adhesion"</f>
        <v>positive regulation of cell adhesion</v>
      </c>
      <c r="C555" s="6" t="str">
        <f t="shared" si="32"/>
        <v>BP</v>
      </c>
      <c r="D555" s="6">
        <v>31</v>
      </c>
      <c r="E555" s="3">
        <v>7.69230769230769E-2</v>
      </c>
      <c r="F555" s="3">
        <v>2.7507916927168301E-2</v>
      </c>
      <c r="G555" s="3" t="str">
        <f>"31/836"</f>
        <v>31/836</v>
      </c>
      <c r="H555" s="3" t="str">
        <f>"403/18670"</f>
        <v>403/18670</v>
      </c>
      <c r="I555" s="3">
        <v>2.4849471242447E-3</v>
      </c>
      <c r="J555" s="3">
        <v>2.21689332113153E-2</v>
      </c>
      <c r="K555" s="3" t="str">
        <f>"25890/100/10551/284/857/151887/6366/4680/1307/6387/10563/1803/10085/25975/133584/1991/2199/3169/2294/3479/3676/55083/79625/4811/8013/64805/5578/5881/6423/9840/5212"</f>
        <v>25890/100/10551/284/857/151887/6366/4680/1307/6387/10563/1803/10085/25975/133584/1991/2199/3169/2294/3479/3676/55083/79625/4811/8013/64805/5578/5881/6423/9840/5212</v>
      </c>
    </row>
    <row r="556" spans="1:11">
      <c r="A556" s="3" t="str">
        <f>"GO:1902903"</f>
        <v>GO:1902903</v>
      </c>
      <c r="B556" s="3" t="str">
        <f>"regulation of supramolecular fiber organization"</f>
        <v>regulation of supramolecular fiber organization</v>
      </c>
      <c r="C556" s="6" t="str">
        <f t="shared" si="32"/>
        <v>BP</v>
      </c>
      <c r="D556" s="6">
        <v>28</v>
      </c>
      <c r="E556" s="3">
        <v>7.9320113314447604E-2</v>
      </c>
      <c r="F556" s="3">
        <v>2.8148771251515201E-2</v>
      </c>
      <c r="G556" s="3" t="str">
        <f>"28/836"</f>
        <v>28/836</v>
      </c>
      <c r="H556" s="3" t="str">
        <f>"353/18670"</f>
        <v>353/18670</v>
      </c>
      <c r="I556" s="3">
        <v>2.54856626793983E-3</v>
      </c>
      <c r="J556" s="3">
        <v>2.2685404769385201E-2</v>
      </c>
      <c r="K556" s="3" t="str">
        <f>"55971/6366/10602/1073/25999/1191/1410/6387/80206/2288/10788/163782/25802/4130/4131/89795/130271/22843/55607/84722/5881/285590/11075/171024/6863/4070/7043/7481"</f>
        <v>55971/6366/10602/1073/25999/1191/1410/6387/80206/2288/10788/163782/25802/4130/4131/89795/130271/22843/55607/84722/5881/285590/11075/171024/6863/4070/7043/7481</v>
      </c>
    </row>
    <row r="557" spans="1:11">
      <c r="A557" s="3" t="str">
        <f>"GO:0031252"</f>
        <v>GO:0031252</v>
      </c>
      <c r="B557" s="3" t="str">
        <f>"cell leading edge"</f>
        <v>cell leading edge</v>
      </c>
      <c r="C557" s="6" t="str">
        <f>"CC"</f>
        <v>CC</v>
      </c>
      <c r="D557" s="6">
        <v>30</v>
      </c>
      <c r="E557" s="3">
        <v>7.4441687344913104E-2</v>
      </c>
      <c r="F557" s="3">
        <v>2.8268121859869901E-2</v>
      </c>
      <c r="G557" s="3" t="str">
        <f>"30/873"</f>
        <v>30/873</v>
      </c>
      <c r="H557" s="3" t="str">
        <f>"403/19717"</f>
        <v>403/19717</v>
      </c>
      <c r="I557" s="3">
        <v>3.97891631220858E-3</v>
      </c>
      <c r="J557" s="3">
        <v>2.2191913445939501E-2</v>
      </c>
      <c r="K557" s="3" t="str">
        <f>"70/84059/84168/1000/1803/667/11170/10979/55785/10788/8516/6453/3745/3747/4254/4638/4642/4646/23022/130271/55607/5753/5881/9750/6092/6277/11075/90249/8633/23286"</f>
        <v>70/84059/84168/1000/1803/667/11170/10979/55785/10788/8516/6453/3745/3747/4254/4638/4642/4646/23022/130271/55607/5753/5881/9750/6092/6277/11075/90249/8633/23286</v>
      </c>
    </row>
    <row r="558" spans="1:11">
      <c r="A558" s="3" t="str">
        <f>"GO:0055017"</f>
        <v>GO:0055017</v>
      </c>
      <c r="B558" s="3" t="str">
        <f>"cardiac muscle tissue growth"</f>
        <v>cardiac muscle tissue growth</v>
      </c>
      <c r="C558" s="6" t="str">
        <f t="shared" ref="C558:C566" si="33">"BP"</f>
        <v>BP</v>
      </c>
      <c r="D558" s="6">
        <v>12</v>
      </c>
      <c r="E558" s="3">
        <v>0.114285714285714</v>
      </c>
      <c r="F558" s="3">
        <v>2.82687162693771E-2</v>
      </c>
      <c r="G558" s="3" t="str">
        <f>"12/836"</f>
        <v>12/836</v>
      </c>
      <c r="H558" s="3" t="str">
        <f>"105/18670"</f>
        <v>105/18670</v>
      </c>
      <c r="I558" s="3">
        <v>2.5651775088793801E-3</v>
      </c>
      <c r="J558" s="3">
        <v>2.27820697803E-2</v>
      </c>
      <c r="K558" s="3" t="str">
        <f>"148/2247/2260/2263/2627/3479/10611/5950/6909/6910/7049/7472"</f>
        <v>148/2247/2260/2263/2627/3479/10611/5950/6909/6910/7049/7472</v>
      </c>
    </row>
    <row r="559" spans="1:11">
      <c r="A559" s="3" t="str">
        <f>"GO:0017156"</f>
        <v>GO:0017156</v>
      </c>
      <c r="B559" s="3" t="str">
        <f>"calcium-ion regulated exocytosis"</f>
        <v>calcium-ion regulated exocytosis</v>
      </c>
      <c r="C559" s="6" t="str">
        <f t="shared" si="33"/>
        <v>BP</v>
      </c>
      <c r="D559" s="6">
        <v>9</v>
      </c>
      <c r="E559" s="3">
        <v>0.13636363636363599</v>
      </c>
      <c r="F559" s="3">
        <v>2.85039227988233E-2</v>
      </c>
      <c r="G559" s="3" t="str">
        <f>"9/836"</f>
        <v>9/836</v>
      </c>
      <c r="H559" s="3" t="str">
        <f>"66/18670"</f>
        <v>66/18670</v>
      </c>
      <c r="I559" s="3">
        <v>2.5981195145214301E-3</v>
      </c>
      <c r="J559" s="3">
        <v>2.2971625312838698E-2</v>
      </c>
      <c r="K559" s="3" t="str">
        <f>"8618/3745/6857/23208/57586/9066/143425/114088/55503"</f>
        <v>8618/3745/6857/23208/57586/9066/143425/114088/55503</v>
      </c>
    </row>
    <row r="560" spans="1:11">
      <c r="A560" s="3" t="str">
        <f>"GO:1904888"</f>
        <v>GO:1904888</v>
      </c>
      <c r="B560" s="3" t="str">
        <f>"cranial skeletal system development"</f>
        <v>cranial skeletal system development</v>
      </c>
      <c r="C560" s="6" t="str">
        <f t="shared" si="33"/>
        <v>BP</v>
      </c>
      <c r="D560" s="6">
        <v>9</v>
      </c>
      <c r="E560" s="3">
        <v>0.13636363636363599</v>
      </c>
      <c r="F560" s="3">
        <v>2.85039227988233E-2</v>
      </c>
      <c r="G560" s="3" t="str">
        <f>"9/836"</f>
        <v>9/836</v>
      </c>
      <c r="H560" s="3" t="str">
        <f>"66/18670"</f>
        <v>66/18670</v>
      </c>
      <c r="I560" s="3">
        <v>2.5981195145214301E-3</v>
      </c>
      <c r="J560" s="3">
        <v>2.2971625312838698E-2</v>
      </c>
      <c r="K560" s="3" t="str">
        <f>"652/1746/2263/2304/4323/4325/285590/6899/7043"</f>
        <v>652/1746/2263/2304/4323/4325/285590/6899/7043</v>
      </c>
    </row>
    <row r="561" spans="1:11">
      <c r="A561" s="3" t="str">
        <f>"GO:0070206"</f>
        <v>GO:0070206</v>
      </c>
      <c r="B561" s="3" t="str">
        <f>"protein trimerization"</f>
        <v>protein trimerization</v>
      </c>
      <c r="C561" s="6" t="str">
        <f t="shared" si="33"/>
        <v>BP</v>
      </c>
      <c r="D561" s="6">
        <v>8</v>
      </c>
      <c r="E561" s="3">
        <v>0.148148148148148</v>
      </c>
      <c r="F561" s="3">
        <v>2.86299765461813E-2</v>
      </c>
      <c r="G561" s="3" t="str">
        <f>"8/836"</f>
        <v>8/836</v>
      </c>
      <c r="H561" s="3" t="str">
        <f>"54/18670"</f>
        <v>54/18670</v>
      </c>
      <c r="I561" s="3">
        <v>2.6154342765483999E-3</v>
      </c>
      <c r="J561" s="3">
        <v>2.3073213416133199E-2</v>
      </c>
      <c r="K561" s="3" t="str">
        <f>"114897/114898/1278/1291/1292/286133/79689/79054"</f>
        <v>114897/114898/1278/1291/1292/286133/79689/79054</v>
      </c>
    </row>
    <row r="562" spans="1:11">
      <c r="A562" s="3" t="str">
        <f>"GO:0038128"</f>
        <v>GO:0038128</v>
      </c>
      <c r="B562" s="3" t="str">
        <f>"ERBB2 signaling pathway"</f>
        <v>ERBB2 signaling pathway</v>
      </c>
      <c r="C562" s="6" t="str">
        <f t="shared" si="33"/>
        <v>BP</v>
      </c>
      <c r="D562" s="6">
        <v>6</v>
      </c>
      <c r="E562" s="3">
        <v>0.1875</v>
      </c>
      <c r="F562" s="3">
        <v>2.87934874034915E-2</v>
      </c>
      <c r="G562" s="3" t="str">
        <f>"6/836"</f>
        <v>6/836</v>
      </c>
      <c r="H562" s="3" t="str">
        <f>"32/18670"</f>
        <v>32/18670</v>
      </c>
      <c r="I562" s="3">
        <v>2.6420880608290301E-3</v>
      </c>
      <c r="J562" s="3">
        <v>2.3204988616873898E-2</v>
      </c>
      <c r="K562" s="3" t="str">
        <f>"1950/2065/3084/9542/5578/5753"</f>
        <v>1950/2065/3084/9542/5578/5753</v>
      </c>
    </row>
    <row r="563" spans="1:11">
      <c r="A563" s="3" t="str">
        <f>"GO:0086019"</f>
        <v>GO:0086019</v>
      </c>
      <c r="B563" s="3" t="str">
        <f>"cell-cell signaling involved in cardiac conduction"</f>
        <v>cell-cell signaling involved in cardiac conduction</v>
      </c>
      <c r="C563" s="6" t="str">
        <f t="shared" si="33"/>
        <v>BP</v>
      </c>
      <c r="D563" s="6">
        <v>6</v>
      </c>
      <c r="E563" s="3">
        <v>0.1875</v>
      </c>
      <c r="F563" s="3">
        <v>2.87934874034915E-2</v>
      </c>
      <c r="G563" s="3" t="str">
        <f>"6/836"</f>
        <v>6/836</v>
      </c>
      <c r="H563" s="3" t="str">
        <f>"32/18670"</f>
        <v>32/18670</v>
      </c>
      <c r="I563" s="3">
        <v>2.6420880608290301E-3</v>
      </c>
      <c r="J563" s="3">
        <v>2.3204988616873898E-2</v>
      </c>
      <c r="K563" s="3" t="str">
        <f>"287/23630/3760/3781/6262/54795"</f>
        <v>287/23630/3760/3781/6262/54795</v>
      </c>
    </row>
    <row r="564" spans="1:11">
      <c r="A564" s="3" t="str">
        <f>"GO:0051592"</f>
        <v>GO:0051592</v>
      </c>
      <c r="B564" s="3" t="str">
        <f>"response to calcium ion"</f>
        <v>response to calcium ion</v>
      </c>
      <c r="C564" s="6" t="str">
        <f t="shared" si="33"/>
        <v>BP</v>
      </c>
      <c r="D564" s="6">
        <v>15</v>
      </c>
      <c r="E564" s="3">
        <v>0.101351351351351</v>
      </c>
      <c r="F564" s="3">
        <v>2.89293907664799E-2</v>
      </c>
      <c r="G564" s="3" t="str">
        <f>"15/836"</f>
        <v>15/836</v>
      </c>
      <c r="H564" s="3" t="str">
        <f>"148/18670"</f>
        <v>148/18670</v>
      </c>
      <c r="I564" s="3">
        <v>2.6604444814748501E-3</v>
      </c>
      <c r="J564" s="3">
        <v>2.33145146338842E-2</v>
      </c>
      <c r="K564" s="3" t="str">
        <f>"84059/857/57699/3778/3779/5179/6262/6678/6857/23208/57586/9066/143425/7220/55503"</f>
        <v>84059/857/57699/3778/3779/5179/6262/6678/6857/23208/57586/9066/143425/7220/55503</v>
      </c>
    </row>
    <row r="565" spans="1:11">
      <c r="A565" s="3" t="str">
        <f>"GO:0007219"</f>
        <v>GO:0007219</v>
      </c>
      <c r="B565" s="3" t="str">
        <f>"Notch signaling pathway"</f>
        <v>Notch signaling pathway</v>
      </c>
      <c r="C565" s="6" t="str">
        <f t="shared" si="33"/>
        <v>BP</v>
      </c>
      <c r="D565" s="6">
        <v>18</v>
      </c>
      <c r="E565" s="3">
        <v>9.3264248704663197E-2</v>
      </c>
      <c r="F565" s="3">
        <v>2.8973768002918201E-2</v>
      </c>
      <c r="G565" s="3" t="str">
        <f>"18/836"</f>
        <v>18/836</v>
      </c>
      <c r="H565" s="3" t="str">
        <f>"193/18670"</f>
        <v>193/18670</v>
      </c>
      <c r="I565" s="3">
        <v>2.6704205300756801E-3</v>
      </c>
      <c r="J565" s="3">
        <v>2.33502787374806E-2</v>
      </c>
      <c r="K565" s="3" t="str">
        <f>"1675/1272/1745/1746/1950/79633/3169/140628/2762/23462/4323/5350/6092/1903/6591/6909/55273/23286"</f>
        <v>1675/1272/1745/1746/1950/79633/3169/140628/2762/23462/4323/5350/6092/1903/6591/6909/55273/23286</v>
      </c>
    </row>
    <row r="566" spans="1:11">
      <c r="A566" s="3" t="str">
        <f>"GO:0007611"</f>
        <v>GO:0007611</v>
      </c>
      <c r="B566" s="3" t="str">
        <f>"learning or memory"</f>
        <v>learning or memory</v>
      </c>
      <c r="C566" s="6" t="str">
        <f t="shared" si="33"/>
        <v>BP</v>
      </c>
      <c r="D566" s="6">
        <v>22</v>
      </c>
      <c r="E566" s="3">
        <v>8.59375E-2</v>
      </c>
      <c r="F566" s="3">
        <v>2.9323950216779499E-2</v>
      </c>
      <c r="G566" s="3" t="str">
        <f>"22/836"</f>
        <v>22/836</v>
      </c>
      <c r="H566" s="3" t="str">
        <f>"256/18670"</f>
        <v>256/18670</v>
      </c>
      <c r="I566" s="3">
        <v>2.7086619325367E-3</v>
      </c>
      <c r="J566" s="3">
        <v>2.36324944403794E-2</v>
      </c>
      <c r="K566" s="3" t="str">
        <f>"477/10396/627/10882/1524/22943/1979/2628/8516/7881/4130/4885/9369/4914/57144/10769/5577/5923/23657/6863/6865/338811"</f>
        <v>477/10396/627/10882/1524/22943/1979/2628/8516/7881/4130/4885/9369/4914/57144/10769/5577/5923/23657/6863/6865/338811</v>
      </c>
    </row>
    <row r="567" spans="1:11">
      <c r="A567" s="3" t="str">
        <f>"GO:0150034"</f>
        <v>GO:0150034</v>
      </c>
      <c r="B567" s="3" t="str">
        <f>"distal axon"</f>
        <v>distal axon</v>
      </c>
      <c r="C567" s="6" t="str">
        <f>"CC"</f>
        <v>CC</v>
      </c>
      <c r="D567" s="6">
        <v>23</v>
      </c>
      <c r="E567" s="3">
        <v>8.0701754385964899E-2</v>
      </c>
      <c r="F567" s="3">
        <v>2.94344832395836E-2</v>
      </c>
      <c r="G567" s="3" t="str">
        <f>"23/873"</f>
        <v>23/873</v>
      </c>
      <c r="H567" s="3" t="str">
        <f>"285/19717"</f>
        <v>285/19717</v>
      </c>
      <c r="I567" s="3">
        <v>4.20492617708337E-3</v>
      </c>
      <c r="J567" s="3">
        <v>2.3107566453012301E-2</v>
      </c>
      <c r="K567" s="3" t="str">
        <f>"1131/9638/2288/2823/3676/6453/3747/30818/4131/7786/4842/4885/23022/5101/5179/55607/5579/5799/5881/5923/11075/23208/8633"</f>
        <v>1131/9638/2288/2823/3676/6453/3747/30818/4131/7786/4842/4885/23022/5101/5179/55607/5579/5799/5881/5923/11075/23208/8633</v>
      </c>
    </row>
    <row r="568" spans="1:11">
      <c r="A568" s="3" t="str">
        <f>"GO:0010863"</f>
        <v>GO:0010863</v>
      </c>
      <c r="B568" s="3" t="str">
        <f>"positive regulation of phospholipase C activity"</f>
        <v>positive regulation of phospholipase C activity</v>
      </c>
      <c r="C568" s="6" t="str">
        <f>"BP"</f>
        <v>BP</v>
      </c>
      <c r="D568" s="6">
        <v>7</v>
      </c>
      <c r="E568" s="3">
        <v>0.162790697674419</v>
      </c>
      <c r="F568" s="3">
        <v>2.9861796232883299E-2</v>
      </c>
      <c r="G568" s="3" t="str">
        <f>"7/836"</f>
        <v>7/836</v>
      </c>
      <c r="H568" s="3" t="str">
        <f>"43/18670"</f>
        <v>43/18670</v>
      </c>
      <c r="I568" s="3">
        <v>2.7704942181474598E-3</v>
      </c>
      <c r="J568" s="3">
        <v>2.4065950468349199E-2</v>
      </c>
      <c r="K568" s="3" t="str">
        <f>"148/627/2247/2260/9170/4916/64805"</f>
        <v>148/627/2247/2260/9170/4916/64805</v>
      </c>
    </row>
    <row r="569" spans="1:11">
      <c r="A569" s="3" t="str">
        <f>"GO:0045332"</f>
        <v>GO:0045332</v>
      </c>
      <c r="B569" s="3" t="str">
        <f>"phospholipid translocation"</f>
        <v>phospholipid translocation</v>
      </c>
      <c r="C569" s="6" t="str">
        <f>"BP"</f>
        <v>BP</v>
      </c>
      <c r="D569" s="6">
        <v>7</v>
      </c>
      <c r="E569" s="3">
        <v>0.162790697674419</v>
      </c>
      <c r="F569" s="3">
        <v>2.9861796232883299E-2</v>
      </c>
      <c r="G569" s="3" t="str">
        <f>"7/836"</f>
        <v>7/836</v>
      </c>
      <c r="H569" s="3" t="str">
        <f>"43/18670"</f>
        <v>43/18670</v>
      </c>
      <c r="I569" s="3">
        <v>2.7704942181474598E-3</v>
      </c>
      <c r="J569" s="3">
        <v>2.4065950468349199E-2</v>
      </c>
      <c r="K569" s="3" t="str">
        <f>"121601/196527/23200/286410/10396/3783/5359"</f>
        <v>121601/196527/23200/286410/10396/3783/5359</v>
      </c>
    </row>
    <row r="570" spans="1:11">
      <c r="A570" s="3" t="str">
        <f>"GO:0003214"</f>
        <v>GO:0003214</v>
      </c>
      <c r="B570" s="3" t="str">
        <f>"cardiac left ventricle morphogenesis"</f>
        <v>cardiac left ventricle morphogenesis</v>
      </c>
      <c r="C570" s="6" t="str">
        <f>"BP"</f>
        <v>BP</v>
      </c>
      <c r="D570" s="6">
        <v>4</v>
      </c>
      <c r="E570" s="3">
        <v>0.28571428571428598</v>
      </c>
      <c r="F570" s="3">
        <v>2.9906974037337199E-2</v>
      </c>
      <c r="G570" s="3" t="str">
        <f>"4/836"</f>
        <v>4/836</v>
      </c>
      <c r="H570" s="3" t="str">
        <f>"14/18670"</f>
        <v>14/18670</v>
      </c>
      <c r="I570" s="3">
        <v>2.7868553629909298E-3</v>
      </c>
      <c r="J570" s="3">
        <v>2.4102359758526499E-2</v>
      </c>
      <c r="K570" s="3" t="str">
        <f>"2294/6262/6423/6910"</f>
        <v>2294/6262/6423/6910</v>
      </c>
    </row>
    <row r="571" spans="1:11">
      <c r="A571" s="3" t="str">
        <f>"GO:0050862"</f>
        <v>GO:0050862</v>
      </c>
      <c r="B571" s="3" t="str">
        <f>"positive regulation of T cell receptor signaling pathway"</f>
        <v>positive regulation of T cell receptor signaling pathway</v>
      </c>
      <c r="C571" s="6" t="str">
        <f>"BP"</f>
        <v>BP</v>
      </c>
      <c r="D571" s="6">
        <v>4</v>
      </c>
      <c r="E571" s="3">
        <v>0.28571428571428598</v>
      </c>
      <c r="F571" s="3">
        <v>2.9906974037337199E-2</v>
      </c>
      <c r="G571" s="3" t="str">
        <f>"4/836"</f>
        <v>4/836</v>
      </c>
      <c r="H571" s="3" t="str">
        <f>"14/18670"</f>
        <v>14/18670</v>
      </c>
      <c r="I571" s="3">
        <v>2.7868553629909298E-3</v>
      </c>
      <c r="J571" s="3">
        <v>2.4102359758526499E-2</v>
      </c>
      <c r="K571" s="3" t="str">
        <f>"100/3783/5819/9840"</f>
        <v>100/3783/5819/9840</v>
      </c>
    </row>
    <row r="572" spans="1:11">
      <c r="A572" s="3" t="str">
        <f>"GO:0098563"</f>
        <v>GO:0098563</v>
      </c>
      <c r="B572" s="3" t="str">
        <f>"intrinsic component of synaptic vesicle membrane"</f>
        <v>intrinsic component of synaptic vesicle membrane</v>
      </c>
      <c r="C572" s="6" t="str">
        <f>"CC"</f>
        <v>CC</v>
      </c>
      <c r="D572" s="6">
        <v>7</v>
      </c>
      <c r="E572" s="3">
        <v>0.14893617021276601</v>
      </c>
      <c r="F572" s="3">
        <v>3.0083269780149999E-2</v>
      </c>
      <c r="G572" s="3" t="str">
        <f>"7/873"</f>
        <v>7/873</v>
      </c>
      <c r="H572" s="3" t="str">
        <f>"47/19717"</f>
        <v>47/19717</v>
      </c>
      <c r="I572" s="3">
        <v>4.3608101151898096E-3</v>
      </c>
      <c r="J572" s="3">
        <v>2.3616896886230102E-2</v>
      </c>
      <c r="K572" s="3" t="str">
        <f>"5799/5865/9900/6853/6857/23208/143425"</f>
        <v>5799/5865/9900/6853/6857/23208/143425</v>
      </c>
    </row>
    <row r="573" spans="1:11">
      <c r="A573" s="3" t="str">
        <f>"GO:1902282"</f>
        <v>GO:1902282</v>
      </c>
      <c r="B573" s="3" t="str">
        <f>"voltage-gated potassium channel activity involved in ventricular cardiac muscle cell action potential repolarization"</f>
        <v>voltage-gated potassium channel activity involved in ventricular cardiac muscle cell action potential repolarization</v>
      </c>
      <c r="C573" s="6" t="str">
        <f>"MF"</f>
        <v>MF</v>
      </c>
      <c r="D573" s="6">
        <v>4</v>
      </c>
      <c r="E573" s="3">
        <v>0.33333333333333298</v>
      </c>
      <c r="F573" s="3">
        <v>3.0302364950134601E-2</v>
      </c>
      <c r="G573" s="3" t="str">
        <f>"4/813"</f>
        <v>4/813</v>
      </c>
      <c r="H573" s="3" t="str">
        <f>"12/17696"</f>
        <v>12/17696</v>
      </c>
      <c r="I573" s="3">
        <v>1.62796588254691E-3</v>
      </c>
      <c r="J573" s="3">
        <v>2.6989960684330402E-2</v>
      </c>
      <c r="K573" s="3" t="str">
        <f>"10008/23630/3760/3764"</f>
        <v>10008/23630/3760/3764</v>
      </c>
    </row>
    <row r="574" spans="1:11">
      <c r="A574" s="3" t="str">
        <f>"GO:0048747"</f>
        <v>GO:0048747</v>
      </c>
      <c r="B574" s="3" t="str">
        <f>"muscle fiber development"</f>
        <v>muscle fiber development</v>
      </c>
      <c r="C574" s="6" t="str">
        <f t="shared" ref="C574:C584" si="34">"BP"</f>
        <v>BP</v>
      </c>
      <c r="D574" s="6">
        <v>9</v>
      </c>
      <c r="E574" s="3">
        <v>0.134328358208955</v>
      </c>
      <c r="F574" s="3">
        <v>3.0822257283638899E-2</v>
      </c>
      <c r="G574" s="3" t="str">
        <f>"9/836"</f>
        <v>9/836</v>
      </c>
      <c r="H574" s="3" t="str">
        <f>"67/18670"</f>
        <v>67/18670</v>
      </c>
      <c r="I574" s="3">
        <v>2.8846873551320201E-3</v>
      </c>
      <c r="J574" s="3">
        <v>2.4839996607235199E-2</v>
      </c>
      <c r="K574" s="3" t="str">
        <f>"652/858/2318/9734/4629/4624/9750/6443/6444"</f>
        <v>652/858/2318/9734/4629/4624/9750/6443/6444</v>
      </c>
    </row>
    <row r="575" spans="1:11">
      <c r="A575" s="3" t="str">
        <f>"GO:0060038"</f>
        <v>GO:0060038</v>
      </c>
      <c r="B575" s="3" t="str">
        <f>"cardiac muscle cell proliferation"</f>
        <v>cardiac muscle cell proliferation</v>
      </c>
      <c r="C575" s="6" t="str">
        <f t="shared" si="34"/>
        <v>BP</v>
      </c>
      <c r="D575" s="6">
        <v>9</v>
      </c>
      <c r="E575" s="3">
        <v>0.134328358208955</v>
      </c>
      <c r="F575" s="3">
        <v>3.0822257283638899E-2</v>
      </c>
      <c r="G575" s="3" t="str">
        <f>"9/836"</f>
        <v>9/836</v>
      </c>
      <c r="H575" s="3" t="str">
        <f>"67/18670"</f>
        <v>67/18670</v>
      </c>
      <c r="I575" s="3">
        <v>2.8846873551320201E-3</v>
      </c>
      <c r="J575" s="3">
        <v>2.4839996607235199E-2</v>
      </c>
      <c r="K575" s="3" t="str">
        <f>"2247/2260/2263/2627/5950/6909/6910/7049/7472"</f>
        <v>2247/2260/2263/2627/5950/6909/6910/7049/7472</v>
      </c>
    </row>
    <row r="576" spans="1:11">
      <c r="A576" s="3" t="str">
        <f>"GO:0072080"</f>
        <v>GO:0072080</v>
      </c>
      <c r="B576" s="3" t="str">
        <f>"nephron tubule development"</f>
        <v>nephron tubule development</v>
      </c>
      <c r="C576" s="6" t="str">
        <f t="shared" si="34"/>
        <v>BP</v>
      </c>
      <c r="D576" s="6">
        <v>11</v>
      </c>
      <c r="E576" s="3">
        <v>0.118279569892473</v>
      </c>
      <c r="F576" s="3">
        <v>3.1037261950030998E-2</v>
      </c>
      <c r="G576" s="3" t="str">
        <f>"11/836"</f>
        <v>11/836</v>
      </c>
      <c r="H576" s="3" t="str">
        <f>"93/18670"</f>
        <v>93/18670</v>
      </c>
      <c r="I576" s="3">
        <v>2.9111246712033101E-3</v>
      </c>
      <c r="J576" s="3">
        <v>2.50132712358444E-2</v>
      </c>
      <c r="K576" s="3" t="str">
        <f>"652/79633/2247/153572/55083/5228/4070/6943/7481/7482/7490"</f>
        <v>652/79633/2247/153572/55083/5228/4070/6943/7481/7482/7490</v>
      </c>
    </row>
    <row r="577" spans="1:11">
      <c r="A577" s="3" t="str">
        <f>"GO:0042063"</f>
        <v>GO:0042063</v>
      </c>
      <c r="B577" s="3" t="str">
        <f>"gliogenesis"</f>
        <v>gliogenesis</v>
      </c>
      <c r="C577" s="6" t="str">
        <f t="shared" si="34"/>
        <v>BP</v>
      </c>
      <c r="D577" s="6">
        <v>24</v>
      </c>
      <c r="E577" s="3">
        <v>8.2758620689655199E-2</v>
      </c>
      <c r="F577" s="3">
        <v>3.1049369677976099E-2</v>
      </c>
      <c r="G577" s="3" t="str">
        <f>"24/836"</f>
        <v>24/836</v>
      </c>
      <c r="H577" s="3" t="str">
        <f>"290/18670"</f>
        <v>290/18670</v>
      </c>
      <c r="I577" s="3">
        <v>2.9185775770549198E-3</v>
      </c>
      <c r="J577" s="3">
        <v>2.50230289871444E-2</v>
      </c>
      <c r="K577" s="3" t="str">
        <f>"443/9331/1000/1191/1524/1600/1745/1746/2065/2119/3400/3908/3912/4147/4323/3084/4916/64805/5179/5468/7732/5270/85414/7223"</f>
        <v>443/9331/1000/1191/1524/1600/1745/1746/2065/2119/3400/3908/3912/4147/4323/3084/4916/64805/5179/5468/7732/5270/85414/7223</v>
      </c>
    </row>
    <row r="578" spans="1:11">
      <c r="A578" s="3" t="str">
        <f>"GO:0051495"</f>
        <v>GO:0051495</v>
      </c>
      <c r="B578" s="3" t="str">
        <f>"positive regulation of cytoskeleton organization"</f>
        <v>positive regulation of cytoskeleton organization</v>
      </c>
      <c r="C578" s="6" t="str">
        <f t="shared" si="34"/>
        <v>BP</v>
      </c>
      <c r="D578" s="6">
        <v>20</v>
      </c>
      <c r="E578" s="3">
        <v>8.8495575221238895E-2</v>
      </c>
      <c r="F578" s="3">
        <v>3.1400586848655501E-2</v>
      </c>
      <c r="G578" s="3" t="str">
        <f>"20/836"</f>
        <v>20/836</v>
      </c>
      <c r="H578" s="3" t="str">
        <f>"226/18670"</f>
        <v>226/18670</v>
      </c>
      <c r="I578" s="3">
        <v>2.9579800022232899E-3</v>
      </c>
      <c r="J578" s="3">
        <v>2.5306078773141401E-2</v>
      </c>
      <c r="K578" s="3" t="str">
        <f>"55971/6366/10602/55835/1073/29899/10788/25802/4131/89795/4916/22843/84722/5881/285590/11075/171024/6863/7043/7481"</f>
        <v>55971/6366/10602/55835/1073/29899/10788/25802/4131/89795/4916/22843/84722/5881/285590/11075/171024/6863/7043/7481</v>
      </c>
    </row>
    <row r="579" spans="1:11">
      <c r="A579" s="3" t="str">
        <f>"GO:1905330"</f>
        <v>GO:1905330</v>
      </c>
      <c r="B579" s="3" t="str">
        <f>"regulation of morphogenesis of an epithelium"</f>
        <v>regulation of morphogenesis of an epithelium</v>
      </c>
      <c r="C579" s="6" t="str">
        <f t="shared" si="34"/>
        <v>BP</v>
      </c>
      <c r="D579" s="6">
        <v>17</v>
      </c>
      <c r="E579" s="3">
        <v>9.44444444444444E-2</v>
      </c>
      <c r="F579" s="3">
        <v>3.2052302035908802E-2</v>
      </c>
      <c r="G579" s="3" t="str">
        <f>"17/836"</f>
        <v>17/836</v>
      </c>
      <c r="H579" s="3" t="str">
        <f>"180/18670"</f>
        <v>180/18670</v>
      </c>
      <c r="I579" s="3">
        <v>3.0366568463288798E-3</v>
      </c>
      <c r="J579" s="3">
        <v>2.5831303220244101E-2</v>
      </c>
      <c r="K579" s="3" t="str">
        <f>"81792/652/22943/2119/2252/2260/8324/10082/3239/57664/6423/6591/4070/6909/7481/7472/7482"</f>
        <v>81792/652/22943/2119/2252/2260/8324/10082/3239/57664/6423/6591/4070/6909/7481/7472/7482</v>
      </c>
    </row>
    <row r="580" spans="1:11">
      <c r="A580" s="3" t="str">
        <f>"GO:0032331"</f>
        <v>GO:0032331</v>
      </c>
      <c r="B580" s="3" t="str">
        <f>"negative regulation of chondrocyte differentiation"</f>
        <v>negative regulation of chondrocyte differentiation</v>
      </c>
      <c r="C580" s="6" t="str">
        <f t="shared" si="34"/>
        <v>BP</v>
      </c>
      <c r="D580" s="6">
        <v>5</v>
      </c>
      <c r="E580" s="3">
        <v>0.217391304347826</v>
      </c>
      <c r="F580" s="3">
        <v>3.2052302035908802E-2</v>
      </c>
      <c r="G580" s="3" t="str">
        <f>"5/836"</f>
        <v>5/836</v>
      </c>
      <c r="H580" s="3" t="str">
        <f>"23/18670"</f>
        <v>23/18670</v>
      </c>
      <c r="I580" s="3">
        <v>3.05197911552499E-3</v>
      </c>
      <c r="J580" s="3">
        <v>2.5831303220244101E-2</v>
      </c>
      <c r="K580" s="3" t="str">
        <f>"81792/652/2202/5744/6591"</f>
        <v>81792/652/2202/5744/6591</v>
      </c>
    </row>
    <row r="581" spans="1:11">
      <c r="A581" s="3" t="str">
        <f>"GO:0060445"</f>
        <v>GO:0060445</v>
      </c>
      <c r="B581" s="3" t="str">
        <f>"branching involved in salivary gland morphogenesis"</f>
        <v>branching involved in salivary gland morphogenesis</v>
      </c>
      <c r="C581" s="6" t="str">
        <f t="shared" si="34"/>
        <v>BP</v>
      </c>
      <c r="D581" s="6">
        <v>5</v>
      </c>
      <c r="E581" s="3">
        <v>0.217391304347826</v>
      </c>
      <c r="F581" s="3">
        <v>3.2052302035908802E-2</v>
      </c>
      <c r="G581" s="3" t="str">
        <f>"5/836"</f>
        <v>5/836</v>
      </c>
      <c r="H581" s="3" t="str">
        <f>"23/18670"</f>
        <v>23/18670</v>
      </c>
      <c r="I581" s="3">
        <v>3.05197911552499E-3</v>
      </c>
      <c r="J581" s="3">
        <v>2.5831303220244101E-2</v>
      </c>
      <c r="K581" s="3" t="str">
        <f>"2252/2260/2263/10371/6591"</f>
        <v>2252/2260/2263/10371/6591</v>
      </c>
    </row>
    <row r="582" spans="1:11">
      <c r="A582" s="3" t="str">
        <f>"GO:0086012"</f>
        <v>GO:0086012</v>
      </c>
      <c r="B582" s="3" t="str">
        <f>"membrane depolarization during cardiac muscle cell action potential"</f>
        <v>membrane depolarization during cardiac muscle cell action potential</v>
      </c>
      <c r="C582" s="6" t="str">
        <f t="shared" si="34"/>
        <v>BP</v>
      </c>
      <c r="D582" s="6">
        <v>5</v>
      </c>
      <c r="E582" s="3">
        <v>0.217391304347826</v>
      </c>
      <c r="F582" s="3">
        <v>3.2052302035908802E-2</v>
      </c>
      <c r="G582" s="3" t="str">
        <f>"5/836"</f>
        <v>5/836</v>
      </c>
      <c r="H582" s="3" t="str">
        <f>"23/18670"</f>
        <v>23/18670</v>
      </c>
      <c r="I582" s="3">
        <v>3.05197911552499E-3</v>
      </c>
      <c r="J582" s="3">
        <v>2.5831303220244101E-2</v>
      </c>
      <c r="K582" s="3" t="str">
        <f>"287/477/6546/7871/54795"</f>
        <v>287/477/6546/7871/54795</v>
      </c>
    </row>
    <row r="583" spans="1:11">
      <c r="A583" s="3" t="str">
        <f>"GO:1903429"</f>
        <v>GO:1903429</v>
      </c>
      <c r="B583" s="3" t="str">
        <f>"regulation of cell maturation"</f>
        <v>regulation of cell maturation</v>
      </c>
      <c r="C583" s="6" t="str">
        <f t="shared" si="34"/>
        <v>BP</v>
      </c>
      <c r="D583" s="6">
        <v>5</v>
      </c>
      <c r="E583" s="3">
        <v>0.217391304347826</v>
      </c>
      <c r="F583" s="3">
        <v>3.2052302035908802E-2</v>
      </c>
      <c r="G583" s="3" t="str">
        <f>"5/836"</f>
        <v>5/836</v>
      </c>
      <c r="H583" s="3" t="str">
        <f>"23/18670"</f>
        <v>23/18670</v>
      </c>
      <c r="I583" s="3">
        <v>3.05197911552499E-3</v>
      </c>
      <c r="J583" s="3">
        <v>2.5831303220244101E-2</v>
      </c>
      <c r="K583" s="3" t="str">
        <f>"1910/51083/4880/5881/25893"</f>
        <v>1910/51083/4880/5881/25893</v>
      </c>
    </row>
    <row r="584" spans="1:11">
      <c r="A584" s="3" t="str">
        <f>"GO:2001025"</f>
        <v>GO:2001025</v>
      </c>
      <c r="B584" s="3" t="str">
        <f>"positive regulation of response to drug"</f>
        <v>positive regulation of response to drug</v>
      </c>
      <c r="C584" s="6" t="str">
        <f t="shared" si="34"/>
        <v>BP</v>
      </c>
      <c r="D584" s="6">
        <v>6</v>
      </c>
      <c r="E584" s="3">
        <v>0.18181818181818199</v>
      </c>
      <c r="F584" s="3">
        <v>3.2580312792960503E-2</v>
      </c>
      <c r="G584" s="3" t="str">
        <f>"6/836"</f>
        <v>6/836</v>
      </c>
      <c r="H584" s="3" t="str">
        <f>"33/18670"</f>
        <v>33/18670</v>
      </c>
      <c r="I584" s="3">
        <v>3.1088843743435298E-3</v>
      </c>
      <c r="J584" s="3">
        <v>2.6256832904622902E-2</v>
      </c>
      <c r="K584" s="3" t="str">
        <f>"858/6387/51083/2587/5865/6865"</f>
        <v>858/6387/51083/2587/5865/6865</v>
      </c>
    </row>
    <row r="585" spans="1:11">
      <c r="A585" s="3" t="str">
        <f>"GO:0099056"</f>
        <v>GO:0099056</v>
      </c>
      <c r="B585" s="3" t="str">
        <f>"integral component of presynaptic membrane"</f>
        <v>integral component of presynaptic membrane</v>
      </c>
      <c r="C585" s="6" t="str">
        <f>"CC"</f>
        <v>CC</v>
      </c>
      <c r="D585" s="6">
        <v>9</v>
      </c>
      <c r="E585" s="3">
        <v>0.123287671232877</v>
      </c>
      <c r="F585" s="3">
        <v>3.2702015688303401E-2</v>
      </c>
      <c r="G585" s="3" t="str">
        <f>"9/873"</f>
        <v>9/873</v>
      </c>
      <c r="H585" s="3" t="str">
        <f>"73/19717"</f>
        <v>73/19717</v>
      </c>
      <c r="I585" s="3">
        <v>4.8091199541622697E-3</v>
      </c>
      <c r="J585" s="3">
        <v>2.5672745619964001E-2</v>
      </c>
      <c r="K585" s="3" t="str">
        <f>"148/1008/1000/1131/53826/2823/3760/23208/9066"</f>
        <v>148/1008/1000/1131/53826/2823/3760/23208/9066</v>
      </c>
    </row>
    <row r="586" spans="1:11">
      <c r="A586" s="3" t="str">
        <f>"GO:0034204"</f>
        <v>GO:0034204</v>
      </c>
      <c r="B586" s="3" t="str">
        <f>"lipid translocation"</f>
        <v>lipid translocation</v>
      </c>
      <c r="C586" s="6" t="str">
        <f>"BP"</f>
        <v>BP</v>
      </c>
      <c r="D586" s="6">
        <v>7</v>
      </c>
      <c r="E586" s="3">
        <v>0.15909090909090901</v>
      </c>
      <c r="F586" s="3">
        <v>3.2937059479733001E-2</v>
      </c>
      <c r="G586" s="3" t="str">
        <f>"7/836"</f>
        <v>7/836</v>
      </c>
      <c r="H586" s="3" t="str">
        <f>"44/18670"</f>
        <v>44/18670</v>
      </c>
      <c r="I586" s="3">
        <v>3.1697312581716601E-3</v>
      </c>
      <c r="J586" s="3">
        <v>2.6544338988538901E-2</v>
      </c>
      <c r="K586" s="3" t="str">
        <f>"121601/196527/23200/286410/10396/3783/5359"</f>
        <v>121601/196527/23200/286410/10396/3783/5359</v>
      </c>
    </row>
    <row r="587" spans="1:11">
      <c r="A587" s="3" t="str">
        <f>"GO:0044091"</f>
        <v>GO:0044091</v>
      </c>
      <c r="B587" s="3" t="str">
        <f>"membrane biogenesis"</f>
        <v>membrane biogenesis</v>
      </c>
      <c r="C587" s="6" t="str">
        <f>"BP"</f>
        <v>BP</v>
      </c>
      <c r="D587" s="6">
        <v>7</v>
      </c>
      <c r="E587" s="3">
        <v>0.15909090909090901</v>
      </c>
      <c r="F587" s="3">
        <v>3.2937059479733001E-2</v>
      </c>
      <c r="G587" s="3" t="str">
        <f>"7/836"</f>
        <v>7/836</v>
      </c>
      <c r="H587" s="3" t="str">
        <f>"44/18670"</f>
        <v>44/18670</v>
      </c>
      <c r="I587" s="3">
        <v>3.1697312581716601E-3</v>
      </c>
      <c r="J587" s="3">
        <v>2.6544338988538901E-2</v>
      </c>
      <c r="K587" s="3" t="str">
        <f>"857/858/1000/1056/25999/23208/116238"</f>
        <v>857/858/1000/1056/25999/23208/116238</v>
      </c>
    </row>
    <row r="588" spans="1:11">
      <c r="A588" s="3" t="str">
        <f>"GO:0050654"</f>
        <v>GO:0050654</v>
      </c>
      <c r="B588" s="3" t="str">
        <f>"chondroitin sulfate proteoglycan metabolic process"</f>
        <v>chondroitin sulfate proteoglycan metabolic process</v>
      </c>
      <c r="C588" s="6" t="str">
        <f>"BP"</f>
        <v>BP</v>
      </c>
      <c r="D588" s="6">
        <v>7</v>
      </c>
      <c r="E588" s="3">
        <v>0.15909090909090901</v>
      </c>
      <c r="F588" s="3">
        <v>3.2937059479733001E-2</v>
      </c>
      <c r="G588" s="3" t="str">
        <f>"7/836"</f>
        <v>7/836</v>
      </c>
      <c r="H588" s="3" t="str">
        <f>"44/18670"</f>
        <v>44/18670</v>
      </c>
      <c r="I588" s="3">
        <v>3.1697312581716601E-3</v>
      </c>
      <c r="J588" s="3">
        <v>2.6544338988538901E-2</v>
      </c>
      <c r="K588" s="3" t="str">
        <f>"27087/9469/1634/133584/79625/50859/1462"</f>
        <v>27087/9469/1634/133584/79625/50859/1462</v>
      </c>
    </row>
    <row r="589" spans="1:11">
      <c r="A589" s="3" t="str">
        <f>"GO:0060412"</f>
        <v>GO:0060412</v>
      </c>
      <c r="B589" s="3" t="str">
        <f>"ventricular septum morphogenesis"</f>
        <v>ventricular septum morphogenesis</v>
      </c>
      <c r="C589" s="6" t="str">
        <f>"BP"</f>
        <v>BP</v>
      </c>
      <c r="D589" s="6">
        <v>7</v>
      </c>
      <c r="E589" s="3">
        <v>0.15909090909090901</v>
      </c>
      <c r="F589" s="3">
        <v>3.2937059479733001E-2</v>
      </c>
      <c r="G589" s="3" t="str">
        <f>"7/836"</f>
        <v>7/836</v>
      </c>
      <c r="H589" s="3" t="str">
        <f>"44/18670"</f>
        <v>44/18670</v>
      </c>
      <c r="I589" s="3">
        <v>3.1697312581716601E-3</v>
      </c>
      <c r="J589" s="3">
        <v>2.6544338988538901E-2</v>
      </c>
      <c r="K589" s="3" t="str">
        <f>"652/2263/23462/6092/6586/7049/7481"</f>
        <v>652/2263/23462/6092/6586/7049/7481</v>
      </c>
    </row>
    <row r="590" spans="1:11">
      <c r="A590" s="3" t="str">
        <f>"GO:0051965"</f>
        <v>GO:0051965</v>
      </c>
      <c r="B590" s="3" t="str">
        <f>"positive regulation of synapse assembly"</f>
        <v>positive regulation of synapse assembly</v>
      </c>
      <c r="C590" s="6" t="str">
        <f>"BP"</f>
        <v>BP</v>
      </c>
      <c r="D590" s="6">
        <v>9</v>
      </c>
      <c r="E590" s="3">
        <v>0.13235294117647101</v>
      </c>
      <c r="F590" s="3">
        <v>3.31362771811613E-2</v>
      </c>
      <c r="G590" s="3" t="str">
        <f>"9/836"</f>
        <v>9/836</v>
      </c>
      <c r="H590" s="3" t="str">
        <f>"68/18670"</f>
        <v>68/18670</v>
      </c>
      <c r="I590" s="3">
        <v>3.1956450424965302E-3</v>
      </c>
      <c r="J590" s="3">
        <v>2.6704890728213301E-2</v>
      </c>
      <c r="K590" s="3" t="str">
        <f>"23284/627/2047/158038/54674/4914/4916/26050/84189"</f>
        <v>23284/627/2047/158038/54674/4914/4916/26050/84189</v>
      </c>
    </row>
    <row r="591" spans="1:11">
      <c r="A591" s="3" t="str">
        <f>"GO:0005244"</f>
        <v>GO:0005244</v>
      </c>
      <c r="B591" s="3" t="str">
        <f>"voltage-gated ion channel activity"</f>
        <v>voltage-gated ion channel activity</v>
      </c>
      <c r="C591" s="6" t="str">
        <f>"MF"</f>
        <v>MF</v>
      </c>
      <c r="D591" s="6">
        <v>19</v>
      </c>
      <c r="E591" s="3">
        <v>9.6446700507614197E-2</v>
      </c>
      <c r="F591" s="3">
        <v>3.3291843753089002E-2</v>
      </c>
      <c r="G591" s="3" t="str">
        <f>"19/813"</f>
        <v>19/813</v>
      </c>
      <c r="H591" s="3" t="str">
        <f>"197/17696"</f>
        <v>197/17696</v>
      </c>
      <c r="I591" s="3">
        <v>1.8698715661075601E-3</v>
      </c>
      <c r="J591" s="3">
        <v>2.9652654354977999E-2</v>
      </c>
      <c r="K591" s="3" t="str">
        <f>"196527/773/54102/7881/3745/3747/3750/10008/23630/30818/3772/3760/3764/3778/3785/56479/343450/6332/140738"</f>
        <v>196527/773/54102/7881/3745/3747/3750/10008/23630/30818/3772/3760/3764/3778/3785/56479/343450/6332/140738</v>
      </c>
    </row>
    <row r="592" spans="1:11">
      <c r="A592" s="3" t="str">
        <f>"GO:0022832"</f>
        <v>GO:0022832</v>
      </c>
      <c r="B592" s="3" t="str">
        <f>"voltage-gated channel activity"</f>
        <v>voltage-gated channel activity</v>
      </c>
      <c r="C592" s="6" t="str">
        <f>"MF"</f>
        <v>MF</v>
      </c>
      <c r="D592" s="6">
        <v>19</v>
      </c>
      <c r="E592" s="3">
        <v>9.6446700507614197E-2</v>
      </c>
      <c r="F592" s="3">
        <v>3.3291843753089002E-2</v>
      </c>
      <c r="G592" s="3" t="str">
        <f>"19/813"</f>
        <v>19/813</v>
      </c>
      <c r="H592" s="3" t="str">
        <f>"197/17696"</f>
        <v>197/17696</v>
      </c>
      <c r="I592" s="3">
        <v>1.8698715661075601E-3</v>
      </c>
      <c r="J592" s="3">
        <v>2.9652654354977999E-2</v>
      </c>
      <c r="K592" s="3" t="str">
        <f>"196527/773/54102/7881/3745/3747/3750/10008/23630/30818/3772/3760/3764/3778/3785/56479/343450/6332/140738"</f>
        <v>196527/773/54102/7881/3745/3747/3750/10008/23630/30818/3772/3760/3764/3778/3785/56479/343450/6332/140738</v>
      </c>
    </row>
    <row r="593" spans="1:11">
      <c r="A593" s="3" t="str">
        <f>"GO:0001666"</f>
        <v>GO:0001666</v>
      </c>
      <c r="B593" s="3" t="str">
        <f>"response to hypoxia"</f>
        <v>response to hypoxia</v>
      </c>
      <c r="C593" s="6" t="str">
        <f>"BP"</f>
        <v>BP</v>
      </c>
      <c r="D593" s="6">
        <v>28</v>
      </c>
      <c r="E593" s="3">
        <v>7.7994428969359306E-2</v>
      </c>
      <c r="F593" s="3">
        <v>3.3446997458212897E-2</v>
      </c>
      <c r="G593" s="3" t="str">
        <f>"28/836"</f>
        <v>28/836</v>
      </c>
      <c r="H593" s="3" t="str">
        <f>"359/18670"</f>
        <v>359/18670</v>
      </c>
      <c r="I593" s="3">
        <v>3.23323883222932E-3</v>
      </c>
      <c r="J593" s="3">
        <v>2.6955303621621299E-2</v>
      </c>
      <c r="K593" s="3" t="str">
        <f>"10449/100/27087/857/1365/64506/1410/6387/1803/2627/64344/3778/3779/84709/4323/93649/79625/4824/4842/4880/5179/5228/10891/5740/6262/6546/7043/7049"</f>
        <v>10449/100/27087/857/1365/64506/1410/6387/1803/2627/64344/3778/3779/84709/4323/93649/79625/4824/4842/4880/5179/5228/10891/5740/6262/6546/7043/7049</v>
      </c>
    </row>
    <row r="594" spans="1:11">
      <c r="A594" s="3" t="str">
        <f>"GO:0090288"</f>
        <v>GO:0090288</v>
      </c>
      <c r="B594" s="3" t="str">
        <f>"negative regulation of cellular response to growth factor stimulus"</f>
        <v>negative regulation of cellular response to growth factor stimulus</v>
      </c>
      <c r="C594" s="6" t="str">
        <f>"BP"</f>
        <v>BP</v>
      </c>
      <c r="D594" s="6">
        <v>16</v>
      </c>
      <c r="E594" s="3">
        <v>9.6385542168674704E-2</v>
      </c>
      <c r="F594" s="3">
        <v>3.3446997458212897E-2</v>
      </c>
      <c r="G594" s="3" t="str">
        <f>"16/836"</f>
        <v>16/836</v>
      </c>
      <c r="H594" s="3" t="str">
        <f>"166/18670"</f>
        <v>166/18670</v>
      </c>
      <c r="I594" s="3">
        <v>3.2436753505847501E-3</v>
      </c>
      <c r="J594" s="3">
        <v>2.6955303621621299E-2</v>
      </c>
      <c r="K594" s="3" t="str">
        <f>"81792/54829/857/858/91851/10563/1634/22943/1745/2200/64388/9480/348093/6423/7043/7049"</f>
        <v>81792/54829/857/858/91851/10563/1634/22943/1745/2200/64388/9480/348093/6423/7043/7049</v>
      </c>
    </row>
    <row r="595" spans="1:11">
      <c r="A595" s="3" t="str">
        <f>"GO:0032526"</f>
        <v>GO:0032526</v>
      </c>
      <c r="B595" s="3" t="str">
        <f>"response to retinoic acid"</f>
        <v>response to retinoic acid</v>
      </c>
      <c r="C595" s="6" t="str">
        <f>"BP"</f>
        <v>BP</v>
      </c>
      <c r="D595" s="6">
        <v>12</v>
      </c>
      <c r="E595" s="3">
        <v>0.11111111111111099</v>
      </c>
      <c r="F595" s="3">
        <v>3.3446997458212897E-2</v>
      </c>
      <c r="G595" s="3" t="str">
        <f>"12/836"</f>
        <v>12/836</v>
      </c>
      <c r="H595" s="3" t="str">
        <f>"108/18670"</f>
        <v>108/18670</v>
      </c>
      <c r="I595" s="3">
        <v>3.2460259995050998E-3</v>
      </c>
      <c r="J595" s="3">
        <v>2.6955303621621299E-2</v>
      </c>
      <c r="K595" s="3" t="str">
        <f>"22943/2042/2263/8324/2706/4916/5468/5753/5950/6899/7481/7472"</f>
        <v>22943/2042/2263/8324/2706/4916/5468/5753/5950/6899/7481/7472</v>
      </c>
    </row>
    <row r="596" spans="1:11">
      <c r="A596" s="3" t="str">
        <f>"GO:0000768"</f>
        <v>GO:0000768</v>
      </c>
      <c r="B596" s="3" t="str">
        <f>"syncytium formation by plasma membrane fusion"</f>
        <v>syncytium formation by plasma membrane fusion</v>
      </c>
      <c r="C596" s="6" t="str">
        <f>"BP"</f>
        <v>BP</v>
      </c>
      <c r="D596" s="6">
        <v>8</v>
      </c>
      <c r="E596" s="3">
        <v>0.14285714285714299</v>
      </c>
      <c r="F596" s="3">
        <v>3.3877457794860302E-2</v>
      </c>
      <c r="G596" s="3" t="str">
        <f>"8/836"</f>
        <v>8/836</v>
      </c>
      <c r="H596" s="3" t="str">
        <f>"56/18670"</f>
        <v>56/18670</v>
      </c>
      <c r="I596" s="3">
        <v>3.3015874432834299E-3</v>
      </c>
      <c r="J596" s="3">
        <v>2.73022163478201E-2</v>
      </c>
      <c r="K596" s="3" t="str">
        <f>"8038/30846/405754/2323/9518/4842/9750/92304"</f>
        <v>8038/30846/405754/2323/9518/4842/9750/92304</v>
      </c>
    </row>
    <row r="597" spans="1:11">
      <c r="A597" s="3" t="str">
        <f>"GO:0140253"</f>
        <v>GO:0140253</v>
      </c>
      <c r="B597" s="3" t="str">
        <f>"cell-cell fusion"</f>
        <v>cell-cell fusion</v>
      </c>
      <c r="C597" s="6" t="str">
        <f>"BP"</f>
        <v>BP</v>
      </c>
      <c r="D597" s="6">
        <v>8</v>
      </c>
      <c r="E597" s="3">
        <v>0.14285714285714299</v>
      </c>
      <c r="F597" s="3">
        <v>3.3877457794860302E-2</v>
      </c>
      <c r="G597" s="3" t="str">
        <f>"8/836"</f>
        <v>8/836</v>
      </c>
      <c r="H597" s="3" t="str">
        <f>"56/18670"</f>
        <v>56/18670</v>
      </c>
      <c r="I597" s="3">
        <v>3.3015874432834299E-3</v>
      </c>
      <c r="J597" s="3">
        <v>2.73022163478201E-2</v>
      </c>
      <c r="K597" s="3" t="str">
        <f>"8038/30846/405754/2323/9518/4842/9750/92304"</f>
        <v>8038/30846/405754/2323/9518/4842/9750/92304</v>
      </c>
    </row>
    <row r="598" spans="1:11">
      <c r="A598" s="3" t="str">
        <f>"GO:0008235"</f>
        <v>GO:0008235</v>
      </c>
      <c r="B598" s="3" t="str">
        <f>"metalloexopeptidase activity"</f>
        <v>metalloexopeptidase activity</v>
      </c>
      <c r="C598" s="6" t="str">
        <f>"MF"</f>
        <v>MF</v>
      </c>
      <c r="D598" s="6">
        <v>9</v>
      </c>
      <c r="E598" s="3">
        <v>0.14516129032258099</v>
      </c>
      <c r="F598" s="3">
        <v>3.4631463130575302E-2</v>
      </c>
      <c r="G598" s="3" t="str">
        <f>"9/813"</f>
        <v>9/813</v>
      </c>
      <c r="H598" s="3" t="str">
        <f>"62/17696"</f>
        <v>62/17696</v>
      </c>
      <c r="I598" s="3">
        <v>1.98739776207209E-3</v>
      </c>
      <c r="J598" s="3">
        <v>3.0845837606180398E-2</v>
      </c>
      <c r="K598" s="3" t="str">
        <f>"1359/57094/56265/2028/2346/219595/4323/4325/29953"</f>
        <v>1359/57094/56265/2028/2346/219595/4323/4325/29953</v>
      </c>
    </row>
    <row r="599" spans="1:11">
      <c r="A599" s="3" t="str">
        <f>"GO:0071300"</f>
        <v>GO:0071300</v>
      </c>
      <c r="B599" s="3" t="str">
        <f>"cellular response to retinoic acid"</f>
        <v>cellular response to retinoic acid</v>
      </c>
      <c r="C599" s="6" t="str">
        <f>"BP"</f>
        <v>BP</v>
      </c>
      <c r="D599" s="6">
        <v>9</v>
      </c>
      <c r="E599" s="3">
        <v>0.13043478260869601</v>
      </c>
      <c r="F599" s="3">
        <v>3.6170263924189802E-2</v>
      </c>
      <c r="G599" s="3" t="str">
        <f>"9/836"</f>
        <v>9/836</v>
      </c>
      <c r="H599" s="3" t="str">
        <f>"69/18670"</f>
        <v>69/18670</v>
      </c>
      <c r="I599" s="3">
        <v>3.5323960699107002E-3</v>
      </c>
      <c r="J599" s="3">
        <v>2.91500140593727E-2</v>
      </c>
      <c r="K599" s="3" t="str">
        <f>"2042/2263/8324/4916/5468/5753/6899/7481/7472"</f>
        <v>2042/2263/8324/4916/5468/5753/6899/7481/7472</v>
      </c>
    </row>
    <row r="600" spans="1:11">
      <c r="A600" s="3" t="str">
        <f>"GO:0005796"</f>
        <v>GO:0005796</v>
      </c>
      <c r="B600" s="3" t="str">
        <f>"Golgi lumen"</f>
        <v>Golgi lumen</v>
      </c>
      <c r="C600" s="6" t="str">
        <f>"CC"</f>
        <v>CC</v>
      </c>
      <c r="D600" s="6">
        <v>11</v>
      </c>
      <c r="E600" s="3">
        <v>0.10784313725490199</v>
      </c>
      <c r="F600" s="3">
        <v>3.66372906452389E-2</v>
      </c>
      <c r="G600" s="3" t="str">
        <f>"11/873"</f>
        <v>11/873</v>
      </c>
      <c r="H600" s="3" t="str">
        <f>"102/19717"</f>
        <v>102/19717</v>
      </c>
      <c r="I600" s="3">
        <v>5.4648059575881499E-3</v>
      </c>
      <c r="J600" s="3">
        <v>2.8762136618884999E-2</v>
      </c>
      <c r="K600" s="3" t="str">
        <f>"1634/2159/10082/4060/4323/4325/10071/4583/57876/4969/1462"</f>
        <v>1634/2159/10082/4060/4323/4325/10071/4583/57876/4969/1462</v>
      </c>
    </row>
    <row r="601" spans="1:11">
      <c r="A601" s="3" t="str">
        <f>"GO:0048701"</f>
        <v>GO:0048701</v>
      </c>
      <c r="B601" s="3" t="str">
        <f>"embryonic cranial skeleton morphogenesis"</f>
        <v>embryonic cranial skeleton morphogenesis</v>
      </c>
      <c r="C601" s="6" t="str">
        <f t="shared" ref="C601:C614" si="35">"BP"</f>
        <v>BP</v>
      </c>
      <c r="D601" s="6">
        <v>7</v>
      </c>
      <c r="E601" s="3">
        <v>0.155555555555556</v>
      </c>
      <c r="F601" s="3">
        <v>3.6902667737201203E-2</v>
      </c>
      <c r="G601" s="3" t="str">
        <f>"7/836"</f>
        <v>7/836</v>
      </c>
      <c r="H601" s="3" t="str">
        <f>"45/18670"</f>
        <v>45/18670</v>
      </c>
      <c r="I601" s="3">
        <v>3.6114309626843902E-3</v>
      </c>
      <c r="J601" s="3">
        <v>2.9740266358641802E-2</v>
      </c>
      <c r="K601" s="3" t="str">
        <f>"652/1746/2263/4323/4325/6899/7043"</f>
        <v>652/1746/2263/4323/4325/6899/7043</v>
      </c>
    </row>
    <row r="602" spans="1:11">
      <c r="A602" s="3" t="str">
        <f>"GO:0060795"</f>
        <v>GO:0060795</v>
      </c>
      <c r="B602" s="3" t="str">
        <f>"cell fate commitment involved in formation of primary germ layer"</f>
        <v>cell fate commitment involved in formation of primary germ layer</v>
      </c>
      <c r="C602" s="6" t="str">
        <f t="shared" si="35"/>
        <v>BP</v>
      </c>
      <c r="D602" s="6">
        <v>6</v>
      </c>
      <c r="E602" s="3">
        <v>0.17647058823529399</v>
      </c>
      <c r="F602" s="3">
        <v>3.7061711292402301E-2</v>
      </c>
      <c r="G602" s="3" t="str">
        <f>"6/836"</f>
        <v>6/836</v>
      </c>
      <c r="H602" s="3" t="str">
        <f>"34/18670"</f>
        <v>34/18670</v>
      </c>
      <c r="I602" s="3">
        <v>3.6345360819812602E-3</v>
      </c>
      <c r="J602" s="3">
        <v>2.9868441311411802E-2</v>
      </c>
      <c r="K602" s="3" t="str">
        <f>"652/22943/2260/8324/2627/6423"</f>
        <v>652/22943/2260/8324/2627/6423</v>
      </c>
    </row>
    <row r="603" spans="1:11">
      <c r="A603" s="3" t="str">
        <f>"GO:0034111"</f>
        <v>GO:0034111</v>
      </c>
      <c r="B603" s="3" t="str">
        <f>"negative regulation of homotypic cell-cell adhesion"</f>
        <v>negative regulation of homotypic cell-cell adhesion</v>
      </c>
      <c r="C603" s="6" t="str">
        <f t="shared" si="35"/>
        <v>BP</v>
      </c>
      <c r="D603" s="6">
        <v>4</v>
      </c>
      <c r="E603" s="3">
        <v>0.266666666666667</v>
      </c>
      <c r="F603" s="3">
        <v>3.7159938770904101E-2</v>
      </c>
      <c r="G603" s="3" t="str">
        <f>"4/836"</f>
        <v>4/836</v>
      </c>
      <c r="H603" s="3" t="str">
        <f>"15/18670"</f>
        <v>15/18670</v>
      </c>
      <c r="I603" s="3">
        <v>3.66685051961108E-3</v>
      </c>
      <c r="J603" s="3">
        <v>2.9947603918169301E-2</v>
      </c>
      <c r="K603" s="3" t="str">
        <f>"170692/114897/5592/5270"</f>
        <v>170692/114897/5592/5270</v>
      </c>
    </row>
    <row r="604" spans="1:11">
      <c r="A604" s="3" t="str">
        <f>"GO:0046321"</f>
        <v>GO:0046321</v>
      </c>
      <c r="B604" s="3" t="str">
        <f>"positive regulation of fatty acid oxidation"</f>
        <v>positive regulation of fatty acid oxidation</v>
      </c>
      <c r="C604" s="6" t="str">
        <f t="shared" si="35"/>
        <v>BP</v>
      </c>
      <c r="D604" s="6">
        <v>4</v>
      </c>
      <c r="E604" s="3">
        <v>0.266666666666667</v>
      </c>
      <c r="F604" s="3">
        <v>3.7159938770904101E-2</v>
      </c>
      <c r="G604" s="3" t="str">
        <f>"4/836"</f>
        <v>4/836</v>
      </c>
      <c r="H604" s="3" t="str">
        <f>"15/18670"</f>
        <v>15/18670</v>
      </c>
      <c r="I604" s="3">
        <v>3.66685051961108E-3</v>
      </c>
      <c r="J604" s="3">
        <v>2.9947603918169301E-2</v>
      </c>
      <c r="K604" s="3" t="str">
        <f>"114898/8013/5468/10891"</f>
        <v>114898/8013/5468/10891</v>
      </c>
    </row>
    <row r="605" spans="1:11">
      <c r="A605" s="3" t="str">
        <f>"GO:0150146"</f>
        <v>GO:0150146</v>
      </c>
      <c r="B605" s="3" t="str">
        <f>"cell junction disassembly"</f>
        <v>cell junction disassembly</v>
      </c>
      <c r="C605" s="6" t="str">
        <f t="shared" si="35"/>
        <v>BP</v>
      </c>
      <c r="D605" s="6">
        <v>4</v>
      </c>
      <c r="E605" s="3">
        <v>0.266666666666667</v>
      </c>
      <c r="F605" s="3">
        <v>3.7159938770904101E-2</v>
      </c>
      <c r="G605" s="3" t="str">
        <f>"4/836"</f>
        <v>4/836</v>
      </c>
      <c r="H605" s="3" t="str">
        <f>"15/18670"</f>
        <v>15/18670</v>
      </c>
      <c r="I605" s="3">
        <v>3.66685051961108E-3</v>
      </c>
      <c r="J605" s="3">
        <v>2.9947603918169301E-2</v>
      </c>
      <c r="K605" s="3" t="str">
        <f>"1524/22943/6591/7043"</f>
        <v>1524/22943/6591/7043</v>
      </c>
    </row>
    <row r="606" spans="1:11">
      <c r="A606" s="3" t="str">
        <f>"GO:0010881"</f>
        <v>GO:0010881</v>
      </c>
      <c r="B606" s="3" t="str">
        <f>"regulation of cardiac muscle contraction by regulation of the release of sequestered calcium ion"</f>
        <v>regulation of cardiac muscle contraction by regulation of the release of sequestered calcium ion</v>
      </c>
      <c r="C606" s="6" t="str">
        <f t="shared" si="35"/>
        <v>BP</v>
      </c>
      <c r="D606" s="6">
        <v>5</v>
      </c>
      <c r="E606" s="3">
        <v>0.20833333333333301</v>
      </c>
      <c r="F606" s="3">
        <v>3.74165769545153E-2</v>
      </c>
      <c r="G606" s="3" t="str">
        <f>"5/836"</f>
        <v>5/836</v>
      </c>
      <c r="H606" s="3" t="str">
        <f>"24/18670"</f>
        <v>24/18670</v>
      </c>
      <c r="I606" s="3">
        <v>3.71501313403936E-3</v>
      </c>
      <c r="J606" s="3">
        <v>3.0154431456838E-2</v>
      </c>
      <c r="K606" s="3" t="str">
        <f>"287/477/5350/6262/6546"</f>
        <v>287/477/5350/6262/6546</v>
      </c>
    </row>
    <row r="607" spans="1:11">
      <c r="A607" s="3" t="str">
        <f>"GO:0050857"</f>
        <v>GO:0050857</v>
      </c>
      <c r="B607" s="3" t="str">
        <f>"positive regulation of antigen receptor-mediated signaling pathway"</f>
        <v>positive regulation of antigen receptor-mediated signaling pathway</v>
      </c>
      <c r="C607" s="6" t="str">
        <f t="shared" si="35"/>
        <v>BP</v>
      </c>
      <c r="D607" s="6">
        <v>5</v>
      </c>
      <c r="E607" s="3">
        <v>0.20833333333333301</v>
      </c>
      <c r="F607" s="3">
        <v>3.74165769545153E-2</v>
      </c>
      <c r="G607" s="3" t="str">
        <f>"5/836"</f>
        <v>5/836</v>
      </c>
      <c r="H607" s="3" t="str">
        <f>"24/18670"</f>
        <v>24/18670</v>
      </c>
      <c r="I607" s="3">
        <v>3.71501313403936E-3</v>
      </c>
      <c r="J607" s="3">
        <v>3.0154431456838E-2</v>
      </c>
      <c r="K607" s="3" t="str">
        <f>"100/3783/5819/5579/9840"</f>
        <v>100/3783/5819/5579/9840</v>
      </c>
    </row>
    <row r="608" spans="1:11">
      <c r="A608" s="3" t="str">
        <f>"GO:0062009"</f>
        <v>GO:0062009</v>
      </c>
      <c r="B608" s="3" t="str">
        <f>"secondary palate development"</f>
        <v>secondary palate development</v>
      </c>
      <c r="C608" s="6" t="str">
        <f t="shared" si="35"/>
        <v>BP</v>
      </c>
      <c r="D608" s="6">
        <v>5</v>
      </c>
      <c r="E608" s="3">
        <v>0.20833333333333301</v>
      </c>
      <c r="F608" s="3">
        <v>3.74165769545153E-2</v>
      </c>
      <c r="G608" s="3" t="str">
        <f>"5/836"</f>
        <v>5/836</v>
      </c>
      <c r="H608" s="3" t="str">
        <f>"24/18670"</f>
        <v>24/18670</v>
      </c>
      <c r="I608" s="3">
        <v>3.71501313403936E-3</v>
      </c>
      <c r="J608" s="3">
        <v>3.0154431456838E-2</v>
      </c>
      <c r="K608" s="3" t="str">
        <f>"2304/6899/7043/7049/7481"</f>
        <v>2304/6899/7043/7049/7481</v>
      </c>
    </row>
    <row r="609" spans="1:11">
      <c r="A609" s="3" t="str">
        <f>"GO:0050890"</f>
        <v>GO:0050890</v>
      </c>
      <c r="B609" s="3" t="str">
        <f>"cognition"</f>
        <v>cognition</v>
      </c>
      <c r="C609" s="6" t="str">
        <f t="shared" si="35"/>
        <v>BP</v>
      </c>
      <c r="D609" s="6">
        <v>24</v>
      </c>
      <c r="E609" s="3">
        <v>8.1081081081081099E-2</v>
      </c>
      <c r="F609" s="3">
        <v>3.8062255255886503E-2</v>
      </c>
      <c r="G609" s="3" t="str">
        <f>"24/836"</f>
        <v>24/836</v>
      </c>
      <c r="H609" s="3" t="str">
        <f>"296/18670"</f>
        <v>296/18670</v>
      </c>
      <c r="I609" s="3">
        <v>3.7868652736782302E-3</v>
      </c>
      <c r="J609" s="3">
        <v>3.0674790711120802E-2</v>
      </c>
      <c r="K609" s="3" t="str">
        <f>"477/10396/627/10882/1524/22943/1979/11170/2628/151556/8516/7881/4130/4885/9369/4914/57144/10769/5577/5923/23657/6863/6865/338811"</f>
        <v>477/10396/627/10882/1524/22943/1979/11170/2628/151556/8516/7881/4130/4885/9369/4914/57144/10769/5577/5923/23657/6863/6865/338811</v>
      </c>
    </row>
    <row r="610" spans="1:11">
      <c r="A610" s="3" t="str">
        <f>"GO:0019933"</f>
        <v>GO:0019933</v>
      </c>
      <c r="B610" s="3" t="str">
        <f>"cAMP-mediated signaling"</f>
        <v>cAMP-mediated signaling</v>
      </c>
      <c r="C610" s="6" t="str">
        <f t="shared" si="35"/>
        <v>BP</v>
      </c>
      <c r="D610" s="6">
        <v>17</v>
      </c>
      <c r="E610" s="3">
        <v>9.2391304347826095E-2</v>
      </c>
      <c r="F610" s="3">
        <v>3.8182412918253798E-2</v>
      </c>
      <c r="G610" s="3" t="str">
        <f>"17/836"</f>
        <v>17/836</v>
      </c>
      <c r="H610" s="3" t="str">
        <f>"184/18670"</f>
        <v>184/18670</v>
      </c>
      <c r="I610" s="3">
        <v>3.8065884699785102E-3</v>
      </c>
      <c r="J610" s="3">
        <v>3.07716270945846E-2</v>
      </c>
      <c r="K610" s="3" t="str">
        <f>"283383/23284/148/153/155/1979/51083/2587/23432/8549/4842/81285/5350/5578/5732/5737/5744"</f>
        <v>283383/23284/148/153/155/1979/51083/2587/23432/8549/4842/81285/5350/5578/5732/5737/5744</v>
      </c>
    </row>
    <row r="611" spans="1:11">
      <c r="A611" s="3" t="str">
        <f>"GO:0007189"</f>
        <v>GO:0007189</v>
      </c>
      <c r="B611" s="3" t="str">
        <f>"adenylate cyclase-activating G protein-coupled receptor signaling pathway"</f>
        <v>adenylate cyclase-activating G protein-coupled receptor signaling pathway</v>
      </c>
      <c r="C611" s="6" t="str">
        <f t="shared" si="35"/>
        <v>BP</v>
      </c>
      <c r="D611" s="6">
        <v>14</v>
      </c>
      <c r="E611" s="3">
        <v>0.100719424460432</v>
      </c>
      <c r="F611" s="3">
        <v>3.8454487248859102E-2</v>
      </c>
      <c r="G611" s="3" t="str">
        <f>"14/836"</f>
        <v>14/836</v>
      </c>
      <c r="H611" s="3" t="str">
        <f>"139/18670"</f>
        <v>139/18670</v>
      </c>
      <c r="I611" s="3">
        <v>3.8443917009410599E-3</v>
      </c>
      <c r="J611" s="3">
        <v>3.0990894794122599E-2</v>
      </c>
      <c r="K611" s="3" t="str">
        <f>"283383/23284/148/153/155/2587/23432/8549/4842/5350/5578/5732/5737/5744"</f>
        <v>283383/23284/148/153/155/2587/23432/8549/4842/5350/5578/5732/5737/5744</v>
      </c>
    </row>
    <row r="612" spans="1:11">
      <c r="A612" s="3" t="str">
        <f>"GO:0010876"</f>
        <v>GO:0010876</v>
      </c>
      <c r="B612" s="3" t="str">
        <f>"lipid localization"</f>
        <v>lipid localization</v>
      </c>
      <c r="C612" s="6" t="str">
        <f t="shared" si="35"/>
        <v>BP</v>
      </c>
      <c r="D612" s="6">
        <v>31</v>
      </c>
      <c r="E612" s="3">
        <v>7.4698795180722893E-2</v>
      </c>
      <c r="F612" s="3">
        <v>3.8454487248859102E-2</v>
      </c>
      <c r="G612" s="3" t="str">
        <f>"31/836"</f>
        <v>31/836</v>
      </c>
      <c r="H612" s="3" t="str">
        <f>"415/18670"</f>
        <v>415/18670</v>
      </c>
      <c r="I612" s="3">
        <v>3.84936067679322E-3</v>
      </c>
      <c r="J612" s="3">
        <v>3.0990894794122599E-2</v>
      </c>
      <c r="K612" s="3" t="str">
        <f>"10257/121601/196527/319/23200/286410/10396/114897/857/1056/1066/1191/1950/2867/51083/2587/3783/3931/4824/5320/5359/5468/5950/5104/201780/11001/440335/6646/9066/6863/222008"</f>
        <v>10257/121601/196527/319/23200/286410/10396/114897/857/1056/1066/1191/1950/2867/51083/2587/3783/3931/4824/5320/5359/5468/5950/5104/201780/11001/440335/6646/9066/6863/222008</v>
      </c>
    </row>
    <row r="613" spans="1:11">
      <c r="A613" s="3" t="str">
        <f>"GO:0010517"</f>
        <v>GO:0010517</v>
      </c>
      <c r="B613" s="3" t="str">
        <f>"regulation of phospholipase activity"</f>
        <v>regulation of phospholipase activity</v>
      </c>
      <c r="C613" s="6" t="str">
        <f t="shared" si="35"/>
        <v>BP</v>
      </c>
      <c r="D613" s="6">
        <v>9</v>
      </c>
      <c r="E613" s="3">
        <v>0.128571428571429</v>
      </c>
      <c r="F613" s="3">
        <v>3.8845205922693402E-2</v>
      </c>
      <c r="G613" s="3" t="str">
        <f>"9/836"</f>
        <v>9/836</v>
      </c>
      <c r="H613" s="3" t="str">
        <f>"70/18670"</f>
        <v>70/18670</v>
      </c>
      <c r="I613" s="3">
        <v>3.89637569071981E-3</v>
      </c>
      <c r="J613" s="3">
        <v>3.1305779276563701E-2</v>
      </c>
      <c r="K613" s="3" t="str">
        <f>"148/627/636/2247/2260/2263/9170/4916/64805"</f>
        <v>148/627/636/2247/2260/2263/9170/4916/64805</v>
      </c>
    </row>
    <row r="614" spans="1:11">
      <c r="A614" s="3" t="str">
        <f>"GO:0071695"</f>
        <v>GO:0071695</v>
      </c>
      <c r="B614" s="3" t="str">
        <f>"anatomical structure maturation"</f>
        <v>anatomical structure maturation</v>
      </c>
      <c r="C614" s="6" t="str">
        <f t="shared" si="35"/>
        <v>BP</v>
      </c>
      <c r="D614" s="6">
        <v>20</v>
      </c>
      <c r="E614" s="3">
        <v>8.6206896551724102E-2</v>
      </c>
      <c r="F614" s="3">
        <v>3.9627742373459902E-2</v>
      </c>
      <c r="G614" s="3" t="str">
        <f>"20/836"</f>
        <v>20/836</v>
      </c>
      <c r="H614" s="3" t="str">
        <f>"232/18670"</f>
        <v>232/18670</v>
      </c>
      <c r="I614" s="3">
        <v>3.9829307695807099E-3</v>
      </c>
      <c r="J614" s="3">
        <v>3.1936434020737703E-2</v>
      </c>
      <c r="K614" s="3" t="str">
        <f>"196527/9331/10882/645811/6366/1524/1910/79633/54738/2260/3169/51083/10481/3479/4880/5241/5468/5881/84530/25893"</f>
        <v>196527/9331/10882/645811/6366/1524/1910/79633/54738/2260/3169/51083/10481/3479/4880/5241/5468/5881/84530/25893</v>
      </c>
    </row>
    <row r="615" spans="1:11">
      <c r="A615" s="3" t="str">
        <f>"GO:0032809"</f>
        <v>GO:0032809</v>
      </c>
      <c r="B615" s="3" t="str">
        <f>"neuronal cell body membrane"</f>
        <v>neuronal cell body membrane</v>
      </c>
      <c r="C615" s="6" t="str">
        <f>"CC"</f>
        <v>CC</v>
      </c>
      <c r="D615" s="6">
        <v>5</v>
      </c>
      <c r="E615" s="3">
        <v>0.18518518518518501</v>
      </c>
      <c r="F615" s="3">
        <v>3.9850284063063103E-2</v>
      </c>
      <c r="G615" s="3" t="str">
        <f>"5/873"</f>
        <v>5/873</v>
      </c>
      <c r="H615" s="3" t="str">
        <f>"27/19717"</f>
        <v>27/19717</v>
      </c>
      <c r="I615" s="3">
        <v>6.0277740599591302E-3</v>
      </c>
      <c r="J615" s="3">
        <v>3.1284499872594899E-2</v>
      </c>
      <c r="K615" s="3" t="str">
        <f>"1524/3745/3747/10008/90249"</f>
        <v>1524/3745/3747/10008/90249</v>
      </c>
    </row>
    <row r="616" spans="1:11">
      <c r="A616" s="3" t="str">
        <f>"GO:0007369"</f>
        <v>GO:0007369</v>
      </c>
      <c r="B616" s="3" t="str">
        <f>"gastrulation"</f>
        <v>gastrulation</v>
      </c>
      <c r="C616" s="6" t="str">
        <f t="shared" ref="C616:C643" si="36">"BP"</f>
        <v>BP</v>
      </c>
      <c r="D616" s="6">
        <v>17</v>
      </c>
      <c r="E616" s="3">
        <v>9.1891891891891897E-2</v>
      </c>
      <c r="F616" s="3">
        <v>3.99141168381471E-2</v>
      </c>
      <c r="G616" s="3" t="str">
        <f>"17/836"</f>
        <v>17/836</v>
      </c>
      <c r="H616" s="3" t="str">
        <f>"185/18670"</f>
        <v>185/18670</v>
      </c>
      <c r="I616" s="3">
        <v>4.0223343003262602E-3</v>
      </c>
      <c r="J616" s="3">
        <v>3.21672263558275E-2</v>
      </c>
      <c r="K616" s="3" t="str">
        <f>"652/1290/1291/22943/2260/2263/2294/8324/2627/8091/3676/8516/3912/4323/8013/6423/7481"</f>
        <v>652/1290/1291/22943/2260/2263/2294/8324/2627/8091/3676/8516/3912/4323/8013/6423/7481</v>
      </c>
    </row>
    <row r="617" spans="1:11">
      <c r="A617" s="3" t="str">
        <f>"GO:0007044"</f>
        <v>GO:0007044</v>
      </c>
      <c r="B617" s="3" t="str">
        <f>"cell-substrate junction assembly"</f>
        <v>cell-substrate junction assembly</v>
      </c>
      <c r="C617" s="6" t="str">
        <f t="shared" si="36"/>
        <v>BP</v>
      </c>
      <c r="D617" s="6">
        <v>11</v>
      </c>
      <c r="E617" s="3">
        <v>0.11340206185567001</v>
      </c>
      <c r="F617" s="3">
        <v>3.99141168381471E-2</v>
      </c>
      <c r="G617" s="3" t="str">
        <f>"11/836"</f>
        <v>11/836</v>
      </c>
      <c r="H617" s="3" t="str">
        <f>"97/18670"</f>
        <v>97/18670</v>
      </c>
      <c r="I617" s="3">
        <v>4.0441973927563104E-3</v>
      </c>
      <c r="J617" s="3">
        <v>3.21672263558275E-2</v>
      </c>
      <c r="K617" s="3" t="str">
        <f>"1307/1308/667/2042/11170/10979/2824/3861/4323/79834/7145"</f>
        <v>1307/1308/667/2042/11170/10979/2824/3861/4323/79834/7145</v>
      </c>
    </row>
    <row r="618" spans="1:11">
      <c r="A618" s="3" t="str">
        <f>"GO:0120162"</f>
        <v>GO:0120162</v>
      </c>
      <c r="B618" s="3" t="str">
        <f>"positive regulation of cold-induced thermogenesis"</f>
        <v>positive regulation of cold-induced thermogenesis</v>
      </c>
      <c r="C618" s="6" t="str">
        <f t="shared" si="36"/>
        <v>BP</v>
      </c>
      <c r="D618" s="6">
        <v>11</v>
      </c>
      <c r="E618" s="3">
        <v>0.11340206185567001</v>
      </c>
      <c r="F618" s="3">
        <v>3.99141168381471E-2</v>
      </c>
      <c r="G618" s="3" t="str">
        <f>"11/836"</f>
        <v>11/836</v>
      </c>
      <c r="H618" s="3" t="str">
        <f>"97/18670"</f>
        <v>97/18670</v>
      </c>
      <c r="I618" s="3">
        <v>4.0441973927563104E-3</v>
      </c>
      <c r="J618" s="3">
        <v>3.21672263558275E-2</v>
      </c>
      <c r="K618" s="3" t="str">
        <f>"153/155/857/64641/2628/23175/56034/10891/133522/6319/79054"</f>
        <v>153/155/857/64641/2628/23175/56034/10891/133522/6319/79054</v>
      </c>
    </row>
    <row r="619" spans="1:11">
      <c r="A619" s="3" t="str">
        <f>"GO:0150115"</f>
        <v>GO:0150115</v>
      </c>
      <c r="B619" s="3" t="str">
        <f>"cell-substrate junction organization"</f>
        <v>cell-substrate junction organization</v>
      </c>
      <c r="C619" s="6" t="str">
        <f t="shared" si="36"/>
        <v>BP</v>
      </c>
      <c r="D619" s="6">
        <v>11</v>
      </c>
      <c r="E619" s="3">
        <v>0.11340206185567001</v>
      </c>
      <c r="F619" s="3">
        <v>3.99141168381471E-2</v>
      </c>
      <c r="G619" s="3" t="str">
        <f>"11/836"</f>
        <v>11/836</v>
      </c>
      <c r="H619" s="3" t="str">
        <f>"97/18670"</f>
        <v>97/18670</v>
      </c>
      <c r="I619" s="3">
        <v>4.0441973927563104E-3</v>
      </c>
      <c r="J619" s="3">
        <v>3.21672263558275E-2</v>
      </c>
      <c r="K619" s="3" t="str">
        <f>"1307/1308/667/2042/11170/10979/2824/3861/4323/79834/7145"</f>
        <v>1307/1308/667/2042/11170/10979/2824/3861/4323/79834/7145</v>
      </c>
    </row>
    <row r="620" spans="1:11">
      <c r="A620" s="3" t="str">
        <f>"GO:0002067"</f>
        <v>GO:0002067</v>
      </c>
      <c r="B620" s="3" t="str">
        <f>"glandular epithelial cell differentiation"</f>
        <v>glandular epithelial cell differentiation</v>
      </c>
      <c r="C620" s="6" t="str">
        <f t="shared" si="36"/>
        <v>BP</v>
      </c>
      <c r="D620" s="6">
        <v>7</v>
      </c>
      <c r="E620" s="3">
        <v>0.15217391304347799</v>
      </c>
      <c r="F620" s="3">
        <v>4.0368005614376902E-2</v>
      </c>
      <c r="G620" s="3" t="str">
        <f>"7/836"</f>
        <v>7/836</v>
      </c>
      <c r="H620" s="3" t="str">
        <f>"46/18670"</f>
        <v>46/18670</v>
      </c>
      <c r="I620" s="3">
        <v>4.0983997561696997E-3</v>
      </c>
      <c r="J620" s="3">
        <v>3.2533020319516097E-2</v>
      </c>
      <c r="K620" s="3" t="str">
        <f>"10551/652/653/2263/3169/2627/25803"</f>
        <v>10551/652/653/2263/3169/2627/25803</v>
      </c>
    </row>
    <row r="621" spans="1:11">
      <c r="A621" s="3" t="str">
        <f>"GO:1901385"</f>
        <v>GO:1901385</v>
      </c>
      <c r="B621" s="3" t="str">
        <f>"regulation of voltage-gated calcium channel activity"</f>
        <v>regulation of voltage-gated calcium channel activity</v>
      </c>
      <c r="C621" s="6" t="str">
        <f t="shared" si="36"/>
        <v>BP</v>
      </c>
      <c r="D621" s="6">
        <v>6</v>
      </c>
      <c r="E621" s="3">
        <v>0.17142857142857101</v>
      </c>
      <c r="F621" s="3">
        <v>4.1515725070517401E-2</v>
      </c>
      <c r="G621" s="3" t="str">
        <f>"6/836"</f>
        <v>6/836</v>
      </c>
      <c r="H621" s="3" t="str">
        <f>"35/18670"</f>
        <v>35/18670</v>
      </c>
      <c r="I621" s="3">
        <v>4.2233697935419503E-3</v>
      </c>
      <c r="J621" s="3">
        <v>3.3457980069680801E-2</v>
      </c>
      <c r="K621" s="3" t="str">
        <f>"79026/2259/2669/10008/6236/6769"</f>
        <v>79026/2259/2669/10008/6236/6769</v>
      </c>
    </row>
    <row r="622" spans="1:11">
      <c r="A622" s="3" t="str">
        <f>"GO:0045667"</f>
        <v>GO:0045667</v>
      </c>
      <c r="B622" s="3" t="str">
        <f>"regulation of osteoblast differentiation"</f>
        <v>regulation of osteoblast differentiation</v>
      </c>
      <c r="C622" s="6" t="str">
        <f t="shared" si="36"/>
        <v>BP</v>
      </c>
      <c r="D622" s="6">
        <v>13</v>
      </c>
      <c r="E622" s="3">
        <v>0.103174603174603</v>
      </c>
      <c r="F622" s="3">
        <v>4.1896821362031697E-2</v>
      </c>
      <c r="G622" s="3" t="str">
        <f>"13/836"</f>
        <v>13/836</v>
      </c>
      <c r="H622" s="3" t="str">
        <f>"126/18670"</f>
        <v>126/18670</v>
      </c>
      <c r="I622" s="3">
        <v>4.2706627675234803E-3</v>
      </c>
      <c r="J622" s="3">
        <v>3.37651097682337E-2</v>
      </c>
      <c r="K622" s="3" t="str">
        <f>"8313/652/658/4921/2263/2662/3479/4880/6423/64093/6591/54795/117581"</f>
        <v>8313/652/658/4921/2263/2662/3479/4880/6423/64093/6591/54795/117581</v>
      </c>
    </row>
    <row r="623" spans="1:11">
      <c r="A623" s="3" t="str">
        <f>"GO:0045807"</f>
        <v>GO:0045807</v>
      </c>
      <c r="B623" s="3" t="str">
        <f>"positive regulation of endocytosis"</f>
        <v>positive regulation of endocytosis</v>
      </c>
      <c r="C623" s="6" t="str">
        <f t="shared" si="36"/>
        <v>BP</v>
      </c>
      <c r="D623" s="6">
        <v>11</v>
      </c>
      <c r="E623" s="3">
        <v>0.11224489795918401</v>
      </c>
      <c r="F623" s="3">
        <v>4.2761476197564999E-2</v>
      </c>
      <c r="G623" s="3" t="str">
        <f>"11/836"</f>
        <v>11/836</v>
      </c>
      <c r="H623" s="3" t="str">
        <f>"98/18670"</f>
        <v>98/18670</v>
      </c>
      <c r="I623" s="3">
        <v>4.3761999038403297E-3</v>
      </c>
      <c r="J623" s="3">
        <v>3.4461944623105902E-2</v>
      </c>
      <c r="K623" s="3" t="str">
        <f>"284/196527/636/6366/25999/1191/1950/6453/23327/5468/10103"</f>
        <v>284/196527/636/6366/25999/1191/1950/6453/23327/5468/10103</v>
      </c>
    </row>
    <row r="624" spans="1:11">
      <c r="A624" s="3" t="str">
        <f>"GO:0060191"</f>
        <v>GO:0060191</v>
      </c>
      <c r="B624" s="3" t="str">
        <f>"regulation of lipase activity"</f>
        <v>regulation of lipase activity</v>
      </c>
      <c r="C624" s="6" t="str">
        <f t="shared" si="36"/>
        <v>BP</v>
      </c>
      <c r="D624" s="6">
        <v>11</v>
      </c>
      <c r="E624" s="3">
        <v>0.11224489795918401</v>
      </c>
      <c r="F624" s="3">
        <v>4.2761476197564999E-2</v>
      </c>
      <c r="G624" s="3" t="str">
        <f>"11/836"</f>
        <v>11/836</v>
      </c>
      <c r="H624" s="3" t="str">
        <f>"98/18670"</f>
        <v>98/18670</v>
      </c>
      <c r="I624" s="3">
        <v>4.3761999038403297E-3</v>
      </c>
      <c r="J624" s="3">
        <v>3.4461944623105902E-2</v>
      </c>
      <c r="K624" s="3" t="str">
        <f>"148/627/636/2247/2260/2263/338328/9734/9170/4916/64805"</f>
        <v>148/627/636/2247/2260/2263/338328/9734/9170/4916/64805</v>
      </c>
    </row>
    <row r="625" spans="1:11">
      <c r="A625" s="3" t="str">
        <f>"GO:0002053"</f>
        <v>GO:0002053</v>
      </c>
      <c r="B625" s="3" t="str">
        <f>"positive regulation of mesenchymal cell proliferation"</f>
        <v>positive regulation of mesenchymal cell proliferation</v>
      </c>
      <c r="C625" s="6" t="str">
        <f t="shared" si="36"/>
        <v>BP</v>
      </c>
      <c r="D625" s="6">
        <v>5</v>
      </c>
      <c r="E625" s="3">
        <v>0.2</v>
      </c>
      <c r="F625" s="3">
        <v>4.3469527342294402E-2</v>
      </c>
      <c r="G625" s="3" t="str">
        <f>"5/836"</f>
        <v>5/836</v>
      </c>
      <c r="H625" s="3" t="str">
        <f>"25/18670"</f>
        <v>25/18670</v>
      </c>
      <c r="I625" s="3">
        <v>4.4751944730826001E-3</v>
      </c>
      <c r="J625" s="3">
        <v>3.5032570838797197E-2</v>
      </c>
      <c r="K625" s="3" t="str">
        <f>"2260/2263/2294/6899/7472"</f>
        <v>2260/2263/2294/6899/7472</v>
      </c>
    </row>
    <row r="626" spans="1:11">
      <c r="A626" s="3" t="str">
        <f>"GO:0008211"</f>
        <v>GO:0008211</v>
      </c>
      <c r="B626" s="3" t="str">
        <f>"glucocorticoid metabolic process"</f>
        <v>glucocorticoid metabolic process</v>
      </c>
      <c r="C626" s="6" t="str">
        <f t="shared" si="36"/>
        <v>BP</v>
      </c>
      <c r="D626" s="6">
        <v>5</v>
      </c>
      <c r="E626" s="3">
        <v>0.2</v>
      </c>
      <c r="F626" s="3">
        <v>4.3469527342294402E-2</v>
      </c>
      <c r="G626" s="3" t="str">
        <f>"5/836"</f>
        <v>5/836</v>
      </c>
      <c r="H626" s="3" t="str">
        <f>"25/18670"</f>
        <v>25/18670</v>
      </c>
      <c r="I626" s="3">
        <v>4.4751944730826001E-3</v>
      </c>
      <c r="J626" s="3">
        <v>3.5032570838797197E-2</v>
      </c>
      <c r="K626" s="3" t="str">
        <f>"653/1583/27122/51083/3290"</f>
        <v>653/1583/27122/51083/3290</v>
      </c>
    </row>
    <row r="627" spans="1:11">
      <c r="A627" s="3" t="str">
        <f>"GO:0034110"</f>
        <v>GO:0034110</v>
      </c>
      <c r="B627" s="3" t="str">
        <f>"regulation of homotypic cell-cell adhesion"</f>
        <v>regulation of homotypic cell-cell adhesion</v>
      </c>
      <c r="C627" s="6" t="str">
        <f t="shared" si="36"/>
        <v>BP</v>
      </c>
      <c r="D627" s="6">
        <v>5</v>
      </c>
      <c r="E627" s="3">
        <v>0.2</v>
      </c>
      <c r="F627" s="3">
        <v>4.3469527342294402E-2</v>
      </c>
      <c r="G627" s="3" t="str">
        <f>"5/836"</f>
        <v>5/836</v>
      </c>
      <c r="H627" s="3" t="str">
        <f>"25/18670"</f>
        <v>25/18670</v>
      </c>
      <c r="I627" s="3">
        <v>4.4751944730826001E-3</v>
      </c>
      <c r="J627" s="3">
        <v>3.5032570838797197E-2</v>
      </c>
      <c r="K627" s="3" t="str">
        <f>"170692/114897/5578/5592/5270"</f>
        <v>170692/114897/5578/5592/5270</v>
      </c>
    </row>
    <row r="628" spans="1:11">
      <c r="A628" s="3" t="str">
        <f>"GO:0046887"</f>
        <v>GO:0046887</v>
      </c>
      <c r="B628" s="3" t="str">
        <f>"positive regulation of hormone secretion"</f>
        <v>positive regulation of hormone secretion</v>
      </c>
      <c r="C628" s="6" t="str">
        <f t="shared" si="36"/>
        <v>BP</v>
      </c>
      <c r="D628" s="6">
        <v>13</v>
      </c>
      <c r="E628" s="3">
        <v>0.102362204724409</v>
      </c>
      <c r="F628" s="3">
        <v>4.4084223973501299E-2</v>
      </c>
      <c r="G628" s="3" t="str">
        <f>"13/836"</f>
        <v>13/836</v>
      </c>
      <c r="H628" s="3" t="str">
        <f>"127/18670"</f>
        <v>127/18670</v>
      </c>
      <c r="I628" s="3">
        <v>4.5683145556373404E-3</v>
      </c>
      <c r="J628" s="3">
        <v>3.5527961623876503E-2</v>
      </c>
      <c r="K628" s="3" t="str">
        <f>"114897/1908/2260/51083/2587/2645/286676/6453/4824/5950/6863/54795/7447"</f>
        <v>114897/1908/2260/51083/2587/2645/286676/6453/4824/5950/6863/54795/7447</v>
      </c>
    </row>
    <row r="629" spans="1:11">
      <c r="A629" s="3" t="str">
        <f>"GO:0001658"</f>
        <v>GO:0001658</v>
      </c>
      <c r="B629" s="3" t="str">
        <f>"branching involved in ureteric bud morphogenesis"</f>
        <v>branching involved in ureteric bud morphogenesis</v>
      </c>
      <c r="C629" s="6" t="str">
        <f t="shared" si="36"/>
        <v>BP</v>
      </c>
      <c r="D629" s="6">
        <v>8</v>
      </c>
      <c r="E629" s="3">
        <v>0.13559322033898299</v>
      </c>
      <c r="F629" s="3">
        <v>4.4084223973501299E-2</v>
      </c>
      <c r="G629" s="3" t="str">
        <f>"8/836"</f>
        <v>8/836</v>
      </c>
      <c r="H629" s="3" t="str">
        <f>"59/18670"</f>
        <v>59/18670</v>
      </c>
      <c r="I629" s="3">
        <v>4.5833242015176296E-3</v>
      </c>
      <c r="J629" s="3">
        <v>3.5527961623876503E-2</v>
      </c>
      <c r="K629" s="3" t="str">
        <f>"652/79633/2247/5228/4070/6943/7482/7490"</f>
        <v>652/79633/2247/5228/4070/6943/7482/7490</v>
      </c>
    </row>
    <row r="630" spans="1:11">
      <c r="A630" s="3" t="str">
        <f>"GO:0010518"</f>
        <v>GO:0010518</v>
      </c>
      <c r="B630" s="3" t="str">
        <f>"positive regulation of phospholipase activity"</f>
        <v>positive regulation of phospholipase activity</v>
      </c>
      <c r="C630" s="6" t="str">
        <f t="shared" si="36"/>
        <v>BP</v>
      </c>
      <c r="D630" s="6">
        <v>8</v>
      </c>
      <c r="E630" s="3">
        <v>0.13559322033898299</v>
      </c>
      <c r="F630" s="3">
        <v>4.4084223973501299E-2</v>
      </c>
      <c r="G630" s="3" t="str">
        <f>"8/836"</f>
        <v>8/836</v>
      </c>
      <c r="H630" s="3" t="str">
        <f>"59/18670"</f>
        <v>59/18670</v>
      </c>
      <c r="I630" s="3">
        <v>4.5833242015176296E-3</v>
      </c>
      <c r="J630" s="3">
        <v>3.5527961623876503E-2</v>
      </c>
      <c r="K630" s="3" t="str">
        <f>"148/627/2247/2260/2263/9170/4916/64805"</f>
        <v>148/627/2247/2260/2263/9170/4916/64805</v>
      </c>
    </row>
    <row r="631" spans="1:11">
      <c r="A631" s="3" t="str">
        <f>"GO:0045843"</f>
        <v>GO:0045843</v>
      </c>
      <c r="B631" s="3" t="str">
        <f>"negative regulation of striated muscle tissue development"</f>
        <v>negative regulation of striated muscle tissue development</v>
      </c>
      <c r="C631" s="6" t="str">
        <f t="shared" si="36"/>
        <v>BP</v>
      </c>
      <c r="D631" s="6">
        <v>8</v>
      </c>
      <c r="E631" s="3">
        <v>0.13559322033898299</v>
      </c>
      <c r="F631" s="3">
        <v>4.4084223973501299E-2</v>
      </c>
      <c r="G631" s="3" t="str">
        <f>"8/836"</f>
        <v>8/836</v>
      </c>
      <c r="H631" s="3" t="str">
        <f>"59/18670"</f>
        <v>59/18670</v>
      </c>
      <c r="I631" s="3">
        <v>4.5833242015176296E-3</v>
      </c>
      <c r="J631" s="3">
        <v>3.5527961623876503E-2</v>
      </c>
      <c r="K631" s="3" t="str">
        <f>"652/22943/2047/8324/93649/5950/6910/7093"</f>
        <v>652/22943/2047/8324/93649/5950/6910/7093</v>
      </c>
    </row>
    <row r="632" spans="1:11">
      <c r="A632" s="3" t="str">
        <f>"GO:0070527"</f>
        <v>GO:0070527</v>
      </c>
      <c r="B632" s="3" t="str">
        <f>"platelet aggregation"</f>
        <v>platelet aggregation</v>
      </c>
      <c r="C632" s="6" t="str">
        <f t="shared" si="36"/>
        <v>BP</v>
      </c>
      <c r="D632" s="6">
        <v>8</v>
      </c>
      <c r="E632" s="3">
        <v>0.13559322033898299</v>
      </c>
      <c r="F632" s="3">
        <v>4.4084223973501299E-2</v>
      </c>
      <c r="G632" s="3" t="str">
        <f>"8/836"</f>
        <v>8/836</v>
      </c>
      <c r="H632" s="3" t="str">
        <f>"59/18670"</f>
        <v>59/18670</v>
      </c>
      <c r="I632" s="3">
        <v>4.5833242015176296E-3</v>
      </c>
      <c r="J632" s="3">
        <v>3.5527961623876503E-2</v>
      </c>
      <c r="K632" s="3" t="str">
        <f>"170692/114897/64805/5578/5592/5270/23657/7414"</f>
        <v>170692/114897/64805/5578/5592/5270/23657/7414</v>
      </c>
    </row>
    <row r="633" spans="1:11">
      <c r="A633" s="3" t="str">
        <f>"GO:0034308"</f>
        <v>GO:0034308</v>
      </c>
      <c r="B633" s="3" t="str">
        <f>"primary alcohol metabolic process"</f>
        <v>primary alcohol metabolic process</v>
      </c>
      <c r="C633" s="6" t="str">
        <f t="shared" si="36"/>
        <v>BP</v>
      </c>
      <c r="D633" s="6">
        <v>10</v>
      </c>
      <c r="E633" s="3">
        <v>0.11764705882352899</v>
      </c>
      <c r="F633" s="3">
        <v>4.4275309027665299E-2</v>
      </c>
      <c r="G633" s="3" t="str">
        <f>"10/836"</f>
        <v>10/836</v>
      </c>
      <c r="H633" s="3" t="str">
        <f>"85/18670"</f>
        <v>85/18670</v>
      </c>
      <c r="I633" s="3">
        <v>4.61219902790735E-3</v>
      </c>
      <c r="J633" s="3">
        <v>3.5681959173551298E-2</v>
      </c>
      <c r="K633" s="3" t="str">
        <f>"125/126/222/653/1583/27122/3479/5950/8608/6783"</f>
        <v>125/126/222/653/1583/27122/3479/5950/8608/6783</v>
      </c>
    </row>
    <row r="634" spans="1:11">
      <c r="A634" s="3" t="str">
        <f>"GO:0048066"</f>
        <v>GO:0048066</v>
      </c>
      <c r="B634" s="3" t="str">
        <f>"developmental pigmentation"</f>
        <v>developmental pigmentation</v>
      </c>
      <c r="C634" s="6" t="str">
        <f t="shared" si="36"/>
        <v>BP</v>
      </c>
      <c r="D634" s="6">
        <v>7</v>
      </c>
      <c r="E634" s="3">
        <v>0.14893617021276601</v>
      </c>
      <c r="F634" s="3">
        <v>4.4286299160611997E-2</v>
      </c>
      <c r="G634" s="3" t="str">
        <f>"7/836"</f>
        <v>7/836</v>
      </c>
      <c r="H634" s="3" t="str">
        <f>"47/18670"</f>
        <v>47/18670</v>
      </c>
      <c r="I634" s="3">
        <v>4.6334862645503903E-3</v>
      </c>
      <c r="J634" s="3">
        <v>3.5690816242733403E-2</v>
      </c>
      <c r="K634" s="3" t="str">
        <f>"1908/1910/4254/4948/81285/51151/9839"</f>
        <v>1908/1910/4254/4948/81285/51151/9839</v>
      </c>
    </row>
    <row r="635" spans="1:11">
      <c r="A635" s="3" t="str">
        <f>"GO:0060986"</f>
        <v>GO:0060986</v>
      </c>
      <c r="B635" s="3" t="str">
        <f>"endocrine hormone secretion"</f>
        <v>endocrine hormone secretion</v>
      </c>
      <c r="C635" s="6" t="str">
        <f t="shared" si="36"/>
        <v>BP</v>
      </c>
      <c r="D635" s="6">
        <v>7</v>
      </c>
      <c r="E635" s="3">
        <v>0.14893617021276601</v>
      </c>
      <c r="F635" s="3">
        <v>4.4286299160611997E-2</v>
      </c>
      <c r="G635" s="3" t="str">
        <f>"7/836"</f>
        <v>7/836</v>
      </c>
      <c r="H635" s="3" t="str">
        <f>"47/18670"</f>
        <v>47/18670</v>
      </c>
      <c r="I635" s="3">
        <v>4.6334862645503903E-3</v>
      </c>
      <c r="J635" s="3">
        <v>3.5690816242733403E-2</v>
      </c>
      <c r="K635" s="3" t="str">
        <f>"114897/2260/51083/2587/4824/6863/6865"</f>
        <v>114897/2260/51083/2587/4824/6863/6865</v>
      </c>
    </row>
    <row r="636" spans="1:11">
      <c r="A636" s="3" t="str">
        <f>"GO:1903532"</f>
        <v>GO:1903532</v>
      </c>
      <c r="B636" s="3" t="str">
        <f>"positive regulation of secretion by cell"</f>
        <v>positive regulation of secretion by cell</v>
      </c>
      <c r="C636" s="6" t="str">
        <f t="shared" si="36"/>
        <v>BP</v>
      </c>
      <c r="D636" s="6">
        <v>30</v>
      </c>
      <c r="E636" s="3">
        <v>7.4441687344913104E-2</v>
      </c>
      <c r="F636" s="3">
        <v>4.4286299160611997E-2</v>
      </c>
      <c r="G636" s="3" t="str">
        <f>"30/836"</f>
        <v>30/836</v>
      </c>
      <c r="H636" s="3" t="str">
        <f>"403/18670"</f>
        <v>403/18670</v>
      </c>
      <c r="I636" s="3">
        <v>4.6403751918037001E-3</v>
      </c>
      <c r="J636" s="3">
        <v>3.5690816242733403E-2</v>
      </c>
      <c r="K636" s="3" t="str">
        <f>"114897/8618/56253/6387/1908/2867/2260/51083/2587/2645/3479/286676/6453/3745/3783/4824/22861/91662/81285/5950/6857/9066/143425/6863/6865/7043/7293/54795/85480/7447"</f>
        <v>114897/8618/56253/6387/1908/2867/2260/51083/2587/2645/3479/286676/6453/3745/3783/4824/22861/91662/81285/5950/6857/9066/143425/6863/6865/7043/7293/54795/85480/7447</v>
      </c>
    </row>
    <row r="637" spans="1:11">
      <c r="A637" s="3" t="str">
        <f>"GO:0072006"</f>
        <v>GO:0072006</v>
      </c>
      <c r="B637" s="3" t="str">
        <f>"nephron development"</f>
        <v>nephron development</v>
      </c>
      <c r="C637" s="6" t="str">
        <f t="shared" si="36"/>
        <v>BP</v>
      </c>
      <c r="D637" s="6">
        <v>14</v>
      </c>
      <c r="E637" s="3">
        <v>9.85915492957746E-2</v>
      </c>
      <c r="F637" s="3">
        <v>4.4338715451946703E-2</v>
      </c>
      <c r="G637" s="3" t="str">
        <f>"14/836"</f>
        <v>14/836</v>
      </c>
      <c r="H637" s="3" t="str">
        <f>"142/18670"</f>
        <v>142/18670</v>
      </c>
      <c r="I637" s="3">
        <v>4.6548885398178096E-3</v>
      </c>
      <c r="J637" s="3">
        <v>3.5733059109209299E-2</v>
      </c>
      <c r="K637" s="3" t="str">
        <f>"284/652/2028/79633/2247/153572/55083/4811/5228/4070/6943/7481/7482/7490"</f>
        <v>284/652/2028/79633/2247/153572/55083/4811/5228/4070/6943/7481/7482/7490</v>
      </c>
    </row>
    <row r="638" spans="1:11">
      <c r="A638" s="3" t="str">
        <f>"GO:0060193"</f>
        <v>GO:0060193</v>
      </c>
      <c r="B638" s="3" t="str">
        <f>"positive regulation of lipase activity"</f>
        <v>positive regulation of lipase activity</v>
      </c>
      <c r="C638" s="6" t="str">
        <f t="shared" si="36"/>
        <v>BP</v>
      </c>
      <c r="D638" s="6">
        <v>9</v>
      </c>
      <c r="E638" s="3">
        <v>0.125</v>
      </c>
      <c r="F638" s="3">
        <v>4.4421294525075102E-2</v>
      </c>
      <c r="G638" s="3" t="str">
        <f>"9/836"</f>
        <v>9/836</v>
      </c>
      <c r="H638" s="3" t="str">
        <f>"72/18670"</f>
        <v>72/18670</v>
      </c>
      <c r="I638" s="3">
        <v>4.7119079914686602E-3</v>
      </c>
      <c r="J638" s="3">
        <v>3.5799610493731898E-2</v>
      </c>
      <c r="K638" s="3" t="str">
        <f>"148/627/2247/2260/2263/338328/9170/4916/64805"</f>
        <v>148/627/2247/2260/2263/338328/9170/4916/64805</v>
      </c>
    </row>
    <row r="639" spans="1:11">
      <c r="A639" s="3" t="str">
        <f>"GO:0033631"</f>
        <v>GO:0033631</v>
      </c>
      <c r="B639" s="3" t="str">
        <f>"cell-cell adhesion mediated by integrin"</f>
        <v>cell-cell adhesion mediated by integrin</v>
      </c>
      <c r="C639" s="6" t="str">
        <f t="shared" si="36"/>
        <v>BP</v>
      </c>
      <c r="D639" s="6">
        <v>4</v>
      </c>
      <c r="E639" s="3">
        <v>0.25</v>
      </c>
      <c r="F639" s="3">
        <v>4.4421294525075102E-2</v>
      </c>
      <c r="G639" s="3" t="str">
        <f>"4/836"</f>
        <v>4/836</v>
      </c>
      <c r="H639" s="3" t="str">
        <f>"16/18670"</f>
        <v>16/18670</v>
      </c>
      <c r="I639" s="3">
        <v>4.7177855019510098E-3</v>
      </c>
      <c r="J639" s="3">
        <v>3.5799610493731898E-2</v>
      </c>
      <c r="K639" s="3" t="str">
        <f>"100/10563/1803/3676"</f>
        <v>100/10563/1803/3676</v>
      </c>
    </row>
    <row r="640" spans="1:11">
      <c r="A640" s="3" t="str">
        <f>"GO:0055119"</f>
        <v>GO:0055119</v>
      </c>
      <c r="B640" s="3" t="str">
        <f>"relaxation of cardiac muscle"</f>
        <v>relaxation of cardiac muscle</v>
      </c>
      <c r="C640" s="6" t="str">
        <f t="shared" si="36"/>
        <v>BP</v>
      </c>
      <c r="D640" s="6">
        <v>4</v>
      </c>
      <c r="E640" s="3">
        <v>0.25</v>
      </c>
      <c r="F640" s="3">
        <v>4.4421294525075102E-2</v>
      </c>
      <c r="G640" s="3" t="str">
        <f>"4/836"</f>
        <v>4/836</v>
      </c>
      <c r="H640" s="3" t="str">
        <f>"16/18670"</f>
        <v>16/18670</v>
      </c>
      <c r="I640" s="3">
        <v>4.7177855019510098E-3</v>
      </c>
      <c r="J640" s="3">
        <v>3.5799610493731898E-2</v>
      </c>
      <c r="K640" s="3" t="str">
        <f>"477/8654/5350/6546"</f>
        <v>477/8654/5350/6546</v>
      </c>
    </row>
    <row r="641" spans="1:11">
      <c r="A641" s="3" t="str">
        <f>"GO:0060572"</f>
        <v>GO:0060572</v>
      </c>
      <c r="B641" s="3" t="str">
        <f>"morphogenesis of an epithelial bud"</f>
        <v>morphogenesis of an epithelial bud</v>
      </c>
      <c r="C641" s="6" t="str">
        <f t="shared" si="36"/>
        <v>BP</v>
      </c>
      <c r="D641" s="6">
        <v>4</v>
      </c>
      <c r="E641" s="3">
        <v>0.25</v>
      </c>
      <c r="F641" s="3">
        <v>4.4421294525075102E-2</v>
      </c>
      <c r="G641" s="3" t="str">
        <f>"4/836"</f>
        <v>4/836</v>
      </c>
      <c r="H641" s="3" t="str">
        <f>"16/18670"</f>
        <v>16/18670</v>
      </c>
      <c r="I641" s="3">
        <v>4.7177855019510098E-3</v>
      </c>
      <c r="J641" s="3">
        <v>3.5799610493731898E-2</v>
      </c>
      <c r="K641" s="3" t="str">
        <f>"652/2263/7472/7482"</f>
        <v>652/2263/7472/7482</v>
      </c>
    </row>
    <row r="642" spans="1:11">
      <c r="A642" s="3" t="str">
        <f>"GO:0060850"</f>
        <v>GO:0060850</v>
      </c>
      <c r="B642" s="3" t="str">
        <f>"regulation of transcription involved in cell fate commitment"</f>
        <v>regulation of transcription involved in cell fate commitment</v>
      </c>
      <c r="C642" s="6" t="str">
        <f t="shared" si="36"/>
        <v>BP</v>
      </c>
      <c r="D642" s="6">
        <v>4</v>
      </c>
      <c r="E642" s="3">
        <v>0.25</v>
      </c>
      <c r="F642" s="3">
        <v>4.4421294525075102E-2</v>
      </c>
      <c r="G642" s="3" t="str">
        <f>"4/836"</f>
        <v>4/836</v>
      </c>
      <c r="H642" s="3" t="str">
        <f>"16/18670"</f>
        <v>16/18670</v>
      </c>
      <c r="I642" s="3">
        <v>4.7177855019510098E-3</v>
      </c>
      <c r="J642" s="3">
        <v>3.5799610493731898E-2</v>
      </c>
      <c r="K642" s="3" t="str">
        <f>"1745/1746/5468/6097"</f>
        <v>1745/1746/5468/6097</v>
      </c>
    </row>
    <row r="643" spans="1:11">
      <c r="A643" s="3" t="str">
        <f>"GO:2000846"</f>
        <v>GO:2000846</v>
      </c>
      <c r="B643" s="3" t="str">
        <f>"regulation of corticosteroid hormone secretion"</f>
        <v>regulation of corticosteroid hormone secretion</v>
      </c>
      <c r="C643" s="6" t="str">
        <f t="shared" si="36"/>
        <v>BP</v>
      </c>
      <c r="D643" s="6">
        <v>4</v>
      </c>
      <c r="E643" s="3">
        <v>0.25</v>
      </c>
      <c r="F643" s="3">
        <v>4.4421294525075102E-2</v>
      </c>
      <c r="G643" s="3" t="str">
        <f>"4/836"</f>
        <v>4/836</v>
      </c>
      <c r="H643" s="3" t="str">
        <f>"16/18670"</f>
        <v>16/18670</v>
      </c>
      <c r="I643" s="3">
        <v>4.7177855019510098E-3</v>
      </c>
      <c r="J643" s="3">
        <v>3.5799610493731898E-2</v>
      </c>
      <c r="K643" s="3" t="str">
        <f>"114897/51083/2587/6863"</f>
        <v>114897/51083/2587/6863</v>
      </c>
    </row>
    <row r="644" spans="1:11">
      <c r="A644" s="3" t="str">
        <f>"GO:0031091"</f>
        <v>GO:0031091</v>
      </c>
      <c r="B644" s="3" t="str">
        <f>"platelet alpha granule"</f>
        <v>platelet alpha granule</v>
      </c>
      <c r="C644" s="6" t="str">
        <f>"CC"</f>
        <v>CC</v>
      </c>
      <c r="D644" s="6">
        <v>10</v>
      </c>
      <c r="E644" s="3">
        <v>0.10989010989011</v>
      </c>
      <c r="F644" s="3">
        <v>4.51383768473307E-2</v>
      </c>
      <c r="G644" s="3" t="str">
        <f>"10/873"</f>
        <v>10/873</v>
      </c>
      <c r="H644" s="3" t="str">
        <f>"91/19717"</f>
        <v>91/19717</v>
      </c>
      <c r="I644" s="3">
        <v>6.9224821635612303E-3</v>
      </c>
      <c r="J644" s="3">
        <v>3.5435921673601101E-2</v>
      </c>
      <c r="K644" s="3" t="str">
        <f>"2/1675/1191/1950/3479/5768/5104/5270/6678/7043"</f>
        <v>2/1675/1191/1950/3479/5768/5104/5270/6678/7043</v>
      </c>
    </row>
    <row r="645" spans="1:11">
      <c r="A645" s="3" t="str">
        <f>"GO:1902905"</f>
        <v>GO:1902905</v>
      </c>
      <c r="B645" s="3" t="str">
        <f>"positive regulation of supramolecular fiber organization"</f>
        <v>positive regulation of supramolecular fiber organization</v>
      </c>
      <c r="C645" s="6" t="str">
        <f t="shared" ref="C645:C659" si="37">"BP"</f>
        <v>BP</v>
      </c>
      <c r="D645" s="6">
        <v>18</v>
      </c>
      <c r="E645" s="3">
        <v>8.8235294117647106E-2</v>
      </c>
      <c r="F645" s="3">
        <v>4.5175446300872002E-2</v>
      </c>
      <c r="G645" s="3" t="str">
        <f>"18/836"</f>
        <v>18/836</v>
      </c>
      <c r="H645" s="3" t="str">
        <f>"204/18670"</f>
        <v>204/18670</v>
      </c>
      <c r="I645" s="3">
        <v>4.8070719054641E-3</v>
      </c>
      <c r="J645" s="3">
        <v>3.6407389715731903E-2</v>
      </c>
      <c r="K645" s="3" t="str">
        <f>"55971/6366/10602/1073/1191/10788/25802/4131/89795/22843/84722/5881/285590/11075/171024/6863/7043/7481"</f>
        <v>55971/6366/10602/1073/1191/10788/25802/4131/89795/22843/84722/5881/285590/11075/171024/6863/7043/7481</v>
      </c>
    </row>
    <row r="646" spans="1:11">
      <c r="A646" s="3" t="str">
        <f>"GO:0050931"</f>
        <v>GO:0050931</v>
      </c>
      <c r="B646" s="3" t="str">
        <f>"pigment cell differentiation"</f>
        <v>pigment cell differentiation</v>
      </c>
      <c r="C646" s="6" t="str">
        <f t="shared" si="37"/>
        <v>BP</v>
      </c>
      <c r="D646" s="6">
        <v>6</v>
      </c>
      <c r="E646" s="3">
        <v>0.16666666666666699</v>
      </c>
      <c r="F646" s="3">
        <v>4.5683706094091302E-2</v>
      </c>
      <c r="G646" s="3" t="str">
        <f>"6/836"</f>
        <v>6/836</v>
      </c>
      <c r="H646" s="3" t="str">
        <f>"36/18670"</f>
        <v>36/18670</v>
      </c>
      <c r="I646" s="3">
        <v>4.8797448015051696E-3</v>
      </c>
      <c r="J646" s="3">
        <v>3.6817001880830001E-2</v>
      </c>
      <c r="K646" s="3" t="str">
        <f>"1908/1910/4254/4948/81285/9839"</f>
        <v>1908/1910/4254/4948/81285/9839</v>
      </c>
    </row>
    <row r="647" spans="1:11">
      <c r="A647" s="3" t="str">
        <f>"GO:2000310"</f>
        <v>GO:2000310</v>
      </c>
      <c r="B647" s="3" t="str">
        <f>"regulation of NMDA receptor activity"</f>
        <v>regulation of NMDA receptor activity</v>
      </c>
      <c r="C647" s="6" t="str">
        <f t="shared" si="37"/>
        <v>BP</v>
      </c>
      <c r="D647" s="6">
        <v>6</v>
      </c>
      <c r="E647" s="3">
        <v>0.16666666666666699</v>
      </c>
      <c r="F647" s="3">
        <v>4.5683706094091302E-2</v>
      </c>
      <c r="G647" s="3" t="str">
        <f>"6/836"</f>
        <v>6/836</v>
      </c>
      <c r="H647" s="3" t="str">
        <f>"36/18670"</f>
        <v>36/18670</v>
      </c>
      <c r="I647" s="3">
        <v>4.8797448015051696E-3</v>
      </c>
      <c r="J647" s="3">
        <v>3.6817001880830001E-2</v>
      </c>
      <c r="K647" s="3" t="str">
        <f>"306/2892/57554/10891/5923/8787"</f>
        <v>306/2892/57554/10891/5923/8787</v>
      </c>
    </row>
    <row r="648" spans="1:11">
      <c r="A648" s="3" t="str">
        <f>"GO:0036293"</f>
        <v>GO:0036293</v>
      </c>
      <c r="B648" s="3" t="str">
        <f>"response to decreased oxygen levels"</f>
        <v>response to decreased oxygen levels</v>
      </c>
      <c r="C648" s="6" t="str">
        <f t="shared" si="37"/>
        <v>BP</v>
      </c>
      <c r="D648" s="6">
        <v>28</v>
      </c>
      <c r="E648" s="3">
        <v>7.5675675675675694E-2</v>
      </c>
      <c r="F648" s="3">
        <v>4.5749731749593098E-2</v>
      </c>
      <c r="G648" s="3" t="str">
        <f>"28/836"</f>
        <v>28/836</v>
      </c>
      <c r="H648" s="3" t="str">
        <f>"370/18670"</f>
        <v>370/18670</v>
      </c>
      <c r="I648" s="3">
        <v>4.8961055748292896E-3</v>
      </c>
      <c r="J648" s="3">
        <v>3.6870212683775501E-2</v>
      </c>
      <c r="K648" s="3" t="str">
        <f>"10449/100/27087/857/1365/64506/1410/6387/1803/2627/64344/3778/3779/84709/4323/93649/79625/4824/4842/4880/5179/5228/10891/5740/6262/6546/7043/7049"</f>
        <v>10449/100/27087/857/1365/64506/1410/6387/1803/2627/64344/3778/3779/84709/4323/93649/79625/4824/4842/4880/5179/5228/10891/5740/6262/6546/7043/7049</v>
      </c>
    </row>
    <row r="649" spans="1:11">
      <c r="A649" s="3" t="str">
        <f>"GO:0030100"</f>
        <v>GO:0030100</v>
      </c>
      <c r="B649" s="3" t="str">
        <f>"regulation of endocytosis"</f>
        <v>regulation of endocytosis</v>
      </c>
      <c r="C649" s="6" t="str">
        <f t="shared" si="37"/>
        <v>BP</v>
      </c>
      <c r="D649" s="6">
        <v>18</v>
      </c>
      <c r="E649" s="3">
        <v>8.7804878048780496E-2</v>
      </c>
      <c r="F649" s="3">
        <v>4.7157914923398797E-2</v>
      </c>
      <c r="G649" s="3" t="str">
        <f>"18/836"</f>
        <v>18/836</v>
      </c>
      <c r="H649" s="3" t="str">
        <f>"205/18670"</f>
        <v>205/18670</v>
      </c>
      <c r="I649" s="3">
        <v>5.0564030853776504E-3</v>
      </c>
      <c r="J649" s="3">
        <v>3.8005083012635797E-2</v>
      </c>
      <c r="K649" s="3" t="str">
        <f>"284/196527/636/857/6366/25999/1191/22943/1950/2042/6453/23327/5468/64284/6456/85439/23208/10103"</f>
        <v>284/196527/636/857/6366/25999/1191/22943/1950/2042/6453/23327/5468/64284/6456/85439/23208/10103</v>
      </c>
    </row>
    <row r="650" spans="1:11">
      <c r="A650" s="3" t="str">
        <f>"GO:0007188"</f>
        <v>GO:0007188</v>
      </c>
      <c r="B650" s="3" t="str">
        <f>"adenylate cyclase-modulating G protein-coupled receptor signaling pathway"</f>
        <v>adenylate cyclase-modulating G protein-coupled receptor signaling pathway</v>
      </c>
      <c r="C650" s="6" t="str">
        <f t="shared" si="37"/>
        <v>BP</v>
      </c>
      <c r="D650" s="6">
        <v>19</v>
      </c>
      <c r="E650" s="3">
        <v>8.5972850678733004E-2</v>
      </c>
      <c r="F650" s="3">
        <v>4.7225865329771702E-2</v>
      </c>
      <c r="G650" s="3" t="str">
        <f>"19/836"</f>
        <v>19/836</v>
      </c>
      <c r="H650" s="3" t="str">
        <f>"221/18670"</f>
        <v>221/18670</v>
      </c>
      <c r="I650" s="3">
        <v>5.07329743522268E-3</v>
      </c>
      <c r="J650" s="3">
        <v>3.8059844993506599E-2</v>
      </c>
      <c r="K650" s="3" t="str">
        <f>"283383/23284/148/153/155/1131/2587/2775/2781/23432/8549/4842/64805/5350/5578/5732/5737/5744/1903"</f>
        <v>283383/23284/148/153/155/1131/2587/2775/2781/23432/8549/4842/64805/5350/5578/5732/5737/5744/1903</v>
      </c>
    </row>
    <row r="651" spans="1:11">
      <c r="A651" s="3" t="str">
        <f>"GO:0048635"</f>
        <v>GO:0048635</v>
      </c>
      <c r="B651" s="3" t="str">
        <f>"negative regulation of muscle organ development"</f>
        <v>negative regulation of muscle organ development</v>
      </c>
      <c r="C651" s="6" t="str">
        <f t="shared" si="37"/>
        <v>BP</v>
      </c>
      <c r="D651" s="6">
        <v>8</v>
      </c>
      <c r="E651" s="3">
        <v>0.133333333333333</v>
      </c>
      <c r="F651" s="3">
        <v>4.7252962212080203E-2</v>
      </c>
      <c r="G651" s="3" t="str">
        <f>"8/836"</f>
        <v>8/836</v>
      </c>
      <c r="H651" s="3" t="str">
        <f>"60/18670"</f>
        <v>60/18670</v>
      </c>
      <c r="I651" s="3">
        <v>5.0858715004654899E-3</v>
      </c>
      <c r="J651" s="3">
        <v>3.8081682669391798E-2</v>
      </c>
      <c r="K651" s="3" t="str">
        <f>"652/22943/2047/8324/93649/5950/6910/7093"</f>
        <v>652/22943/2047/8324/93649/5950/6910/7093</v>
      </c>
    </row>
    <row r="652" spans="1:11">
      <c r="A652" s="3" t="str">
        <f>"GO:0034446"</f>
        <v>GO:0034446</v>
      </c>
      <c r="B652" s="3" t="str">
        <f>"substrate adhesion-dependent cell spreading"</f>
        <v>substrate adhesion-dependent cell spreading</v>
      </c>
      <c r="C652" s="6" t="str">
        <f t="shared" si="37"/>
        <v>BP</v>
      </c>
      <c r="D652" s="6">
        <v>11</v>
      </c>
      <c r="E652" s="3">
        <v>0.11</v>
      </c>
      <c r="F652" s="3">
        <v>4.7252962212080203E-2</v>
      </c>
      <c r="G652" s="3" t="str">
        <f>"11/836"</f>
        <v>11/836</v>
      </c>
      <c r="H652" s="3" t="str">
        <f>"100/18670"</f>
        <v>100/18670</v>
      </c>
      <c r="I652" s="3">
        <v>5.1050504444790602E-3</v>
      </c>
      <c r="J652" s="3">
        <v>3.8081682669391798E-2</v>
      </c>
      <c r="K652" s="3" t="str">
        <f>"84168/133584/2192/10979/8324/3676/8516/3912/79834/5881/4070"</f>
        <v>84168/133584/2192/10979/8324/3676/8516/3912/79834/5881/4070</v>
      </c>
    </row>
    <row r="653" spans="1:11">
      <c r="A653" s="3" t="str">
        <f>"GO:0035282"</f>
        <v>GO:0035282</v>
      </c>
      <c r="B653" s="3" t="str">
        <f>"segmentation"</f>
        <v>segmentation</v>
      </c>
      <c r="C653" s="6" t="str">
        <f t="shared" si="37"/>
        <v>BP</v>
      </c>
      <c r="D653" s="6">
        <v>11</v>
      </c>
      <c r="E653" s="3">
        <v>0.11</v>
      </c>
      <c r="F653" s="3">
        <v>4.7252962212080203E-2</v>
      </c>
      <c r="G653" s="3" t="str">
        <f>"11/836"</f>
        <v>11/836</v>
      </c>
      <c r="H653" s="3" t="str">
        <f>"100/18670"</f>
        <v>100/18670</v>
      </c>
      <c r="I653" s="3">
        <v>5.1050504444790602E-3</v>
      </c>
      <c r="J653" s="3">
        <v>3.8081682669391798E-2</v>
      </c>
      <c r="K653" s="3" t="str">
        <f>"8313/652/22943/2294/153572/4824/8828/10371/6423/7490/9839"</f>
        <v>8313/652/22943/2294/153572/4824/8828/10371/6423/7490/9839</v>
      </c>
    </row>
    <row r="654" spans="1:11">
      <c r="A654" s="3" t="str">
        <f>"GO:0003208"</f>
        <v>GO:0003208</v>
      </c>
      <c r="B654" s="3" t="str">
        <f>"cardiac ventricle morphogenesis"</f>
        <v>cardiac ventricle morphogenesis</v>
      </c>
      <c r="C654" s="6" t="str">
        <f t="shared" si="37"/>
        <v>BP</v>
      </c>
      <c r="D654" s="6">
        <v>9</v>
      </c>
      <c r="E654" s="3">
        <v>0.123287671232877</v>
      </c>
      <c r="F654" s="3">
        <v>4.7731586152556599E-2</v>
      </c>
      <c r="G654" s="3" t="str">
        <f>"9/836"</f>
        <v>9/836</v>
      </c>
      <c r="H654" s="3" t="str">
        <f>"73/18670"</f>
        <v>73/18670</v>
      </c>
      <c r="I654" s="3">
        <v>5.1664707697172199E-3</v>
      </c>
      <c r="J654" s="3">
        <v>3.84674109743686E-2</v>
      </c>
      <c r="K654" s="3" t="str">
        <f>"2263/2294/23462/4624/3084/6262/6423/6910/7049"</f>
        <v>2263/2294/23462/4624/3084/6262/6423/6910/7049</v>
      </c>
    </row>
    <row r="655" spans="1:11">
      <c r="A655" s="3" t="str">
        <f>"GO:0035272"</f>
        <v>GO:0035272</v>
      </c>
      <c r="B655" s="3" t="str">
        <f>"exocrine system development"</f>
        <v>exocrine system development</v>
      </c>
      <c r="C655" s="6" t="str">
        <f t="shared" si="37"/>
        <v>BP</v>
      </c>
      <c r="D655" s="6">
        <v>7</v>
      </c>
      <c r="E655" s="3">
        <v>0.14583333333333301</v>
      </c>
      <c r="F655" s="3">
        <v>4.8131710402147303E-2</v>
      </c>
      <c r="G655" s="3" t="str">
        <f>"7/836"</f>
        <v>7/836</v>
      </c>
      <c r="H655" s="3" t="str">
        <f>"48/18670"</f>
        <v>48/18670</v>
      </c>
      <c r="I655" s="3">
        <v>5.21957307107721E-3</v>
      </c>
      <c r="J655" s="3">
        <v>3.8789875513900597E-2</v>
      </c>
      <c r="K655" s="3" t="str">
        <f>"2252/2260/2263/4824/10371/6591/7043"</f>
        <v>2252/2260/2263/4824/10371/6591/7043</v>
      </c>
    </row>
    <row r="656" spans="1:11">
      <c r="A656" s="3" t="str">
        <f>"GO:0051048"</f>
        <v>GO:0051048</v>
      </c>
      <c r="B656" s="3" t="str">
        <f>"negative regulation of secretion"</f>
        <v>negative regulation of secretion</v>
      </c>
      <c r="C656" s="6" t="str">
        <f t="shared" si="37"/>
        <v>BP</v>
      </c>
      <c r="D656" s="6">
        <v>20</v>
      </c>
      <c r="E656" s="3">
        <v>8.40336134453782E-2</v>
      </c>
      <c r="F656" s="3">
        <v>4.8662435945733398E-2</v>
      </c>
      <c r="G656" s="3" t="str">
        <f>"20/836"</f>
        <v>20/836</v>
      </c>
      <c r="H656" s="3" t="str">
        <f>"238/18670"</f>
        <v>238/18670</v>
      </c>
      <c r="I656" s="3">
        <v>5.2870276286920998E-3</v>
      </c>
      <c r="J656" s="3">
        <v>3.9217593074646902E-2</v>
      </c>
      <c r="K656" s="3" t="str">
        <f>"100/284/4345/1950/2065/131177/2294/9734/3745/4129/91662/3084/64805/25953/55607/23208/6865/7293/114088/7447"</f>
        <v>100/284/4345/1950/2065/131177/2294/9734/3745/4129/91662/3084/64805/25953/55607/23208/6865/7293/114088/7447</v>
      </c>
    </row>
    <row r="657" spans="1:11">
      <c r="A657" s="3" t="str">
        <f>"GO:0044706"</f>
        <v>GO:0044706</v>
      </c>
      <c r="B657" s="3" t="str">
        <f>"multi-multicellular organism process"</f>
        <v>multi-multicellular organism process</v>
      </c>
      <c r="C657" s="6" t="str">
        <f t="shared" si="37"/>
        <v>BP</v>
      </c>
      <c r="D657" s="6">
        <v>19</v>
      </c>
      <c r="E657" s="3">
        <v>8.55855855855856E-2</v>
      </c>
      <c r="F657" s="3">
        <v>4.8901741214274201E-2</v>
      </c>
      <c r="G657" s="3" t="str">
        <f>"19/836"</f>
        <v>19/836</v>
      </c>
      <c r="H657" s="3" t="str">
        <f>"222/18670"</f>
        <v>222/18670</v>
      </c>
      <c r="I657" s="3">
        <v>5.3229769175252599E-3</v>
      </c>
      <c r="J657" s="3">
        <v>3.9410451826163401E-2</v>
      </c>
      <c r="K657" s="3" t="str">
        <f>"1364/1307/8528/2192/2288/2706/203447/5228/5241/5737/5740/5744/7356/5270/285590/56977/85360/6863/7043"</f>
        <v>1364/1307/8528/2192/2288/2706/203447/5228/5241/5737/5740/5744/7356/5270/285590/56977/85360/6863/7043</v>
      </c>
    </row>
    <row r="658" spans="1:11">
      <c r="A658" s="3" t="str">
        <f>"GO:0010927"</f>
        <v>GO:0010927</v>
      </c>
      <c r="B658" s="3" t="str">
        <f>"cellular component assembly involved in morphogenesis"</f>
        <v>cellular component assembly involved in morphogenesis</v>
      </c>
      <c r="C658" s="6" t="str">
        <f t="shared" si="37"/>
        <v>BP</v>
      </c>
      <c r="D658" s="6">
        <v>12</v>
      </c>
      <c r="E658" s="3">
        <v>0.104347826086957</v>
      </c>
      <c r="F658" s="3">
        <v>4.9603583413874899E-2</v>
      </c>
      <c r="G658" s="3" t="str">
        <f>"12/836"</f>
        <v>12/836</v>
      </c>
      <c r="H658" s="3" t="str">
        <f>"115/18670"</f>
        <v>115/18670</v>
      </c>
      <c r="I658" s="3">
        <v>5.4094650477796496E-3</v>
      </c>
      <c r="J658" s="3">
        <v>3.9976074184593098E-2</v>
      </c>
      <c r="K658" s="3" t="str">
        <f>"70/287/64753/1073/80206/11155/25802/4629/4624/5819/5239/5376"</f>
        <v>70/287/64753/1073/80206/11155/25802/4629/4624/5819/5239/5376</v>
      </c>
    </row>
    <row r="659" spans="1:11">
      <c r="A659" s="3" t="str">
        <f>"GO:0002690"</f>
        <v>GO:0002690</v>
      </c>
      <c r="B659" s="3" t="str">
        <f>"positive regulation of leukocyte chemotaxis"</f>
        <v>positive regulation of leukocyte chemotaxis</v>
      </c>
      <c r="C659" s="6" t="str">
        <f t="shared" si="37"/>
        <v>BP</v>
      </c>
      <c r="D659" s="6">
        <v>10</v>
      </c>
      <c r="E659" s="3">
        <v>0.114942528735632</v>
      </c>
      <c r="F659" s="3">
        <v>4.9840060330771201E-2</v>
      </c>
      <c r="G659" s="3" t="str">
        <f>"10/836"</f>
        <v>10/836</v>
      </c>
      <c r="H659" s="3" t="str">
        <f>"87/18670"</f>
        <v>87/18670</v>
      </c>
      <c r="I659" s="3">
        <v>5.4453941805949401E-3</v>
      </c>
      <c r="J659" s="3">
        <v>4.0166653536369203E-2</v>
      </c>
      <c r="K659" s="3" t="str">
        <f>"196527/6366/6387/10563/1908/5228/7941/5919/9750/7060"</f>
        <v>196527/6366/6387/10563/1908/5228/7941/5919/9750/7060</v>
      </c>
    </row>
  </sheetData>
  <sortState xmlns:xlrd2="http://schemas.microsoft.com/office/spreadsheetml/2017/richdata2" ref="A3:K659">
    <sortCondition ref="F2:F659"/>
  </sortState>
  <mergeCells count="1">
    <mergeCell ref="A1:H1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S4 Detailed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</dc:creator>
  <cp:lastModifiedBy>MDPI</cp:lastModifiedBy>
  <dcterms:created xsi:type="dcterms:W3CDTF">2021-05-12T15:09:56Z</dcterms:created>
  <dcterms:modified xsi:type="dcterms:W3CDTF">2022-05-08T09:09:25Z</dcterms:modified>
</cp:coreProperties>
</file>