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ata\Desktop\Stanek,. Oxidative Medicine\Genes b\"/>
    </mc:Choice>
  </mc:AlternateContent>
  <xr:revisionPtr revIDLastSave="0" documentId="8_{46CC111C-F7A0-4798-A654-15E5DDE83A0E}" xr6:coauthVersionLast="47" xr6:coauthVersionMax="47" xr10:uidLastSave="{00000000-0000-0000-0000-000000000000}"/>
  <bookViews>
    <workbookView xWindow="1900" yWindow="1900" windowWidth="14400" windowHeight="7360" xr2:uid="{00000000-000D-0000-FFFF-FFFF00000000}"/>
  </bookViews>
  <sheets>
    <sheet name="DEGS(1287).escaped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1" i="1"/>
  <c r="B1" i="1"/>
  <c r="C1" i="1"/>
  <c r="D1" i="1"/>
  <c r="E1" i="1"/>
  <c r="F1" i="1"/>
  <c r="G1" i="1"/>
  <c r="H1" i="1"/>
  <c r="I1" i="1"/>
  <c r="A2" i="1"/>
  <c r="G2" i="1"/>
  <c r="I2" i="1"/>
  <c r="A3" i="1"/>
  <c r="G3" i="1"/>
  <c r="I3" i="1"/>
  <c r="A4" i="1"/>
  <c r="G4" i="1"/>
  <c r="I4" i="1"/>
  <c r="A5" i="1"/>
  <c r="G5" i="1"/>
  <c r="I5" i="1"/>
  <c r="G6" i="1"/>
  <c r="I6" i="1"/>
  <c r="A7" i="1"/>
  <c r="G7" i="1"/>
  <c r="I7" i="1"/>
  <c r="A8" i="1"/>
  <c r="G8" i="1"/>
  <c r="I8" i="1"/>
  <c r="A9" i="1"/>
  <c r="G9" i="1"/>
  <c r="I9" i="1"/>
  <c r="A10" i="1"/>
  <c r="G10" i="1"/>
  <c r="I10" i="1"/>
  <c r="A11" i="1"/>
  <c r="G11" i="1"/>
  <c r="I11" i="1"/>
  <c r="A12" i="1"/>
  <c r="G12" i="1"/>
  <c r="I12" i="1"/>
  <c r="A13" i="1"/>
  <c r="G13" i="1"/>
  <c r="I13" i="1"/>
  <c r="A14" i="1"/>
  <c r="G14" i="1"/>
  <c r="I14" i="1"/>
  <c r="A15" i="1"/>
  <c r="G15" i="1"/>
  <c r="I15" i="1"/>
  <c r="A16" i="1"/>
  <c r="G16" i="1"/>
  <c r="I16" i="1"/>
  <c r="A17" i="1"/>
  <c r="G17" i="1"/>
  <c r="I17" i="1"/>
  <c r="A18" i="1"/>
  <c r="G18" i="1"/>
  <c r="I18" i="1"/>
  <c r="A19" i="1"/>
  <c r="G19" i="1"/>
  <c r="I19" i="1"/>
  <c r="A20" i="1"/>
  <c r="G20" i="1"/>
  <c r="I20" i="1"/>
  <c r="A21" i="1"/>
  <c r="G21" i="1"/>
  <c r="I21" i="1"/>
  <c r="A22" i="1"/>
  <c r="G22" i="1"/>
  <c r="I22" i="1"/>
  <c r="A23" i="1"/>
  <c r="G23" i="1"/>
  <c r="I23" i="1"/>
  <c r="A24" i="1"/>
  <c r="G24" i="1"/>
  <c r="I24" i="1"/>
  <c r="A25" i="1"/>
  <c r="G25" i="1"/>
  <c r="I25" i="1"/>
  <c r="A26" i="1"/>
  <c r="G26" i="1"/>
  <c r="I26" i="1"/>
  <c r="A27" i="1"/>
  <c r="G27" i="1"/>
  <c r="I27" i="1"/>
  <c r="A28" i="1"/>
  <c r="G28" i="1"/>
  <c r="I28" i="1"/>
  <c r="A29" i="1"/>
  <c r="G29" i="1"/>
  <c r="I29" i="1"/>
  <c r="A30" i="1"/>
  <c r="G30" i="1"/>
  <c r="I30" i="1"/>
  <c r="A31" i="1"/>
  <c r="G31" i="1"/>
  <c r="I31" i="1"/>
  <c r="A32" i="1"/>
  <c r="G32" i="1"/>
  <c r="I32" i="1"/>
  <c r="A33" i="1"/>
  <c r="G33" i="1"/>
  <c r="I33" i="1"/>
  <c r="A34" i="1"/>
  <c r="G34" i="1"/>
  <c r="I34" i="1"/>
  <c r="A35" i="1"/>
  <c r="G35" i="1"/>
  <c r="I35" i="1"/>
  <c r="A36" i="1"/>
  <c r="G36" i="1"/>
  <c r="I36" i="1"/>
  <c r="A37" i="1"/>
  <c r="G37" i="1"/>
  <c r="I37" i="1"/>
  <c r="A38" i="1"/>
  <c r="G38" i="1"/>
  <c r="I38" i="1"/>
  <c r="A39" i="1"/>
  <c r="G39" i="1"/>
  <c r="I39" i="1"/>
  <c r="A40" i="1"/>
  <c r="G40" i="1"/>
  <c r="I40" i="1"/>
  <c r="A41" i="1"/>
  <c r="G41" i="1"/>
  <c r="I41" i="1"/>
  <c r="A42" i="1"/>
  <c r="G42" i="1"/>
  <c r="I42" i="1"/>
  <c r="A43" i="1"/>
  <c r="G43" i="1"/>
  <c r="I43" i="1"/>
  <c r="A44" i="1"/>
  <c r="G44" i="1"/>
  <c r="I44" i="1"/>
  <c r="A45" i="1"/>
  <c r="G45" i="1"/>
  <c r="I45" i="1"/>
  <c r="A46" i="1"/>
  <c r="G46" i="1"/>
  <c r="I46" i="1"/>
  <c r="A47" i="1"/>
  <c r="G47" i="1"/>
  <c r="I47" i="1"/>
  <c r="A48" i="1"/>
  <c r="G48" i="1"/>
  <c r="I48" i="1"/>
  <c r="A49" i="1"/>
  <c r="G49" i="1"/>
  <c r="I49" i="1"/>
  <c r="A50" i="1"/>
  <c r="G50" i="1"/>
  <c r="I50" i="1"/>
  <c r="A51" i="1"/>
  <c r="G51" i="1"/>
  <c r="I51" i="1"/>
  <c r="A52" i="1"/>
  <c r="G52" i="1"/>
  <c r="I52" i="1"/>
  <c r="A53" i="1"/>
  <c r="G53" i="1"/>
  <c r="I53" i="1"/>
  <c r="A54" i="1"/>
  <c r="G54" i="1"/>
  <c r="I54" i="1"/>
  <c r="A55" i="1"/>
  <c r="G55" i="1"/>
  <c r="I55" i="1"/>
  <c r="A56" i="1"/>
  <c r="G56" i="1"/>
  <c r="I56" i="1"/>
  <c r="A57" i="1"/>
  <c r="G57" i="1"/>
  <c r="I57" i="1"/>
  <c r="A58" i="1"/>
  <c r="G58" i="1"/>
  <c r="I58" i="1"/>
  <c r="A59" i="1"/>
  <c r="G59" i="1"/>
  <c r="I59" i="1"/>
  <c r="A60" i="1"/>
  <c r="G60" i="1"/>
  <c r="I60" i="1"/>
  <c r="A61" i="1"/>
  <c r="G61" i="1"/>
  <c r="I61" i="1"/>
  <c r="A62" i="1"/>
  <c r="G62" i="1"/>
  <c r="I62" i="1"/>
  <c r="A63" i="1"/>
  <c r="G63" i="1"/>
  <c r="I63" i="1"/>
  <c r="A64" i="1"/>
  <c r="G64" i="1"/>
  <c r="I64" i="1"/>
  <c r="A65" i="1"/>
  <c r="G65" i="1"/>
  <c r="I65" i="1"/>
  <c r="A66" i="1"/>
  <c r="G66" i="1"/>
  <c r="I66" i="1"/>
  <c r="A67" i="1"/>
  <c r="G67" i="1"/>
  <c r="I67" i="1"/>
  <c r="A68" i="1"/>
  <c r="G68" i="1"/>
  <c r="I68" i="1"/>
  <c r="A69" i="1"/>
  <c r="G69" i="1"/>
  <c r="I69" i="1"/>
  <c r="A70" i="1"/>
  <c r="G70" i="1"/>
  <c r="I70" i="1"/>
  <c r="A71" i="1"/>
  <c r="G71" i="1"/>
  <c r="I71" i="1"/>
  <c r="A72" i="1"/>
  <c r="G72" i="1"/>
  <c r="I72" i="1"/>
  <c r="A73" i="1"/>
  <c r="G73" i="1"/>
  <c r="I73" i="1"/>
  <c r="A74" i="1"/>
  <c r="G74" i="1"/>
  <c r="I74" i="1"/>
  <c r="A75" i="1"/>
  <c r="G75" i="1"/>
  <c r="I75" i="1"/>
  <c r="A76" i="1"/>
  <c r="G76" i="1"/>
  <c r="I76" i="1"/>
  <c r="A77" i="1"/>
  <c r="G77" i="1"/>
  <c r="I77" i="1"/>
  <c r="A78" i="1"/>
  <c r="G78" i="1"/>
  <c r="I78" i="1"/>
  <c r="A79" i="1"/>
  <c r="G79" i="1"/>
  <c r="I79" i="1"/>
  <c r="A80" i="1"/>
  <c r="G80" i="1"/>
  <c r="I80" i="1"/>
  <c r="A81" i="1"/>
  <c r="G81" i="1"/>
  <c r="I81" i="1"/>
  <c r="A82" i="1"/>
  <c r="G82" i="1"/>
  <c r="I82" i="1"/>
  <c r="A83" i="1"/>
  <c r="G83" i="1"/>
  <c r="I83" i="1"/>
  <c r="A84" i="1"/>
  <c r="G84" i="1"/>
  <c r="I84" i="1"/>
  <c r="A85" i="1"/>
  <c r="G85" i="1"/>
  <c r="I85" i="1"/>
  <c r="A86" i="1"/>
  <c r="G86" i="1"/>
  <c r="I86" i="1"/>
  <c r="A87" i="1"/>
  <c r="G87" i="1"/>
  <c r="I87" i="1"/>
  <c r="A88" i="1"/>
  <c r="G88" i="1"/>
  <c r="I88" i="1"/>
  <c r="A89" i="1"/>
  <c r="G89" i="1"/>
  <c r="I89" i="1"/>
  <c r="A90" i="1"/>
  <c r="G90" i="1"/>
  <c r="I90" i="1"/>
  <c r="A91" i="1"/>
  <c r="G91" i="1"/>
  <c r="I91" i="1"/>
  <c r="A92" i="1"/>
  <c r="G92" i="1"/>
  <c r="I92" i="1"/>
  <c r="A93" i="1"/>
  <c r="G93" i="1"/>
  <c r="I93" i="1"/>
  <c r="A94" i="1"/>
  <c r="G94" i="1"/>
  <c r="I94" i="1"/>
  <c r="A95" i="1"/>
  <c r="G95" i="1"/>
  <c r="I95" i="1"/>
  <c r="A96" i="1"/>
  <c r="G96" i="1"/>
  <c r="I96" i="1"/>
  <c r="A97" i="1"/>
  <c r="G97" i="1"/>
  <c r="I97" i="1"/>
  <c r="A98" i="1"/>
  <c r="G98" i="1"/>
  <c r="I98" i="1"/>
  <c r="A99" i="1"/>
  <c r="G99" i="1"/>
  <c r="I99" i="1"/>
  <c r="A100" i="1"/>
  <c r="G100" i="1"/>
  <c r="I100" i="1"/>
  <c r="A101" i="1"/>
  <c r="G101" i="1"/>
  <c r="I101" i="1"/>
  <c r="A102" i="1"/>
  <c r="G102" i="1"/>
  <c r="I102" i="1"/>
  <c r="A103" i="1"/>
  <c r="G103" i="1"/>
  <c r="I103" i="1"/>
  <c r="A104" i="1"/>
  <c r="G104" i="1"/>
  <c r="I104" i="1"/>
  <c r="A105" i="1"/>
  <c r="G105" i="1"/>
  <c r="I105" i="1"/>
  <c r="A106" i="1"/>
  <c r="G106" i="1"/>
  <c r="I106" i="1"/>
  <c r="A107" i="1"/>
  <c r="G107" i="1"/>
  <c r="I107" i="1"/>
  <c r="A108" i="1"/>
  <c r="G108" i="1"/>
  <c r="I108" i="1"/>
  <c r="A109" i="1"/>
  <c r="G109" i="1"/>
  <c r="I109" i="1"/>
  <c r="A110" i="1"/>
  <c r="G110" i="1"/>
  <c r="I110" i="1"/>
  <c r="A111" i="1"/>
  <c r="G111" i="1"/>
  <c r="I111" i="1"/>
  <c r="A112" i="1"/>
  <c r="G112" i="1"/>
  <c r="I112" i="1"/>
  <c r="A113" i="1"/>
  <c r="G113" i="1"/>
  <c r="I113" i="1"/>
  <c r="A114" i="1"/>
  <c r="G114" i="1"/>
  <c r="I114" i="1"/>
  <c r="A115" i="1"/>
  <c r="G115" i="1"/>
  <c r="I115" i="1"/>
  <c r="A116" i="1"/>
  <c r="G116" i="1"/>
  <c r="I116" i="1"/>
  <c r="A117" i="1"/>
  <c r="G117" i="1"/>
  <c r="I117" i="1"/>
  <c r="A118" i="1"/>
  <c r="G118" i="1"/>
  <c r="I118" i="1"/>
  <c r="A119" i="1"/>
  <c r="G119" i="1"/>
  <c r="I119" i="1"/>
  <c r="A120" i="1"/>
  <c r="G120" i="1"/>
  <c r="I120" i="1"/>
  <c r="A121" i="1"/>
  <c r="G121" i="1"/>
  <c r="I121" i="1"/>
  <c r="A122" i="1"/>
  <c r="G122" i="1"/>
  <c r="I122" i="1"/>
  <c r="A123" i="1"/>
  <c r="G123" i="1"/>
  <c r="I123" i="1"/>
  <c r="A124" i="1"/>
  <c r="G124" i="1"/>
  <c r="I124" i="1"/>
  <c r="A125" i="1"/>
  <c r="G125" i="1"/>
  <c r="I125" i="1"/>
  <c r="A126" i="1"/>
  <c r="G126" i="1"/>
  <c r="I126" i="1"/>
  <c r="A127" i="1"/>
  <c r="G127" i="1"/>
  <c r="I127" i="1"/>
  <c r="A128" i="1"/>
  <c r="G128" i="1"/>
  <c r="I128" i="1"/>
  <c r="A129" i="1"/>
  <c r="G129" i="1"/>
  <c r="I129" i="1"/>
  <c r="A130" i="1"/>
  <c r="G130" i="1"/>
  <c r="I130" i="1"/>
  <c r="A131" i="1"/>
  <c r="G131" i="1"/>
  <c r="I131" i="1"/>
  <c r="A132" i="1"/>
  <c r="G132" i="1"/>
  <c r="I132" i="1"/>
  <c r="A133" i="1"/>
  <c r="G133" i="1"/>
  <c r="I133" i="1"/>
  <c r="A134" i="1"/>
  <c r="G134" i="1"/>
  <c r="I134" i="1"/>
  <c r="A135" i="1"/>
  <c r="G135" i="1"/>
  <c r="I135" i="1"/>
  <c r="A136" i="1"/>
  <c r="G136" i="1"/>
  <c r="I136" i="1"/>
  <c r="A137" i="1"/>
  <c r="G137" i="1"/>
  <c r="I137" i="1"/>
  <c r="A138" i="1"/>
  <c r="G138" i="1"/>
  <c r="I138" i="1"/>
  <c r="A139" i="1"/>
  <c r="G139" i="1"/>
  <c r="I139" i="1"/>
  <c r="A140" i="1"/>
  <c r="G140" i="1"/>
  <c r="I140" i="1"/>
  <c r="A141" i="1"/>
  <c r="G141" i="1"/>
  <c r="I141" i="1"/>
  <c r="A142" i="1"/>
  <c r="G142" i="1"/>
  <c r="I142" i="1"/>
  <c r="A143" i="1"/>
  <c r="G143" i="1"/>
  <c r="I143" i="1"/>
  <c r="A144" i="1"/>
  <c r="G144" i="1"/>
  <c r="I144" i="1"/>
  <c r="A145" i="1"/>
  <c r="G145" i="1"/>
  <c r="I145" i="1"/>
  <c r="A146" i="1"/>
  <c r="G146" i="1"/>
  <c r="I146" i="1"/>
  <c r="A147" i="1"/>
  <c r="G147" i="1"/>
  <c r="I147" i="1"/>
  <c r="A148" i="1"/>
  <c r="G148" i="1"/>
  <c r="I148" i="1"/>
  <c r="A149" i="1"/>
  <c r="G149" i="1"/>
  <c r="I149" i="1"/>
  <c r="A150" i="1"/>
  <c r="G150" i="1"/>
  <c r="I150" i="1"/>
  <c r="A151" i="1"/>
  <c r="G151" i="1"/>
  <c r="I151" i="1"/>
  <c r="A152" i="1"/>
  <c r="G152" i="1"/>
  <c r="I152" i="1"/>
  <c r="A153" i="1"/>
  <c r="G153" i="1"/>
  <c r="I153" i="1"/>
  <c r="A154" i="1"/>
  <c r="G154" i="1"/>
  <c r="I154" i="1"/>
  <c r="A155" i="1"/>
  <c r="G155" i="1"/>
  <c r="I155" i="1"/>
  <c r="A156" i="1"/>
  <c r="G156" i="1"/>
  <c r="I156" i="1"/>
  <c r="A157" i="1"/>
  <c r="G157" i="1"/>
  <c r="I157" i="1"/>
  <c r="A158" i="1"/>
  <c r="G158" i="1"/>
  <c r="I158" i="1"/>
  <c r="A159" i="1"/>
  <c r="G159" i="1"/>
  <c r="I159" i="1"/>
  <c r="A160" i="1"/>
  <c r="G160" i="1"/>
  <c r="I160" i="1"/>
  <c r="A161" i="1"/>
  <c r="G161" i="1"/>
  <c r="I161" i="1"/>
  <c r="A162" i="1"/>
  <c r="G162" i="1"/>
  <c r="I162" i="1"/>
  <c r="A163" i="1"/>
  <c r="G163" i="1"/>
  <c r="I163" i="1"/>
  <c r="A164" i="1"/>
  <c r="G164" i="1"/>
  <c r="I164" i="1"/>
  <c r="A165" i="1"/>
  <c r="G165" i="1"/>
  <c r="I165" i="1"/>
  <c r="A166" i="1"/>
  <c r="G166" i="1"/>
  <c r="I166" i="1"/>
  <c r="A167" i="1"/>
  <c r="G167" i="1"/>
  <c r="I167" i="1"/>
  <c r="A168" i="1"/>
  <c r="G168" i="1"/>
  <c r="I168" i="1"/>
  <c r="A169" i="1"/>
  <c r="G169" i="1"/>
  <c r="I169" i="1"/>
  <c r="A170" i="1"/>
  <c r="G170" i="1"/>
  <c r="I170" i="1"/>
  <c r="A171" i="1"/>
  <c r="G171" i="1"/>
  <c r="I171" i="1"/>
  <c r="A172" i="1"/>
  <c r="G172" i="1"/>
  <c r="I172" i="1"/>
  <c r="A173" i="1"/>
  <c r="G173" i="1"/>
  <c r="I173" i="1"/>
  <c r="A174" i="1"/>
  <c r="G174" i="1"/>
  <c r="I174" i="1"/>
  <c r="A175" i="1"/>
  <c r="G175" i="1"/>
  <c r="I175" i="1"/>
  <c r="A176" i="1"/>
  <c r="G176" i="1"/>
  <c r="I176" i="1"/>
  <c r="A177" i="1"/>
  <c r="G177" i="1"/>
  <c r="I177" i="1"/>
  <c r="A178" i="1"/>
  <c r="G178" i="1"/>
  <c r="I178" i="1"/>
  <c r="A179" i="1"/>
  <c r="G179" i="1"/>
  <c r="I179" i="1"/>
  <c r="A180" i="1"/>
  <c r="G180" i="1"/>
  <c r="I180" i="1"/>
  <c r="A181" i="1"/>
  <c r="G181" i="1"/>
  <c r="I181" i="1"/>
  <c r="A182" i="1"/>
  <c r="G182" i="1"/>
  <c r="I182" i="1"/>
  <c r="A183" i="1"/>
  <c r="G183" i="1"/>
  <c r="I183" i="1"/>
  <c r="A184" i="1"/>
  <c r="G184" i="1"/>
  <c r="I184" i="1"/>
  <c r="A185" i="1"/>
  <c r="G185" i="1"/>
  <c r="I185" i="1"/>
  <c r="A186" i="1"/>
  <c r="G186" i="1"/>
  <c r="I186" i="1"/>
  <c r="A187" i="1"/>
  <c r="G187" i="1"/>
  <c r="I187" i="1"/>
  <c r="A188" i="1"/>
  <c r="G188" i="1"/>
  <c r="I188" i="1"/>
  <c r="A189" i="1"/>
  <c r="G189" i="1"/>
  <c r="I189" i="1"/>
  <c r="A190" i="1"/>
  <c r="G190" i="1"/>
  <c r="I190" i="1"/>
  <c r="A191" i="1"/>
  <c r="G191" i="1"/>
  <c r="I191" i="1"/>
  <c r="A192" i="1"/>
  <c r="G192" i="1"/>
  <c r="I192" i="1"/>
  <c r="A193" i="1"/>
  <c r="G193" i="1"/>
  <c r="I193" i="1"/>
  <c r="A194" i="1"/>
  <c r="G194" i="1"/>
  <c r="I194" i="1"/>
  <c r="A195" i="1"/>
  <c r="G195" i="1"/>
  <c r="I195" i="1"/>
  <c r="A196" i="1"/>
  <c r="G196" i="1"/>
  <c r="I196" i="1"/>
  <c r="A197" i="1"/>
  <c r="G197" i="1"/>
  <c r="I197" i="1"/>
  <c r="A198" i="1"/>
  <c r="G198" i="1"/>
  <c r="I198" i="1"/>
  <c r="A199" i="1"/>
  <c r="G199" i="1"/>
  <c r="I199" i="1"/>
  <c r="A200" i="1"/>
  <c r="G200" i="1"/>
  <c r="I200" i="1"/>
  <c r="A201" i="1"/>
  <c r="G201" i="1"/>
  <c r="I201" i="1"/>
  <c r="A202" i="1"/>
  <c r="G202" i="1"/>
  <c r="I202" i="1"/>
  <c r="A203" i="1"/>
  <c r="G203" i="1"/>
  <c r="I203" i="1"/>
  <c r="A204" i="1"/>
  <c r="G204" i="1"/>
  <c r="I204" i="1"/>
  <c r="A205" i="1"/>
  <c r="G205" i="1"/>
  <c r="I205" i="1"/>
  <c r="A206" i="1"/>
  <c r="G206" i="1"/>
  <c r="I206" i="1"/>
  <c r="A207" i="1"/>
  <c r="G207" i="1"/>
  <c r="I207" i="1"/>
  <c r="A208" i="1"/>
  <c r="G208" i="1"/>
  <c r="I208" i="1"/>
  <c r="A209" i="1"/>
  <c r="G209" i="1"/>
  <c r="I209" i="1"/>
  <c r="A210" i="1"/>
  <c r="G210" i="1"/>
  <c r="I210" i="1"/>
  <c r="A211" i="1"/>
  <c r="G211" i="1"/>
  <c r="I211" i="1"/>
  <c r="A212" i="1"/>
  <c r="G212" i="1"/>
  <c r="I212" i="1"/>
  <c r="A213" i="1"/>
  <c r="G213" i="1"/>
  <c r="I213" i="1"/>
  <c r="A214" i="1"/>
  <c r="G214" i="1"/>
  <c r="I214" i="1"/>
  <c r="A215" i="1"/>
  <c r="G215" i="1"/>
  <c r="I215" i="1"/>
  <c r="A216" i="1"/>
  <c r="G216" i="1"/>
  <c r="I216" i="1"/>
  <c r="A217" i="1"/>
  <c r="G217" i="1"/>
  <c r="I217" i="1"/>
  <c r="A218" i="1"/>
  <c r="G218" i="1"/>
  <c r="I218" i="1"/>
  <c r="A219" i="1"/>
  <c r="G219" i="1"/>
  <c r="I219" i="1"/>
  <c r="A220" i="1"/>
  <c r="G220" i="1"/>
  <c r="I220" i="1"/>
  <c r="A221" i="1"/>
  <c r="G221" i="1"/>
  <c r="I221" i="1"/>
  <c r="A222" i="1"/>
  <c r="G222" i="1"/>
  <c r="I222" i="1"/>
  <c r="A223" i="1"/>
  <c r="G223" i="1"/>
  <c r="I223" i="1"/>
  <c r="A224" i="1"/>
  <c r="G224" i="1"/>
  <c r="I224" i="1"/>
  <c r="A225" i="1"/>
  <c r="G225" i="1"/>
  <c r="I225" i="1"/>
  <c r="A226" i="1"/>
  <c r="G226" i="1"/>
  <c r="I226" i="1"/>
  <c r="A227" i="1"/>
  <c r="G227" i="1"/>
  <c r="I227" i="1"/>
  <c r="A228" i="1"/>
  <c r="G228" i="1"/>
  <c r="I228" i="1"/>
  <c r="A229" i="1"/>
  <c r="G229" i="1"/>
  <c r="I229" i="1"/>
  <c r="A230" i="1"/>
  <c r="G230" i="1"/>
  <c r="I230" i="1"/>
  <c r="A231" i="1"/>
  <c r="G231" i="1"/>
  <c r="I231" i="1"/>
  <c r="A232" i="1"/>
  <c r="G232" i="1"/>
  <c r="I232" i="1"/>
  <c r="A233" i="1"/>
  <c r="G233" i="1"/>
  <c r="I233" i="1"/>
  <c r="A234" i="1"/>
  <c r="G234" i="1"/>
  <c r="I234" i="1"/>
  <c r="A235" i="1"/>
  <c r="G235" i="1"/>
  <c r="I235" i="1"/>
  <c r="A236" i="1"/>
  <c r="G236" i="1"/>
  <c r="I236" i="1"/>
  <c r="A237" i="1"/>
  <c r="G237" i="1"/>
  <c r="I237" i="1"/>
  <c r="A238" i="1"/>
  <c r="G238" i="1"/>
  <c r="I238" i="1"/>
  <c r="A239" i="1"/>
  <c r="G239" i="1"/>
  <c r="I239" i="1"/>
  <c r="A240" i="1"/>
  <c r="G240" i="1"/>
  <c r="I240" i="1"/>
  <c r="A241" i="1"/>
  <c r="G241" i="1"/>
  <c r="I241" i="1"/>
  <c r="A242" i="1"/>
  <c r="G242" i="1"/>
  <c r="I242" i="1"/>
  <c r="A243" i="1"/>
  <c r="G243" i="1"/>
  <c r="I243" i="1"/>
  <c r="A244" i="1"/>
  <c r="G244" i="1"/>
  <c r="I244" i="1"/>
  <c r="A245" i="1"/>
  <c r="G245" i="1"/>
  <c r="I245" i="1"/>
  <c r="A246" i="1"/>
  <c r="G246" i="1"/>
  <c r="I246" i="1"/>
  <c r="A247" i="1"/>
  <c r="G247" i="1"/>
  <c r="I247" i="1"/>
  <c r="A248" i="1"/>
  <c r="G248" i="1"/>
  <c r="I248" i="1"/>
  <c r="A249" i="1"/>
  <c r="G249" i="1"/>
  <c r="I249" i="1"/>
  <c r="A250" i="1"/>
  <c r="G250" i="1"/>
  <c r="I250" i="1"/>
  <c r="A251" i="1"/>
  <c r="G251" i="1"/>
  <c r="I251" i="1"/>
  <c r="A252" i="1"/>
  <c r="G252" i="1"/>
  <c r="I252" i="1"/>
  <c r="A253" i="1"/>
  <c r="G253" i="1"/>
  <c r="I253" i="1"/>
  <c r="A254" i="1"/>
  <c r="G254" i="1"/>
  <c r="I254" i="1"/>
  <c r="A255" i="1"/>
  <c r="G255" i="1"/>
  <c r="I255" i="1"/>
  <c r="A256" i="1"/>
  <c r="G256" i="1"/>
  <c r="I256" i="1"/>
  <c r="A257" i="1"/>
  <c r="G257" i="1"/>
  <c r="I257" i="1"/>
  <c r="A258" i="1"/>
  <c r="G258" i="1"/>
  <c r="I258" i="1"/>
  <c r="A259" i="1"/>
  <c r="G259" i="1"/>
  <c r="I259" i="1"/>
  <c r="A260" i="1"/>
  <c r="G260" i="1"/>
  <c r="I260" i="1"/>
  <c r="A261" i="1"/>
  <c r="G261" i="1"/>
  <c r="I261" i="1"/>
  <c r="A262" i="1"/>
  <c r="G262" i="1"/>
  <c r="I262" i="1"/>
  <c r="A263" i="1"/>
  <c r="G263" i="1"/>
  <c r="I263" i="1"/>
  <c r="A264" i="1"/>
  <c r="G264" i="1"/>
  <c r="I264" i="1"/>
  <c r="A265" i="1"/>
  <c r="G265" i="1"/>
  <c r="I265" i="1"/>
  <c r="A266" i="1"/>
  <c r="G266" i="1"/>
  <c r="I266" i="1"/>
  <c r="A267" i="1"/>
  <c r="G267" i="1"/>
  <c r="I267" i="1"/>
  <c r="A268" i="1"/>
  <c r="G268" i="1"/>
  <c r="I268" i="1"/>
  <c r="A269" i="1"/>
  <c r="G269" i="1"/>
  <c r="I269" i="1"/>
  <c r="A270" i="1"/>
  <c r="G270" i="1"/>
  <c r="I270" i="1"/>
  <c r="A271" i="1"/>
  <c r="G271" i="1"/>
  <c r="I271" i="1"/>
  <c r="A272" i="1"/>
  <c r="G272" i="1"/>
  <c r="I272" i="1"/>
  <c r="A273" i="1"/>
  <c r="G273" i="1"/>
  <c r="I273" i="1"/>
  <c r="A274" i="1"/>
  <c r="G274" i="1"/>
  <c r="I274" i="1"/>
  <c r="A275" i="1"/>
  <c r="G275" i="1"/>
  <c r="I275" i="1"/>
  <c r="A276" i="1"/>
  <c r="G276" i="1"/>
  <c r="I276" i="1"/>
  <c r="A277" i="1"/>
  <c r="G277" i="1"/>
  <c r="I277" i="1"/>
  <c r="A278" i="1"/>
  <c r="G278" i="1"/>
  <c r="I278" i="1"/>
  <c r="A279" i="1"/>
  <c r="G279" i="1"/>
  <c r="I279" i="1"/>
  <c r="A280" i="1"/>
  <c r="G280" i="1"/>
  <c r="I280" i="1"/>
  <c r="A281" i="1"/>
  <c r="G281" i="1"/>
  <c r="I281" i="1"/>
  <c r="A282" i="1"/>
  <c r="G282" i="1"/>
  <c r="I282" i="1"/>
  <c r="A283" i="1"/>
  <c r="G283" i="1"/>
  <c r="I283" i="1"/>
  <c r="A284" i="1"/>
  <c r="G284" i="1"/>
  <c r="I284" i="1"/>
  <c r="A285" i="1"/>
  <c r="G285" i="1"/>
  <c r="I285" i="1"/>
  <c r="A286" i="1"/>
  <c r="G286" i="1"/>
  <c r="I286" i="1"/>
  <c r="A287" i="1"/>
  <c r="G287" i="1"/>
  <c r="I287" i="1"/>
  <c r="A288" i="1"/>
  <c r="G288" i="1"/>
  <c r="I288" i="1"/>
  <c r="A289" i="1"/>
  <c r="G289" i="1"/>
  <c r="I289" i="1"/>
  <c r="A290" i="1"/>
  <c r="G290" i="1"/>
  <c r="I290" i="1"/>
  <c r="A291" i="1"/>
  <c r="G291" i="1"/>
  <c r="I291" i="1"/>
  <c r="A292" i="1"/>
  <c r="G292" i="1"/>
  <c r="I292" i="1"/>
  <c r="A293" i="1"/>
  <c r="G293" i="1"/>
  <c r="I293" i="1"/>
  <c r="A294" i="1"/>
  <c r="G294" i="1"/>
  <c r="I294" i="1"/>
  <c r="A295" i="1"/>
  <c r="G295" i="1"/>
  <c r="I295" i="1"/>
  <c r="A296" i="1"/>
  <c r="G296" i="1"/>
  <c r="I296" i="1"/>
  <c r="A297" i="1"/>
  <c r="G297" i="1"/>
  <c r="I297" i="1"/>
  <c r="A298" i="1"/>
  <c r="G298" i="1"/>
  <c r="I298" i="1"/>
  <c r="A299" i="1"/>
  <c r="G299" i="1"/>
  <c r="I299" i="1"/>
  <c r="A300" i="1"/>
  <c r="G300" i="1"/>
  <c r="I300" i="1"/>
  <c r="A301" i="1"/>
  <c r="G301" i="1"/>
  <c r="I301" i="1"/>
  <c r="A302" i="1"/>
  <c r="G302" i="1"/>
  <c r="I302" i="1"/>
  <c r="A303" i="1"/>
  <c r="G303" i="1"/>
  <c r="I303" i="1"/>
  <c r="A304" i="1"/>
  <c r="G304" i="1"/>
  <c r="I304" i="1"/>
  <c r="A305" i="1"/>
  <c r="G305" i="1"/>
  <c r="I305" i="1"/>
  <c r="A306" i="1"/>
  <c r="G306" i="1"/>
  <c r="I306" i="1"/>
  <c r="A307" i="1"/>
  <c r="G307" i="1"/>
  <c r="I307" i="1"/>
  <c r="A308" i="1"/>
  <c r="G308" i="1"/>
  <c r="I308" i="1"/>
  <c r="A309" i="1"/>
  <c r="G309" i="1"/>
  <c r="I309" i="1"/>
  <c r="A310" i="1"/>
  <c r="G310" i="1"/>
  <c r="I310" i="1"/>
  <c r="A311" i="1"/>
  <c r="G311" i="1"/>
  <c r="I311" i="1"/>
  <c r="A312" i="1"/>
  <c r="G312" i="1"/>
  <c r="I312" i="1"/>
  <c r="A313" i="1"/>
  <c r="G313" i="1"/>
  <c r="I313" i="1"/>
  <c r="A314" i="1"/>
  <c r="G314" i="1"/>
  <c r="I314" i="1"/>
  <c r="A315" i="1"/>
  <c r="G315" i="1"/>
  <c r="I315" i="1"/>
  <c r="A316" i="1"/>
  <c r="G316" i="1"/>
  <c r="I316" i="1"/>
  <c r="A317" i="1"/>
  <c r="G317" i="1"/>
  <c r="I317" i="1"/>
  <c r="A318" i="1"/>
  <c r="G318" i="1"/>
  <c r="I318" i="1"/>
  <c r="A319" i="1"/>
  <c r="G319" i="1"/>
  <c r="I319" i="1"/>
  <c r="A320" i="1"/>
  <c r="G320" i="1"/>
  <c r="I320" i="1"/>
  <c r="A321" i="1"/>
  <c r="G321" i="1"/>
  <c r="I321" i="1"/>
  <c r="A322" i="1"/>
  <c r="G322" i="1"/>
  <c r="I322" i="1"/>
  <c r="A323" i="1"/>
  <c r="G323" i="1"/>
  <c r="I323" i="1"/>
  <c r="A324" i="1"/>
  <c r="G324" i="1"/>
  <c r="I324" i="1"/>
  <c r="A325" i="1"/>
  <c r="G325" i="1"/>
  <c r="I325" i="1"/>
  <c r="A326" i="1"/>
  <c r="G326" i="1"/>
  <c r="I326" i="1"/>
  <c r="A327" i="1"/>
  <c r="G327" i="1"/>
  <c r="I327" i="1"/>
  <c r="A328" i="1"/>
  <c r="G328" i="1"/>
  <c r="I328" i="1"/>
  <c r="A329" i="1"/>
  <c r="G329" i="1"/>
  <c r="I329" i="1"/>
  <c r="A330" i="1"/>
  <c r="G330" i="1"/>
  <c r="I330" i="1"/>
  <c r="A331" i="1"/>
  <c r="G331" i="1"/>
  <c r="I331" i="1"/>
  <c r="A332" i="1"/>
  <c r="G332" i="1"/>
  <c r="I332" i="1"/>
  <c r="A333" i="1"/>
  <c r="G333" i="1"/>
  <c r="I333" i="1"/>
  <c r="A334" i="1"/>
  <c r="G334" i="1"/>
  <c r="I334" i="1"/>
  <c r="A335" i="1"/>
  <c r="G335" i="1"/>
  <c r="I335" i="1"/>
  <c r="A336" i="1"/>
  <c r="G336" i="1"/>
  <c r="I336" i="1"/>
  <c r="A337" i="1"/>
  <c r="G337" i="1"/>
  <c r="I337" i="1"/>
  <c r="A338" i="1"/>
  <c r="G338" i="1"/>
  <c r="I338" i="1"/>
  <c r="A339" i="1"/>
  <c r="G339" i="1"/>
  <c r="I339" i="1"/>
  <c r="A340" i="1"/>
  <c r="G340" i="1"/>
  <c r="I340" i="1"/>
  <c r="A341" i="1"/>
  <c r="G341" i="1"/>
  <c r="I341" i="1"/>
  <c r="A342" i="1"/>
  <c r="G342" i="1"/>
  <c r="I342" i="1"/>
  <c r="A343" i="1"/>
  <c r="G343" i="1"/>
  <c r="I343" i="1"/>
  <c r="A344" i="1"/>
  <c r="G344" i="1"/>
  <c r="I344" i="1"/>
  <c r="A345" i="1"/>
  <c r="G345" i="1"/>
  <c r="I345" i="1"/>
  <c r="A346" i="1"/>
  <c r="G346" i="1"/>
  <c r="I346" i="1"/>
  <c r="A347" i="1"/>
  <c r="G347" i="1"/>
  <c r="I347" i="1"/>
  <c r="A348" i="1"/>
  <c r="G348" i="1"/>
  <c r="I348" i="1"/>
  <c r="A349" i="1"/>
  <c r="G349" i="1"/>
  <c r="I349" i="1"/>
  <c r="A350" i="1"/>
  <c r="G350" i="1"/>
  <c r="I350" i="1"/>
  <c r="A351" i="1"/>
  <c r="G351" i="1"/>
  <c r="I351" i="1"/>
  <c r="A352" i="1"/>
  <c r="G352" i="1"/>
  <c r="I352" i="1"/>
  <c r="A353" i="1"/>
  <c r="G353" i="1"/>
  <c r="I353" i="1"/>
  <c r="A354" i="1"/>
  <c r="G354" i="1"/>
  <c r="I354" i="1"/>
  <c r="A355" i="1"/>
  <c r="G355" i="1"/>
  <c r="I355" i="1"/>
  <c r="A356" i="1"/>
  <c r="G356" i="1"/>
  <c r="I356" i="1"/>
  <c r="A357" i="1"/>
  <c r="G357" i="1"/>
  <c r="I357" i="1"/>
  <c r="A358" i="1"/>
  <c r="G358" i="1"/>
  <c r="I358" i="1"/>
  <c r="A359" i="1"/>
  <c r="G359" i="1"/>
  <c r="I359" i="1"/>
  <c r="A360" i="1"/>
  <c r="G360" i="1"/>
  <c r="I360" i="1"/>
  <c r="A361" i="1"/>
  <c r="G361" i="1"/>
  <c r="I361" i="1"/>
  <c r="A362" i="1"/>
  <c r="G362" i="1"/>
  <c r="I362" i="1"/>
  <c r="A363" i="1"/>
  <c r="G363" i="1"/>
  <c r="I363" i="1"/>
  <c r="A364" i="1"/>
  <c r="G364" i="1"/>
  <c r="I364" i="1"/>
  <c r="A365" i="1"/>
  <c r="G365" i="1"/>
  <c r="I365" i="1"/>
  <c r="A366" i="1"/>
  <c r="G366" i="1"/>
  <c r="I366" i="1"/>
  <c r="A367" i="1"/>
  <c r="G367" i="1"/>
  <c r="I367" i="1"/>
  <c r="A368" i="1"/>
  <c r="G368" i="1"/>
  <c r="I368" i="1"/>
  <c r="A369" i="1"/>
  <c r="G369" i="1"/>
  <c r="I369" i="1"/>
  <c r="A370" i="1"/>
  <c r="G370" i="1"/>
  <c r="I370" i="1"/>
  <c r="A371" i="1"/>
  <c r="G371" i="1"/>
  <c r="I371" i="1"/>
  <c r="A372" i="1"/>
  <c r="G372" i="1"/>
  <c r="I372" i="1"/>
  <c r="A373" i="1"/>
  <c r="G373" i="1"/>
  <c r="I373" i="1"/>
  <c r="A374" i="1"/>
  <c r="G374" i="1"/>
  <c r="I374" i="1"/>
  <c r="A375" i="1"/>
  <c r="G375" i="1"/>
  <c r="I375" i="1"/>
  <c r="A376" i="1"/>
  <c r="G376" i="1"/>
  <c r="I376" i="1"/>
  <c r="A377" i="1"/>
  <c r="G377" i="1"/>
  <c r="I377" i="1"/>
  <c r="A378" i="1"/>
  <c r="G378" i="1"/>
  <c r="I378" i="1"/>
  <c r="A379" i="1"/>
  <c r="G379" i="1"/>
  <c r="I379" i="1"/>
  <c r="A380" i="1"/>
  <c r="G380" i="1"/>
  <c r="I380" i="1"/>
  <c r="A381" i="1"/>
  <c r="G381" i="1"/>
  <c r="I381" i="1"/>
  <c r="A382" i="1"/>
  <c r="G382" i="1"/>
  <c r="I382" i="1"/>
  <c r="A383" i="1"/>
  <c r="G383" i="1"/>
  <c r="I383" i="1"/>
  <c r="A384" i="1"/>
  <c r="G384" i="1"/>
  <c r="I384" i="1"/>
  <c r="A385" i="1"/>
  <c r="G385" i="1"/>
  <c r="I385" i="1"/>
  <c r="A386" i="1"/>
  <c r="G386" i="1"/>
  <c r="I386" i="1"/>
  <c r="A387" i="1"/>
  <c r="G387" i="1"/>
  <c r="I387" i="1"/>
  <c r="A388" i="1"/>
  <c r="G388" i="1"/>
  <c r="I388" i="1"/>
  <c r="A389" i="1"/>
  <c r="G389" i="1"/>
  <c r="I389" i="1"/>
  <c r="A390" i="1"/>
  <c r="G390" i="1"/>
  <c r="I390" i="1"/>
  <c r="A391" i="1"/>
  <c r="G391" i="1"/>
  <c r="I391" i="1"/>
  <c r="A392" i="1"/>
  <c r="G392" i="1"/>
  <c r="I392" i="1"/>
  <c r="A393" i="1"/>
  <c r="G393" i="1"/>
  <c r="I393" i="1"/>
  <c r="A394" i="1"/>
  <c r="G394" i="1"/>
  <c r="I394" i="1"/>
  <c r="A395" i="1"/>
  <c r="G395" i="1"/>
  <c r="I395" i="1"/>
  <c r="A396" i="1"/>
  <c r="G396" i="1"/>
  <c r="I396" i="1"/>
  <c r="A397" i="1"/>
  <c r="G397" i="1"/>
  <c r="I397" i="1"/>
  <c r="A398" i="1"/>
  <c r="G398" i="1"/>
  <c r="I398" i="1"/>
  <c r="A399" i="1"/>
  <c r="G399" i="1"/>
  <c r="I399" i="1"/>
  <c r="A400" i="1"/>
  <c r="G400" i="1"/>
  <c r="I400" i="1"/>
  <c r="A401" i="1"/>
  <c r="G401" i="1"/>
  <c r="I401" i="1"/>
  <c r="A402" i="1"/>
  <c r="G402" i="1"/>
  <c r="I402" i="1"/>
  <c r="A403" i="1"/>
  <c r="G403" i="1"/>
  <c r="I403" i="1"/>
  <c r="A404" i="1"/>
  <c r="G404" i="1"/>
  <c r="I404" i="1"/>
  <c r="A405" i="1"/>
  <c r="G405" i="1"/>
  <c r="I405" i="1"/>
  <c r="A406" i="1"/>
  <c r="G406" i="1"/>
  <c r="I406" i="1"/>
  <c r="A407" i="1"/>
  <c r="G407" i="1"/>
  <c r="I407" i="1"/>
  <c r="A408" i="1"/>
  <c r="G408" i="1"/>
  <c r="I408" i="1"/>
  <c r="A409" i="1"/>
  <c r="G409" i="1"/>
  <c r="I409" i="1"/>
  <c r="A410" i="1"/>
  <c r="G410" i="1"/>
  <c r="I410" i="1"/>
  <c r="A411" i="1"/>
  <c r="G411" i="1"/>
  <c r="I411" i="1"/>
  <c r="A412" i="1"/>
  <c r="G412" i="1"/>
  <c r="I412" i="1"/>
  <c r="A413" i="1"/>
  <c r="G413" i="1"/>
  <c r="I413" i="1"/>
  <c r="A414" i="1"/>
  <c r="G414" i="1"/>
  <c r="I414" i="1"/>
  <c r="A415" i="1"/>
  <c r="G415" i="1"/>
  <c r="I415" i="1"/>
  <c r="A416" i="1"/>
  <c r="G416" i="1"/>
  <c r="I416" i="1"/>
  <c r="A417" i="1"/>
  <c r="G417" i="1"/>
  <c r="I417" i="1"/>
  <c r="A418" i="1"/>
  <c r="G418" i="1"/>
  <c r="I418" i="1"/>
  <c r="A419" i="1"/>
  <c r="G419" i="1"/>
  <c r="I419" i="1"/>
  <c r="A420" i="1"/>
  <c r="G420" i="1"/>
  <c r="I420" i="1"/>
  <c r="A421" i="1"/>
  <c r="G421" i="1"/>
  <c r="I421" i="1"/>
  <c r="A422" i="1"/>
  <c r="G422" i="1"/>
  <c r="I422" i="1"/>
  <c r="A423" i="1"/>
  <c r="G423" i="1"/>
  <c r="I423" i="1"/>
  <c r="A424" i="1"/>
  <c r="G424" i="1"/>
  <c r="I424" i="1"/>
  <c r="A425" i="1"/>
  <c r="G425" i="1"/>
  <c r="I425" i="1"/>
  <c r="A426" i="1"/>
  <c r="G426" i="1"/>
  <c r="I426" i="1"/>
  <c r="A427" i="1"/>
  <c r="G427" i="1"/>
  <c r="I427" i="1"/>
  <c r="A428" i="1"/>
  <c r="G428" i="1"/>
  <c r="I428" i="1"/>
  <c r="A429" i="1"/>
  <c r="G429" i="1"/>
  <c r="I429" i="1"/>
  <c r="A430" i="1"/>
  <c r="G430" i="1"/>
  <c r="I430" i="1"/>
  <c r="A431" i="1"/>
  <c r="G431" i="1"/>
  <c r="I431" i="1"/>
  <c r="A432" i="1"/>
  <c r="G432" i="1"/>
  <c r="I432" i="1"/>
  <c r="A433" i="1"/>
  <c r="G433" i="1"/>
  <c r="I433" i="1"/>
  <c r="A434" i="1"/>
  <c r="G434" i="1"/>
  <c r="I434" i="1"/>
  <c r="A435" i="1"/>
  <c r="G435" i="1"/>
  <c r="I435" i="1"/>
  <c r="A436" i="1"/>
  <c r="G436" i="1"/>
  <c r="I436" i="1"/>
  <c r="A437" i="1"/>
  <c r="G437" i="1"/>
  <c r="I437" i="1"/>
  <c r="A438" i="1"/>
  <c r="G438" i="1"/>
  <c r="I438" i="1"/>
  <c r="A439" i="1"/>
  <c r="G439" i="1"/>
  <c r="I439" i="1"/>
  <c r="A440" i="1"/>
  <c r="G440" i="1"/>
  <c r="I440" i="1"/>
  <c r="A441" i="1"/>
  <c r="G441" i="1"/>
  <c r="I441" i="1"/>
  <c r="A442" i="1"/>
  <c r="G442" i="1"/>
  <c r="I442" i="1"/>
  <c r="A443" i="1"/>
  <c r="G443" i="1"/>
  <c r="I443" i="1"/>
  <c r="A444" i="1"/>
  <c r="G444" i="1"/>
  <c r="I444" i="1"/>
  <c r="A445" i="1"/>
  <c r="G445" i="1"/>
  <c r="I445" i="1"/>
  <c r="A446" i="1"/>
  <c r="G446" i="1"/>
  <c r="I446" i="1"/>
  <c r="A447" i="1"/>
  <c r="G447" i="1"/>
  <c r="I447" i="1"/>
  <c r="A448" i="1"/>
  <c r="G448" i="1"/>
  <c r="I448" i="1"/>
  <c r="A449" i="1"/>
  <c r="G449" i="1"/>
  <c r="I449" i="1"/>
  <c r="A450" i="1"/>
  <c r="G450" i="1"/>
  <c r="I450" i="1"/>
  <c r="A451" i="1"/>
  <c r="G451" i="1"/>
  <c r="I451" i="1"/>
  <c r="A452" i="1"/>
  <c r="G452" i="1"/>
  <c r="I452" i="1"/>
  <c r="A453" i="1"/>
  <c r="G453" i="1"/>
  <c r="I453" i="1"/>
  <c r="A454" i="1"/>
  <c r="G454" i="1"/>
  <c r="I454" i="1"/>
  <c r="A455" i="1"/>
  <c r="G455" i="1"/>
  <c r="I455" i="1"/>
  <c r="A456" i="1"/>
  <c r="G456" i="1"/>
  <c r="I456" i="1"/>
  <c r="A457" i="1"/>
  <c r="G457" i="1"/>
  <c r="I457" i="1"/>
  <c r="A458" i="1"/>
  <c r="G458" i="1"/>
  <c r="I458" i="1"/>
  <c r="A459" i="1"/>
  <c r="G459" i="1"/>
  <c r="I459" i="1"/>
  <c r="A460" i="1"/>
  <c r="G460" i="1"/>
  <c r="I460" i="1"/>
  <c r="A461" i="1"/>
  <c r="G461" i="1"/>
  <c r="I461" i="1"/>
  <c r="A462" i="1"/>
  <c r="G462" i="1"/>
  <c r="I462" i="1"/>
  <c r="A463" i="1"/>
  <c r="G463" i="1"/>
  <c r="I463" i="1"/>
  <c r="A464" i="1"/>
  <c r="G464" i="1"/>
  <c r="I464" i="1"/>
  <c r="A465" i="1"/>
  <c r="G465" i="1"/>
  <c r="I465" i="1"/>
  <c r="A466" i="1"/>
  <c r="G466" i="1"/>
  <c r="I466" i="1"/>
  <c r="A467" i="1"/>
  <c r="G467" i="1"/>
  <c r="I467" i="1"/>
  <c r="A468" i="1"/>
  <c r="G468" i="1"/>
  <c r="I468" i="1"/>
  <c r="A469" i="1"/>
  <c r="G469" i="1"/>
  <c r="I469" i="1"/>
  <c r="A470" i="1"/>
  <c r="G470" i="1"/>
  <c r="I470" i="1"/>
  <c r="A471" i="1"/>
  <c r="G471" i="1"/>
  <c r="I471" i="1"/>
  <c r="A472" i="1"/>
  <c r="G472" i="1"/>
  <c r="I472" i="1"/>
  <c r="A473" i="1"/>
  <c r="G473" i="1"/>
  <c r="I473" i="1"/>
  <c r="A474" i="1"/>
  <c r="G474" i="1"/>
  <c r="I474" i="1"/>
  <c r="A475" i="1"/>
  <c r="G475" i="1"/>
  <c r="I475" i="1"/>
  <c r="A476" i="1"/>
  <c r="G476" i="1"/>
  <c r="I476" i="1"/>
  <c r="A477" i="1"/>
  <c r="G477" i="1"/>
  <c r="I477" i="1"/>
  <c r="A478" i="1"/>
  <c r="G478" i="1"/>
  <c r="I478" i="1"/>
  <c r="A479" i="1"/>
  <c r="G479" i="1"/>
  <c r="I479" i="1"/>
  <c r="A480" i="1"/>
  <c r="G480" i="1"/>
  <c r="I480" i="1"/>
  <c r="A481" i="1"/>
  <c r="G481" i="1"/>
  <c r="I481" i="1"/>
  <c r="A482" i="1"/>
  <c r="G482" i="1"/>
  <c r="I482" i="1"/>
  <c r="A483" i="1"/>
  <c r="G483" i="1"/>
  <c r="I483" i="1"/>
  <c r="A484" i="1"/>
  <c r="G484" i="1"/>
  <c r="I484" i="1"/>
  <c r="A485" i="1"/>
  <c r="G485" i="1"/>
  <c r="I485" i="1"/>
  <c r="A486" i="1"/>
  <c r="G486" i="1"/>
  <c r="I486" i="1"/>
  <c r="A487" i="1"/>
  <c r="G487" i="1"/>
  <c r="I487" i="1"/>
  <c r="A488" i="1"/>
  <c r="G488" i="1"/>
  <c r="I488" i="1"/>
  <c r="A489" i="1"/>
  <c r="G489" i="1"/>
  <c r="I489" i="1"/>
  <c r="A490" i="1"/>
  <c r="G490" i="1"/>
  <c r="I490" i="1"/>
  <c r="A491" i="1"/>
  <c r="G491" i="1"/>
  <c r="I491" i="1"/>
  <c r="A492" i="1"/>
  <c r="G492" i="1"/>
  <c r="I492" i="1"/>
  <c r="A493" i="1"/>
  <c r="G493" i="1"/>
  <c r="I493" i="1"/>
  <c r="A494" i="1"/>
  <c r="G494" i="1"/>
  <c r="I494" i="1"/>
  <c r="A495" i="1"/>
  <c r="G495" i="1"/>
  <c r="I495" i="1"/>
  <c r="A496" i="1"/>
  <c r="G496" i="1"/>
  <c r="I496" i="1"/>
  <c r="A497" i="1"/>
  <c r="G497" i="1"/>
  <c r="I497" i="1"/>
  <c r="A498" i="1"/>
  <c r="G498" i="1"/>
  <c r="I498" i="1"/>
  <c r="A499" i="1"/>
  <c r="G499" i="1"/>
  <c r="I499" i="1"/>
  <c r="A500" i="1"/>
  <c r="G500" i="1"/>
  <c r="I500" i="1"/>
  <c r="A501" i="1"/>
  <c r="G501" i="1"/>
  <c r="I501" i="1"/>
  <c r="A502" i="1"/>
  <c r="G502" i="1"/>
  <c r="I502" i="1"/>
  <c r="A503" i="1"/>
  <c r="G503" i="1"/>
  <c r="I503" i="1"/>
  <c r="A504" i="1"/>
  <c r="G504" i="1"/>
  <c r="I504" i="1"/>
  <c r="A505" i="1"/>
  <c r="G505" i="1"/>
  <c r="I505" i="1"/>
  <c r="A506" i="1"/>
  <c r="G506" i="1"/>
  <c r="I506" i="1"/>
  <c r="A507" i="1"/>
  <c r="G507" i="1"/>
  <c r="I507" i="1"/>
  <c r="A508" i="1"/>
  <c r="G508" i="1"/>
  <c r="I508" i="1"/>
  <c r="A509" i="1"/>
  <c r="G509" i="1"/>
  <c r="I509" i="1"/>
  <c r="A510" i="1"/>
  <c r="G510" i="1"/>
  <c r="I510" i="1"/>
  <c r="A511" i="1"/>
  <c r="G511" i="1"/>
  <c r="I511" i="1"/>
  <c r="A512" i="1"/>
  <c r="G512" i="1"/>
  <c r="I512" i="1"/>
  <c r="A513" i="1"/>
  <c r="G513" i="1"/>
  <c r="I513" i="1"/>
  <c r="A514" i="1"/>
  <c r="G514" i="1"/>
  <c r="I514" i="1"/>
  <c r="A515" i="1"/>
  <c r="G515" i="1"/>
  <c r="I515" i="1"/>
  <c r="A516" i="1"/>
  <c r="G516" i="1"/>
  <c r="I516" i="1"/>
  <c r="A517" i="1"/>
  <c r="G517" i="1"/>
  <c r="I517" i="1"/>
  <c r="A518" i="1"/>
  <c r="G518" i="1"/>
  <c r="I518" i="1"/>
  <c r="A519" i="1"/>
  <c r="G519" i="1"/>
  <c r="I519" i="1"/>
  <c r="A520" i="1"/>
  <c r="G520" i="1"/>
  <c r="I520" i="1"/>
  <c r="A521" i="1"/>
  <c r="G521" i="1"/>
  <c r="I521" i="1"/>
  <c r="A522" i="1"/>
  <c r="G522" i="1"/>
  <c r="I522" i="1"/>
  <c r="A523" i="1"/>
  <c r="G523" i="1"/>
  <c r="I523" i="1"/>
  <c r="A524" i="1"/>
  <c r="G524" i="1"/>
  <c r="I524" i="1"/>
  <c r="A525" i="1"/>
  <c r="G525" i="1"/>
  <c r="I525" i="1"/>
  <c r="A526" i="1"/>
  <c r="G526" i="1"/>
  <c r="I526" i="1"/>
  <c r="A527" i="1"/>
  <c r="G527" i="1"/>
  <c r="I527" i="1"/>
  <c r="A528" i="1"/>
  <c r="G528" i="1"/>
  <c r="I528" i="1"/>
  <c r="A529" i="1"/>
  <c r="G529" i="1"/>
  <c r="I529" i="1"/>
  <c r="A530" i="1"/>
  <c r="G530" i="1"/>
  <c r="I530" i="1"/>
  <c r="A531" i="1"/>
  <c r="G531" i="1"/>
  <c r="I531" i="1"/>
  <c r="A532" i="1"/>
  <c r="G532" i="1"/>
  <c r="I532" i="1"/>
  <c r="A533" i="1"/>
  <c r="G533" i="1"/>
  <c r="I533" i="1"/>
  <c r="A534" i="1"/>
  <c r="G534" i="1"/>
  <c r="I534" i="1"/>
  <c r="A535" i="1"/>
  <c r="G535" i="1"/>
  <c r="I535" i="1"/>
  <c r="A536" i="1"/>
  <c r="G536" i="1"/>
  <c r="I536" i="1"/>
  <c r="A537" i="1"/>
  <c r="G537" i="1"/>
  <c r="I537" i="1"/>
  <c r="A538" i="1"/>
  <c r="G538" i="1"/>
  <c r="I538" i="1"/>
  <c r="A539" i="1"/>
  <c r="G539" i="1"/>
  <c r="I539" i="1"/>
  <c r="A540" i="1"/>
  <c r="G540" i="1"/>
  <c r="I540" i="1"/>
  <c r="A541" i="1"/>
  <c r="G541" i="1"/>
  <c r="I541" i="1"/>
  <c r="A542" i="1"/>
  <c r="G542" i="1"/>
  <c r="I542" i="1"/>
  <c r="A543" i="1"/>
  <c r="G543" i="1"/>
  <c r="I543" i="1"/>
  <c r="A544" i="1"/>
  <c r="G544" i="1"/>
  <c r="I544" i="1"/>
  <c r="A545" i="1"/>
  <c r="G545" i="1"/>
  <c r="I545" i="1"/>
  <c r="A546" i="1"/>
  <c r="G546" i="1"/>
  <c r="I546" i="1"/>
  <c r="A547" i="1"/>
  <c r="G547" i="1"/>
  <c r="I547" i="1"/>
  <c r="A548" i="1"/>
  <c r="G548" i="1"/>
  <c r="I548" i="1"/>
  <c r="A549" i="1"/>
  <c r="G549" i="1"/>
  <c r="I549" i="1"/>
  <c r="A550" i="1"/>
  <c r="G550" i="1"/>
  <c r="I550" i="1"/>
  <c r="A551" i="1"/>
  <c r="G551" i="1"/>
  <c r="I551" i="1"/>
  <c r="A552" i="1"/>
  <c r="G552" i="1"/>
  <c r="I552" i="1"/>
  <c r="A553" i="1"/>
  <c r="G553" i="1"/>
  <c r="I553" i="1"/>
  <c r="A554" i="1"/>
  <c r="G554" i="1"/>
  <c r="I554" i="1"/>
  <c r="A555" i="1"/>
  <c r="G555" i="1"/>
  <c r="I555" i="1"/>
  <c r="A556" i="1"/>
  <c r="G556" i="1"/>
  <c r="I556" i="1"/>
  <c r="A557" i="1"/>
  <c r="G557" i="1"/>
  <c r="I557" i="1"/>
  <c r="A558" i="1"/>
  <c r="G558" i="1"/>
  <c r="I558" i="1"/>
  <c r="A559" i="1"/>
  <c r="G559" i="1"/>
  <c r="I559" i="1"/>
  <c r="A560" i="1"/>
  <c r="G560" i="1"/>
  <c r="I560" i="1"/>
  <c r="A561" i="1"/>
  <c r="G561" i="1"/>
  <c r="I561" i="1"/>
  <c r="A562" i="1"/>
  <c r="G562" i="1"/>
  <c r="I562" i="1"/>
  <c r="A563" i="1"/>
  <c r="G563" i="1"/>
  <c r="I563" i="1"/>
  <c r="A564" i="1"/>
  <c r="G564" i="1"/>
  <c r="I564" i="1"/>
  <c r="A565" i="1"/>
  <c r="G565" i="1"/>
  <c r="I565" i="1"/>
  <c r="A566" i="1"/>
  <c r="G566" i="1"/>
  <c r="I566" i="1"/>
  <c r="A567" i="1"/>
  <c r="G567" i="1"/>
  <c r="I567" i="1"/>
  <c r="A568" i="1"/>
  <c r="G568" i="1"/>
  <c r="I568" i="1"/>
  <c r="A569" i="1"/>
  <c r="G569" i="1"/>
  <c r="I569" i="1"/>
  <c r="A570" i="1"/>
  <c r="G570" i="1"/>
  <c r="I570" i="1"/>
  <c r="A571" i="1"/>
  <c r="G571" i="1"/>
  <c r="I571" i="1"/>
  <c r="A572" i="1"/>
  <c r="G572" i="1"/>
  <c r="I572" i="1"/>
  <c r="A573" i="1"/>
  <c r="G573" i="1"/>
  <c r="I573" i="1"/>
  <c r="A574" i="1"/>
  <c r="G574" i="1"/>
  <c r="I574" i="1"/>
  <c r="A575" i="1"/>
  <c r="G575" i="1"/>
  <c r="I575" i="1"/>
  <c r="A576" i="1"/>
  <c r="G576" i="1"/>
  <c r="I576" i="1"/>
  <c r="A577" i="1"/>
  <c r="G577" i="1"/>
  <c r="I577" i="1"/>
  <c r="A578" i="1"/>
  <c r="G578" i="1"/>
  <c r="I578" i="1"/>
  <c r="A579" i="1"/>
  <c r="G579" i="1"/>
  <c r="I579" i="1"/>
  <c r="A580" i="1"/>
  <c r="G580" i="1"/>
  <c r="I580" i="1"/>
  <c r="A581" i="1"/>
  <c r="G581" i="1"/>
  <c r="I581" i="1"/>
  <c r="A582" i="1"/>
  <c r="G582" i="1"/>
  <c r="I582" i="1"/>
  <c r="A583" i="1"/>
  <c r="G583" i="1"/>
  <c r="I583" i="1"/>
  <c r="A584" i="1"/>
  <c r="G584" i="1"/>
  <c r="I584" i="1"/>
  <c r="A585" i="1"/>
  <c r="G585" i="1"/>
  <c r="I585" i="1"/>
  <c r="A586" i="1"/>
  <c r="G586" i="1"/>
  <c r="I586" i="1"/>
  <c r="A587" i="1"/>
  <c r="G587" i="1"/>
  <c r="I587" i="1"/>
  <c r="A588" i="1"/>
  <c r="G588" i="1"/>
  <c r="I588" i="1"/>
  <c r="A589" i="1"/>
  <c r="G589" i="1"/>
  <c r="I589" i="1"/>
  <c r="A590" i="1"/>
  <c r="G590" i="1"/>
  <c r="I590" i="1"/>
  <c r="A591" i="1"/>
  <c r="G591" i="1"/>
  <c r="I591" i="1"/>
  <c r="A592" i="1"/>
  <c r="G592" i="1"/>
  <c r="I592" i="1"/>
  <c r="A593" i="1"/>
  <c r="G593" i="1"/>
  <c r="I593" i="1"/>
  <c r="A594" i="1"/>
  <c r="G594" i="1"/>
  <c r="I594" i="1"/>
  <c r="A595" i="1"/>
  <c r="G595" i="1"/>
  <c r="I595" i="1"/>
  <c r="A596" i="1"/>
  <c r="G596" i="1"/>
  <c r="I596" i="1"/>
  <c r="A597" i="1"/>
  <c r="G597" i="1"/>
  <c r="I597" i="1"/>
  <c r="A598" i="1"/>
  <c r="G598" i="1"/>
  <c r="I598" i="1"/>
  <c r="A599" i="1"/>
  <c r="G599" i="1"/>
  <c r="I599" i="1"/>
  <c r="A600" i="1"/>
  <c r="G600" i="1"/>
  <c r="I600" i="1"/>
  <c r="A601" i="1"/>
  <c r="G601" i="1"/>
  <c r="I601" i="1"/>
  <c r="A602" i="1"/>
  <c r="G602" i="1"/>
  <c r="I602" i="1"/>
  <c r="A603" i="1"/>
  <c r="G603" i="1"/>
  <c r="I603" i="1"/>
  <c r="A604" i="1"/>
  <c r="G604" i="1"/>
  <c r="I604" i="1"/>
  <c r="A605" i="1"/>
  <c r="G605" i="1"/>
  <c r="I605" i="1"/>
  <c r="A606" i="1"/>
  <c r="G606" i="1"/>
  <c r="I606" i="1"/>
  <c r="A607" i="1"/>
  <c r="G607" i="1"/>
  <c r="I607" i="1"/>
  <c r="A608" i="1"/>
  <c r="G608" i="1"/>
  <c r="I608" i="1"/>
  <c r="A609" i="1"/>
  <c r="G609" i="1"/>
  <c r="I609" i="1"/>
  <c r="A610" i="1"/>
  <c r="G610" i="1"/>
  <c r="I610" i="1"/>
  <c r="A611" i="1"/>
  <c r="G611" i="1"/>
  <c r="I611" i="1"/>
  <c r="A612" i="1"/>
  <c r="G612" i="1"/>
  <c r="I612" i="1"/>
  <c r="A613" i="1"/>
  <c r="G613" i="1"/>
  <c r="I613" i="1"/>
  <c r="A614" i="1"/>
  <c r="G614" i="1"/>
  <c r="I614" i="1"/>
  <c r="A615" i="1"/>
  <c r="G615" i="1"/>
  <c r="I615" i="1"/>
  <c r="A616" i="1"/>
  <c r="G616" i="1"/>
  <c r="I616" i="1"/>
  <c r="A617" i="1"/>
  <c r="G617" i="1"/>
  <c r="I617" i="1"/>
  <c r="A618" i="1"/>
  <c r="G618" i="1"/>
  <c r="I618" i="1"/>
  <c r="A619" i="1"/>
  <c r="G619" i="1"/>
  <c r="I619" i="1"/>
  <c r="A620" i="1"/>
  <c r="G620" i="1"/>
  <c r="I620" i="1"/>
  <c r="A621" i="1"/>
  <c r="G621" i="1"/>
  <c r="I621" i="1"/>
  <c r="A622" i="1"/>
  <c r="G622" i="1"/>
  <c r="I622" i="1"/>
  <c r="A623" i="1"/>
  <c r="G623" i="1"/>
  <c r="I623" i="1"/>
  <c r="A624" i="1"/>
  <c r="G624" i="1"/>
  <c r="I624" i="1"/>
  <c r="A625" i="1"/>
  <c r="G625" i="1"/>
  <c r="I625" i="1"/>
  <c r="A626" i="1"/>
  <c r="G626" i="1"/>
  <c r="I626" i="1"/>
  <c r="A627" i="1"/>
  <c r="G627" i="1"/>
  <c r="I627" i="1"/>
  <c r="A628" i="1"/>
  <c r="G628" i="1"/>
  <c r="I628" i="1"/>
  <c r="A629" i="1"/>
  <c r="G629" i="1"/>
  <c r="I629" i="1"/>
  <c r="A630" i="1"/>
  <c r="G630" i="1"/>
  <c r="I630" i="1"/>
  <c r="A631" i="1"/>
  <c r="G631" i="1"/>
  <c r="I631" i="1"/>
  <c r="A632" i="1"/>
  <c r="G632" i="1"/>
  <c r="I632" i="1"/>
  <c r="A633" i="1"/>
  <c r="G633" i="1"/>
  <c r="I633" i="1"/>
  <c r="A634" i="1"/>
  <c r="G634" i="1"/>
  <c r="I634" i="1"/>
  <c r="A635" i="1"/>
  <c r="G635" i="1"/>
  <c r="I635" i="1"/>
  <c r="A636" i="1"/>
  <c r="G636" i="1"/>
  <c r="I636" i="1"/>
  <c r="A637" i="1"/>
  <c r="G637" i="1"/>
  <c r="I637" i="1"/>
  <c r="A638" i="1"/>
  <c r="G638" i="1"/>
  <c r="I638" i="1"/>
  <c r="A639" i="1"/>
  <c r="G639" i="1"/>
  <c r="I639" i="1"/>
  <c r="A640" i="1"/>
  <c r="G640" i="1"/>
  <c r="I640" i="1"/>
  <c r="A641" i="1"/>
  <c r="G641" i="1"/>
  <c r="A642" i="1"/>
  <c r="G642" i="1"/>
  <c r="I642" i="1"/>
  <c r="A643" i="1"/>
  <c r="G643" i="1"/>
  <c r="I643" i="1"/>
  <c r="A644" i="1"/>
  <c r="G644" i="1"/>
  <c r="I644" i="1"/>
  <c r="A645" i="1"/>
  <c r="G645" i="1"/>
  <c r="I645" i="1"/>
  <c r="A646" i="1"/>
  <c r="G646" i="1"/>
  <c r="I646" i="1"/>
  <c r="A647" i="1"/>
  <c r="G647" i="1"/>
  <c r="I647" i="1"/>
  <c r="A648" i="1"/>
  <c r="G648" i="1"/>
  <c r="I648" i="1"/>
  <c r="A649" i="1"/>
  <c r="G649" i="1"/>
  <c r="I649" i="1"/>
  <c r="A650" i="1"/>
  <c r="G650" i="1"/>
  <c r="I650" i="1"/>
  <c r="A651" i="1"/>
  <c r="G651" i="1"/>
  <c r="I651" i="1"/>
  <c r="A652" i="1"/>
  <c r="G652" i="1"/>
  <c r="I652" i="1"/>
  <c r="A653" i="1"/>
  <c r="G653" i="1"/>
  <c r="I653" i="1"/>
  <c r="A654" i="1"/>
  <c r="G654" i="1"/>
  <c r="I654" i="1"/>
  <c r="A655" i="1"/>
  <c r="G655" i="1"/>
  <c r="I655" i="1"/>
  <c r="A656" i="1"/>
  <c r="G656" i="1"/>
  <c r="I656" i="1"/>
  <c r="A657" i="1"/>
  <c r="G657" i="1"/>
  <c r="I657" i="1"/>
  <c r="A658" i="1"/>
  <c r="G658" i="1"/>
  <c r="I658" i="1"/>
  <c r="A659" i="1"/>
  <c r="G659" i="1"/>
  <c r="I659" i="1"/>
  <c r="A660" i="1"/>
  <c r="G660" i="1"/>
  <c r="I660" i="1"/>
  <c r="A661" i="1"/>
  <c r="G661" i="1"/>
  <c r="I661" i="1"/>
  <c r="A662" i="1"/>
  <c r="G662" i="1"/>
  <c r="I662" i="1"/>
  <c r="A663" i="1"/>
  <c r="G663" i="1"/>
  <c r="I663" i="1"/>
  <c r="A664" i="1"/>
  <c r="G664" i="1"/>
  <c r="I664" i="1"/>
  <c r="A665" i="1"/>
  <c r="G665" i="1"/>
  <c r="I665" i="1"/>
  <c r="A666" i="1"/>
  <c r="G666" i="1"/>
  <c r="I666" i="1"/>
  <c r="A667" i="1"/>
  <c r="G667" i="1"/>
  <c r="I667" i="1"/>
  <c r="A668" i="1"/>
  <c r="G668" i="1"/>
  <c r="I668" i="1"/>
  <c r="A669" i="1"/>
  <c r="G669" i="1"/>
  <c r="I669" i="1"/>
  <c r="A670" i="1"/>
  <c r="G670" i="1"/>
  <c r="I670" i="1"/>
  <c r="A671" i="1"/>
  <c r="G671" i="1"/>
  <c r="I671" i="1"/>
  <c r="A672" i="1"/>
  <c r="G672" i="1"/>
  <c r="I672" i="1"/>
  <c r="A673" i="1"/>
  <c r="G673" i="1"/>
  <c r="I673" i="1"/>
  <c r="A674" i="1"/>
  <c r="G674" i="1"/>
  <c r="I674" i="1"/>
  <c r="A675" i="1"/>
  <c r="G675" i="1"/>
  <c r="I675" i="1"/>
  <c r="A676" i="1"/>
  <c r="G676" i="1"/>
  <c r="I676" i="1"/>
  <c r="A677" i="1"/>
  <c r="G677" i="1"/>
  <c r="I677" i="1"/>
  <c r="A678" i="1"/>
  <c r="G678" i="1"/>
  <c r="I678" i="1"/>
  <c r="A679" i="1"/>
  <c r="G679" i="1"/>
  <c r="I679" i="1"/>
  <c r="A680" i="1"/>
  <c r="G680" i="1"/>
  <c r="I680" i="1"/>
  <c r="A681" i="1"/>
  <c r="G681" i="1"/>
  <c r="I681" i="1"/>
  <c r="A682" i="1"/>
  <c r="G682" i="1"/>
  <c r="I682" i="1"/>
  <c r="A683" i="1"/>
  <c r="G683" i="1"/>
  <c r="I683" i="1"/>
  <c r="A684" i="1"/>
  <c r="G684" i="1"/>
  <c r="I684" i="1"/>
  <c r="A685" i="1"/>
  <c r="G685" i="1"/>
  <c r="I685" i="1"/>
  <c r="A686" i="1"/>
  <c r="G686" i="1"/>
  <c r="I686" i="1"/>
  <c r="A687" i="1"/>
  <c r="G687" i="1"/>
  <c r="I687" i="1"/>
  <c r="A688" i="1"/>
  <c r="G688" i="1"/>
  <c r="I688" i="1"/>
  <c r="A689" i="1"/>
  <c r="G689" i="1"/>
  <c r="I689" i="1"/>
  <c r="A690" i="1"/>
  <c r="G690" i="1"/>
  <c r="I690" i="1"/>
  <c r="A691" i="1"/>
  <c r="G691" i="1"/>
  <c r="I691" i="1"/>
  <c r="A692" i="1"/>
  <c r="G692" i="1"/>
  <c r="I692" i="1"/>
  <c r="A693" i="1"/>
  <c r="G693" i="1"/>
  <c r="I693" i="1"/>
  <c r="A694" i="1"/>
  <c r="G694" i="1"/>
  <c r="I694" i="1"/>
  <c r="A695" i="1"/>
  <c r="G695" i="1"/>
  <c r="I695" i="1"/>
  <c r="A696" i="1"/>
  <c r="G696" i="1"/>
  <c r="I696" i="1"/>
  <c r="A697" i="1"/>
  <c r="G697" i="1"/>
  <c r="I697" i="1"/>
  <c r="A698" i="1"/>
  <c r="G698" i="1"/>
  <c r="I698" i="1"/>
  <c r="A699" i="1"/>
  <c r="G699" i="1"/>
  <c r="I699" i="1"/>
  <c r="A700" i="1"/>
  <c r="G700" i="1"/>
  <c r="I700" i="1"/>
  <c r="A701" i="1"/>
  <c r="G701" i="1"/>
  <c r="I701" i="1"/>
  <c r="A702" i="1"/>
  <c r="G702" i="1"/>
  <c r="I702" i="1"/>
  <c r="A703" i="1"/>
  <c r="G703" i="1"/>
  <c r="I703" i="1"/>
  <c r="A704" i="1"/>
  <c r="G704" i="1"/>
  <c r="I704" i="1"/>
  <c r="A705" i="1"/>
  <c r="G705" i="1"/>
  <c r="I705" i="1"/>
  <c r="A706" i="1"/>
  <c r="G706" i="1"/>
  <c r="I706" i="1"/>
  <c r="A707" i="1"/>
  <c r="G707" i="1"/>
  <c r="I707" i="1"/>
  <c r="A708" i="1"/>
  <c r="G708" i="1"/>
  <c r="I708" i="1"/>
  <c r="A709" i="1"/>
  <c r="G709" i="1"/>
  <c r="I709" i="1"/>
  <c r="A710" i="1"/>
  <c r="G710" i="1"/>
  <c r="I710" i="1"/>
  <c r="A711" i="1"/>
  <c r="G711" i="1"/>
  <c r="I711" i="1"/>
  <c r="A712" i="1"/>
  <c r="G712" i="1"/>
  <c r="A713" i="1"/>
  <c r="G713" i="1"/>
  <c r="I713" i="1"/>
  <c r="A714" i="1"/>
  <c r="G714" i="1"/>
  <c r="I714" i="1"/>
  <c r="A715" i="1"/>
  <c r="G715" i="1"/>
  <c r="I715" i="1"/>
  <c r="A716" i="1"/>
  <c r="G716" i="1"/>
  <c r="I716" i="1"/>
  <c r="A717" i="1"/>
  <c r="G717" i="1"/>
  <c r="I717" i="1"/>
  <c r="A718" i="1"/>
  <c r="G718" i="1"/>
  <c r="I718" i="1"/>
  <c r="A719" i="1"/>
  <c r="G719" i="1"/>
  <c r="I719" i="1"/>
  <c r="A720" i="1"/>
  <c r="G720" i="1"/>
  <c r="I720" i="1"/>
  <c r="A721" i="1"/>
  <c r="G721" i="1"/>
  <c r="I721" i="1"/>
  <c r="A722" i="1"/>
  <c r="G722" i="1"/>
  <c r="I722" i="1"/>
  <c r="A723" i="1"/>
  <c r="G723" i="1"/>
  <c r="I723" i="1"/>
  <c r="A724" i="1"/>
  <c r="G724" i="1"/>
  <c r="I724" i="1"/>
  <c r="A725" i="1"/>
  <c r="G725" i="1"/>
  <c r="I725" i="1"/>
  <c r="A726" i="1"/>
  <c r="G726" i="1"/>
  <c r="I726" i="1"/>
  <c r="A727" i="1"/>
  <c r="G727" i="1"/>
  <c r="I727" i="1"/>
  <c r="A728" i="1"/>
  <c r="G728" i="1"/>
  <c r="I728" i="1"/>
  <c r="A729" i="1"/>
  <c r="G729" i="1"/>
  <c r="I729" i="1"/>
  <c r="A730" i="1"/>
  <c r="G730" i="1"/>
  <c r="I730" i="1"/>
  <c r="A731" i="1"/>
  <c r="G731" i="1"/>
  <c r="I731" i="1"/>
  <c r="A732" i="1"/>
  <c r="G732" i="1"/>
  <c r="I732" i="1"/>
  <c r="A733" i="1"/>
  <c r="G733" i="1"/>
  <c r="I733" i="1"/>
  <c r="A734" i="1"/>
  <c r="G734" i="1"/>
  <c r="I734" i="1"/>
  <c r="A735" i="1"/>
  <c r="G735" i="1"/>
  <c r="I735" i="1"/>
  <c r="A736" i="1"/>
  <c r="G736" i="1"/>
  <c r="I736" i="1"/>
  <c r="A737" i="1"/>
  <c r="G737" i="1"/>
  <c r="I737" i="1"/>
  <c r="A738" i="1"/>
  <c r="G738" i="1"/>
  <c r="I738" i="1"/>
  <c r="A739" i="1"/>
  <c r="G739" i="1"/>
  <c r="I739" i="1"/>
  <c r="A740" i="1"/>
  <c r="G740" i="1"/>
  <c r="I740" i="1"/>
  <c r="A741" i="1"/>
  <c r="G741" i="1"/>
  <c r="I741" i="1"/>
  <c r="A742" i="1"/>
  <c r="G742" i="1"/>
  <c r="I742" i="1"/>
  <c r="A743" i="1"/>
  <c r="G743" i="1"/>
  <c r="I743" i="1"/>
  <c r="A744" i="1"/>
  <c r="G744" i="1"/>
  <c r="I744" i="1"/>
  <c r="A745" i="1"/>
  <c r="G745" i="1"/>
  <c r="I745" i="1"/>
  <c r="A746" i="1"/>
  <c r="G746" i="1"/>
  <c r="I746" i="1"/>
  <c r="A747" i="1"/>
  <c r="G747" i="1"/>
  <c r="I747" i="1"/>
  <c r="A748" i="1"/>
  <c r="G748" i="1"/>
  <c r="I748" i="1"/>
  <c r="A749" i="1"/>
  <c r="G749" i="1"/>
  <c r="I749" i="1"/>
  <c r="A750" i="1"/>
  <c r="G750" i="1"/>
  <c r="I750" i="1"/>
  <c r="A751" i="1"/>
  <c r="G751" i="1"/>
  <c r="I751" i="1"/>
  <c r="A752" i="1"/>
  <c r="G752" i="1"/>
  <c r="I752" i="1"/>
  <c r="A753" i="1"/>
  <c r="G753" i="1"/>
  <c r="I753" i="1"/>
  <c r="A754" i="1"/>
  <c r="G754" i="1"/>
  <c r="I754" i="1"/>
  <c r="A755" i="1"/>
  <c r="G755" i="1"/>
  <c r="I755" i="1"/>
  <c r="A756" i="1"/>
  <c r="G756" i="1"/>
  <c r="I756" i="1"/>
  <c r="A757" i="1"/>
  <c r="G757" i="1"/>
  <c r="I757" i="1"/>
  <c r="A758" i="1"/>
  <c r="G758" i="1"/>
  <c r="I758" i="1"/>
  <c r="A759" i="1"/>
  <c r="G759" i="1"/>
  <c r="I759" i="1"/>
  <c r="A760" i="1"/>
  <c r="G760" i="1"/>
  <c r="I760" i="1"/>
  <c r="A761" i="1"/>
  <c r="G761" i="1"/>
  <c r="I761" i="1"/>
  <c r="A762" i="1"/>
  <c r="G762" i="1"/>
  <c r="I762" i="1"/>
  <c r="A763" i="1"/>
  <c r="G763" i="1"/>
  <c r="I763" i="1"/>
  <c r="A764" i="1"/>
  <c r="G764" i="1"/>
  <c r="I764" i="1"/>
  <c r="A765" i="1"/>
  <c r="G765" i="1"/>
  <c r="I765" i="1"/>
  <c r="A766" i="1"/>
  <c r="G766" i="1"/>
  <c r="I766" i="1"/>
  <c r="A767" i="1"/>
  <c r="G767" i="1"/>
  <c r="I767" i="1"/>
  <c r="A768" i="1"/>
  <c r="G768" i="1"/>
  <c r="I768" i="1"/>
  <c r="A769" i="1"/>
  <c r="G769" i="1"/>
  <c r="I769" i="1"/>
  <c r="A770" i="1"/>
  <c r="I770" i="1"/>
  <c r="A771" i="1"/>
  <c r="G771" i="1"/>
  <c r="I771" i="1"/>
  <c r="A772" i="1"/>
  <c r="G772" i="1"/>
  <c r="I772" i="1"/>
  <c r="A773" i="1"/>
  <c r="G773" i="1"/>
  <c r="I773" i="1"/>
  <c r="A774" i="1"/>
  <c r="G774" i="1"/>
  <c r="I774" i="1"/>
  <c r="A775" i="1"/>
  <c r="G775" i="1"/>
  <c r="I775" i="1"/>
  <c r="A776" i="1"/>
  <c r="G776" i="1"/>
  <c r="I776" i="1"/>
  <c r="A777" i="1"/>
  <c r="G777" i="1"/>
  <c r="I777" i="1"/>
  <c r="A778" i="1"/>
  <c r="G778" i="1"/>
  <c r="I778" i="1"/>
  <c r="A779" i="1"/>
  <c r="G779" i="1"/>
  <c r="I779" i="1"/>
  <c r="A780" i="1"/>
  <c r="G780" i="1"/>
  <c r="I780" i="1"/>
  <c r="A781" i="1"/>
  <c r="G781" i="1"/>
  <c r="I781" i="1"/>
  <c r="A782" i="1"/>
  <c r="G782" i="1"/>
  <c r="I782" i="1"/>
  <c r="A783" i="1"/>
  <c r="G783" i="1"/>
  <c r="I783" i="1"/>
  <c r="A784" i="1"/>
  <c r="G784" i="1"/>
  <c r="I784" i="1"/>
  <c r="A785" i="1"/>
  <c r="G785" i="1"/>
  <c r="I785" i="1"/>
  <c r="A786" i="1"/>
  <c r="G786" i="1"/>
  <c r="I786" i="1"/>
  <c r="A787" i="1"/>
  <c r="G787" i="1"/>
  <c r="I787" i="1"/>
  <c r="A788" i="1"/>
  <c r="G788" i="1"/>
  <c r="I788" i="1"/>
  <c r="A789" i="1"/>
  <c r="G789" i="1"/>
  <c r="I789" i="1"/>
  <c r="A790" i="1"/>
  <c r="G790" i="1"/>
  <c r="I790" i="1"/>
  <c r="A791" i="1"/>
  <c r="G791" i="1"/>
  <c r="I791" i="1"/>
  <c r="A792" i="1"/>
  <c r="G792" i="1"/>
  <c r="I792" i="1"/>
  <c r="A793" i="1"/>
  <c r="G793" i="1"/>
  <c r="I793" i="1"/>
  <c r="A794" i="1"/>
  <c r="G794" i="1"/>
  <c r="I794" i="1"/>
  <c r="A795" i="1"/>
  <c r="G795" i="1"/>
  <c r="I795" i="1"/>
  <c r="A796" i="1"/>
  <c r="G796" i="1"/>
  <c r="I796" i="1"/>
  <c r="A797" i="1"/>
  <c r="G797" i="1"/>
  <c r="I797" i="1"/>
  <c r="A798" i="1"/>
  <c r="G798" i="1"/>
  <c r="I798" i="1"/>
  <c r="A799" i="1"/>
  <c r="G799" i="1"/>
  <c r="I799" i="1"/>
  <c r="A800" i="1"/>
  <c r="G800" i="1"/>
  <c r="I800" i="1"/>
  <c r="A801" i="1"/>
  <c r="G801" i="1"/>
  <c r="I801" i="1"/>
  <c r="A802" i="1"/>
  <c r="G802" i="1"/>
  <c r="I802" i="1"/>
  <c r="A803" i="1"/>
  <c r="G803" i="1"/>
  <c r="I803" i="1"/>
  <c r="A804" i="1"/>
  <c r="G804" i="1"/>
  <c r="I804" i="1"/>
  <c r="A805" i="1"/>
  <c r="G805" i="1"/>
  <c r="I805" i="1"/>
  <c r="A806" i="1"/>
  <c r="G806" i="1"/>
  <c r="I806" i="1"/>
  <c r="A807" i="1"/>
  <c r="G807" i="1"/>
  <c r="I807" i="1"/>
  <c r="A808" i="1"/>
  <c r="G808" i="1"/>
  <c r="I808" i="1"/>
  <c r="A809" i="1"/>
  <c r="G809" i="1"/>
  <c r="I809" i="1"/>
  <c r="A810" i="1"/>
  <c r="G810" i="1"/>
  <c r="I810" i="1"/>
  <c r="A811" i="1"/>
  <c r="G811" i="1"/>
  <c r="I811" i="1"/>
  <c r="A812" i="1"/>
  <c r="G812" i="1"/>
  <c r="I812" i="1"/>
  <c r="A813" i="1"/>
  <c r="G813" i="1"/>
  <c r="I813" i="1"/>
  <c r="A814" i="1"/>
  <c r="G814" i="1"/>
  <c r="I814" i="1"/>
  <c r="A815" i="1"/>
  <c r="G815" i="1"/>
  <c r="I815" i="1"/>
  <c r="A816" i="1"/>
  <c r="G816" i="1"/>
  <c r="I816" i="1"/>
  <c r="A817" i="1"/>
  <c r="G817" i="1"/>
  <c r="I817" i="1"/>
  <c r="A818" i="1"/>
  <c r="G818" i="1"/>
  <c r="I818" i="1"/>
  <c r="A819" i="1"/>
  <c r="G819" i="1"/>
  <c r="I819" i="1"/>
  <c r="A820" i="1"/>
  <c r="G820" i="1"/>
  <c r="I820" i="1"/>
  <c r="A821" i="1"/>
  <c r="G821" i="1"/>
  <c r="I821" i="1"/>
  <c r="A822" i="1"/>
  <c r="G822" i="1"/>
  <c r="I822" i="1"/>
  <c r="A823" i="1"/>
  <c r="G823" i="1"/>
  <c r="I823" i="1"/>
  <c r="A824" i="1"/>
  <c r="G824" i="1"/>
  <c r="I824" i="1"/>
  <c r="A825" i="1"/>
  <c r="G825" i="1"/>
  <c r="I825" i="1"/>
  <c r="A826" i="1"/>
  <c r="G826" i="1"/>
  <c r="I826" i="1"/>
  <c r="A827" i="1"/>
  <c r="G827" i="1"/>
  <c r="I827" i="1"/>
  <c r="A828" i="1"/>
  <c r="G828" i="1"/>
  <c r="I828" i="1"/>
  <c r="A829" i="1"/>
  <c r="G829" i="1"/>
  <c r="I829" i="1"/>
  <c r="A830" i="1"/>
  <c r="G830" i="1"/>
  <c r="I830" i="1"/>
  <c r="A831" i="1"/>
  <c r="G831" i="1"/>
  <c r="I831" i="1"/>
  <c r="A832" i="1"/>
  <c r="G832" i="1"/>
  <c r="I832" i="1"/>
  <c r="A833" i="1"/>
  <c r="G833" i="1"/>
  <c r="I833" i="1"/>
  <c r="A834" i="1"/>
  <c r="G834" i="1"/>
  <c r="I834" i="1"/>
  <c r="A835" i="1"/>
  <c r="G835" i="1"/>
  <c r="I835" i="1"/>
  <c r="A836" i="1"/>
  <c r="G836" i="1"/>
  <c r="I836" i="1"/>
  <c r="A837" i="1"/>
  <c r="G837" i="1"/>
  <c r="I837" i="1"/>
  <c r="A838" i="1"/>
  <c r="G838" i="1"/>
  <c r="I838" i="1"/>
  <c r="A839" i="1"/>
  <c r="G839" i="1"/>
  <c r="I839" i="1"/>
  <c r="A840" i="1"/>
  <c r="G840" i="1"/>
  <c r="I840" i="1"/>
  <c r="A841" i="1"/>
  <c r="G841" i="1"/>
  <c r="I841" i="1"/>
  <c r="A842" i="1"/>
  <c r="G842" i="1"/>
  <c r="I842" i="1"/>
  <c r="A843" i="1"/>
  <c r="G843" i="1"/>
  <c r="I843" i="1"/>
  <c r="A844" i="1"/>
  <c r="G844" i="1"/>
  <c r="I844" i="1"/>
  <c r="A845" i="1"/>
  <c r="G845" i="1"/>
  <c r="I845" i="1"/>
  <c r="A846" i="1"/>
  <c r="G846" i="1"/>
  <c r="I846" i="1"/>
  <c r="A847" i="1"/>
  <c r="G847" i="1"/>
  <c r="I847" i="1"/>
  <c r="A848" i="1"/>
  <c r="G848" i="1"/>
  <c r="I848" i="1"/>
  <c r="A849" i="1"/>
  <c r="G849" i="1"/>
  <c r="I849" i="1"/>
  <c r="A850" i="1"/>
  <c r="G850" i="1"/>
  <c r="I850" i="1"/>
  <c r="A851" i="1"/>
  <c r="G851" i="1"/>
  <c r="I851" i="1"/>
  <c r="A852" i="1"/>
  <c r="G852" i="1"/>
  <c r="I852" i="1"/>
  <c r="A853" i="1"/>
  <c r="G853" i="1"/>
  <c r="I853" i="1"/>
  <c r="A854" i="1"/>
  <c r="G854" i="1"/>
  <c r="I854" i="1"/>
  <c r="A855" i="1"/>
  <c r="G855" i="1"/>
  <c r="I855" i="1"/>
  <c r="A856" i="1"/>
  <c r="G856" i="1"/>
  <c r="I856" i="1"/>
  <c r="A857" i="1"/>
  <c r="G857" i="1"/>
  <c r="I857" i="1"/>
  <c r="A858" i="1"/>
  <c r="G858" i="1"/>
  <c r="I858" i="1"/>
  <c r="A859" i="1"/>
  <c r="G859" i="1"/>
  <c r="I859" i="1"/>
  <c r="A860" i="1"/>
  <c r="G860" i="1"/>
  <c r="I860" i="1"/>
  <c r="A861" i="1"/>
  <c r="G861" i="1"/>
  <c r="I861" i="1"/>
  <c r="A862" i="1"/>
  <c r="G862" i="1"/>
  <c r="I862" i="1"/>
  <c r="A863" i="1"/>
  <c r="G863" i="1"/>
  <c r="I863" i="1"/>
  <c r="A864" i="1"/>
  <c r="G864" i="1"/>
  <c r="I864" i="1"/>
  <c r="A865" i="1"/>
  <c r="G865" i="1"/>
  <c r="I865" i="1"/>
  <c r="A866" i="1"/>
  <c r="G866" i="1"/>
  <c r="I866" i="1"/>
  <c r="A867" i="1"/>
  <c r="G867" i="1"/>
  <c r="I867" i="1"/>
  <c r="A868" i="1"/>
  <c r="G868" i="1"/>
  <c r="I868" i="1"/>
  <c r="A869" i="1"/>
  <c r="G869" i="1"/>
  <c r="I869" i="1"/>
  <c r="A870" i="1"/>
  <c r="G870" i="1"/>
  <c r="I870" i="1"/>
  <c r="A871" i="1"/>
  <c r="G871" i="1"/>
  <c r="I871" i="1"/>
  <c r="A872" i="1"/>
  <c r="G872" i="1"/>
  <c r="I872" i="1"/>
  <c r="A873" i="1"/>
  <c r="G873" i="1"/>
  <c r="I873" i="1"/>
  <c r="A874" i="1"/>
  <c r="G874" i="1"/>
  <c r="I874" i="1"/>
  <c r="A875" i="1"/>
  <c r="G875" i="1"/>
  <c r="I875" i="1"/>
  <c r="A876" i="1"/>
  <c r="G876" i="1"/>
  <c r="I876" i="1"/>
  <c r="A877" i="1"/>
  <c r="G877" i="1"/>
  <c r="I877" i="1"/>
  <c r="A878" i="1"/>
  <c r="G878" i="1"/>
  <c r="I878" i="1"/>
  <c r="A879" i="1"/>
  <c r="G879" i="1"/>
  <c r="I879" i="1"/>
  <c r="A880" i="1"/>
  <c r="G880" i="1"/>
  <c r="I880" i="1"/>
  <c r="A881" i="1"/>
  <c r="G881" i="1"/>
  <c r="I881" i="1"/>
  <c r="A882" i="1"/>
  <c r="G882" i="1"/>
  <c r="I882" i="1"/>
  <c r="A883" i="1"/>
  <c r="G883" i="1"/>
  <c r="I883" i="1"/>
  <c r="A884" i="1"/>
  <c r="G884" i="1"/>
  <c r="I884" i="1"/>
  <c r="A885" i="1"/>
  <c r="G885" i="1"/>
  <c r="I885" i="1"/>
  <c r="A886" i="1"/>
  <c r="G886" i="1"/>
  <c r="I886" i="1"/>
  <c r="A887" i="1"/>
  <c r="G887" i="1"/>
  <c r="I887" i="1"/>
  <c r="A888" i="1"/>
  <c r="G888" i="1"/>
  <c r="I888" i="1"/>
  <c r="A889" i="1"/>
  <c r="G889" i="1"/>
  <c r="I889" i="1"/>
  <c r="A890" i="1"/>
  <c r="G890" i="1"/>
  <c r="I890" i="1"/>
  <c r="A891" i="1"/>
  <c r="G891" i="1"/>
  <c r="I891" i="1"/>
  <c r="A892" i="1"/>
  <c r="G892" i="1"/>
  <c r="I892" i="1"/>
  <c r="A893" i="1"/>
  <c r="G893" i="1"/>
  <c r="I893" i="1"/>
  <c r="A894" i="1"/>
  <c r="G894" i="1"/>
  <c r="I894" i="1"/>
  <c r="A895" i="1"/>
  <c r="G895" i="1"/>
  <c r="I895" i="1"/>
  <c r="A896" i="1"/>
  <c r="G896" i="1"/>
  <c r="I896" i="1"/>
  <c r="A897" i="1"/>
  <c r="G897" i="1"/>
  <c r="I897" i="1"/>
  <c r="A898" i="1"/>
  <c r="G898" i="1"/>
  <c r="I898" i="1"/>
  <c r="A899" i="1"/>
  <c r="G899" i="1"/>
  <c r="I899" i="1"/>
  <c r="A900" i="1"/>
  <c r="G900" i="1"/>
  <c r="I900" i="1"/>
  <c r="A901" i="1"/>
  <c r="G901" i="1"/>
  <c r="I901" i="1"/>
  <c r="A902" i="1"/>
  <c r="G902" i="1"/>
  <c r="I902" i="1"/>
  <c r="A903" i="1"/>
  <c r="G903" i="1"/>
  <c r="I903" i="1"/>
  <c r="A904" i="1"/>
  <c r="G904" i="1"/>
  <c r="I904" i="1"/>
  <c r="A905" i="1"/>
  <c r="G905" i="1"/>
  <c r="I905" i="1"/>
  <c r="A906" i="1"/>
  <c r="G906" i="1"/>
  <c r="I906" i="1"/>
  <c r="A907" i="1"/>
  <c r="G907" i="1"/>
  <c r="I907" i="1"/>
  <c r="A908" i="1"/>
  <c r="G908" i="1"/>
  <c r="I908" i="1"/>
  <c r="A909" i="1"/>
  <c r="G909" i="1"/>
  <c r="I909" i="1"/>
  <c r="A910" i="1"/>
  <c r="G910" i="1"/>
  <c r="I910" i="1"/>
  <c r="A911" i="1"/>
  <c r="G911" i="1"/>
  <c r="I911" i="1"/>
  <c r="A912" i="1"/>
  <c r="G912" i="1"/>
  <c r="I912" i="1"/>
  <c r="A913" i="1"/>
  <c r="G913" i="1"/>
  <c r="I913" i="1"/>
  <c r="A914" i="1"/>
  <c r="G914" i="1"/>
  <c r="I914" i="1"/>
  <c r="A915" i="1"/>
  <c r="G915" i="1"/>
  <c r="I915" i="1"/>
  <c r="A916" i="1"/>
  <c r="G916" i="1"/>
  <c r="I916" i="1"/>
  <c r="A917" i="1"/>
  <c r="G917" i="1"/>
  <c r="I917" i="1"/>
  <c r="A918" i="1"/>
  <c r="G918" i="1"/>
  <c r="I918" i="1"/>
  <c r="A919" i="1"/>
  <c r="G919" i="1"/>
  <c r="I919" i="1"/>
  <c r="A920" i="1"/>
  <c r="G920" i="1"/>
  <c r="I920" i="1"/>
  <c r="A921" i="1"/>
  <c r="G921" i="1"/>
  <c r="I921" i="1"/>
  <c r="A922" i="1"/>
  <c r="G922" i="1"/>
  <c r="I922" i="1"/>
  <c r="A923" i="1"/>
  <c r="G923" i="1"/>
  <c r="I923" i="1"/>
  <c r="A924" i="1"/>
  <c r="G924" i="1"/>
  <c r="I924" i="1"/>
  <c r="A925" i="1"/>
  <c r="G925" i="1"/>
  <c r="I925" i="1"/>
  <c r="A926" i="1"/>
  <c r="G926" i="1"/>
  <c r="I926" i="1"/>
  <c r="A927" i="1"/>
  <c r="G927" i="1"/>
  <c r="I927" i="1"/>
  <c r="A928" i="1"/>
  <c r="G928" i="1"/>
  <c r="I928" i="1"/>
  <c r="A929" i="1"/>
  <c r="G929" i="1"/>
  <c r="I929" i="1"/>
  <c r="A930" i="1"/>
  <c r="G930" i="1"/>
  <c r="I930" i="1"/>
  <c r="A931" i="1"/>
  <c r="G931" i="1"/>
  <c r="I931" i="1"/>
  <c r="A932" i="1"/>
  <c r="G932" i="1"/>
  <c r="I932" i="1"/>
  <c r="A933" i="1"/>
  <c r="G933" i="1"/>
  <c r="I933" i="1"/>
  <c r="A934" i="1"/>
  <c r="G934" i="1"/>
  <c r="I934" i="1"/>
  <c r="A935" i="1"/>
  <c r="G935" i="1"/>
  <c r="I935" i="1"/>
  <c r="A936" i="1"/>
  <c r="G936" i="1"/>
  <c r="I936" i="1"/>
  <c r="A937" i="1"/>
  <c r="G937" i="1"/>
  <c r="I937" i="1"/>
  <c r="A938" i="1"/>
  <c r="G938" i="1"/>
  <c r="I938" i="1"/>
  <c r="A939" i="1"/>
  <c r="G939" i="1"/>
  <c r="I939" i="1"/>
  <c r="A940" i="1"/>
  <c r="G940" i="1"/>
  <c r="I940" i="1"/>
  <c r="A941" i="1"/>
  <c r="G941" i="1"/>
  <c r="I941" i="1"/>
  <c r="A942" i="1"/>
  <c r="G942" i="1"/>
  <c r="I942" i="1"/>
  <c r="A943" i="1"/>
  <c r="G943" i="1"/>
  <c r="I943" i="1"/>
  <c r="A944" i="1"/>
  <c r="G944" i="1"/>
  <c r="I944" i="1"/>
  <c r="A945" i="1"/>
  <c r="G945" i="1"/>
  <c r="I945" i="1"/>
  <c r="A946" i="1"/>
  <c r="G946" i="1"/>
  <c r="I946" i="1"/>
  <c r="A947" i="1"/>
  <c r="G947" i="1"/>
  <c r="I947" i="1"/>
  <c r="A948" i="1"/>
  <c r="G948" i="1"/>
  <c r="I948" i="1"/>
  <c r="A949" i="1"/>
  <c r="G949" i="1"/>
  <c r="I949" i="1"/>
  <c r="A950" i="1"/>
  <c r="G950" i="1"/>
  <c r="I950" i="1"/>
  <c r="A951" i="1"/>
  <c r="G951" i="1"/>
  <c r="I951" i="1"/>
  <c r="A952" i="1"/>
  <c r="G952" i="1"/>
  <c r="I952" i="1"/>
  <c r="A953" i="1"/>
  <c r="G953" i="1"/>
  <c r="I953" i="1"/>
  <c r="A954" i="1"/>
  <c r="G954" i="1"/>
  <c r="I954" i="1"/>
  <c r="A955" i="1"/>
  <c r="G955" i="1"/>
  <c r="I955" i="1"/>
  <c r="A956" i="1"/>
  <c r="G956" i="1"/>
  <c r="I956" i="1"/>
  <c r="A957" i="1"/>
  <c r="G957" i="1"/>
  <c r="I957" i="1"/>
  <c r="A958" i="1"/>
  <c r="G958" i="1"/>
  <c r="I958" i="1"/>
  <c r="A959" i="1"/>
  <c r="G959" i="1"/>
  <c r="I959" i="1"/>
  <c r="A960" i="1"/>
  <c r="G960" i="1"/>
  <c r="I960" i="1"/>
  <c r="A961" i="1"/>
  <c r="G961" i="1"/>
  <c r="I961" i="1"/>
  <c r="A962" i="1"/>
  <c r="G962" i="1"/>
  <c r="I962" i="1"/>
  <c r="A963" i="1"/>
  <c r="G963" i="1"/>
  <c r="I963" i="1"/>
  <c r="A964" i="1"/>
  <c r="G964" i="1"/>
  <c r="I964" i="1"/>
  <c r="A965" i="1"/>
  <c r="G965" i="1"/>
  <c r="I965" i="1"/>
  <c r="A966" i="1"/>
  <c r="G966" i="1"/>
  <c r="I966" i="1"/>
  <c r="A967" i="1"/>
  <c r="G967" i="1"/>
  <c r="I967" i="1"/>
  <c r="A968" i="1"/>
  <c r="G968" i="1"/>
  <c r="I968" i="1"/>
  <c r="A969" i="1"/>
  <c r="G969" i="1"/>
  <c r="I969" i="1"/>
  <c r="A970" i="1"/>
  <c r="G970" i="1"/>
  <c r="I970" i="1"/>
  <c r="A971" i="1"/>
  <c r="G971" i="1"/>
  <c r="I971" i="1"/>
  <c r="A972" i="1"/>
  <c r="G972" i="1"/>
  <c r="I972" i="1"/>
  <c r="A973" i="1"/>
  <c r="G973" i="1"/>
  <c r="I973" i="1"/>
  <c r="A974" i="1"/>
  <c r="G974" i="1"/>
  <c r="I974" i="1"/>
  <c r="A975" i="1"/>
  <c r="G975" i="1"/>
  <c r="I975" i="1"/>
  <c r="A976" i="1"/>
  <c r="G976" i="1"/>
  <c r="I976" i="1"/>
  <c r="A977" i="1"/>
  <c r="G977" i="1"/>
  <c r="I977" i="1"/>
  <c r="A978" i="1"/>
  <c r="G978" i="1"/>
  <c r="I978" i="1"/>
  <c r="A979" i="1"/>
  <c r="G979" i="1"/>
  <c r="I979" i="1"/>
  <c r="A980" i="1"/>
  <c r="G980" i="1"/>
  <c r="I980" i="1"/>
  <c r="A981" i="1"/>
  <c r="G981" i="1"/>
  <c r="I981" i="1"/>
  <c r="A982" i="1"/>
  <c r="G982" i="1"/>
  <c r="I982" i="1"/>
  <c r="A983" i="1"/>
  <c r="G983" i="1"/>
  <c r="I983" i="1"/>
  <c r="A984" i="1"/>
  <c r="G984" i="1"/>
  <c r="I984" i="1"/>
  <c r="A985" i="1"/>
  <c r="G985" i="1"/>
  <c r="I985" i="1"/>
  <c r="A986" i="1"/>
  <c r="G986" i="1"/>
  <c r="I986" i="1"/>
  <c r="A987" i="1"/>
  <c r="G987" i="1"/>
  <c r="I987" i="1"/>
  <c r="A988" i="1"/>
  <c r="G988" i="1"/>
  <c r="I988" i="1"/>
  <c r="A989" i="1"/>
  <c r="G989" i="1"/>
  <c r="I989" i="1"/>
  <c r="A990" i="1"/>
  <c r="G990" i="1"/>
  <c r="I990" i="1"/>
  <c r="A991" i="1"/>
  <c r="G991" i="1"/>
  <c r="I991" i="1"/>
  <c r="A992" i="1"/>
  <c r="G992" i="1"/>
  <c r="I992" i="1"/>
  <c r="A993" i="1"/>
  <c r="G993" i="1"/>
  <c r="I993" i="1"/>
  <c r="A994" i="1"/>
  <c r="G994" i="1"/>
  <c r="I994" i="1"/>
  <c r="A995" i="1"/>
  <c r="G995" i="1"/>
  <c r="I995" i="1"/>
  <c r="A996" i="1"/>
  <c r="G996" i="1"/>
  <c r="I996" i="1"/>
  <c r="A997" i="1"/>
  <c r="G997" i="1"/>
  <c r="I997" i="1"/>
  <c r="A998" i="1"/>
  <c r="G998" i="1"/>
  <c r="I998" i="1"/>
  <c r="A999" i="1"/>
  <c r="G999" i="1"/>
  <c r="I999" i="1"/>
  <c r="A1000" i="1"/>
  <c r="G1000" i="1"/>
  <c r="I1000" i="1"/>
  <c r="A1001" i="1"/>
  <c r="G1001" i="1"/>
  <c r="I1001" i="1"/>
  <c r="A1002" i="1"/>
  <c r="G1002" i="1"/>
  <c r="I1002" i="1"/>
  <c r="A1003" i="1"/>
  <c r="G1003" i="1"/>
  <c r="I1003" i="1"/>
  <c r="A1004" i="1"/>
  <c r="G1004" i="1"/>
  <c r="I1004" i="1"/>
  <c r="A1005" i="1"/>
  <c r="G1005" i="1"/>
  <c r="I1005" i="1"/>
  <c r="A1006" i="1"/>
  <c r="G1006" i="1"/>
  <c r="I1006" i="1"/>
  <c r="A1007" i="1"/>
  <c r="G1007" i="1"/>
  <c r="I1007" i="1"/>
  <c r="A1008" i="1"/>
  <c r="G1008" i="1"/>
  <c r="I1008" i="1"/>
  <c r="A1009" i="1"/>
  <c r="G1009" i="1"/>
  <c r="I1009" i="1"/>
  <c r="A1010" i="1"/>
  <c r="G1010" i="1"/>
  <c r="I1010" i="1"/>
  <c r="A1011" i="1"/>
  <c r="G1011" i="1"/>
  <c r="I1011" i="1"/>
  <c r="A1012" i="1"/>
  <c r="G1012" i="1"/>
  <c r="I1012" i="1"/>
  <c r="A1013" i="1"/>
  <c r="G1013" i="1"/>
  <c r="I1013" i="1"/>
  <c r="A1014" i="1"/>
  <c r="G1014" i="1"/>
  <c r="I1014" i="1"/>
  <c r="A1015" i="1"/>
  <c r="G1015" i="1"/>
  <c r="I1015" i="1"/>
  <c r="A1016" i="1"/>
  <c r="G1016" i="1"/>
  <c r="I1016" i="1"/>
  <c r="A1017" i="1"/>
  <c r="G1017" i="1"/>
  <c r="I1017" i="1"/>
  <c r="A1018" i="1"/>
  <c r="G1018" i="1"/>
  <c r="I1018" i="1"/>
  <c r="A1019" i="1"/>
  <c r="G1019" i="1"/>
  <c r="I1019" i="1"/>
  <c r="A1020" i="1"/>
  <c r="G1020" i="1"/>
  <c r="I1020" i="1"/>
  <c r="A1021" i="1"/>
  <c r="G1021" i="1"/>
  <c r="I1021" i="1"/>
  <c r="A1022" i="1"/>
  <c r="G1022" i="1"/>
  <c r="I1022" i="1"/>
  <c r="A1023" i="1"/>
  <c r="G1023" i="1"/>
  <c r="I1023" i="1"/>
  <c r="A1024" i="1"/>
  <c r="G1024" i="1"/>
  <c r="I1024" i="1"/>
  <c r="A1025" i="1"/>
  <c r="G1025" i="1"/>
  <c r="I1025" i="1"/>
  <c r="A1026" i="1"/>
  <c r="G1026" i="1"/>
  <c r="I1026" i="1"/>
  <c r="A1027" i="1"/>
  <c r="G1027" i="1"/>
  <c r="I1027" i="1"/>
  <c r="A1028" i="1"/>
  <c r="G1028" i="1"/>
  <c r="I1028" i="1"/>
  <c r="A1029" i="1"/>
  <c r="G1029" i="1"/>
  <c r="I1029" i="1"/>
  <c r="A1030" i="1"/>
  <c r="G1030" i="1"/>
  <c r="I1030" i="1"/>
  <c r="A1031" i="1"/>
  <c r="G1031" i="1"/>
  <c r="I1031" i="1"/>
  <c r="A1032" i="1"/>
  <c r="G1032" i="1"/>
  <c r="I1032" i="1"/>
  <c r="A1033" i="1"/>
  <c r="G1033" i="1"/>
  <c r="I1033" i="1"/>
  <c r="A1034" i="1"/>
  <c r="G1034" i="1"/>
  <c r="I1034" i="1"/>
  <c r="A1035" i="1"/>
  <c r="G1035" i="1"/>
  <c r="I1035" i="1"/>
  <c r="A1036" i="1"/>
  <c r="G1036" i="1"/>
  <c r="I1036" i="1"/>
  <c r="A1037" i="1"/>
  <c r="G1037" i="1"/>
  <c r="I1037" i="1"/>
  <c r="A1038" i="1"/>
  <c r="G1038" i="1"/>
  <c r="I1038" i="1"/>
  <c r="A1039" i="1"/>
  <c r="G1039" i="1"/>
  <c r="I1039" i="1"/>
  <c r="A1040" i="1"/>
  <c r="G1040" i="1"/>
  <c r="I1040" i="1"/>
  <c r="A1041" i="1"/>
  <c r="G1041" i="1"/>
  <c r="I1041" i="1"/>
  <c r="A1042" i="1"/>
  <c r="G1042" i="1"/>
  <c r="I1042" i="1"/>
  <c r="A1043" i="1"/>
  <c r="G1043" i="1"/>
  <c r="I1043" i="1"/>
  <c r="A1044" i="1"/>
  <c r="G1044" i="1"/>
  <c r="I1044" i="1"/>
  <c r="A1045" i="1"/>
  <c r="G1045" i="1"/>
  <c r="I1045" i="1"/>
  <c r="A1046" i="1"/>
  <c r="G1046" i="1"/>
  <c r="I1046" i="1"/>
  <c r="A1047" i="1"/>
  <c r="G1047" i="1"/>
  <c r="I1047" i="1"/>
  <c r="A1048" i="1"/>
  <c r="G1048" i="1"/>
  <c r="I1048" i="1"/>
  <c r="A1049" i="1"/>
  <c r="G1049" i="1"/>
  <c r="I1049" i="1"/>
  <c r="A1050" i="1"/>
  <c r="G1050" i="1"/>
  <c r="I1050" i="1"/>
  <c r="A1051" i="1"/>
  <c r="G1051" i="1"/>
  <c r="I1051" i="1"/>
  <c r="A1052" i="1"/>
  <c r="G1052" i="1"/>
  <c r="I1052" i="1"/>
  <c r="A1053" i="1"/>
  <c r="G1053" i="1"/>
  <c r="I1053" i="1"/>
  <c r="A1054" i="1"/>
  <c r="G1054" i="1"/>
  <c r="I1054" i="1"/>
  <c r="A1055" i="1"/>
  <c r="G1055" i="1"/>
  <c r="I1055" i="1"/>
  <c r="A1056" i="1"/>
  <c r="G1056" i="1"/>
  <c r="I1056" i="1"/>
  <c r="A1057" i="1"/>
  <c r="G1057" i="1"/>
  <c r="I1057" i="1"/>
  <c r="A1058" i="1"/>
  <c r="G1058" i="1"/>
  <c r="I1058" i="1"/>
  <c r="A1059" i="1"/>
  <c r="G1059" i="1"/>
  <c r="I1059" i="1"/>
  <c r="A1060" i="1"/>
  <c r="G1060" i="1"/>
  <c r="I1060" i="1"/>
  <c r="A1061" i="1"/>
  <c r="G1061" i="1"/>
  <c r="I1061" i="1"/>
  <c r="A1062" i="1"/>
  <c r="G1062" i="1"/>
  <c r="I1062" i="1"/>
  <c r="A1063" i="1"/>
  <c r="G1063" i="1"/>
  <c r="I1063" i="1"/>
  <c r="A1064" i="1"/>
  <c r="G1064" i="1"/>
  <c r="I1064" i="1"/>
  <c r="A1065" i="1"/>
  <c r="G1065" i="1"/>
  <c r="I1065" i="1"/>
  <c r="A1066" i="1"/>
  <c r="G1066" i="1"/>
  <c r="I1066" i="1"/>
  <c r="A1067" i="1"/>
  <c r="G1067" i="1"/>
  <c r="I1067" i="1"/>
  <c r="A1068" i="1"/>
  <c r="G1068" i="1"/>
  <c r="I1068" i="1"/>
  <c r="A1069" i="1"/>
  <c r="G1069" i="1"/>
  <c r="I1069" i="1"/>
  <c r="A1070" i="1"/>
  <c r="G1070" i="1"/>
  <c r="I1070" i="1"/>
  <c r="A1071" i="1"/>
  <c r="G1071" i="1"/>
  <c r="I1071" i="1"/>
  <c r="A1072" i="1"/>
  <c r="G1072" i="1"/>
  <c r="I1072" i="1"/>
  <c r="A1073" i="1"/>
  <c r="G1073" i="1"/>
  <c r="I1073" i="1"/>
  <c r="A1074" i="1"/>
  <c r="G1074" i="1"/>
  <c r="I1074" i="1"/>
  <c r="A1075" i="1"/>
  <c r="G1075" i="1"/>
  <c r="I1075" i="1"/>
  <c r="A1076" i="1"/>
  <c r="G1076" i="1"/>
  <c r="I1076" i="1"/>
  <c r="A1077" i="1"/>
  <c r="G1077" i="1"/>
  <c r="I1077" i="1"/>
  <c r="A1078" i="1"/>
  <c r="G1078" i="1"/>
  <c r="I1078" i="1"/>
  <c r="A1079" i="1"/>
  <c r="G1079" i="1"/>
  <c r="I1079" i="1"/>
  <c r="A1080" i="1"/>
  <c r="G1080" i="1"/>
  <c r="I1080" i="1"/>
  <c r="A1081" i="1"/>
  <c r="G1081" i="1"/>
  <c r="I1081" i="1"/>
  <c r="A1082" i="1"/>
  <c r="G1082" i="1"/>
  <c r="I1082" i="1"/>
  <c r="A1083" i="1"/>
  <c r="G1083" i="1"/>
  <c r="I1083" i="1"/>
  <c r="A1084" i="1"/>
  <c r="G1084" i="1"/>
  <c r="I1084" i="1"/>
  <c r="A1085" i="1"/>
  <c r="G1085" i="1"/>
  <c r="I1085" i="1"/>
  <c r="A1086" i="1"/>
  <c r="G1086" i="1"/>
  <c r="I1086" i="1"/>
  <c r="A1087" i="1"/>
  <c r="G1087" i="1"/>
  <c r="I1087" i="1"/>
  <c r="A1088" i="1"/>
  <c r="G1088" i="1"/>
  <c r="I1088" i="1"/>
  <c r="A1089" i="1"/>
  <c r="G1089" i="1"/>
  <c r="I1089" i="1"/>
  <c r="A1090" i="1"/>
  <c r="G1090" i="1"/>
  <c r="I1090" i="1"/>
  <c r="A1091" i="1"/>
  <c r="G1091" i="1"/>
  <c r="I1091" i="1"/>
  <c r="A1092" i="1"/>
  <c r="G1092" i="1"/>
  <c r="I1092" i="1"/>
  <c r="A1093" i="1"/>
  <c r="G1093" i="1"/>
  <c r="I1093" i="1"/>
  <c r="A1094" i="1"/>
  <c r="G1094" i="1"/>
  <c r="I1094" i="1"/>
  <c r="A1095" i="1"/>
  <c r="G1095" i="1"/>
  <c r="I1095" i="1"/>
  <c r="A1096" i="1"/>
  <c r="G1096" i="1"/>
  <c r="I1096" i="1"/>
  <c r="A1097" i="1"/>
  <c r="G1097" i="1"/>
  <c r="I1097" i="1"/>
  <c r="A1098" i="1"/>
  <c r="G1098" i="1"/>
  <c r="I1098" i="1"/>
  <c r="A1099" i="1"/>
  <c r="G1099" i="1"/>
  <c r="I1099" i="1"/>
  <c r="A1100" i="1"/>
  <c r="G1100" i="1"/>
  <c r="I1100" i="1"/>
  <c r="A1101" i="1"/>
  <c r="G1101" i="1"/>
  <c r="I1101" i="1"/>
  <c r="A1102" i="1"/>
  <c r="G1102" i="1"/>
  <c r="I1102" i="1"/>
  <c r="A1103" i="1"/>
  <c r="G1103" i="1"/>
  <c r="I1103" i="1"/>
  <c r="A1104" i="1"/>
  <c r="G1104" i="1"/>
  <c r="I1104" i="1"/>
  <c r="A1105" i="1"/>
  <c r="G1105" i="1"/>
  <c r="I1105" i="1"/>
  <c r="A1106" i="1"/>
  <c r="G1106" i="1"/>
  <c r="I1106" i="1"/>
  <c r="A1107" i="1"/>
  <c r="G1107" i="1"/>
  <c r="I1107" i="1"/>
  <c r="A1108" i="1"/>
  <c r="G1108" i="1"/>
  <c r="I1108" i="1"/>
  <c r="A1109" i="1"/>
  <c r="G1109" i="1"/>
  <c r="I1109" i="1"/>
  <c r="A1110" i="1"/>
  <c r="G1110" i="1"/>
  <c r="I1110" i="1"/>
  <c r="A1111" i="1"/>
  <c r="G1111" i="1"/>
  <c r="I1111" i="1"/>
  <c r="A1112" i="1"/>
  <c r="G1112" i="1"/>
  <c r="I1112" i="1"/>
  <c r="A1113" i="1"/>
  <c r="G1113" i="1"/>
  <c r="I1113" i="1"/>
  <c r="A1114" i="1"/>
  <c r="G1114" i="1"/>
  <c r="I1114" i="1"/>
  <c r="A1115" i="1"/>
  <c r="G1115" i="1"/>
  <c r="I1115" i="1"/>
  <c r="A1116" i="1"/>
  <c r="G1116" i="1"/>
  <c r="I1116" i="1"/>
  <c r="A1117" i="1"/>
  <c r="G1117" i="1"/>
  <c r="I1117" i="1"/>
  <c r="A1118" i="1"/>
  <c r="G1118" i="1"/>
  <c r="I1118" i="1"/>
  <c r="A1119" i="1"/>
  <c r="G1119" i="1"/>
  <c r="I1119" i="1"/>
  <c r="A1120" i="1"/>
  <c r="G1120" i="1"/>
  <c r="I1120" i="1"/>
  <c r="A1121" i="1"/>
  <c r="G1121" i="1"/>
  <c r="I1121" i="1"/>
  <c r="A1122" i="1"/>
  <c r="G1122" i="1"/>
  <c r="I1122" i="1"/>
  <c r="A1123" i="1"/>
  <c r="G1123" i="1"/>
  <c r="I1123" i="1"/>
  <c r="A1124" i="1"/>
  <c r="G1124" i="1"/>
  <c r="I1124" i="1"/>
  <c r="A1125" i="1"/>
  <c r="G1125" i="1"/>
  <c r="I1125" i="1"/>
  <c r="A1126" i="1"/>
  <c r="G1126" i="1"/>
  <c r="I1126" i="1"/>
  <c r="A1127" i="1"/>
  <c r="G1127" i="1"/>
  <c r="I1127" i="1"/>
  <c r="A1128" i="1"/>
  <c r="G1128" i="1"/>
  <c r="I1128" i="1"/>
  <c r="A1129" i="1"/>
  <c r="G1129" i="1"/>
  <c r="I1129" i="1"/>
  <c r="A1130" i="1"/>
  <c r="G1130" i="1"/>
  <c r="I1130" i="1"/>
  <c r="A1131" i="1"/>
  <c r="G1131" i="1"/>
  <c r="I1131" i="1"/>
  <c r="A1132" i="1"/>
  <c r="G1132" i="1"/>
  <c r="I1132" i="1"/>
  <c r="A1133" i="1"/>
  <c r="G1133" i="1"/>
  <c r="I1133" i="1"/>
  <c r="A1134" i="1"/>
  <c r="G1134" i="1"/>
  <c r="I1134" i="1"/>
  <c r="A1135" i="1"/>
  <c r="G1135" i="1"/>
  <c r="I1135" i="1"/>
  <c r="A1136" i="1"/>
  <c r="G1136" i="1"/>
  <c r="I1136" i="1"/>
  <c r="A1137" i="1"/>
  <c r="G1137" i="1"/>
  <c r="I1137" i="1"/>
  <c r="A1138" i="1"/>
  <c r="G1138" i="1"/>
  <c r="I1138" i="1"/>
  <c r="A1139" i="1"/>
  <c r="G1139" i="1"/>
  <c r="I1139" i="1"/>
  <c r="A1140" i="1"/>
  <c r="G1140" i="1"/>
  <c r="I1140" i="1"/>
  <c r="A1141" i="1"/>
  <c r="G1141" i="1"/>
  <c r="I1141" i="1"/>
  <c r="A1142" i="1"/>
  <c r="G1142" i="1"/>
  <c r="I1142" i="1"/>
  <c r="A1143" i="1"/>
  <c r="G1143" i="1"/>
  <c r="I1143" i="1"/>
  <c r="A1144" i="1"/>
  <c r="G1144" i="1"/>
  <c r="I1144" i="1"/>
  <c r="A1145" i="1"/>
  <c r="G1145" i="1"/>
  <c r="I1145" i="1"/>
  <c r="A1146" i="1"/>
  <c r="G1146" i="1"/>
  <c r="I1146" i="1"/>
  <c r="A1147" i="1"/>
  <c r="G1147" i="1"/>
  <c r="I1147" i="1"/>
  <c r="A1148" i="1"/>
  <c r="G1148" i="1"/>
  <c r="I1148" i="1"/>
  <c r="A1149" i="1"/>
  <c r="G1149" i="1"/>
  <c r="I1149" i="1"/>
  <c r="A1150" i="1"/>
  <c r="G1150" i="1"/>
  <c r="I1150" i="1"/>
  <c r="A1151" i="1"/>
  <c r="G1151" i="1"/>
  <c r="I1151" i="1"/>
  <c r="A1152" i="1"/>
  <c r="G1152" i="1"/>
  <c r="I1152" i="1"/>
  <c r="A1153" i="1"/>
  <c r="G1153" i="1"/>
  <c r="I1153" i="1"/>
  <c r="A1154" i="1"/>
  <c r="G1154" i="1"/>
  <c r="I1154" i="1"/>
  <c r="A1155" i="1"/>
  <c r="G1155" i="1"/>
  <c r="I1155" i="1"/>
  <c r="A1156" i="1"/>
  <c r="G1156" i="1"/>
  <c r="I1156" i="1"/>
  <c r="A1157" i="1"/>
  <c r="G1157" i="1"/>
  <c r="I1157" i="1"/>
  <c r="A1158" i="1"/>
  <c r="G1158" i="1"/>
  <c r="I1158" i="1"/>
  <c r="A1159" i="1"/>
  <c r="G1159" i="1"/>
  <c r="I1159" i="1"/>
  <c r="A1160" i="1"/>
  <c r="G1160" i="1"/>
  <c r="I1160" i="1"/>
  <c r="A1161" i="1"/>
  <c r="G1161" i="1"/>
  <c r="I1161" i="1"/>
  <c r="A1162" i="1"/>
  <c r="G1162" i="1"/>
  <c r="I1162" i="1"/>
  <c r="A1163" i="1"/>
  <c r="G1163" i="1"/>
  <c r="I1163" i="1"/>
  <c r="A1164" i="1"/>
  <c r="G1164" i="1"/>
  <c r="I1164" i="1"/>
  <c r="A1165" i="1"/>
  <c r="G1165" i="1"/>
  <c r="I1165" i="1"/>
  <c r="A1166" i="1"/>
  <c r="G1166" i="1"/>
  <c r="I1166" i="1"/>
  <c r="A1167" i="1"/>
  <c r="G1167" i="1"/>
  <c r="I1167" i="1"/>
  <c r="A1168" i="1"/>
  <c r="G1168" i="1"/>
  <c r="I1168" i="1"/>
  <c r="A1169" i="1"/>
  <c r="G1169" i="1"/>
  <c r="I1169" i="1"/>
  <c r="A1170" i="1"/>
  <c r="G1170" i="1"/>
  <c r="I1170" i="1"/>
  <c r="A1171" i="1"/>
  <c r="G1171" i="1"/>
  <c r="I1171" i="1"/>
  <c r="A1172" i="1"/>
  <c r="G1172" i="1"/>
  <c r="I1172" i="1"/>
  <c r="A1173" i="1"/>
  <c r="G1173" i="1"/>
  <c r="I1173" i="1"/>
  <c r="A1174" i="1"/>
  <c r="G1174" i="1"/>
  <c r="I1174" i="1"/>
  <c r="A1175" i="1"/>
  <c r="G1175" i="1"/>
  <c r="I1175" i="1"/>
  <c r="A1176" i="1"/>
  <c r="G1176" i="1"/>
  <c r="I1176" i="1"/>
  <c r="A1177" i="1"/>
  <c r="G1177" i="1"/>
  <c r="I1177" i="1"/>
  <c r="A1178" i="1"/>
  <c r="G1178" i="1"/>
  <c r="I1178" i="1"/>
  <c r="A1179" i="1"/>
  <c r="G1179" i="1"/>
  <c r="I1179" i="1"/>
  <c r="A1180" i="1"/>
  <c r="G1180" i="1"/>
  <c r="I1180" i="1"/>
  <c r="A1181" i="1"/>
  <c r="G1181" i="1"/>
  <c r="I1181" i="1"/>
  <c r="A1182" i="1"/>
  <c r="G1182" i="1"/>
  <c r="I1182" i="1"/>
  <c r="A1183" i="1"/>
  <c r="G1183" i="1"/>
  <c r="I1183" i="1"/>
  <c r="A1184" i="1"/>
  <c r="G1184" i="1"/>
  <c r="I1184" i="1"/>
  <c r="A1185" i="1"/>
  <c r="G1185" i="1"/>
  <c r="I1185" i="1"/>
  <c r="A1186" i="1"/>
  <c r="G1186" i="1"/>
  <c r="I1186" i="1"/>
  <c r="A1187" i="1"/>
  <c r="G1187" i="1"/>
  <c r="I1187" i="1"/>
  <c r="A1188" i="1"/>
  <c r="G1188" i="1"/>
  <c r="I1188" i="1"/>
  <c r="A1189" i="1"/>
  <c r="G1189" i="1"/>
  <c r="I1189" i="1"/>
  <c r="A1190" i="1"/>
  <c r="G1190" i="1"/>
  <c r="I1190" i="1"/>
  <c r="A1191" i="1"/>
  <c r="G1191" i="1"/>
  <c r="I1191" i="1"/>
  <c r="A1192" i="1"/>
  <c r="G1192" i="1"/>
  <c r="I1192" i="1"/>
  <c r="A1193" i="1"/>
  <c r="G1193" i="1"/>
  <c r="I1193" i="1"/>
  <c r="A1194" i="1"/>
  <c r="G1194" i="1"/>
  <c r="I1194" i="1"/>
  <c r="A1195" i="1"/>
  <c r="G1195" i="1"/>
  <c r="I1195" i="1"/>
  <c r="A1196" i="1"/>
  <c r="G1196" i="1"/>
  <c r="I1196" i="1"/>
  <c r="A1197" i="1"/>
  <c r="G1197" i="1"/>
  <c r="I1197" i="1"/>
  <c r="A1198" i="1"/>
  <c r="G1198" i="1"/>
  <c r="I1198" i="1"/>
  <c r="A1199" i="1"/>
  <c r="G1199" i="1"/>
  <c r="I1199" i="1"/>
  <c r="A1200" i="1"/>
  <c r="G1200" i="1"/>
  <c r="I1200" i="1"/>
  <c r="A1201" i="1"/>
  <c r="G1201" i="1"/>
  <c r="I1201" i="1"/>
  <c r="A1202" i="1"/>
  <c r="G1202" i="1"/>
  <c r="I1202" i="1"/>
  <c r="A1203" i="1"/>
  <c r="G1203" i="1"/>
  <c r="I1203" i="1"/>
  <c r="A1204" i="1"/>
  <c r="G1204" i="1"/>
  <c r="I1204" i="1"/>
  <c r="A1205" i="1"/>
  <c r="G1205" i="1"/>
  <c r="I1205" i="1"/>
  <c r="A1206" i="1"/>
  <c r="G1206" i="1"/>
  <c r="I1206" i="1"/>
  <c r="A1207" i="1"/>
  <c r="G1207" i="1"/>
  <c r="I1207" i="1"/>
  <c r="A1208" i="1"/>
  <c r="G1208" i="1"/>
  <c r="I1208" i="1"/>
  <c r="A1209" i="1"/>
  <c r="G1209" i="1"/>
  <c r="I1209" i="1"/>
  <c r="A1210" i="1"/>
  <c r="G1210" i="1"/>
  <c r="I1210" i="1"/>
  <c r="A1211" i="1"/>
  <c r="G1211" i="1"/>
  <c r="I1211" i="1"/>
  <c r="A1212" i="1"/>
  <c r="G1212" i="1"/>
  <c r="I1212" i="1"/>
  <c r="A1213" i="1"/>
  <c r="G1213" i="1"/>
  <c r="I1213" i="1"/>
  <c r="A1214" i="1"/>
  <c r="G1214" i="1"/>
  <c r="I1214" i="1"/>
  <c r="A1215" i="1"/>
  <c r="G1215" i="1"/>
  <c r="I1215" i="1"/>
  <c r="A1216" i="1"/>
  <c r="G1216" i="1"/>
  <c r="I1216" i="1"/>
  <c r="A1217" i="1"/>
  <c r="G1217" i="1"/>
  <c r="I1217" i="1"/>
  <c r="A1218" i="1"/>
  <c r="G1218" i="1"/>
  <c r="I1218" i="1"/>
  <c r="A1219" i="1"/>
  <c r="G1219" i="1"/>
  <c r="I1219" i="1"/>
  <c r="A1220" i="1"/>
  <c r="G1220" i="1"/>
  <c r="I1220" i="1"/>
  <c r="A1221" i="1"/>
  <c r="G1221" i="1"/>
  <c r="I1221" i="1"/>
  <c r="A1222" i="1"/>
  <c r="G1222" i="1"/>
  <c r="I1222" i="1"/>
  <c r="A1223" i="1"/>
  <c r="G1223" i="1"/>
  <c r="I1223" i="1"/>
  <c r="A1224" i="1"/>
  <c r="G1224" i="1"/>
  <c r="I1224" i="1"/>
  <c r="A1225" i="1"/>
  <c r="G1225" i="1"/>
  <c r="I1225" i="1"/>
  <c r="A1226" i="1"/>
  <c r="G1226" i="1"/>
  <c r="I1226" i="1"/>
  <c r="A1227" i="1"/>
  <c r="G1227" i="1"/>
  <c r="I1227" i="1"/>
  <c r="A1228" i="1"/>
  <c r="G1228" i="1"/>
  <c r="I1228" i="1"/>
  <c r="A1229" i="1"/>
  <c r="G1229" i="1"/>
  <c r="I1229" i="1"/>
  <c r="A1230" i="1"/>
  <c r="G1230" i="1"/>
  <c r="I1230" i="1"/>
  <c r="A1231" i="1"/>
  <c r="G1231" i="1"/>
  <c r="I1231" i="1"/>
  <c r="A1232" i="1"/>
  <c r="G1232" i="1"/>
  <c r="I1232" i="1"/>
  <c r="A1233" i="1"/>
  <c r="G1233" i="1"/>
  <c r="I1233" i="1"/>
  <c r="A1234" i="1"/>
  <c r="G1234" i="1"/>
  <c r="I1234" i="1"/>
  <c r="A1235" i="1"/>
  <c r="G1235" i="1"/>
  <c r="I1235" i="1"/>
  <c r="A1236" i="1"/>
  <c r="G1236" i="1"/>
  <c r="I1236" i="1"/>
  <c r="A1237" i="1"/>
  <c r="G1237" i="1"/>
  <c r="I1237" i="1"/>
  <c r="A1238" i="1"/>
  <c r="G1238" i="1"/>
  <c r="I1238" i="1"/>
  <c r="A1239" i="1"/>
  <c r="G1239" i="1"/>
  <c r="I1239" i="1"/>
  <c r="A1240" i="1"/>
  <c r="G1240" i="1"/>
  <c r="I1240" i="1"/>
  <c r="A1241" i="1"/>
  <c r="G1241" i="1"/>
  <c r="I1241" i="1"/>
  <c r="A1242" i="1"/>
  <c r="G1242" i="1"/>
  <c r="I1242" i="1"/>
  <c r="A1243" i="1"/>
  <c r="G1243" i="1"/>
  <c r="I1243" i="1"/>
  <c r="A1244" i="1"/>
  <c r="G1244" i="1"/>
  <c r="I1244" i="1"/>
  <c r="A1245" i="1"/>
  <c r="G1245" i="1"/>
  <c r="I1245" i="1"/>
  <c r="A1246" i="1"/>
  <c r="G1246" i="1"/>
  <c r="I1246" i="1"/>
  <c r="A1247" i="1"/>
  <c r="G1247" i="1"/>
  <c r="I1247" i="1"/>
  <c r="A1248" i="1"/>
  <c r="G1248" i="1"/>
  <c r="I1248" i="1"/>
  <c r="A1249" i="1"/>
  <c r="G1249" i="1"/>
  <c r="I1249" i="1"/>
  <c r="A1250" i="1"/>
  <c r="G1250" i="1"/>
  <c r="I1250" i="1"/>
  <c r="A1251" i="1"/>
  <c r="G1251" i="1"/>
  <c r="I1251" i="1"/>
  <c r="A1252" i="1"/>
  <c r="G1252" i="1"/>
  <c r="I1252" i="1"/>
  <c r="A1253" i="1"/>
  <c r="G1253" i="1"/>
  <c r="I1253" i="1"/>
  <c r="A1254" i="1"/>
  <c r="G1254" i="1"/>
  <c r="I1254" i="1"/>
  <c r="A1255" i="1"/>
  <c r="G1255" i="1"/>
  <c r="I1255" i="1"/>
  <c r="A1256" i="1"/>
  <c r="G1256" i="1"/>
  <c r="I1256" i="1"/>
  <c r="A1257" i="1"/>
  <c r="G1257" i="1"/>
  <c r="I1257" i="1"/>
  <c r="A1258" i="1"/>
  <c r="G1258" i="1"/>
  <c r="I1258" i="1"/>
  <c r="A1259" i="1"/>
  <c r="G1259" i="1"/>
  <c r="I1259" i="1"/>
  <c r="A1260" i="1"/>
  <c r="G1260" i="1"/>
  <c r="I1260" i="1"/>
  <c r="A1261" i="1"/>
  <c r="G1261" i="1"/>
  <c r="I1261" i="1"/>
  <c r="A1262" i="1"/>
  <c r="G1262" i="1"/>
  <c r="I1262" i="1"/>
  <c r="A1263" i="1"/>
  <c r="G1263" i="1"/>
  <c r="I1263" i="1"/>
  <c r="A1264" i="1"/>
  <c r="G1264" i="1"/>
  <c r="I1264" i="1"/>
  <c r="A1265" i="1"/>
  <c r="G1265" i="1"/>
  <c r="I1265" i="1"/>
  <c r="A1266" i="1"/>
  <c r="G1266" i="1"/>
  <c r="I1266" i="1"/>
  <c r="A1267" i="1"/>
  <c r="G1267" i="1"/>
  <c r="I1267" i="1"/>
  <c r="A1268" i="1"/>
  <c r="G1268" i="1"/>
  <c r="I1268" i="1"/>
  <c r="A1269" i="1"/>
  <c r="G1269" i="1"/>
  <c r="I1269" i="1"/>
  <c r="A1270" i="1"/>
  <c r="G1270" i="1"/>
  <c r="I1270" i="1"/>
  <c r="A1271" i="1"/>
  <c r="G1271" i="1"/>
  <c r="I1271" i="1"/>
  <c r="A1272" i="1"/>
  <c r="G1272" i="1"/>
  <c r="I1272" i="1"/>
  <c r="A1273" i="1"/>
  <c r="G1273" i="1"/>
  <c r="I1273" i="1"/>
  <c r="A1274" i="1"/>
  <c r="G1274" i="1"/>
  <c r="I1274" i="1"/>
  <c r="A1275" i="1"/>
  <c r="G1275" i="1"/>
  <c r="I1275" i="1"/>
  <c r="A1276" i="1"/>
  <c r="G1276" i="1"/>
  <c r="I1276" i="1"/>
  <c r="A1277" i="1"/>
  <c r="G1277" i="1"/>
  <c r="I1277" i="1"/>
  <c r="A1278" i="1"/>
  <c r="G1278" i="1"/>
  <c r="I1278" i="1"/>
  <c r="A1279" i="1"/>
  <c r="G1279" i="1"/>
  <c r="I1279" i="1"/>
  <c r="A1280" i="1"/>
  <c r="G1280" i="1"/>
  <c r="I1280" i="1"/>
  <c r="A1281" i="1"/>
  <c r="G1281" i="1"/>
  <c r="I1281" i="1"/>
  <c r="A1282" i="1"/>
  <c r="G1282" i="1"/>
  <c r="I1282" i="1"/>
  <c r="A1283" i="1"/>
  <c r="G1283" i="1"/>
  <c r="I1283" i="1"/>
  <c r="A1284" i="1"/>
  <c r="G1284" i="1"/>
  <c r="I1284" i="1"/>
  <c r="A1285" i="1"/>
  <c r="G1285" i="1"/>
  <c r="I1285" i="1"/>
  <c r="A1286" i="1"/>
  <c r="G1286" i="1"/>
  <c r="I1286" i="1"/>
  <c r="A1287" i="1"/>
  <c r="G1287" i="1"/>
  <c r="I1287" i="1"/>
  <c r="A1288" i="1"/>
  <c r="G1288" i="1"/>
  <c r="I1288" i="1"/>
</calcChain>
</file>

<file path=xl/sharedStrings.xml><?xml version="1.0" encoding="utf-8"?>
<sst xmlns="http://schemas.openxmlformats.org/spreadsheetml/2006/main" count="3" uniqueCount="3">
  <si>
    <t>="HLA class II histocompatibility antigen, DQ beta 1 chain-like///HLA class II histocompatibility antigen, DRB1-10 beta chain-like///major histocompatibility complex, class II, DR beta 4///major histocompatibility complex, class II, DR beta 3///major histocompatibility complex, class II, DR beta 1///major histocompatibility complex, class II, DQ beta 1"</t>
  </si>
  <si>
    <t>="microRNA 1304///small nucleolar RNA, C/D box 5///small nucleolar RNA, H/ACA box 32///small nucleolar RNA, H/ACA box 40///small nucleolar RNA, H/ACA box 18///small nucleolar RNA, H/ACA box 1///small nucleolar RNA, H/ACA box 8///TATA-box binding protein associated factor, RNA polymerase I subunit D"</t>
  </si>
  <si>
    <t>NANS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</si>
</sst>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88"/>
  <sheetViews>
    <sheetView tabSelected="1" workbookViewId="0">
      <selection activeCell="A6" sqref="A6"/>
    </sheetView>
  </sheetViews>
  <sheetFormatPr defaultRowHeight="14.5" x14ac:dyDescent="0.35"/>
  <cols>
    <col min="1" max="1" width="15.1796875" customWidth="1"/>
    <col min="7" max="7" width="15.54296875" style="4" customWidth="1"/>
    <col min="8" max="8" width="11.08984375" customWidth="1"/>
    <col min="9" max="9" width="54.36328125" customWidth="1"/>
  </cols>
  <sheetData>
    <row r="1" spans="1:9" s="4" customFormat="1" x14ac:dyDescent="0.35">
      <c r="A1" s="3" t="str">
        <f>"ID"</f>
        <v>ID</v>
      </c>
      <c r="B1" s="3" t="str">
        <f>"adj.P.Val"</f>
        <v>adj.P.Val</v>
      </c>
      <c r="C1" s="3" t="str">
        <f>"P.Value"</f>
        <v>P.Value</v>
      </c>
      <c r="D1" s="3" t="str">
        <f>"t"</f>
        <v>t</v>
      </c>
      <c r="E1" s="3" t="str">
        <f>"B"</f>
        <v>B</v>
      </c>
      <c r="F1" s="3" t="str">
        <f>"logFC"</f>
        <v>logFC</v>
      </c>
      <c r="G1" s="3" t="str">
        <f>"Gene.symbol"</f>
        <v>Gene.symbol</v>
      </c>
      <c r="H1" s="3" t="str">
        <f>"Gene.ID"</f>
        <v>Gene.ID</v>
      </c>
      <c r="I1" s="3" t="str">
        <f>"Gene.title"</f>
        <v>Gene.title</v>
      </c>
    </row>
    <row r="2" spans="1:9" x14ac:dyDescent="0.35">
      <c r="A2" s="1" t="str">
        <f>"217757_at"</f>
        <v>217757_at</v>
      </c>
      <c r="B2" s="1">
        <v>1.0942521306186201E-3</v>
      </c>
      <c r="C2" s="2">
        <v>5.3133815255098003E-5</v>
      </c>
      <c r="D2" s="1">
        <v>4.2165764461478998</v>
      </c>
      <c r="E2" s="1">
        <v>1.5576736484463001</v>
      </c>
      <c r="F2" s="1">
        <v>0.32383125291424403</v>
      </c>
      <c r="G2" s="3" t="str">
        <f>"A2M"</f>
        <v>A2M</v>
      </c>
      <c r="H2" s="1">
        <v>2</v>
      </c>
      <c r="I2" s="1" t="str">
        <f>"alpha-2-macroglobulin"</f>
        <v>alpha-2-macroglobulin</v>
      </c>
    </row>
    <row r="3" spans="1:9" x14ac:dyDescent="0.35">
      <c r="A3" s="1" t="str">
        <f>"210852_s_at"</f>
        <v>210852_s_at</v>
      </c>
      <c r="B3" s="2">
        <v>2.17640765925625E-5</v>
      </c>
      <c r="C3" s="2">
        <v>4.2975334114470699E-7</v>
      </c>
      <c r="D3" s="1">
        <v>-5.3974454346415603</v>
      </c>
      <c r="E3" s="1">
        <v>6.1199508211983797</v>
      </c>
      <c r="F3" s="1">
        <v>-0.417200174309593</v>
      </c>
      <c r="G3" s="3" t="str">
        <f>"AASS"</f>
        <v>AASS</v>
      </c>
      <c r="H3" s="1">
        <v>10157</v>
      </c>
      <c r="I3" s="1" t="str">
        <f>"aminoadipate-semialdehyde synthase"</f>
        <v>aminoadipate-semialdehyde synthase</v>
      </c>
    </row>
    <row r="4" spans="1:9" x14ac:dyDescent="0.35">
      <c r="A4" s="1" t="str">
        <f>"204719_at"</f>
        <v>204719_at</v>
      </c>
      <c r="B4" s="2">
        <v>2.3904748540770498E-6</v>
      </c>
      <c r="C4" s="2">
        <v>2.8428660249087601E-8</v>
      </c>
      <c r="D4" s="1">
        <v>6.0058319383394299</v>
      </c>
      <c r="E4" s="1">
        <v>8.7151368980212602</v>
      </c>
      <c r="F4" s="1">
        <v>0.93512578342441599</v>
      </c>
      <c r="G4" s="3" t="str">
        <f>"ABCA8"</f>
        <v>ABCA8</v>
      </c>
      <c r="H4" s="1">
        <v>10351</v>
      </c>
      <c r="I4" s="1" t="str">
        <f>"ATP binding cassette subfamily A member 8"</f>
        <v>ATP binding cassette subfamily A member 8</v>
      </c>
    </row>
    <row r="5" spans="1:9" x14ac:dyDescent="0.35">
      <c r="A5" s="1" t="str">
        <f>"201872_s_at"</f>
        <v>201872_s_at</v>
      </c>
      <c r="B5" s="1">
        <v>1.21495023380316E-2</v>
      </c>
      <c r="C5" s="1">
        <v>1.15372018791343E-3</v>
      </c>
      <c r="D5" s="1">
        <v>-3.3429566591884101</v>
      </c>
      <c r="E5" s="1">
        <v>-1.3015789962090101</v>
      </c>
      <c r="F5" s="1">
        <v>-0.31495219620930198</v>
      </c>
      <c r="G5" s="3" t="str">
        <f>"ABCE1"</f>
        <v>ABCE1</v>
      </c>
      <c r="H5" s="1">
        <v>6059</v>
      </c>
      <c r="I5" s="1" t="str">
        <f>"ATP binding cassette subfamily E member 1"</f>
        <v>ATP binding cassette subfamily E member 1</v>
      </c>
    </row>
    <row r="6" spans="1:9" x14ac:dyDescent="0.35">
      <c r="A6" s="1" t="str">
        <f>"207622_s_at"</f>
        <v>207622_s_at</v>
      </c>
      <c r="B6" s="1">
        <v>1.0402312736056401E-3</v>
      </c>
      <c r="C6" s="2">
        <v>4.9857155688678597E-5</v>
      </c>
      <c r="D6" s="1">
        <v>-4.23338901919929</v>
      </c>
      <c r="E6" s="1">
        <v>1.6174196945274699</v>
      </c>
      <c r="F6" s="1">
        <v>-0.39808376344040902</v>
      </c>
      <c r="G6" s="3" t="str">
        <f>"ABCF2"</f>
        <v>ABCF2</v>
      </c>
      <c r="H6" s="1">
        <v>10061</v>
      </c>
      <c r="I6" s="1" t="str">
        <f>"ATP binding cassette subfamily F member 2"</f>
        <v>ATP binding cassette subfamily F member 2</v>
      </c>
    </row>
    <row r="7" spans="1:9" x14ac:dyDescent="0.35">
      <c r="A7" s="1" t="str">
        <f>"218633_x_at"</f>
        <v>218633_x_at</v>
      </c>
      <c r="B7" s="1">
        <v>8.8967935463554304E-4</v>
      </c>
      <c r="C7" s="2">
        <v>4.06849734045514E-5</v>
      </c>
      <c r="D7" s="1">
        <v>4.2868151905242904</v>
      </c>
      <c r="E7" s="1">
        <v>1.80837614289733</v>
      </c>
      <c r="F7" s="1">
        <v>0.30341155928633801</v>
      </c>
      <c r="G7" s="3" t="str">
        <f>"ABHD10"</f>
        <v>ABHD10</v>
      </c>
      <c r="H7" s="1">
        <v>55347</v>
      </c>
      <c r="I7" s="1" t="str">
        <f>"abhydrolase domain containing 10"</f>
        <v>abhydrolase domain containing 10</v>
      </c>
    </row>
    <row r="8" spans="1:9" x14ac:dyDescent="0.35">
      <c r="A8" s="1" t="str">
        <f>"205566_at"</f>
        <v>205566_at</v>
      </c>
      <c r="B8" s="1">
        <v>4.1564239139728901E-4</v>
      </c>
      <c r="C8" s="2">
        <v>1.55192061052167E-5</v>
      </c>
      <c r="D8" s="1">
        <v>-4.5348040049191196</v>
      </c>
      <c r="E8" s="1">
        <v>2.7160476451961499</v>
      </c>
      <c r="F8" s="1">
        <v>-0.34205980724563601</v>
      </c>
      <c r="G8" s="3" t="str">
        <f>"ABHD2"</f>
        <v>ABHD2</v>
      </c>
      <c r="H8" s="1">
        <v>11057</v>
      </c>
      <c r="I8" s="1" t="str">
        <f>"abhydrolase domain containing 2"</f>
        <v>abhydrolase domain containing 2</v>
      </c>
    </row>
    <row r="9" spans="1:9" x14ac:dyDescent="0.35">
      <c r="A9" s="1" t="str">
        <f>"218739_at"</f>
        <v>218739_at</v>
      </c>
      <c r="B9" s="2">
        <v>5.4411891210329898E-11</v>
      </c>
      <c r="C9" s="2">
        <v>4.8837132531822402E-14</v>
      </c>
      <c r="D9" s="1">
        <v>-8.7193420371135595</v>
      </c>
      <c r="E9" s="1">
        <v>21.477590881677099</v>
      </c>
      <c r="F9" s="1">
        <v>-0.61245681388953599</v>
      </c>
      <c r="G9" s="3" t="str">
        <f>"ABHD5"</f>
        <v>ABHD5</v>
      </c>
      <c r="H9" s="1">
        <v>51099</v>
      </c>
      <c r="I9" s="1" t="str">
        <f>"abhydrolase domain containing 5"</f>
        <v>abhydrolase domain containing 5</v>
      </c>
    </row>
    <row r="10" spans="1:9" x14ac:dyDescent="0.35">
      <c r="A10" s="1" t="str">
        <f>"202123_s_at"</f>
        <v>202123_s_at</v>
      </c>
      <c r="B10" s="1">
        <v>6.5479654081173396E-3</v>
      </c>
      <c r="C10" s="1">
        <v>5.2173675130112198E-4</v>
      </c>
      <c r="D10" s="1">
        <v>-3.5814530347809601</v>
      </c>
      <c r="E10" s="1">
        <v>-0.57112635907126896</v>
      </c>
      <c r="F10" s="1">
        <v>-0.35675167206976399</v>
      </c>
      <c r="G10" s="3" t="str">
        <f>"ABL1"</f>
        <v>ABL1</v>
      </c>
      <c r="H10" s="1">
        <v>25</v>
      </c>
      <c r="I10" s="1" t="str">
        <f>"ABL proto-oncogene 1, non-receptor tyrosine kinase"</f>
        <v>ABL proto-oncogene 1, non-receptor tyrosine kinase</v>
      </c>
    </row>
    <row r="11" spans="1:9" x14ac:dyDescent="0.35">
      <c r="A11" s="1" t="str">
        <f>"202502_at"</f>
        <v>202502_at</v>
      </c>
      <c r="B11" s="1">
        <v>5.0135970046209503E-2</v>
      </c>
      <c r="C11" s="1">
        <v>7.5013833026999202E-3</v>
      </c>
      <c r="D11" s="1">
        <v>2.7271923604261401</v>
      </c>
      <c r="E11" s="1">
        <v>-2.9952516306548902</v>
      </c>
      <c r="F11" s="1">
        <v>0.31995021674563501</v>
      </c>
      <c r="G11" s="3" t="str">
        <f>"ACADM"</f>
        <v>ACADM</v>
      </c>
      <c r="H11" s="1">
        <v>34</v>
      </c>
      <c r="I11" s="1" t="str">
        <f>"acyl-CoA dehydrogenase, C-4 to C-12 straight chain"</f>
        <v>acyl-CoA dehydrogenase, C-4 to C-12 straight chain</v>
      </c>
    </row>
    <row r="12" spans="1:9" x14ac:dyDescent="0.35">
      <c r="A12" s="1" t="str">
        <f>"210337_s_at"</f>
        <v>210337_s_at</v>
      </c>
      <c r="B12" s="1">
        <v>2.3829294589365E-4</v>
      </c>
      <c r="C12" s="2">
        <v>8.0097570557978802E-6</v>
      </c>
      <c r="D12" s="1">
        <v>-4.7004254427664298</v>
      </c>
      <c r="E12" s="1">
        <v>3.3410031790128798</v>
      </c>
      <c r="F12" s="1">
        <v>-0.468391076761625</v>
      </c>
      <c r="G12" s="3" t="str">
        <f>"ACLY"</f>
        <v>ACLY</v>
      </c>
      <c r="H12" s="1">
        <v>47</v>
      </c>
      <c r="I12" s="1" t="str">
        <f>"ATP citrate lyase"</f>
        <v>ATP citrate lyase</v>
      </c>
    </row>
    <row r="13" spans="1:9" x14ac:dyDescent="0.35">
      <c r="A13" s="1" t="str">
        <f>"205364_at"</f>
        <v>205364_at</v>
      </c>
      <c r="B13" s="2">
        <v>4.20071881762628E-5</v>
      </c>
      <c r="C13" s="2">
        <v>9.5012443750107403E-7</v>
      </c>
      <c r="D13" s="1">
        <v>5.2133738969102099</v>
      </c>
      <c r="E13" s="1">
        <v>5.3642093079329802</v>
      </c>
      <c r="F13" s="1">
        <v>0.40894637359302299</v>
      </c>
      <c r="G13" s="3" t="str">
        <f>"ACOX2"</f>
        <v>ACOX2</v>
      </c>
      <c r="H13" s="1">
        <v>8309</v>
      </c>
      <c r="I13" s="1" t="str">
        <f>"acyl-CoA oxidase 2"</f>
        <v>acyl-CoA oxidase 2</v>
      </c>
    </row>
    <row r="14" spans="1:9" x14ac:dyDescent="0.35">
      <c r="A14" s="1" t="str">
        <f>"201629_s_at"</f>
        <v>201629_s_at</v>
      </c>
      <c r="B14" s="1">
        <v>5.4711988011099005E-4</v>
      </c>
      <c r="C14" s="2">
        <v>2.2024257616100101E-5</v>
      </c>
      <c r="D14" s="1">
        <v>-4.4456926033471804</v>
      </c>
      <c r="E14" s="1">
        <v>2.3859247450404801</v>
      </c>
      <c r="F14" s="1">
        <v>-0.45482756549418801</v>
      </c>
      <c r="G14" s="3" t="str">
        <f>"ACP1"</f>
        <v>ACP1</v>
      </c>
      <c r="H14" s="1">
        <v>52</v>
      </c>
      <c r="I14" s="1" t="str">
        <f>"acid phosphatase 1, soluble"</f>
        <v>acid phosphatase 1, soluble</v>
      </c>
    </row>
    <row r="15" spans="1:9" x14ac:dyDescent="0.35">
      <c r="A15" s="1" t="str">
        <f>"207275_s_at"</f>
        <v>207275_s_at</v>
      </c>
      <c r="B15" s="1">
        <v>6.1980525214078701E-2</v>
      </c>
      <c r="C15" s="1">
        <v>9.8716009507142394E-3</v>
      </c>
      <c r="D15" s="1">
        <v>-2.6287355798793901</v>
      </c>
      <c r="E15" s="1">
        <v>-3.2388672375169199</v>
      </c>
      <c r="F15" s="1">
        <v>-0.33337171526018</v>
      </c>
      <c r="G15" s="3" t="str">
        <f>"ACSL1"</f>
        <v>ACSL1</v>
      </c>
      <c r="H15" s="1">
        <v>2180</v>
      </c>
      <c r="I15" s="1" t="str">
        <f>"acyl-CoA synthetase long-chain family member 1"</f>
        <v>acyl-CoA synthetase long-chain family member 1</v>
      </c>
    </row>
    <row r="16" spans="1:9" x14ac:dyDescent="0.35">
      <c r="A16" s="1" t="str">
        <f>"201660_at"</f>
        <v>201660_at</v>
      </c>
      <c r="B16" s="1">
        <v>7.4803722396324396E-3</v>
      </c>
      <c r="C16" s="1">
        <v>6.1701405450093896E-4</v>
      </c>
      <c r="D16" s="1">
        <v>3.53194975004036</v>
      </c>
      <c r="E16" s="1">
        <v>-0.72598901431734097</v>
      </c>
      <c r="F16" s="1">
        <v>0.33999471940552101</v>
      </c>
      <c r="G16" s="3" t="str">
        <f>"ACSL3"</f>
        <v>ACSL3</v>
      </c>
      <c r="H16" s="1">
        <v>2181</v>
      </c>
      <c r="I16" s="1" t="str">
        <f>"acyl-CoA synthetase long-chain family member 3"</f>
        <v>acyl-CoA synthetase long-chain family member 3</v>
      </c>
    </row>
    <row r="17" spans="1:9" x14ac:dyDescent="0.35">
      <c r="A17" s="1" t="str">
        <f>"203872_at"</f>
        <v>203872_at</v>
      </c>
      <c r="B17" s="1">
        <v>7.5333878400636503E-2</v>
      </c>
      <c r="C17" s="1">
        <v>1.28909068950153E-2</v>
      </c>
      <c r="D17" s="1">
        <v>-2.5305217341758799</v>
      </c>
      <c r="E17" s="1">
        <v>-3.4740778260287599</v>
      </c>
      <c r="F17" s="1">
        <v>-0.36505478533139701</v>
      </c>
      <c r="G17" s="3" t="str">
        <f>"ACTA1"</f>
        <v>ACTA1</v>
      </c>
      <c r="H17" s="1">
        <v>58</v>
      </c>
      <c r="I17" s="1" t="str">
        <f>"actin, alpha 1, skeletal muscle"</f>
        <v>actin, alpha 1, skeletal muscle</v>
      </c>
    </row>
    <row r="18" spans="1:9" x14ac:dyDescent="0.35">
      <c r="A18" s="1" t="str">
        <f>"AFFX-HSAC07/X00351_5_at"</f>
        <v>AFFX-HSAC07/X00351_5_at</v>
      </c>
      <c r="B18" s="1">
        <v>6.9576825375122706E-2</v>
      </c>
      <c r="C18" s="1">
        <v>1.15591889574431E-2</v>
      </c>
      <c r="D18" s="1">
        <v>-2.5709678897189199</v>
      </c>
      <c r="E18" s="1">
        <v>-3.37816552323596</v>
      </c>
      <c r="F18" s="1">
        <v>-0.547103677825584</v>
      </c>
      <c r="G18" s="3" t="str">
        <f>"ACTB"</f>
        <v>ACTB</v>
      </c>
      <c r="H18" s="1">
        <v>60</v>
      </c>
      <c r="I18" s="1" t="str">
        <f>"actin beta"</f>
        <v>actin beta</v>
      </c>
    </row>
    <row r="19" spans="1:9" x14ac:dyDescent="0.35">
      <c r="A19" s="1" t="str">
        <f>"203863_at"</f>
        <v>203863_at</v>
      </c>
      <c r="B19" s="1">
        <v>2.23656667927137E-2</v>
      </c>
      <c r="C19" s="1">
        <v>2.5464119128086301E-3</v>
      </c>
      <c r="D19" s="1">
        <v>3.0929227262935299</v>
      </c>
      <c r="E19" s="1">
        <v>-2.0237350179582401</v>
      </c>
      <c r="F19" s="1">
        <v>0.33050665286773101</v>
      </c>
      <c r="G19" s="3" t="str">
        <f>"ACTN2"</f>
        <v>ACTN2</v>
      </c>
      <c r="H19" s="1">
        <v>88</v>
      </c>
      <c r="I19" s="1" t="str">
        <f>"actinin alpha 2"</f>
        <v>actinin alpha 2</v>
      </c>
    </row>
    <row r="20" spans="1:9" x14ac:dyDescent="0.35">
      <c r="A20" s="1" t="str">
        <f>"200729_s_at"</f>
        <v>200729_s_at</v>
      </c>
      <c r="B20" s="1">
        <v>0.18201692245906501</v>
      </c>
      <c r="C20" s="1">
        <v>4.6380293754098099E-2</v>
      </c>
      <c r="D20" s="1">
        <v>-2.0160369089130601</v>
      </c>
      <c r="E20" s="1">
        <v>-4.5744035283678004</v>
      </c>
      <c r="F20" s="1">
        <v>-0.33282562257412801</v>
      </c>
      <c r="G20" s="3" t="str">
        <f>"ACTR2"</f>
        <v>ACTR2</v>
      </c>
      <c r="H20" s="1">
        <v>10097</v>
      </c>
      <c r="I20" s="1" t="str">
        <f>"ARP2 actin related protein 2 homolog"</f>
        <v>ARP2 actin related protein 2 homolog</v>
      </c>
    </row>
    <row r="21" spans="1:9" x14ac:dyDescent="0.35">
      <c r="A21" s="1" t="str">
        <f>"200996_at"</f>
        <v>200996_at</v>
      </c>
      <c r="B21" s="1">
        <v>1.13323464183423E-2</v>
      </c>
      <c r="C21" s="1">
        <v>1.05204279570344E-3</v>
      </c>
      <c r="D21" s="1">
        <v>-3.37126352195693</v>
      </c>
      <c r="E21" s="1">
        <v>-1.2169695608025</v>
      </c>
      <c r="F21" s="1">
        <v>-0.367159376654071</v>
      </c>
      <c r="G21" s="3" t="str">
        <f>"ACTR3"</f>
        <v>ACTR3</v>
      </c>
      <c r="H21" s="1">
        <v>10096</v>
      </c>
      <c r="I21" s="1" t="str">
        <f>"ARP3 actin related protein 3 homolog"</f>
        <v>ARP3 actin related protein 3 homolog</v>
      </c>
    </row>
    <row r="22" spans="1:9" x14ac:dyDescent="0.35">
      <c r="A22" s="1" t="str">
        <f>"213808_at"</f>
        <v>213808_at</v>
      </c>
      <c r="B22" s="1">
        <v>3.03122874460507E-2</v>
      </c>
      <c r="C22" s="1">
        <v>3.82661511402148E-3</v>
      </c>
      <c r="D22" s="1">
        <v>2.9587401651877001</v>
      </c>
      <c r="E22" s="1">
        <v>-2.3921374977155501</v>
      </c>
      <c r="F22" s="1">
        <v>0.36843867233866401</v>
      </c>
      <c r="G22" s="3" t="str">
        <f>"ADAM23"</f>
        <v>ADAM23</v>
      </c>
      <c r="H22" s="1">
        <v>8745</v>
      </c>
      <c r="I22" s="1" t="str">
        <f>"ADAM metallopeptidase domain 23"</f>
        <v>ADAM metallopeptidase domain 23</v>
      </c>
    </row>
    <row r="23" spans="1:9" x14ac:dyDescent="0.35">
      <c r="A23" s="1" t="str">
        <f>"222162_s_at"</f>
        <v>222162_s_at</v>
      </c>
      <c r="B23" s="1">
        <v>1.7359570508451E-4</v>
      </c>
      <c r="C23" s="2">
        <v>5.3581648370607399E-6</v>
      </c>
      <c r="D23" s="1">
        <v>-4.7994682110784499</v>
      </c>
      <c r="E23" s="1">
        <v>3.72158823543423</v>
      </c>
      <c r="F23" s="1">
        <v>-0.74720625789244299</v>
      </c>
      <c r="G23" s="3" t="str">
        <f>"ADAMTS1"</f>
        <v>ADAMTS1</v>
      </c>
      <c r="H23" s="1">
        <v>9510</v>
      </c>
      <c r="I23" s="1" t="str">
        <f>"ADAM metallopeptidase with thrombospondin type 1 motif 1"</f>
        <v>ADAM metallopeptidase with thrombospondin type 1 motif 1</v>
      </c>
    </row>
    <row r="24" spans="1:9" x14ac:dyDescent="0.35">
      <c r="A24" s="1" t="str">
        <f>"213974_at"</f>
        <v>213974_at</v>
      </c>
      <c r="B24" s="2">
        <v>4.3747833569935402E-6</v>
      </c>
      <c r="C24" s="2">
        <v>6.2432397232147601E-8</v>
      </c>
      <c r="D24" s="1">
        <v>5.8326648453369696</v>
      </c>
      <c r="E24" s="1">
        <v>7.9622771796634204</v>
      </c>
      <c r="F24" s="1">
        <v>0.54569246150726902</v>
      </c>
      <c r="G24" s="3" t="str">
        <f>"ADAMTSL3"</f>
        <v>ADAMTSL3</v>
      </c>
      <c r="H24" s="1">
        <v>57188</v>
      </c>
      <c r="I24" s="1" t="str">
        <f>"ADAMTS like 3"</f>
        <v>ADAMTS like 3</v>
      </c>
    </row>
    <row r="25" spans="1:9" x14ac:dyDescent="0.35">
      <c r="A25" s="1" t="str">
        <f>"201034_at"</f>
        <v>201034_at</v>
      </c>
      <c r="B25" s="2">
        <v>3.83874986705999E-8</v>
      </c>
      <c r="C25" s="2">
        <v>1.53322594878759E-10</v>
      </c>
      <c r="D25" s="1">
        <v>7.1094232822274304</v>
      </c>
      <c r="E25" s="1">
        <v>13.728029989846799</v>
      </c>
      <c r="F25" s="1">
        <v>0.695230640056684</v>
      </c>
      <c r="G25" s="3" t="str">
        <f>"ADD3"</f>
        <v>ADD3</v>
      </c>
      <c r="H25" s="1">
        <v>120</v>
      </c>
      <c r="I25" s="1" t="str">
        <f>"adducin 3"</f>
        <v>adducin 3</v>
      </c>
    </row>
    <row r="26" spans="1:9" x14ac:dyDescent="0.35">
      <c r="A26" s="1" t="str">
        <f>"221814_at"</f>
        <v>221814_at</v>
      </c>
      <c r="B26" s="2">
        <v>2.20828446732351E-5</v>
      </c>
      <c r="C26" s="2">
        <v>4.3802976913206998E-7</v>
      </c>
      <c r="D26" s="1">
        <v>5.3930575595533004</v>
      </c>
      <c r="E26" s="1">
        <v>6.1017655510968698</v>
      </c>
      <c r="F26" s="1">
        <v>0.47623653820348699</v>
      </c>
      <c r="G26" s="3" t="str">
        <f>"ADGRA2"</f>
        <v>ADGRA2</v>
      </c>
      <c r="H26" s="1">
        <v>25960</v>
      </c>
      <c r="I26" s="1" t="str">
        <f>"adhesion G protein-coupled receptor A2"</f>
        <v>adhesion G protein-coupled receptor A2</v>
      </c>
    </row>
    <row r="27" spans="1:9" x14ac:dyDescent="0.35">
      <c r="A27" s="1" t="str">
        <f>"212950_at"</f>
        <v>212950_at</v>
      </c>
      <c r="B27" s="1">
        <v>2.8370481061082999E-2</v>
      </c>
      <c r="C27" s="1">
        <v>3.5025442444482002E-3</v>
      </c>
      <c r="D27" s="1">
        <v>-2.9882462940346399</v>
      </c>
      <c r="E27" s="1">
        <v>-2.3122991233490802</v>
      </c>
      <c r="F27" s="1">
        <v>-0.30192055414826102</v>
      </c>
      <c r="G27" s="3" t="str">
        <f>"ADGRF5"</f>
        <v>ADGRF5</v>
      </c>
      <c r="H27" s="1">
        <v>221395</v>
      </c>
      <c r="I27" s="1" t="str">
        <f>"adhesion G protein-coupled receptor F5"</f>
        <v>adhesion G protein-coupled receptor F5</v>
      </c>
    </row>
    <row r="28" spans="1:9" x14ac:dyDescent="0.35">
      <c r="A28" s="1" t="str">
        <f>"212070_at"</f>
        <v>212070_at</v>
      </c>
      <c r="B28" s="1">
        <v>4.77310726863589E-3</v>
      </c>
      <c r="C28" s="1">
        <v>3.4722465029209598E-4</v>
      </c>
      <c r="D28" s="1">
        <v>-3.6997858873524998</v>
      </c>
      <c r="E28" s="1">
        <v>-0.194215719230631</v>
      </c>
      <c r="F28" s="1">
        <v>-0.32603034570493999</v>
      </c>
      <c r="G28" s="3" t="str">
        <f>"ADGRG1"</f>
        <v>ADGRG1</v>
      </c>
      <c r="H28" s="1">
        <v>9289</v>
      </c>
      <c r="I28" s="1" t="str">
        <f>"adhesion G protein-coupled receptor G1"</f>
        <v>adhesion G protein-coupled receptor G1</v>
      </c>
    </row>
    <row r="29" spans="1:9" x14ac:dyDescent="0.35">
      <c r="A29" s="1" t="str">
        <f>"209614_at"</f>
        <v>209614_at</v>
      </c>
      <c r="B29" s="1">
        <v>6.2029415863287395E-4</v>
      </c>
      <c r="C29" s="2">
        <v>2.59720167842962E-5</v>
      </c>
      <c r="D29" s="1">
        <v>-4.4033513840950498</v>
      </c>
      <c r="E29" s="1">
        <v>2.2306096925927399</v>
      </c>
      <c r="F29" s="1">
        <v>-0.35700396365697801</v>
      </c>
      <c r="G29" s="3" t="str">
        <f>"ADH1B"</f>
        <v>ADH1B</v>
      </c>
      <c r="H29" s="1">
        <v>125</v>
      </c>
      <c r="I29" s="1" t="str">
        <f>"alcohol dehydrogenase 1B (class I), beta polypeptide"</f>
        <v>alcohol dehydrogenase 1B (class I), beta polypeptide</v>
      </c>
    </row>
    <row r="30" spans="1:9" x14ac:dyDescent="0.35">
      <c r="A30" s="1" t="str">
        <f>"208847_s_at"</f>
        <v>208847_s_at</v>
      </c>
      <c r="B30" s="2">
        <v>3.7390117450175402E-6</v>
      </c>
      <c r="C30" s="2">
        <v>5.1345761072358599E-8</v>
      </c>
      <c r="D30" s="1">
        <v>5.8759117068333699</v>
      </c>
      <c r="E30" s="1">
        <v>8.1492978286251994</v>
      </c>
      <c r="F30" s="1">
        <v>0.37551051339244301</v>
      </c>
      <c r="G30" s="3" t="str">
        <f>"ADH5"</f>
        <v>ADH5</v>
      </c>
      <c r="H30" s="1">
        <v>128</v>
      </c>
      <c r="I30" s="1" t="str">
        <f>"alcohol dehydrogenase 5 (class III), chi polypeptide"</f>
        <v>alcohol dehydrogenase 5 (class III), chi polypeptide</v>
      </c>
    </row>
    <row r="31" spans="1:9" x14ac:dyDescent="0.35">
      <c r="A31" s="1" t="str">
        <f>"202912_at"</f>
        <v>202912_at</v>
      </c>
      <c r="B31" s="1">
        <v>9.8042173213752207E-2</v>
      </c>
      <c r="C31" s="1">
        <v>1.8695022841863002E-2</v>
      </c>
      <c r="D31" s="1">
        <v>-2.3891117332805201</v>
      </c>
      <c r="E31" s="1">
        <v>-3.7988151373285501</v>
      </c>
      <c r="F31" s="1">
        <v>-0.31458082270494597</v>
      </c>
      <c r="G31" s="3" t="str">
        <f>"ADM"</f>
        <v>ADM</v>
      </c>
      <c r="H31" s="1">
        <v>133</v>
      </c>
      <c r="I31" s="1" t="str">
        <f>"adrenomedullin"</f>
        <v>adrenomedullin</v>
      </c>
    </row>
    <row r="32" spans="1:9" x14ac:dyDescent="0.35">
      <c r="A32" s="1" t="str">
        <f>"201792_at"</f>
        <v>201792_at</v>
      </c>
      <c r="B32" s="1">
        <v>7.7363343385728302E-4</v>
      </c>
      <c r="C32" s="2">
        <v>3.4301926699770898E-5</v>
      </c>
      <c r="D32" s="1">
        <v>4.3313490313434801</v>
      </c>
      <c r="E32" s="1">
        <v>1.96881439964474</v>
      </c>
      <c r="F32" s="1">
        <v>0.46162402951889497</v>
      </c>
      <c r="G32" s="3" t="str">
        <f>"AEBP1"</f>
        <v>AEBP1</v>
      </c>
      <c r="H32" s="1">
        <v>165</v>
      </c>
      <c r="I32" s="1" t="str">
        <f>"AE binding protein 1"</f>
        <v>AE binding protein 1</v>
      </c>
    </row>
    <row r="33" spans="1:9" x14ac:dyDescent="0.35">
      <c r="A33" s="1" t="str">
        <f>"213926_s_at"</f>
        <v>213926_s_at</v>
      </c>
      <c r="B33" s="2">
        <v>5.29377673733997E-6</v>
      </c>
      <c r="C33" s="2">
        <v>7.7685454970613006E-8</v>
      </c>
      <c r="D33" s="1">
        <v>-5.7841384334058903</v>
      </c>
      <c r="E33" s="1">
        <v>7.7532381865076703</v>
      </c>
      <c r="F33" s="1">
        <v>-0.30940253160465098</v>
      </c>
      <c r="G33" s="3" t="str">
        <f>"AGFG1"</f>
        <v>AGFG1</v>
      </c>
      <c r="H33" s="1">
        <v>3267</v>
      </c>
      <c r="I33" s="1" t="str">
        <f>"ArfGAP with FG repeats 1"</f>
        <v>ArfGAP with FG repeats 1</v>
      </c>
    </row>
    <row r="34" spans="1:9" x14ac:dyDescent="0.35">
      <c r="A34" s="1" t="str">
        <f>"203566_s_at"</f>
        <v>203566_s_at</v>
      </c>
      <c r="B34" s="1">
        <v>0.121933438019961</v>
      </c>
      <c r="C34" s="1">
        <v>2.5631029200982602E-2</v>
      </c>
      <c r="D34" s="1">
        <v>2.2643636867305701</v>
      </c>
      <c r="E34" s="1">
        <v>-4.0714080693809098</v>
      </c>
      <c r="F34" s="1">
        <v>0.37123640873401298</v>
      </c>
      <c r="G34" s="3" t="str">
        <f>"AGL"</f>
        <v>AGL</v>
      </c>
      <c r="H34" s="1">
        <v>178</v>
      </c>
      <c r="I34" s="1" t="str">
        <f>"amylo-alpha-1, 6-glucosidase, 4-alpha-glucanotransferase"</f>
        <v>amylo-alpha-1, 6-glucosidase, 4-alpha-glucanotransferase</v>
      </c>
    </row>
    <row r="35" spans="1:9" x14ac:dyDescent="0.35">
      <c r="A35" s="1" t="str">
        <f>"212285_s_at"</f>
        <v>212285_s_at</v>
      </c>
      <c r="B35" s="2">
        <v>2.9206534893062402E-9</v>
      </c>
      <c r="C35" s="2">
        <v>6.42247547350023E-12</v>
      </c>
      <c r="D35" s="1">
        <v>7.7527245721361</v>
      </c>
      <c r="E35" s="1">
        <v>16.780534818349299</v>
      </c>
      <c r="F35" s="1">
        <v>0.493931091305232</v>
      </c>
      <c r="G35" s="3" t="str">
        <f>"AGRN"</f>
        <v>AGRN</v>
      </c>
      <c r="H35" s="1">
        <v>375790</v>
      </c>
      <c r="I35" s="1" t="str">
        <f>"agrin"</f>
        <v>agrin</v>
      </c>
    </row>
    <row r="36" spans="1:9" x14ac:dyDescent="0.35">
      <c r="A36" s="1" t="str">
        <f>"202834_at"</f>
        <v>202834_at</v>
      </c>
      <c r="B36" s="1">
        <v>3.9401647798800602E-3</v>
      </c>
      <c r="C36" s="1">
        <v>2.7372324549002899E-4</v>
      </c>
      <c r="D36" s="1">
        <v>3.7677665151698698</v>
      </c>
      <c r="E36" s="1">
        <v>2.65333586570877E-2</v>
      </c>
      <c r="F36" s="1">
        <v>0.31443045085320198</v>
      </c>
      <c r="G36" s="3" t="str">
        <f>"AGT"</f>
        <v>AGT</v>
      </c>
      <c r="H36" s="1">
        <v>183</v>
      </c>
      <c r="I36" s="1" t="str">
        <f>"angiotensinogen"</f>
        <v>angiotensinogen</v>
      </c>
    </row>
    <row r="37" spans="1:9" x14ac:dyDescent="0.35">
      <c r="A37" s="1" t="str">
        <f>"200903_s_at"</f>
        <v>200903_s_at</v>
      </c>
      <c r="B37" s="2">
        <v>5.9131636564322298E-5</v>
      </c>
      <c r="C37" s="2">
        <v>1.45509621872929E-6</v>
      </c>
      <c r="D37" s="1">
        <v>-5.1130777132710801</v>
      </c>
      <c r="E37" s="1">
        <v>4.9587560332065603</v>
      </c>
      <c r="F37" s="1">
        <v>-0.35929143589825702</v>
      </c>
      <c r="G37" s="3" t="str">
        <f>"AHCY"</f>
        <v>AHCY</v>
      </c>
      <c r="H37" s="1">
        <v>191</v>
      </c>
      <c r="I37" s="1" t="str">
        <f>"adenosylhomocysteinase"</f>
        <v>adenosylhomocysteinase</v>
      </c>
    </row>
    <row r="38" spans="1:9" x14ac:dyDescent="0.35">
      <c r="A38" s="1" t="str">
        <f>"201675_at"</f>
        <v>201675_at</v>
      </c>
      <c r="B38" s="1">
        <v>2.09782750245324E-4</v>
      </c>
      <c r="C38" s="2">
        <v>6.8066655489552198E-6</v>
      </c>
      <c r="D38" s="1">
        <v>4.7406632243511897</v>
      </c>
      <c r="E38" s="1">
        <v>3.49501482589248</v>
      </c>
      <c r="F38" s="1">
        <v>0.46405059553052702</v>
      </c>
      <c r="G38" s="3" t="str">
        <f>"AKAP1"</f>
        <v>AKAP1</v>
      </c>
      <c r="H38" s="1">
        <v>8165</v>
      </c>
      <c r="I38" s="1" t="str">
        <f>"A-kinase anchoring protein 1"</f>
        <v>A-kinase anchoring protein 1</v>
      </c>
    </row>
    <row r="39" spans="1:9" x14ac:dyDescent="0.35">
      <c r="A39" s="1" t="str">
        <f>"203156_at"</f>
        <v>203156_at</v>
      </c>
      <c r="B39" s="1">
        <v>3.2678554206365799E-3</v>
      </c>
      <c r="C39" s="1">
        <v>2.1660559423238501E-4</v>
      </c>
      <c r="D39" s="1">
        <v>3.8338834652484</v>
      </c>
      <c r="E39" s="1">
        <v>0.24413084588388101</v>
      </c>
      <c r="F39" s="1">
        <v>0.37435734481104399</v>
      </c>
      <c r="G39" s="3" t="str">
        <f>"AKAP11"</f>
        <v>AKAP11</v>
      </c>
      <c r="H39" s="1">
        <v>11215</v>
      </c>
      <c r="I39" s="1" t="str">
        <f>"A-kinase anchoring protein 11"</f>
        <v>A-kinase anchoring protein 11</v>
      </c>
    </row>
    <row r="40" spans="1:9" x14ac:dyDescent="0.35">
      <c r="A40" s="1" t="str">
        <f>"217893_s_at"</f>
        <v>217893_s_at</v>
      </c>
      <c r="B40" s="1">
        <v>9.06396603590577E-4</v>
      </c>
      <c r="C40" s="2">
        <v>4.1612158393087099E-5</v>
      </c>
      <c r="D40" s="1">
        <v>-4.2809137987481201</v>
      </c>
      <c r="E40" s="1">
        <v>1.7872016613275299</v>
      </c>
      <c r="F40" s="1">
        <v>-0.34349485022819798</v>
      </c>
      <c r="G40" s="3" t="str">
        <f>"AKIRIN1"</f>
        <v>AKIRIN1</v>
      </c>
      <c r="H40" s="1">
        <v>79647</v>
      </c>
      <c r="I40" s="1" t="str">
        <f>"akirin 1"</f>
        <v>akirin 1</v>
      </c>
    </row>
    <row r="41" spans="1:9" x14ac:dyDescent="0.35">
      <c r="A41" s="1" t="str">
        <f>"204151_x_at"</f>
        <v>204151_x_at</v>
      </c>
      <c r="B41" s="1">
        <v>7.80168536787227E-3</v>
      </c>
      <c r="C41" s="1">
        <v>6.5437104306212196E-4</v>
      </c>
      <c r="D41" s="1">
        <v>-3.5144908126527299</v>
      </c>
      <c r="E41" s="1">
        <v>-0.78020530424030199</v>
      </c>
      <c r="F41" s="1">
        <v>-0.445840440082858</v>
      </c>
      <c r="G41" s="3" t="str">
        <f>"AKR1C1"</f>
        <v>AKR1C1</v>
      </c>
      <c r="H41" s="1">
        <v>1645</v>
      </c>
      <c r="I41" s="1" t="str">
        <f>"aldo-keto reductase family 1 member C1"</f>
        <v>aldo-keto reductase family 1 member C1</v>
      </c>
    </row>
    <row r="42" spans="1:9" x14ac:dyDescent="0.35">
      <c r="A42" s="1" t="str">
        <f>"209160_at"</f>
        <v>209160_at</v>
      </c>
      <c r="B42" s="1">
        <v>5.5095629062044502E-2</v>
      </c>
      <c r="C42" s="1">
        <v>8.4857603976545692E-3</v>
      </c>
      <c r="D42" s="1">
        <v>-2.6832898640473402</v>
      </c>
      <c r="E42" s="1">
        <v>-3.1048414495180898</v>
      </c>
      <c r="F42" s="1">
        <v>-0.32902021858866498</v>
      </c>
      <c r="G42" s="3" t="str">
        <f>"AKR1C3"</f>
        <v>AKR1C3</v>
      </c>
      <c r="H42" s="1">
        <v>8644</v>
      </c>
      <c r="I42" s="1" t="str">
        <f>"aldo-keto reductase family 1, member C3"</f>
        <v>aldo-keto reductase family 1, member C3</v>
      </c>
    </row>
    <row r="43" spans="1:9" x14ac:dyDescent="0.35">
      <c r="A43" s="1" t="str">
        <f>"214259_s_at"</f>
        <v>214259_s_at</v>
      </c>
      <c r="B43" s="1">
        <v>2.6077550982585001E-3</v>
      </c>
      <c r="C43" s="1">
        <v>1.6126583159360101E-4</v>
      </c>
      <c r="D43" s="1">
        <v>3.9161905920653601</v>
      </c>
      <c r="E43" s="1">
        <v>0.51894491040572099</v>
      </c>
      <c r="F43" s="1">
        <v>0.42730765797674303</v>
      </c>
      <c r="G43" s="3" t="str">
        <f>"AKR7A2"</f>
        <v>AKR7A2</v>
      </c>
      <c r="H43" s="1">
        <v>8574</v>
      </c>
      <c r="I43" s="1" t="str">
        <f>"aldo-keto reductase family 7 member A2"</f>
        <v>aldo-keto reductase family 7 member A2</v>
      </c>
    </row>
    <row r="44" spans="1:9" x14ac:dyDescent="0.35">
      <c r="A44" s="1" t="str">
        <f>"205633_s_at"</f>
        <v>205633_s_at</v>
      </c>
      <c r="B44" s="1">
        <v>3.9796696381941803E-4</v>
      </c>
      <c r="C44" s="2">
        <v>1.47520850924399E-5</v>
      </c>
      <c r="D44" s="1">
        <v>4.5476223105064699</v>
      </c>
      <c r="E44" s="1">
        <v>2.7638920587684201</v>
      </c>
      <c r="F44" s="1">
        <v>0.38365684483285101</v>
      </c>
      <c r="G44" s="3" t="str">
        <f>"ALAS1"</f>
        <v>ALAS1</v>
      </c>
      <c r="H44" s="1">
        <v>211</v>
      </c>
      <c r="I44" s="1" t="str">
        <f>"5'-aminolevulinate synthase 1"</f>
        <v>5'-aminolevulinate synthase 1</v>
      </c>
    </row>
    <row r="45" spans="1:9" x14ac:dyDescent="0.35">
      <c r="A45" s="1" t="str">
        <f>"212224_at"</f>
        <v>212224_at</v>
      </c>
      <c r="B45" s="1">
        <v>2.6061594371133E-2</v>
      </c>
      <c r="C45" s="1">
        <v>3.1250989615252598E-3</v>
      </c>
      <c r="D45" s="1">
        <v>3.02597165610175</v>
      </c>
      <c r="E45" s="1">
        <v>-2.2092550566801998</v>
      </c>
      <c r="F45" s="1">
        <v>0.40225755400290603</v>
      </c>
      <c r="G45" s="3" t="str">
        <f>"ALDH1A1"</f>
        <v>ALDH1A1</v>
      </c>
      <c r="H45" s="1">
        <v>216</v>
      </c>
      <c r="I45" s="1" t="str">
        <f>"aldehyde dehydrogenase 1 family member A1"</f>
        <v>aldehyde dehydrogenase 1 family member A1</v>
      </c>
    </row>
    <row r="46" spans="1:9" x14ac:dyDescent="0.35">
      <c r="A46" s="1" t="str">
        <f>"203608_at"</f>
        <v>203608_at</v>
      </c>
      <c r="B46" s="2">
        <v>2.0424330235140601E-7</v>
      </c>
      <c r="C46" s="2">
        <v>1.34016092946193E-9</v>
      </c>
      <c r="D46" s="1">
        <v>6.6595702861910597</v>
      </c>
      <c r="E46" s="1">
        <v>11.6446190861937</v>
      </c>
      <c r="F46" s="1">
        <v>0.77839242345639603</v>
      </c>
      <c r="G46" s="3" t="str">
        <f>"ALDH5A1"</f>
        <v>ALDH5A1</v>
      </c>
      <c r="H46" s="1">
        <v>7915</v>
      </c>
      <c r="I46" s="1" t="str">
        <f>"aldehyde dehydrogenase 5 family member A1"</f>
        <v>aldehyde dehydrogenase 5 family member A1</v>
      </c>
    </row>
    <row r="47" spans="1:9" x14ac:dyDescent="0.35">
      <c r="A47" s="1" t="str">
        <f>"221589_s_at"</f>
        <v>221589_s_at</v>
      </c>
      <c r="B47" s="1">
        <v>0.106908617846248</v>
      </c>
      <c r="C47" s="1">
        <v>2.11917320390826E-2</v>
      </c>
      <c r="D47" s="1">
        <v>2.3401050635220999</v>
      </c>
      <c r="E47" s="1">
        <v>-3.9074675068820701</v>
      </c>
      <c r="F47" s="1">
        <v>0.35946932794186198</v>
      </c>
      <c r="G47" s="3" t="str">
        <f>"ALDH6A1"</f>
        <v>ALDH6A1</v>
      </c>
      <c r="H47" s="1">
        <v>4329</v>
      </c>
      <c r="I47" s="1" t="str">
        <f>"aldehyde dehydrogenase 6 family member A1"</f>
        <v>aldehyde dehydrogenase 6 family member A1</v>
      </c>
    </row>
    <row r="48" spans="1:9" x14ac:dyDescent="0.35">
      <c r="A48" s="1" t="str">
        <f>"201612_at"</f>
        <v>201612_at</v>
      </c>
      <c r="B48" s="2">
        <v>8.5002444830895704E-6</v>
      </c>
      <c r="C48" s="2">
        <v>1.3351369066469301E-7</v>
      </c>
      <c r="D48" s="1">
        <v>5.6630927707372498</v>
      </c>
      <c r="E48" s="1">
        <v>7.2356473377452799</v>
      </c>
      <c r="F48" s="1">
        <v>0.35704853361627698</v>
      </c>
      <c r="G48" s="3" t="str">
        <f>"ALDH9A1"</f>
        <v>ALDH9A1</v>
      </c>
      <c r="H48" s="1">
        <v>223</v>
      </c>
      <c r="I48" s="1" t="str">
        <f>"aldehyde dehydrogenase 9 family member A1"</f>
        <v>aldehyde dehydrogenase 9 family member A1</v>
      </c>
    </row>
    <row r="49" spans="1:9" x14ac:dyDescent="0.35">
      <c r="A49" s="1" t="str">
        <f>"202022_at"</f>
        <v>202022_at</v>
      </c>
      <c r="B49" s="1">
        <v>1.90693990836753E-2</v>
      </c>
      <c r="C49" s="1">
        <v>2.0641471341302799E-3</v>
      </c>
      <c r="D49" s="1">
        <v>3.16054956609005</v>
      </c>
      <c r="E49" s="1">
        <v>-1.83293849805596</v>
      </c>
      <c r="F49" s="1">
        <v>0.33905249455668601</v>
      </c>
      <c r="G49" s="3" t="str">
        <f>"ALDOC"</f>
        <v>ALDOC</v>
      </c>
      <c r="H49" s="1">
        <v>230</v>
      </c>
      <c r="I49" s="1" t="str">
        <f>"aldolase, fructose-bisphosphate C"</f>
        <v>aldolase, fructose-bisphosphate C</v>
      </c>
    </row>
    <row r="50" spans="1:9" x14ac:dyDescent="0.35">
      <c r="A50" s="1" t="str">
        <f>"205583_s_at"</f>
        <v>205583_s_at</v>
      </c>
      <c r="B50" s="1">
        <v>1.52729955433339E-2</v>
      </c>
      <c r="C50" s="1">
        <v>1.54491459653882E-3</v>
      </c>
      <c r="D50" s="1">
        <v>3.2522763189469499</v>
      </c>
      <c r="E50" s="1">
        <v>-1.5687560099698299</v>
      </c>
      <c r="F50" s="1">
        <v>0.36073793750872002</v>
      </c>
      <c r="G50" s="3" t="str">
        <f>"ALG13"</f>
        <v>ALG13</v>
      </c>
      <c r="H50" s="1">
        <v>79868</v>
      </c>
      <c r="I50" s="1" t="str">
        <f>"ALG13, UDP-N-acetylglucosaminyltransferase subunit"</f>
        <v>ALG13, UDP-N-acetylglucosaminyltransferase subunit</v>
      </c>
    </row>
    <row r="51" spans="1:9" x14ac:dyDescent="0.35">
      <c r="A51" s="1" t="str">
        <f>"204446_s_at"</f>
        <v>204446_s_at</v>
      </c>
      <c r="B51" s="1">
        <v>9.5305103295156998E-2</v>
      </c>
      <c r="C51" s="1">
        <v>1.79763653524905E-2</v>
      </c>
      <c r="D51" s="1">
        <v>-2.4042942560098801</v>
      </c>
      <c r="E51" s="1">
        <v>-3.7647456445681802</v>
      </c>
      <c r="F51" s="1">
        <v>-0.32583181312209603</v>
      </c>
      <c r="G51" s="3" t="str">
        <f>"ALOX5"</f>
        <v>ALOX5</v>
      </c>
      <c r="H51" s="1">
        <v>240</v>
      </c>
      <c r="I51" s="1" t="str">
        <f>"arachidonate 5-lipoxygenase"</f>
        <v>arachidonate 5-lipoxygenase</v>
      </c>
    </row>
    <row r="52" spans="1:9" x14ac:dyDescent="0.35">
      <c r="A52" s="1" t="str">
        <f>"204174_at"</f>
        <v>204174_at</v>
      </c>
      <c r="B52" s="1">
        <v>1.8517461009777799E-4</v>
      </c>
      <c r="C52" s="2">
        <v>5.7921600878764597E-6</v>
      </c>
      <c r="D52" s="1">
        <v>-4.7803728380119397</v>
      </c>
      <c r="E52" s="1">
        <v>3.6478212694269998</v>
      </c>
      <c r="F52" s="1">
        <v>-0.47175364317296697</v>
      </c>
      <c r="G52" s="3" t="str">
        <f>"ALOX5AP"</f>
        <v>ALOX5AP</v>
      </c>
      <c r="H52" s="1">
        <v>241</v>
      </c>
      <c r="I52" s="1" t="str">
        <f>"arachidonate 5-lipoxygenase activating protein"</f>
        <v>arachidonate 5-lipoxygenase activating protein</v>
      </c>
    </row>
    <row r="53" spans="1:9" x14ac:dyDescent="0.35">
      <c r="A53" s="1" t="str">
        <f>"201197_at"</f>
        <v>201197_at</v>
      </c>
      <c r="B53" s="2">
        <v>4.7426814043005102E-7</v>
      </c>
      <c r="C53" s="2">
        <v>3.6395392008947999E-9</v>
      </c>
      <c r="D53" s="1">
        <v>-6.4486517331196902</v>
      </c>
      <c r="E53" s="1">
        <v>10.685558328857001</v>
      </c>
      <c r="F53" s="1">
        <v>-0.64573165563953705</v>
      </c>
      <c r="G53" s="3" t="str">
        <f>"AMD1"</f>
        <v>AMD1</v>
      </c>
      <c r="H53" s="1">
        <v>262</v>
      </c>
      <c r="I53" s="1" t="str">
        <f>"adenosylmethionine decarboxylase 1"</f>
        <v>adenosylmethionine decarboxylase 1</v>
      </c>
    </row>
    <row r="54" spans="1:9" x14ac:dyDescent="0.35">
      <c r="A54" s="1" t="str">
        <f>"204294_at"</f>
        <v>204294_at</v>
      </c>
      <c r="B54" s="2">
        <v>6.2018060196060398E-6</v>
      </c>
      <c r="C54" s="2">
        <v>9.3515542009048504E-8</v>
      </c>
      <c r="D54" s="1">
        <v>5.7428182338754601</v>
      </c>
      <c r="E54" s="1">
        <v>7.57593009950594</v>
      </c>
      <c r="F54" s="1">
        <v>0.35696570036918501</v>
      </c>
      <c r="G54" s="3" t="str">
        <f>"AMT"</f>
        <v>AMT</v>
      </c>
      <c r="H54" s="1">
        <v>275</v>
      </c>
      <c r="I54" s="1" t="str">
        <f>"aminomethyltransferase"</f>
        <v>aminomethyltransferase</v>
      </c>
    </row>
    <row r="55" spans="1:9" x14ac:dyDescent="0.35">
      <c r="A55" s="1" t="str">
        <f>"205572_at"</f>
        <v>205572_at</v>
      </c>
      <c r="B55" s="1">
        <v>2.3286487456905701E-3</v>
      </c>
      <c r="C55" s="1">
        <v>1.3815346415666399E-4</v>
      </c>
      <c r="D55" s="1">
        <v>-3.9589040226196599</v>
      </c>
      <c r="E55" s="1">
        <v>0.66325500998851405</v>
      </c>
      <c r="F55" s="1">
        <v>-0.41944918125290798</v>
      </c>
      <c r="G55" s="3" t="str">
        <f>"ANGPT2"</f>
        <v>ANGPT2</v>
      </c>
      <c r="H55" s="1">
        <v>285</v>
      </c>
      <c r="I55" s="1" t="str">
        <f>"angiopoietin 2"</f>
        <v>angiopoietin 2</v>
      </c>
    </row>
    <row r="56" spans="1:9" x14ac:dyDescent="0.35">
      <c r="A56" s="1" t="str">
        <f>"205389_s_at"</f>
        <v>205389_s_at</v>
      </c>
      <c r="B56" s="1">
        <v>1.4492378813958E-3</v>
      </c>
      <c r="C56" s="2">
        <v>7.6224332315930505E-5</v>
      </c>
      <c r="D56" s="1">
        <v>4.1204585044640698</v>
      </c>
      <c r="E56" s="1">
        <v>1.2193244690693601</v>
      </c>
      <c r="F56" s="1">
        <v>0.57905373604942001</v>
      </c>
      <c r="G56" s="3" t="str">
        <f>"ANK1"</f>
        <v>ANK1</v>
      </c>
      <c r="H56" s="1">
        <v>286</v>
      </c>
      <c r="I56" s="1" t="str">
        <f>"ankyrin 1"</f>
        <v>ankyrin 1</v>
      </c>
    </row>
    <row r="57" spans="1:9" x14ac:dyDescent="0.35">
      <c r="A57" s="1" t="str">
        <f>"202920_at"</f>
        <v>202920_at</v>
      </c>
      <c r="B57" s="2">
        <v>1.1708690003095301E-6</v>
      </c>
      <c r="C57" s="2">
        <v>1.16125319332408E-8</v>
      </c>
      <c r="D57" s="1">
        <v>6.2003053882301202</v>
      </c>
      <c r="E57" s="1">
        <v>9.5728495210441498</v>
      </c>
      <c r="F57" s="1">
        <v>0.50888785093458999</v>
      </c>
      <c r="G57" s="3" t="str">
        <f>"ANK2"</f>
        <v>ANK2</v>
      </c>
      <c r="H57" s="1">
        <v>287</v>
      </c>
      <c r="I57" s="1" t="str">
        <f>"ankyrin 2, neuronal"</f>
        <v>ankyrin 2, neuronal</v>
      </c>
    </row>
    <row r="58" spans="1:9" x14ac:dyDescent="0.35">
      <c r="A58" s="1" t="str">
        <f>"214919_s_at"</f>
        <v>214919_s_at</v>
      </c>
      <c r="B58" s="2">
        <v>9.5632338005805699E-5</v>
      </c>
      <c r="C58" s="2">
        <v>2.6093641568697999E-6</v>
      </c>
      <c r="D58" s="1">
        <v>4.9739140222984002</v>
      </c>
      <c r="E58" s="1">
        <v>4.4039030201151803</v>
      </c>
      <c r="F58" s="1">
        <v>0.44281309188372298</v>
      </c>
      <c r="G58" s="3" t="str">
        <f>"ANKHD1-EIF4EBP3"</f>
        <v>ANKHD1-EIF4EBP3</v>
      </c>
      <c r="H58" s="1">
        <v>404734</v>
      </c>
      <c r="I58" s="1" t="str">
        <f>"ANKHD1-EIF4EBP3 readthrough///ankyrin repeat and KH domain containing 1///eukaryotic translation initiation factor 4E binding protein 3"</f>
        <v>ANKHD1-EIF4EBP3 readthrough///ankyrin repeat and KH domain containing 1///eukaryotic translation initiation factor 4E binding protein 3</v>
      </c>
    </row>
    <row r="59" spans="1:9" x14ac:dyDescent="0.35">
      <c r="A59" s="1" t="str">
        <f>"212798_s_at"</f>
        <v>212798_s_at</v>
      </c>
      <c r="B59" s="2">
        <v>1.00053876885526E-8</v>
      </c>
      <c r="C59" s="2">
        <v>2.6491849105802699E-11</v>
      </c>
      <c r="D59" s="1">
        <v>7.4672725955559303</v>
      </c>
      <c r="E59" s="1">
        <v>15.416831389133201</v>
      </c>
      <c r="F59" s="1">
        <v>0.65415162152907402</v>
      </c>
      <c r="G59" s="3" t="str">
        <f>"ANKMY2"</f>
        <v>ANKMY2</v>
      </c>
      <c r="H59" s="1">
        <v>57037</v>
      </c>
      <c r="I59" s="1" t="str">
        <f>"ankyrin repeat and MYND domain containing 2"</f>
        <v>ankyrin repeat and MYND domain containing 2</v>
      </c>
    </row>
    <row r="60" spans="1:9" x14ac:dyDescent="0.35">
      <c r="A60" s="1" t="str">
        <f>"221232_s_at"</f>
        <v>221232_s_at</v>
      </c>
      <c r="B60" s="2">
        <v>1.04274576442224E-7</v>
      </c>
      <c r="C60" s="2">
        <v>5.4750821001392196E-10</v>
      </c>
      <c r="D60" s="1">
        <v>-6.8465183984475404</v>
      </c>
      <c r="E60" s="1">
        <v>12.5045344080077</v>
      </c>
      <c r="F60" s="1">
        <v>-1.59706505661773</v>
      </c>
      <c r="G60" s="3" t="str">
        <f>"ANKRD2"</f>
        <v>ANKRD2</v>
      </c>
      <c r="H60" s="1">
        <v>26287</v>
      </c>
      <c r="I60" s="1" t="str">
        <f>"ankyrin repeat domain 2"</f>
        <v>ankyrin repeat domain 2</v>
      </c>
    </row>
    <row r="61" spans="1:9" x14ac:dyDescent="0.35">
      <c r="A61" s="1" t="str">
        <f>"212731_at"</f>
        <v>212731_at</v>
      </c>
      <c r="B61" s="1">
        <v>2.9458219472414299E-2</v>
      </c>
      <c r="C61" s="1">
        <v>3.6768542171553699E-3</v>
      </c>
      <c r="D61" s="1">
        <v>2.9720770609977101</v>
      </c>
      <c r="E61" s="1">
        <v>-2.35613259261814</v>
      </c>
      <c r="F61" s="1">
        <v>0.35671941957848802</v>
      </c>
      <c r="G61" s="3" t="str">
        <f>"ANKRD46"</f>
        <v>ANKRD46</v>
      </c>
      <c r="H61" s="1">
        <v>157567</v>
      </c>
      <c r="I61" s="1" t="str">
        <f>"ankyrin repeat domain 46"</f>
        <v>ankyrin repeat domain 46</v>
      </c>
    </row>
    <row r="62" spans="1:9" x14ac:dyDescent="0.35">
      <c r="A62" s="1" t="str">
        <f>"205206_at"</f>
        <v>205206_at</v>
      </c>
      <c r="B62" s="2">
        <v>1.61599685009042E-10</v>
      </c>
      <c r="C62" s="2">
        <v>2.24816686948809E-13</v>
      </c>
      <c r="D62" s="1">
        <v>8.4189908242793905</v>
      </c>
      <c r="E62" s="1">
        <v>20.007735341829701</v>
      </c>
      <c r="F62" s="1">
        <v>0.70587263980959303</v>
      </c>
      <c r="G62" s="3" t="str">
        <f>"ANOS1"</f>
        <v>ANOS1</v>
      </c>
      <c r="H62" s="1">
        <v>3730</v>
      </c>
      <c r="I62" s="1" t="str">
        <f>"anosmin 1"</f>
        <v>anosmin 1</v>
      </c>
    </row>
    <row r="63" spans="1:9" x14ac:dyDescent="0.35">
      <c r="A63" s="1" t="str">
        <f>"221505_at"</f>
        <v>221505_at</v>
      </c>
      <c r="B63" s="2">
        <v>1.1634740765119699E-6</v>
      </c>
      <c r="C63" s="2">
        <v>1.1486976476804399E-8</v>
      </c>
      <c r="D63" s="1">
        <v>6.20265082086354</v>
      </c>
      <c r="E63" s="1">
        <v>9.5832692362434901</v>
      </c>
      <c r="F63" s="1">
        <v>0.70379439149127399</v>
      </c>
      <c r="G63" s="3" t="str">
        <f>"ANP32E"</f>
        <v>ANP32E</v>
      </c>
      <c r="H63" s="1">
        <v>81611</v>
      </c>
      <c r="I63" s="1" t="str">
        <f>"acidic nuclear phosphoprotein 32 family member E"</f>
        <v>acidic nuclear phosphoprotein 32 family member E</v>
      </c>
    </row>
    <row r="64" spans="1:9" x14ac:dyDescent="0.35">
      <c r="A64" s="1" t="str">
        <f>"202888_s_at"</f>
        <v>202888_s_at</v>
      </c>
      <c r="B64" s="1">
        <v>2.8156903026416098E-4</v>
      </c>
      <c r="C64" s="2">
        <v>9.7858512810005408E-6</v>
      </c>
      <c r="D64" s="1">
        <v>-4.6506383273609897</v>
      </c>
      <c r="E64" s="1">
        <v>3.1516074970975301</v>
      </c>
      <c r="F64" s="1">
        <v>-0.30015143573546599</v>
      </c>
      <c r="G64" s="3" t="str">
        <f>"ANPEP"</f>
        <v>ANPEP</v>
      </c>
      <c r="H64" s="1">
        <v>290</v>
      </c>
      <c r="I64" s="1" t="str">
        <f>"alanyl aminopeptidase, membrane"</f>
        <v>alanyl aminopeptidase, membrane</v>
      </c>
    </row>
    <row r="65" spans="1:9" x14ac:dyDescent="0.35">
      <c r="A65" s="1" t="str">
        <f>"201302_at"</f>
        <v>201302_at</v>
      </c>
      <c r="B65" s="1">
        <v>1.0187696274367401E-4</v>
      </c>
      <c r="C65" s="2">
        <v>2.8300426306302699E-6</v>
      </c>
      <c r="D65" s="1">
        <v>4.9544018691760199</v>
      </c>
      <c r="E65" s="1">
        <v>4.3268433751149704</v>
      </c>
      <c r="F65" s="1">
        <v>0.49474483766133798</v>
      </c>
      <c r="G65" s="3" t="str">
        <f>"ANXA4"</f>
        <v>ANXA4</v>
      </c>
      <c r="H65" s="1">
        <v>307</v>
      </c>
      <c r="I65" s="1" t="str">
        <f>"annexin A4"</f>
        <v>annexin A4</v>
      </c>
    </row>
    <row r="66" spans="1:9" x14ac:dyDescent="0.35">
      <c r="A66" s="1" t="str">
        <f>"205083_at"</f>
        <v>205083_at</v>
      </c>
      <c r="B66" s="1">
        <v>1.2153939128803099E-3</v>
      </c>
      <c r="C66" s="2">
        <v>6.0693761803884199E-5</v>
      </c>
      <c r="D66" s="1">
        <v>-4.1813044539276198</v>
      </c>
      <c r="E66" s="1">
        <v>1.43287162942264</v>
      </c>
      <c r="F66" s="1">
        <v>-0.36231792107557897</v>
      </c>
      <c r="G66" s="3" t="str">
        <f>"AOX1"</f>
        <v>AOX1</v>
      </c>
      <c r="H66" s="1">
        <v>316</v>
      </c>
      <c r="I66" s="1" t="str">
        <f>"aldehyde oxidase 1"</f>
        <v>aldehyde oxidase 1</v>
      </c>
    </row>
    <row r="67" spans="1:9" x14ac:dyDescent="0.35">
      <c r="A67" s="1" t="str">
        <f>"203300_x_at"</f>
        <v>203300_x_at</v>
      </c>
      <c r="B67" s="1">
        <v>3.3363388512211698E-3</v>
      </c>
      <c r="C67" s="1">
        <v>2.2279191359408901E-4</v>
      </c>
      <c r="D67" s="1">
        <v>-3.8259675419837</v>
      </c>
      <c r="E67" s="1">
        <v>0.217929431096272</v>
      </c>
      <c r="F67" s="1">
        <v>-0.54950259221511599</v>
      </c>
      <c r="G67" s="3" t="str">
        <f>"AP1S2"</f>
        <v>AP1S2</v>
      </c>
      <c r="H67" s="1">
        <v>8905</v>
      </c>
      <c r="I67" s="1" t="str">
        <f>"adaptor related protein complex 1 sigma 2 subunit"</f>
        <v>adaptor related protein complex 1 sigma 2 subunit</v>
      </c>
    </row>
    <row r="68" spans="1:9" x14ac:dyDescent="0.35">
      <c r="A68" s="1" t="str">
        <f>"203410_at"</f>
        <v>203410_at</v>
      </c>
      <c r="B68" s="2">
        <v>2.1755380098337502E-8</v>
      </c>
      <c r="C68" s="2">
        <v>7.7129427266017105E-11</v>
      </c>
      <c r="D68" s="1">
        <v>7.2500695622864999</v>
      </c>
      <c r="E68" s="1">
        <v>14.388771705044601</v>
      </c>
      <c r="F68" s="1">
        <v>0.42112245592296499</v>
      </c>
      <c r="G68" s="3" t="str">
        <f>"AP3M2"</f>
        <v>AP3M2</v>
      </c>
      <c r="H68" s="1">
        <v>10947</v>
      </c>
      <c r="I68" s="1" t="str">
        <f>"adaptor related protein complex 3 mu 2 subunit"</f>
        <v>adaptor related protein complex 3 mu 2 subunit</v>
      </c>
    </row>
    <row r="69" spans="1:9" x14ac:dyDescent="0.35">
      <c r="A69" s="1" t="str">
        <f>"213592_at"</f>
        <v>213592_at</v>
      </c>
      <c r="B69" s="2">
        <v>1.82674312873475E-6</v>
      </c>
      <c r="C69" s="2">
        <v>2.0166889990968401E-8</v>
      </c>
      <c r="D69" s="1">
        <v>6.0807257423814596</v>
      </c>
      <c r="E69" s="1">
        <v>9.0439669881387506</v>
      </c>
      <c r="F69" s="1">
        <v>0.68422656641570101</v>
      </c>
      <c r="G69" s="3" t="str">
        <f>"APLNR"</f>
        <v>APLNR</v>
      </c>
      <c r="H69" s="1">
        <v>187</v>
      </c>
      <c r="I69" s="1" t="str">
        <f>"apelin receptor"</f>
        <v>apelin receptor</v>
      </c>
    </row>
    <row r="70" spans="1:9" x14ac:dyDescent="0.35">
      <c r="A70" s="1" t="str">
        <f>"217073_x_at"</f>
        <v>217073_x_at</v>
      </c>
      <c r="B70" s="1">
        <v>1.36616167619273E-2</v>
      </c>
      <c r="C70" s="1">
        <v>1.3359360465035901E-3</v>
      </c>
      <c r="D70" s="1">
        <v>3.2976260112767002</v>
      </c>
      <c r="E70" s="1">
        <v>-1.43587973465651</v>
      </c>
      <c r="F70" s="1">
        <v>0.59997055654796705</v>
      </c>
      <c r="G70" s="3" t="str">
        <f>"APOA1"</f>
        <v>APOA1</v>
      </c>
      <c r="H70" s="1">
        <v>335</v>
      </c>
      <c r="I70" s="1" t="str">
        <f>"apolipoprotein A1"</f>
        <v>apolipoprotein A1</v>
      </c>
    </row>
    <row r="71" spans="1:9" x14ac:dyDescent="0.35">
      <c r="A71" s="1" t="str">
        <f>"200602_at"</f>
        <v>200602_at</v>
      </c>
      <c r="B71" s="1">
        <v>4.4471761958343996E-3</v>
      </c>
      <c r="C71" s="1">
        <v>3.1732756591916202E-4</v>
      </c>
      <c r="D71" s="1">
        <v>3.7256149024951699</v>
      </c>
      <c r="E71" s="1">
        <v>-0.11070177698914099</v>
      </c>
      <c r="F71" s="1">
        <v>0.45399417260465003</v>
      </c>
      <c r="G71" s="3" t="str">
        <f>"APP"</f>
        <v>APP</v>
      </c>
      <c r="H71" s="1">
        <v>351</v>
      </c>
      <c r="I71" s="1" t="str">
        <f>"amyloid beta precursor protein"</f>
        <v>amyloid beta precursor protein</v>
      </c>
    </row>
    <row r="72" spans="1:9" x14ac:dyDescent="0.35">
      <c r="A72" s="1" t="str">
        <f>"218158_s_at"</f>
        <v>218158_s_at</v>
      </c>
      <c r="B72" s="1">
        <v>1.6957289457944599E-2</v>
      </c>
      <c r="C72" s="1">
        <v>1.7533363959567601E-3</v>
      </c>
      <c r="D72" s="1">
        <v>3.2124337975984001</v>
      </c>
      <c r="E72" s="1">
        <v>-1.68426361944365</v>
      </c>
      <c r="F72" s="1">
        <v>0.31039715462645101</v>
      </c>
      <c r="G72" s="3" t="str">
        <f>"APPL1"</f>
        <v>APPL1</v>
      </c>
      <c r="H72" s="1">
        <v>26060</v>
      </c>
      <c r="I72" s="1" t="str">
        <f>"adaptor protein, phosphotyrosine interacting with PH domain and leucine zipper 1"</f>
        <v>adaptor protein, phosphotyrosine interacting with PH domain and leucine zipper 1</v>
      </c>
    </row>
    <row r="73" spans="1:9" x14ac:dyDescent="0.35">
      <c r="A73" s="1" t="str">
        <f>"209047_at"</f>
        <v>209047_at</v>
      </c>
      <c r="B73" s="1">
        <v>9.8048681844798896E-2</v>
      </c>
      <c r="C73" s="1">
        <v>1.8700664086541099E-2</v>
      </c>
      <c r="D73" s="1">
        <v>2.3889946193418998</v>
      </c>
      <c r="E73" s="1">
        <v>-3.7990771911082302</v>
      </c>
      <c r="F73" s="1">
        <v>0.31057530120493998</v>
      </c>
      <c r="G73" s="3" t="str">
        <f>"AQP1"</f>
        <v>AQP1</v>
      </c>
      <c r="H73" s="1">
        <v>358</v>
      </c>
      <c r="I73" s="1" t="str">
        <f>"aquaporin 1 (Colton blood group)"</f>
        <v>aquaporin 1 (Colton blood group)</v>
      </c>
    </row>
    <row r="74" spans="1:9" x14ac:dyDescent="0.35">
      <c r="A74" s="1" t="str">
        <f>"39249_at"</f>
        <v>39249_at</v>
      </c>
      <c r="B74" s="2">
        <v>1.238204529801E-6</v>
      </c>
      <c r="C74" s="2">
        <v>1.26693278640501E-8</v>
      </c>
      <c r="D74" s="1">
        <v>-6.1815002453911996</v>
      </c>
      <c r="E74" s="1">
        <v>9.4893700910018897</v>
      </c>
      <c r="F74" s="1">
        <v>-0.34172320003197898</v>
      </c>
      <c r="G74" s="3" t="str">
        <f>"AQP3"</f>
        <v>AQP3</v>
      </c>
      <c r="H74" s="1">
        <v>360</v>
      </c>
      <c r="I74" s="1" t="str">
        <f>"aquaporin 3 (Gill blood group)"</f>
        <v>aquaporin 3 (Gill blood group)</v>
      </c>
    </row>
    <row r="75" spans="1:9" x14ac:dyDescent="0.35">
      <c r="A75" s="1" t="str">
        <f>"212584_at"</f>
        <v>212584_at</v>
      </c>
      <c r="B75" s="2">
        <v>2.0717441544441598E-6</v>
      </c>
      <c r="C75" s="2">
        <v>2.3585250999990901E-8</v>
      </c>
      <c r="D75" s="1">
        <v>-6.0466218094043596</v>
      </c>
      <c r="E75" s="1">
        <v>8.8939946418668896</v>
      </c>
      <c r="F75" s="1">
        <v>-0.396749355636628</v>
      </c>
      <c r="G75" s="3" t="str">
        <f>"AQR"</f>
        <v>AQR</v>
      </c>
      <c r="H75" s="1">
        <v>9716</v>
      </c>
      <c r="I75" s="1" t="str">
        <f>"aquarius intron-binding spliceosomal factor"</f>
        <v>aquarius intron-binding spliceosomal factor</v>
      </c>
    </row>
    <row r="76" spans="1:9" x14ac:dyDescent="0.35">
      <c r="A76" s="1" t="str">
        <f>"205239_at"</f>
        <v>205239_at</v>
      </c>
      <c r="B76" s="2">
        <v>4.7833808624682098E-7</v>
      </c>
      <c r="C76" s="2">
        <v>3.6922385152112898E-9</v>
      </c>
      <c r="D76" s="1">
        <v>-6.4455978927692898</v>
      </c>
      <c r="E76" s="1">
        <v>10.671763892167499</v>
      </c>
      <c r="F76" s="1">
        <v>-0.64690880416569796</v>
      </c>
      <c r="G76" s="3" t="str">
        <f>"AREG"</f>
        <v>AREG</v>
      </c>
      <c r="H76" s="1">
        <v>374</v>
      </c>
      <c r="I76" s="1" t="str">
        <f>"amphiregulin"</f>
        <v>amphiregulin</v>
      </c>
    </row>
    <row r="77" spans="1:9" x14ac:dyDescent="0.35">
      <c r="A77" s="1" t="str">
        <f>"201096_s_at"</f>
        <v>201096_s_at</v>
      </c>
      <c r="B77" s="1">
        <v>5.2723416422647898E-2</v>
      </c>
      <c r="C77" s="1">
        <v>8.0186536039291694E-3</v>
      </c>
      <c r="D77" s="1">
        <v>-2.7035109971637299</v>
      </c>
      <c r="E77" s="1">
        <v>-3.0545564807746199</v>
      </c>
      <c r="F77" s="1">
        <v>-0.32431909407994403</v>
      </c>
      <c r="G77" s="3" t="str">
        <f>"ARF4"</f>
        <v>ARF4</v>
      </c>
      <c r="H77" s="1">
        <v>378</v>
      </c>
      <c r="I77" s="1" t="str">
        <f>"ADP ribosylation factor 4"</f>
        <v>ADP ribosylation factor 4</v>
      </c>
    </row>
    <row r="78" spans="1:9" x14ac:dyDescent="0.35">
      <c r="A78" s="1" t="str">
        <f>"203946_s_at"</f>
        <v>203946_s_at</v>
      </c>
      <c r="B78" s="1">
        <v>2.2260205642948502E-2</v>
      </c>
      <c r="C78" s="1">
        <v>2.5324068260500999E-3</v>
      </c>
      <c r="D78" s="1">
        <v>-3.0947120057550799</v>
      </c>
      <c r="E78" s="1">
        <v>-2.0187307779630701</v>
      </c>
      <c r="F78" s="1">
        <v>-0.37397184156976698</v>
      </c>
      <c r="G78" s="3" t="str">
        <f>"ARG2"</f>
        <v>ARG2</v>
      </c>
      <c r="H78" s="1">
        <v>384</v>
      </c>
      <c r="I78" s="1" t="str">
        <f>"arginase 2"</f>
        <v>arginase 2</v>
      </c>
    </row>
    <row r="79" spans="1:9" x14ac:dyDescent="0.35">
      <c r="A79" s="1" t="str">
        <f>"202117_at"</f>
        <v>202117_at</v>
      </c>
      <c r="B79" s="2">
        <v>4.52879845418577E-8</v>
      </c>
      <c r="C79" s="2">
        <v>1.94584804347259E-10</v>
      </c>
      <c r="D79" s="1">
        <v>7.0604379133920201</v>
      </c>
      <c r="E79" s="1">
        <v>13.498882562651101</v>
      </c>
      <c r="F79" s="1">
        <v>0.51501894139971105</v>
      </c>
      <c r="G79" s="3" t="str">
        <f>"ARHGAP1"</f>
        <v>ARHGAP1</v>
      </c>
      <c r="H79" s="1">
        <v>392</v>
      </c>
      <c r="I79" s="1" t="str">
        <f>"Rho GTPase activating protein 1"</f>
        <v>Rho GTPase activating protein 1</v>
      </c>
    </row>
    <row r="80" spans="1:9" x14ac:dyDescent="0.35">
      <c r="A80" s="1" t="str">
        <f>"213606_s_at"</f>
        <v>213606_s_at</v>
      </c>
      <c r="B80" s="1">
        <v>5.6676894862410197E-2</v>
      </c>
      <c r="C80" s="1">
        <v>8.7954360918285103E-3</v>
      </c>
      <c r="D80" s="1">
        <v>-2.6704336153225201</v>
      </c>
      <c r="E80" s="1">
        <v>-3.1366414599183501</v>
      </c>
      <c r="F80" s="1">
        <v>-0.32035166292442202</v>
      </c>
      <c r="G80" s="3" t="str">
        <f>"ARHGDIA"</f>
        <v>ARHGDIA</v>
      </c>
      <c r="H80" s="1">
        <v>396</v>
      </c>
      <c r="I80" s="1" t="str">
        <f>"Rho GDP dissociation inhibitor alpha"</f>
        <v>Rho GDP dissociation inhibitor alpha</v>
      </c>
    </row>
    <row r="81" spans="1:9" x14ac:dyDescent="0.35">
      <c r="A81" s="1" t="str">
        <f>"218501_at"</f>
        <v>218501_at</v>
      </c>
      <c r="B81" s="1">
        <v>9.8157982760468093E-3</v>
      </c>
      <c r="C81" s="1">
        <v>8.8037273089744698E-4</v>
      </c>
      <c r="D81" s="1">
        <v>3.42547256001165</v>
      </c>
      <c r="E81" s="1">
        <v>-1.0533529590014801</v>
      </c>
      <c r="F81" s="1">
        <v>0.31038787748546498</v>
      </c>
      <c r="G81" s="3" t="str">
        <f>"ARHGEF3"</f>
        <v>ARHGEF3</v>
      </c>
      <c r="H81" s="1">
        <v>50650</v>
      </c>
      <c r="I81" s="1" t="str">
        <f>"Rho guanine nucleotide exchange factor 3"</f>
        <v>Rho guanine nucleotide exchange factor 3</v>
      </c>
    </row>
    <row r="82" spans="1:9" x14ac:dyDescent="0.35">
      <c r="A82" s="1" t="str">
        <f>"203264_s_at"</f>
        <v>203264_s_at</v>
      </c>
      <c r="B82" s="1">
        <v>6.8333031603122496E-4</v>
      </c>
      <c r="C82" s="2">
        <v>2.90406951165269E-5</v>
      </c>
      <c r="D82" s="1">
        <v>4.3745317106223203</v>
      </c>
      <c r="E82" s="1">
        <v>2.1254703390890199</v>
      </c>
      <c r="F82" s="1">
        <v>0.34033610770930101</v>
      </c>
      <c r="G82" s="3" t="str">
        <f>"ARHGEF9"</f>
        <v>ARHGEF9</v>
      </c>
      <c r="H82" s="1">
        <v>23229</v>
      </c>
      <c r="I82" s="1" t="str">
        <f>"Cdc42 guanine nucleotide exchange factor 9"</f>
        <v>Cdc42 guanine nucleotide exchange factor 9</v>
      </c>
    </row>
    <row r="83" spans="1:9" x14ac:dyDescent="0.35">
      <c r="A83" s="1" t="str">
        <f>"201230_s_at"</f>
        <v>201230_s_at</v>
      </c>
      <c r="B83" s="1">
        <v>3.6305529200083902E-4</v>
      </c>
      <c r="C83" s="2">
        <v>1.3262442565573901E-5</v>
      </c>
      <c r="D83" s="1">
        <v>4.5744694832555703</v>
      </c>
      <c r="E83" s="1">
        <v>2.8643874934231799</v>
      </c>
      <c r="F83" s="1">
        <v>0.37106863411337299</v>
      </c>
      <c r="G83" s="3" t="str">
        <f>"ARIH2"</f>
        <v>ARIH2</v>
      </c>
      <c r="H83" s="1">
        <v>10425</v>
      </c>
      <c r="I83" s="1" t="str">
        <f>"ariadne RBR E3 ubiquitin protein ligase 2"</f>
        <v>ariadne RBR E3 ubiquitin protein ligase 2</v>
      </c>
    </row>
    <row r="84" spans="1:9" x14ac:dyDescent="0.35">
      <c r="A84" s="1" t="str">
        <f>"203487_s_at"</f>
        <v>203487_s_at</v>
      </c>
      <c r="B84" s="1">
        <v>2.0907685495448101E-4</v>
      </c>
      <c r="C84" s="2">
        <v>6.7649962941336897E-6</v>
      </c>
      <c r="D84" s="1">
        <v>-4.7421775121203797</v>
      </c>
      <c r="E84" s="1">
        <v>3.5008271359808898</v>
      </c>
      <c r="F84" s="1">
        <v>-0.31665672769476799</v>
      </c>
      <c r="G84" s="3" t="str">
        <f>"ARMC8"</f>
        <v>ARMC8</v>
      </c>
      <c r="H84" s="1">
        <v>25852</v>
      </c>
      <c r="I84" s="1" t="str">
        <f>"armadillo repeat containing 8"</f>
        <v>armadillo repeat containing 8</v>
      </c>
    </row>
    <row r="85" spans="1:9" x14ac:dyDescent="0.35">
      <c r="A85" s="1" t="str">
        <f>"218694_at"</f>
        <v>218694_at</v>
      </c>
      <c r="B85" s="1">
        <v>4.2818024434828697E-3</v>
      </c>
      <c r="C85" s="1">
        <v>3.0283716963285998E-4</v>
      </c>
      <c r="D85" s="1">
        <v>3.7389767446611502</v>
      </c>
      <c r="E85" s="1">
        <v>-6.7325419274426104E-2</v>
      </c>
      <c r="F85" s="1">
        <v>0.38318238203052202</v>
      </c>
      <c r="G85" s="3" t="str">
        <f>"ARMCX1"</f>
        <v>ARMCX1</v>
      </c>
      <c r="H85" s="1">
        <v>51309</v>
      </c>
      <c r="I85" s="1" t="str">
        <f>"armadillo repeat containing, X-linked 1"</f>
        <v>armadillo repeat containing, X-linked 1</v>
      </c>
    </row>
    <row r="86" spans="1:9" x14ac:dyDescent="0.35">
      <c r="A86" s="1" t="str">
        <f>"203404_at"</f>
        <v>203404_at</v>
      </c>
      <c r="B86" s="1">
        <v>9.0637637667780793E-3</v>
      </c>
      <c r="C86" s="1">
        <v>7.9317593435431703E-4</v>
      </c>
      <c r="D86" s="1">
        <v>3.4569440376059499</v>
      </c>
      <c r="E86" s="1">
        <v>-0.95741550597195801</v>
      </c>
      <c r="F86" s="1">
        <v>0.32432591989099302</v>
      </c>
      <c r="G86" s="3" t="str">
        <f>"ARMCX2"</f>
        <v>ARMCX2</v>
      </c>
      <c r="H86" s="1">
        <v>9823</v>
      </c>
      <c r="I86" s="1" t="str">
        <f>"armadillo repeat containing, X-linked 2"</f>
        <v>armadillo repeat containing, X-linked 2</v>
      </c>
    </row>
    <row r="87" spans="1:9" x14ac:dyDescent="0.35">
      <c r="A87" s="1" t="str">
        <f>"210971_s_at"</f>
        <v>210971_s_at</v>
      </c>
      <c r="B87" s="1">
        <v>2.6669428614322899E-3</v>
      </c>
      <c r="C87" s="1">
        <v>1.6624259006998399E-4</v>
      </c>
      <c r="D87" s="1">
        <v>-3.9077629075562701</v>
      </c>
      <c r="E87" s="1">
        <v>0.49060746182111298</v>
      </c>
      <c r="F87" s="1">
        <v>-0.32593776254796702</v>
      </c>
      <c r="G87" s="3" t="str">
        <f>"ARNTL"</f>
        <v>ARNTL</v>
      </c>
      <c r="H87" s="1">
        <v>406</v>
      </c>
      <c r="I87" s="1" t="str">
        <f>"aryl hydrocarbon receptor nuclear translocator like"</f>
        <v>aryl hydrocarbon receptor nuclear translocator like</v>
      </c>
    </row>
    <row r="88" spans="1:9" x14ac:dyDescent="0.35">
      <c r="A88" s="1" t="str">
        <f>"211672_s_at"</f>
        <v>211672_s_at</v>
      </c>
      <c r="B88" s="1">
        <v>1.67719669710715E-2</v>
      </c>
      <c r="C88" s="1">
        <v>1.73116384838058E-3</v>
      </c>
      <c r="D88" s="1">
        <v>-3.2164557556245099</v>
      </c>
      <c r="E88" s="1">
        <v>-1.6726561229607</v>
      </c>
      <c r="F88" s="1">
        <v>-0.361525094124998</v>
      </c>
      <c r="G88" s="3" t="str">
        <f>"ARPC4-TTLL3"</f>
        <v>ARPC4-TTLL3</v>
      </c>
      <c r="H88" s="1">
        <v>100526693</v>
      </c>
      <c r="I88" s="1" t="str">
        <f>"ARPC4-TTLL3 readthrough///actin related protein 2/3 complex subunit 4"</f>
        <v>ARPC4-TTLL3 readthrough///actin related protein 2/3 complex subunit 4</v>
      </c>
    </row>
    <row r="89" spans="1:9" x14ac:dyDescent="0.35">
      <c r="A89" s="1" t="str">
        <f>"220966_x_at"</f>
        <v>220966_x_at</v>
      </c>
      <c r="B89" s="2">
        <v>9.6319595642424104E-6</v>
      </c>
      <c r="C89" s="2">
        <v>1.5993470532557101E-7</v>
      </c>
      <c r="D89" s="1">
        <v>-5.6224618331795604</v>
      </c>
      <c r="E89" s="1">
        <v>7.0631693267992999</v>
      </c>
      <c r="F89" s="1">
        <v>-0.32240001327761503</v>
      </c>
      <c r="G89" s="3" t="str">
        <f>"ARPC5L"</f>
        <v>ARPC5L</v>
      </c>
      <c r="H89" s="1">
        <v>81873</v>
      </c>
      <c r="I89" s="1" t="str">
        <f>"actin related protein 2/3 complex subunit 5 like"</f>
        <v>actin related protein 2/3 complex subunit 5 like</v>
      </c>
    </row>
    <row r="90" spans="1:9" x14ac:dyDescent="0.35">
      <c r="A90" s="1" t="str">
        <f>"213902_at"</f>
        <v>213902_at</v>
      </c>
      <c r="B90" s="2">
        <v>3.6092565529659998E-6</v>
      </c>
      <c r="C90" s="2">
        <v>4.8754037716768997E-8</v>
      </c>
      <c r="D90" s="1">
        <v>5.8873450130304104</v>
      </c>
      <c r="E90" s="1">
        <v>8.1988537977579004</v>
      </c>
      <c r="F90" s="1">
        <v>0.49223761230232399</v>
      </c>
      <c r="G90" s="3" t="str">
        <f>"ASAH1"</f>
        <v>ASAH1</v>
      </c>
      <c r="H90" s="1">
        <v>427</v>
      </c>
      <c r="I90" s="1" t="str">
        <f>"N-acylsphingosine amidohydrolase 1"</f>
        <v>N-acylsphingosine amidohydrolase 1</v>
      </c>
    </row>
    <row r="91" spans="1:9" x14ac:dyDescent="0.35">
      <c r="A91" s="1" t="str">
        <f>"206414_s_at"</f>
        <v>206414_s_at</v>
      </c>
      <c r="B91" s="1">
        <v>6.3337020985581903E-3</v>
      </c>
      <c r="C91" s="1">
        <v>4.9883979639050503E-4</v>
      </c>
      <c r="D91" s="1">
        <v>3.5946211637668499</v>
      </c>
      <c r="E91" s="1">
        <v>-0.52965054959909097</v>
      </c>
      <c r="F91" s="1">
        <v>0.410681527690405</v>
      </c>
      <c r="G91" s="3" t="str">
        <f>"ASAP2"</f>
        <v>ASAP2</v>
      </c>
      <c r="H91" s="1">
        <v>8853</v>
      </c>
      <c r="I91" s="1" t="str">
        <f>"ArfGAP with SH3 domain, ankyrin repeat and PH domain 2"</f>
        <v>ArfGAP with SH3 domain, ankyrin repeat and PH domain 2</v>
      </c>
    </row>
    <row r="92" spans="1:9" x14ac:dyDescent="0.35">
      <c r="A92" s="1" t="str">
        <f>"36553_at"</f>
        <v>36553_at</v>
      </c>
      <c r="B92" s="1">
        <v>6.7249432193300005E-4</v>
      </c>
      <c r="C92" s="2">
        <v>2.8399100522324301E-5</v>
      </c>
      <c r="D92" s="1">
        <v>4.3803060887889202</v>
      </c>
      <c r="E92" s="1">
        <v>2.1464987070546702</v>
      </c>
      <c r="F92" s="1">
        <v>0.47124115683866502</v>
      </c>
      <c r="G92" s="3" t="str">
        <f>"ASMTL"</f>
        <v>ASMTL</v>
      </c>
      <c r="H92" s="1">
        <v>8623</v>
      </c>
      <c r="I92" s="1" t="str">
        <f>"acetylserotonin O-methyltransferase-like"</f>
        <v>acetylserotonin O-methyltransferase-like</v>
      </c>
    </row>
    <row r="93" spans="1:9" x14ac:dyDescent="0.35">
      <c r="A93" s="1" t="str">
        <f>"205047_s_at"</f>
        <v>205047_s_at</v>
      </c>
      <c r="B93" s="1">
        <v>7.2948222216918804E-4</v>
      </c>
      <c r="C93" s="2">
        <v>3.1624100283419502E-5</v>
      </c>
      <c r="D93" s="1">
        <v>-4.3524620341306397</v>
      </c>
      <c r="E93" s="1">
        <v>2.0452742992266799</v>
      </c>
      <c r="F93" s="1">
        <v>-0.67623197048982497</v>
      </c>
      <c r="G93" s="3" t="str">
        <f>"ASNS"</f>
        <v>ASNS</v>
      </c>
      <c r="H93" s="1">
        <v>440</v>
      </c>
      <c r="I93" s="1" t="str">
        <f>"asparagine synthetase (glutamine-hydrolyzing)"</f>
        <v>asparagine synthetase (glutamine-hydrolyzing)</v>
      </c>
    </row>
    <row r="94" spans="1:9" x14ac:dyDescent="0.35">
      <c r="A94" s="1" t="str">
        <f>"207284_s_at"</f>
        <v>207284_s_at</v>
      </c>
      <c r="B94" s="1">
        <v>2.1031737754021499E-3</v>
      </c>
      <c r="C94" s="1">
        <v>1.2071800290532501E-4</v>
      </c>
      <c r="D94" s="1">
        <v>3.9959161288337599</v>
      </c>
      <c r="E94" s="1">
        <v>0.78922790558830103</v>
      </c>
      <c r="F94" s="1">
        <v>0.31379906746511699</v>
      </c>
      <c r="G94" s="3" t="str">
        <f>"ASPH"</f>
        <v>ASPH</v>
      </c>
      <c r="H94" s="1">
        <v>444</v>
      </c>
      <c r="I94" s="1" t="str">
        <f>"aspartate beta-hydroxylase"</f>
        <v>aspartate beta-hydroxylase</v>
      </c>
    </row>
    <row r="95" spans="1:9" x14ac:dyDescent="0.35">
      <c r="A95" s="1" t="str">
        <f>"219087_at"</f>
        <v>219087_at</v>
      </c>
      <c r="B95" s="2">
        <v>1.12190153601591E-19</v>
      </c>
      <c r="C95" s="2">
        <v>8.4299936531812601E-24</v>
      </c>
      <c r="D95" s="1">
        <v>13.1348140870774</v>
      </c>
      <c r="E95" s="1">
        <v>43.022436098973301</v>
      </c>
      <c r="F95" s="1">
        <v>2.52947574826017</v>
      </c>
      <c r="G95" s="3" t="str">
        <f>"ASPN"</f>
        <v>ASPN</v>
      </c>
      <c r="H95" s="1">
        <v>54829</v>
      </c>
      <c r="I95" s="1" t="str">
        <f>"asporin"</f>
        <v>asporin</v>
      </c>
    </row>
    <row r="96" spans="1:9" x14ac:dyDescent="0.35">
      <c r="A96" s="1" t="str">
        <f>"202672_s_at"</f>
        <v>202672_s_at</v>
      </c>
      <c r="B96" s="2">
        <v>6.0132879570766203E-5</v>
      </c>
      <c r="C96" s="2">
        <v>1.48692800087475E-6</v>
      </c>
      <c r="D96" s="1">
        <v>-5.1079578489268203</v>
      </c>
      <c r="E96" s="1">
        <v>4.9381821028386899</v>
      </c>
      <c r="F96" s="1">
        <v>-0.95646555567005598</v>
      </c>
      <c r="G96" s="3" t="str">
        <f>"ATF3"</f>
        <v>ATF3</v>
      </c>
      <c r="H96" s="1">
        <v>467</v>
      </c>
      <c r="I96" s="1" t="str">
        <f>"activating transcription factor 3"</f>
        <v>activating transcription factor 3</v>
      </c>
    </row>
    <row r="97" spans="1:9" x14ac:dyDescent="0.35">
      <c r="A97" s="1" t="str">
        <f>"200779_at"</f>
        <v>200779_at</v>
      </c>
      <c r="B97" s="2">
        <v>8.1500683731419105E-11</v>
      </c>
      <c r="C97" s="2">
        <v>8.4123130899009898E-14</v>
      </c>
      <c r="D97" s="1">
        <v>-8.6125416390883291</v>
      </c>
      <c r="E97" s="1">
        <v>20.9540990993906</v>
      </c>
      <c r="F97" s="1">
        <v>-0.62838729076889699</v>
      </c>
      <c r="G97" s="3" t="str">
        <f>"ATF4"</f>
        <v>ATF4</v>
      </c>
      <c r="H97" s="1">
        <v>468</v>
      </c>
      <c r="I97" s="1" t="str">
        <f>"activating transcription factor 4"</f>
        <v>activating transcription factor 4</v>
      </c>
    </row>
    <row r="98" spans="1:9" x14ac:dyDescent="0.35">
      <c r="A98" s="1" t="str">
        <f>"218214_at"</f>
        <v>218214_at</v>
      </c>
      <c r="B98" s="1">
        <v>1.10230070376061E-4</v>
      </c>
      <c r="C98" s="2">
        <v>3.1115520471454599E-6</v>
      </c>
      <c r="D98" s="1">
        <v>-4.9315566877045001</v>
      </c>
      <c r="E98" s="1">
        <v>4.2368547989704304</v>
      </c>
      <c r="F98" s="1">
        <v>-0.30921555688517399</v>
      </c>
      <c r="G98" s="3" t="str">
        <f>"ATG101"</f>
        <v>ATG101</v>
      </c>
      <c r="H98" s="1">
        <v>60673</v>
      </c>
      <c r="I98" s="1" t="str">
        <f>"autophagy related 101"</f>
        <v>autophagy related 101</v>
      </c>
    </row>
    <row r="99" spans="1:9" x14ac:dyDescent="0.35">
      <c r="A99" s="1" t="str">
        <f>"216488_s_at"</f>
        <v>216488_s_at</v>
      </c>
      <c r="B99" s="1">
        <v>5.4189540446106103E-4</v>
      </c>
      <c r="C99" s="2">
        <v>2.17653092937508E-5</v>
      </c>
      <c r="D99" s="1">
        <v>-4.4487205792224396</v>
      </c>
      <c r="E99" s="1">
        <v>2.3970702524410501</v>
      </c>
      <c r="F99" s="1">
        <v>-0.45412763049273203</v>
      </c>
      <c r="G99" s="3" t="str">
        <f>"ATP11A"</f>
        <v>ATP11A</v>
      </c>
      <c r="H99" s="1">
        <v>23250</v>
      </c>
      <c r="I99" s="1" t="str">
        <f>"ATPase phospholipid transporting 11A"</f>
        <v>ATPase phospholipid transporting 11A</v>
      </c>
    </row>
    <row r="100" spans="1:9" x14ac:dyDescent="0.35">
      <c r="A100" s="1" t="str">
        <f>"219558_at"</f>
        <v>219558_at</v>
      </c>
      <c r="B100" s="1">
        <v>2.0531578501244201E-2</v>
      </c>
      <c r="C100" s="1">
        <v>2.2777032740239501E-3</v>
      </c>
      <c r="D100" s="1">
        <v>-3.12896556985701</v>
      </c>
      <c r="E100" s="1">
        <v>-1.92246999790746</v>
      </c>
      <c r="F100" s="1">
        <v>-0.39521390949854901</v>
      </c>
      <c r="G100" s="3" t="str">
        <f>"ATP13A3"</f>
        <v>ATP13A3</v>
      </c>
      <c r="H100" s="1">
        <v>79572</v>
      </c>
      <c r="I100" s="1" t="str">
        <f>"ATPase 13A3"</f>
        <v>ATPase 13A3</v>
      </c>
    </row>
    <row r="101" spans="1:9" x14ac:dyDescent="0.35">
      <c r="A101" s="1" t="str">
        <f>"220948_s_at"</f>
        <v>220948_s_at</v>
      </c>
      <c r="B101" s="2">
        <v>2.6326219294599099E-9</v>
      </c>
      <c r="C101" s="2">
        <v>5.6709533103296401E-12</v>
      </c>
      <c r="D101" s="1">
        <v>-7.7776689926757996</v>
      </c>
      <c r="E101" s="1">
        <v>16.9003178021911</v>
      </c>
      <c r="F101" s="1">
        <v>-0.66877080722529303</v>
      </c>
      <c r="G101" s="3" t="str">
        <f>"ATP1A1"</f>
        <v>ATP1A1</v>
      </c>
      <c r="H101" s="1">
        <v>476</v>
      </c>
      <c r="I101" s="1" t="str">
        <f>"ATPase Na+/K+ transporting subunit alpha 1"</f>
        <v>ATPase Na+/K+ transporting subunit alpha 1</v>
      </c>
    </row>
    <row r="102" spans="1:9" x14ac:dyDescent="0.35">
      <c r="A102" s="1" t="str">
        <f>"208836_at"</f>
        <v>208836_at</v>
      </c>
      <c r="B102" s="2">
        <v>4.55319823120128E-5</v>
      </c>
      <c r="C102" s="2">
        <v>1.0441521770604701E-6</v>
      </c>
      <c r="D102" s="1">
        <v>-5.1912567032233596</v>
      </c>
      <c r="E102" s="1">
        <v>5.27440715077877</v>
      </c>
      <c r="F102" s="1">
        <v>-0.55397179928924301</v>
      </c>
      <c r="G102" s="3" t="str">
        <f>"ATP1B3"</f>
        <v>ATP1B3</v>
      </c>
      <c r="H102" s="1">
        <v>483</v>
      </c>
      <c r="I102" s="1" t="str">
        <f>"ATPase Na+/K+ transporting subunit beta 3"</f>
        <v>ATPase Na+/K+ transporting subunit beta 3</v>
      </c>
    </row>
    <row r="103" spans="1:9" x14ac:dyDescent="0.35">
      <c r="A103" s="1" t="str">
        <f>"212362_at"</f>
        <v>212362_at</v>
      </c>
      <c r="B103" s="2">
        <v>3.4552731408291501E-6</v>
      </c>
      <c r="C103" s="2">
        <v>4.6053768470415102E-8</v>
      </c>
      <c r="D103" s="1">
        <v>-5.8999111619323896</v>
      </c>
      <c r="E103" s="1">
        <v>8.2533738570036093</v>
      </c>
      <c r="F103" s="1">
        <v>-0.43803763835755599</v>
      </c>
      <c r="G103" s="3" t="str">
        <f>"ATP2A2"</f>
        <v>ATP2A2</v>
      </c>
      <c r="H103" s="1">
        <v>488</v>
      </c>
      <c r="I103" s="1" t="str">
        <f>"ATPase sarcoplasmic/endoplasmic reticulum Ca2+ transporting 2"</f>
        <v>ATPase sarcoplasmic/endoplasmic reticulum Ca2+ transporting 2</v>
      </c>
    </row>
    <row r="104" spans="1:9" x14ac:dyDescent="0.35">
      <c r="A104" s="1" t="str">
        <f>"213587_s_at"</f>
        <v>213587_s_at</v>
      </c>
      <c r="B104" s="1">
        <v>1.09587954266478E-3</v>
      </c>
      <c r="C104" s="2">
        <v>5.3313706996076201E-5</v>
      </c>
      <c r="D104" s="1">
        <v>4.21568253396401</v>
      </c>
      <c r="E104" s="1">
        <v>1.5545016549519399</v>
      </c>
      <c r="F104" s="1">
        <v>0.50767295724273098</v>
      </c>
      <c r="G104" s="3" t="str">
        <f>"ATP6V0E2"</f>
        <v>ATP6V0E2</v>
      </c>
      <c r="H104" s="1">
        <v>155066</v>
      </c>
      <c r="I104" s="1" t="str">
        <f>"ATPase H+ transporting V0 subunit e2"</f>
        <v>ATPase H+ transporting V0 subunit e2</v>
      </c>
    </row>
    <row r="105" spans="1:9" x14ac:dyDescent="0.35">
      <c r="A105" s="1" t="str">
        <f>"213106_at"</f>
        <v>213106_at</v>
      </c>
      <c r="B105" s="2">
        <v>2.5963462827810401E-7</v>
      </c>
      <c r="C105" s="2">
        <v>1.8409671618696001E-9</v>
      </c>
      <c r="D105" s="1">
        <v>6.5928134533317504</v>
      </c>
      <c r="E105" s="1">
        <v>11.339750121538501</v>
      </c>
      <c r="F105" s="1">
        <v>0.60904265117877898</v>
      </c>
      <c r="G105" s="3" t="str">
        <f>"ATP8A1"</f>
        <v>ATP8A1</v>
      </c>
      <c r="H105" s="1">
        <v>10396</v>
      </c>
      <c r="I105" s="1" t="str">
        <f>"ATPase phospholipid transporting 8A1"</f>
        <v>ATPase phospholipid transporting 8A1</v>
      </c>
    </row>
    <row r="106" spans="1:9" x14ac:dyDescent="0.35">
      <c r="A106" s="1" t="str">
        <f>"218671_s_at"</f>
        <v>218671_s_at</v>
      </c>
      <c r="B106" s="1">
        <v>2.34610957669362E-4</v>
      </c>
      <c r="C106" s="2">
        <v>7.8122932545288696E-6</v>
      </c>
      <c r="D106" s="1">
        <v>4.7066094281487301</v>
      </c>
      <c r="E106" s="1">
        <v>3.36461809691717</v>
      </c>
      <c r="F106" s="1">
        <v>0.32980636142441699</v>
      </c>
      <c r="G106" s="3" t="str">
        <f>"ATPIF1"</f>
        <v>ATPIF1</v>
      </c>
      <c r="H106" s="1">
        <v>93974</v>
      </c>
      <c r="I106" s="1" t="str">
        <f>"ATPase inhibitory factor 1"</f>
        <v>ATPase inhibitory factor 1</v>
      </c>
    </row>
    <row r="107" spans="1:9" x14ac:dyDescent="0.35">
      <c r="A107" s="1" t="str">
        <f>"219329_s_at"</f>
        <v>219329_s_at</v>
      </c>
      <c r="B107" s="2">
        <v>3.07015268051505E-6</v>
      </c>
      <c r="C107" s="2">
        <v>3.9218404848516701E-8</v>
      </c>
      <c r="D107" s="1">
        <v>5.93528003546405</v>
      </c>
      <c r="E107" s="1">
        <v>8.4071279924472808</v>
      </c>
      <c r="F107" s="1">
        <v>0.32395519206395201</v>
      </c>
      <c r="G107" s="3" t="str">
        <f>"ATRAID"</f>
        <v>ATRAID</v>
      </c>
      <c r="H107" s="1">
        <v>51374</v>
      </c>
      <c r="I107" s="1" t="str">
        <f>"all-trans retinoic acid induced differentiation factor"</f>
        <v>all-trans retinoic acid induced differentiation factor</v>
      </c>
    </row>
    <row r="108" spans="1:9" x14ac:dyDescent="0.35">
      <c r="A108" s="1" t="str">
        <f>"208861_s_at"</f>
        <v>208861_s_at</v>
      </c>
      <c r="B108" s="1">
        <v>5.0471040748930199E-3</v>
      </c>
      <c r="C108" s="1">
        <v>3.7531084019646E-4</v>
      </c>
      <c r="D108" s="1">
        <v>3.6773765432385401</v>
      </c>
      <c r="E108" s="1">
        <v>-0.26631400095942898</v>
      </c>
      <c r="F108" s="1">
        <v>0.337819843018898</v>
      </c>
      <c r="G108" s="3" t="str">
        <f>"ATRX"</f>
        <v>ATRX</v>
      </c>
      <c r="H108" s="1">
        <v>546</v>
      </c>
      <c r="I108" s="1" t="str">
        <f>"ATRX, chromatin remodeler"</f>
        <v>ATRX, chromatin remodeler</v>
      </c>
    </row>
    <row r="109" spans="1:9" x14ac:dyDescent="0.35">
      <c r="A109" s="1" t="str">
        <f>"203232_s_at"</f>
        <v>203232_s_at</v>
      </c>
      <c r="B109" s="1">
        <v>2.4734804797193401E-2</v>
      </c>
      <c r="C109" s="1">
        <v>2.91049940215595E-3</v>
      </c>
      <c r="D109" s="1">
        <v>3.0493454156487898</v>
      </c>
      <c r="E109" s="1">
        <v>-2.14487033870711</v>
      </c>
      <c r="F109" s="1">
        <v>0.30204065796511798</v>
      </c>
      <c r="G109" s="3" t="str">
        <f>"ATXN1"</f>
        <v>ATXN1</v>
      </c>
      <c r="H109" s="1">
        <v>6310</v>
      </c>
      <c r="I109" s="1" t="str">
        <f>"ataxin 1"</f>
        <v>ataxin 1</v>
      </c>
    </row>
    <row r="110" spans="1:9" x14ac:dyDescent="0.35">
      <c r="A110" s="1" t="str">
        <f>"210121_at"</f>
        <v>210121_at</v>
      </c>
      <c r="B110" s="1">
        <v>7.3606951271011994E-2</v>
      </c>
      <c r="C110" s="1">
        <v>1.25293347471592E-2</v>
      </c>
      <c r="D110" s="1">
        <v>2.5411174725079499</v>
      </c>
      <c r="E110" s="1">
        <v>-3.4490809034361698</v>
      </c>
      <c r="F110" s="1">
        <v>0.38634776001162702</v>
      </c>
      <c r="G110" s="3" t="str">
        <f>"B3GALT2"</f>
        <v>B3GALT2</v>
      </c>
      <c r="H110" s="1">
        <v>8707</v>
      </c>
      <c r="I110" s="1" t="str">
        <f>"beta-1,3-galactosyltransferase 2"</f>
        <v>beta-1,3-galactosyltransferase 2</v>
      </c>
    </row>
    <row r="111" spans="1:9" x14ac:dyDescent="0.35">
      <c r="A111" s="1" t="str">
        <f>"221485_at"</f>
        <v>221485_at</v>
      </c>
      <c r="B111" s="1">
        <v>1.73676459662479E-3</v>
      </c>
      <c r="C111" s="2">
        <v>9.5789780965393795E-5</v>
      </c>
      <c r="D111" s="1">
        <v>-4.0588718915334603</v>
      </c>
      <c r="E111" s="1">
        <v>1.00545308926048</v>
      </c>
      <c r="F111" s="1">
        <v>-0.34198278474564298</v>
      </c>
      <c r="G111" s="3" t="str">
        <f>"B4GALT5"</f>
        <v>B4GALT5</v>
      </c>
      <c r="H111" s="1">
        <v>9334</v>
      </c>
      <c r="I111" s="1" t="str">
        <f>"beta-1,4-galactosyltransferase 5"</f>
        <v>beta-1,4-galactosyltransferase 5</v>
      </c>
    </row>
    <row r="112" spans="1:9" x14ac:dyDescent="0.35">
      <c r="A112" s="1" t="str">
        <f>"209406_at"</f>
        <v>209406_at</v>
      </c>
      <c r="B112" s="1">
        <v>1.6208597152857801E-2</v>
      </c>
      <c r="C112" s="1">
        <v>1.6591935603674801E-3</v>
      </c>
      <c r="D112" s="1">
        <v>-3.2298502534103601</v>
      </c>
      <c r="E112" s="1">
        <v>-1.6339139278814101</v>
      </c>
      <c r="F112" s="1">
        <v>-0.48558151341424299</v>
      </c>
      <c r="G112" s="3" t="str">
        <f>"BAG2"</f>
        <v>BAG2</v>
      </c>
      <c r="H112" s="1">
        <v>9532</v>
      </c>
      <c r="I112" s="1" t="str">
        <f>"BCL2 associated athanogene 2"</f>
        <v>BCL2 associated athanogene 2</v>
      </c>
    </row>
    <row r="113" spans="1:9" x14ac:dyDescent="0.35">
      <c r="A113" s="1" t="str">
        <f>"217911_s_at"</f>
        <v>217911_s_at</v>
      </c>
      <c r="B113" s="2">
        <v>9.59789228801293E-6</v>
      </c>
      <c r="C113" s="2">
        <v>1.5893830517779299E-7</v>
      </c>
      <c r="D113" s="1">
        <v>-5.6238704734010296</v>
      </c>
      <c r="E113" s="1">
        <v>7.0691382035812103</v>
      </c>
      <c r="F113" s="1">
        <v>-0.62940392287935898</v>
      </c>
      <c r="G113" s="3" t="str">
        <f>"BAG3"</f>
        <v>BAG3</v>
      </c>
      <c r="H113" s="1">
        <v>9531</v>
      </c>
      <c r="I113" s="1" t="str">
        <f>"BCL2 associated athanogene 3"</f>
        <v>BCL2 associated athanogene 3</v>
      </c>
    </row>
    <row r="114" spans="1:9" x14ac:dyDescent="0.35">
      <c r="A114" s="1" t="str">
        <f>"203080_s_at"</f>
        <v>203080_s_at</v>
      </c>
      <c r="B114" s="1">
        <v>2.4205800153646001E-3</v>
      </c>
      <c r="C114" s="1">
        <v>1.4588874750413601E-4</v>
      </c>
      <c r="D114" s="1">
        <v>3.9438948165351899</v>
      </c>
      <c r="E114" s="1">
        <v>0.61241455314766702</v>
      </c>
      <c r="F114" s="1">
        <v>0.33830390787645598</v>
      </c>
      <c r="G114" s="3" t="str">
        <f>"BAZ2B"</f>
        <v>BAZ2B</v>
      </c>
      <c r="H114" s="1">
        <v>29994</v>
      </c>
      <c r="I114" s="1" t="str">
        <f>"bromodomain adjacent to zinc finger domain 2B"</f>
        <v>bromodomain adjacent to zinc finger domain 2B</v>
      </c>
    </row>
    <row r="115" spans="1:9" x14ac:dyDescent="0.35">
      <c r="A115" s="1" t="str">
        <f>"40093_at"</f>
        <v>40093_at</v>
      </c>
      <c r="B115" s="1">
        <v>9.4181390821598604E-4</v>
      </c>
      <c r="C115" s="2">
        <v>4.38298713288147E-5</v>
      </c>
      <c r="D115" s="1">
        <v>4.2672964177527097</v>
      </c>
      <c r="E115" s="1">
        <v>1.7384190045557799</v>
      </c>
      <c r="F115" s="1">
        <v>0.33124412971220402</v>
      </c>
      <c r="G115" s="3" t="str">
        <f>"BCAM"</f>
        <v>BCAM</v>
      </c>
      <c r="H115" s="1">
        <v>4059</v>
      </c>
      <c r="I115" s="1" t="str">
        <f>"basal cell adhesion molecule (Lutheran blood group)"</f>
        <v>basal cell adhesion molecule (Lutheran blood group)</v>
      </c>
    </row>
    <row r="116" spans="1:9" x14ac:dyDescent="0.35">
      <c r="A116" s="1" t="str">
        <f>"212312_at"</f>
        <v>212312_at</v>
      </c>
      <c r="B116" s="2">
        <v>2.8533959054224102E-6</v>
      </c>
      <c r="C116" s="2">
        <v>3.5283689409806799E-8</v>
      </c>
      <c r="D116" s="1">
        <v>-5.9585036781911596</v>
      </c>
      <c r="E116" s="1">
        <v>8.5083245084835593</v>
      </c>
      <c r="F116" s="1">
        <v>-0.47394831905087098</v>
      </c>
      <c r="G116" s="3" t="str">
        <f>"BCL2L1"</f>
        <v>BCL2L1</v>
      </c>
      <c r="H116" s="1">
        <v>598</v>
      </c>
      <c r="I116" s="1" t="str">
        <f>"BCL2 like 1"</f>
        <v>BCL2 like 1</v>
      </c>
    </row>
    <row r="117" spans="1:9" x14ac:dyDescent="0.35">
      <c r="A117" s="1" t="str">
        <f>"217955_at"</f>
        <v>217955_at</v>
      </c>
      <c r="B117" s="1">
        <v>5.7990908838017902E-3</v>
      </c>
      <c r="C117" s="1">
        <v>4.4710488436797E-4</v>
      </c>
      <c r="D117" s="1">
        <v>-3.6266146481190602</v>
      </c>
      <c r="E117" s="1">
        <v>-0.42839058922844298</v>
      </c>
      <c r="F117" s="1">
        <v>-0.32753695072674099</v>
      </c>
      <c r="G117" s="3" t="str">
        <f>"BCL2L13"</f>
        <v>BCL2L13</v>
      </c>
      <c r="H117" s="1">
        <v>23786</v>
      </c>
      <c r="I117" s="1" t="str">
        <f>"BCL2 like 13"</f>
        <v>BCL2 like 13</v>
      </c>
    </row>
    <row r="118" spans="1:9" x14ac:dyDescent="0.35">
      <c r="A118" s="1" t="str">
        <f>"215990_s_at"</f>
        <v>215990_s_at</v>
      </c>
      <c r="B118" s="2">
        <v>4.3408282854072901E-8</v>
      </c>
      <c r="C118" s="2">
        <v>1.8116816880262E-10</v>
      </c>
      <c r="D118" s="1">
        <v>-7.0751333779717598</v>
      </c>
      <c r="E118" s="1">
        <v>13.567571356911801</v>
      </c>
      <c r="F118" s="1">
        <v>-0.584037093825584</v>
      </c>
      <c r="G118" s="3" t="str">
        <f>"BCL6"</f>
        <v>BCL6</v>
      </c>
      <c r="H118" s="1">
        <v>604</v>
      </c>
      <c r="I118" s="1" t="str">
        <f>"B-cell CLL/lymphoma 6"</f>
        <v>B-cell CLL/lymphoma 6</v>
      </c>
    </row>
    <row r="119" spans="1:9" x14ac:dyDescent="0.35">
      <c r="A119" s="1" t="str">
        <f>"218285_s_at"</f>
        <v>218285_s_at</v>
      </c>
      <c r="B119" s="2">
        <v>2.4543343506455101E-5</v>
      </c>
      <c r="C119" s="2">
        <v>4.9344423510711797E-7</v>
      </c>
      <c r="D119" s="1">
        <v>5.3656151405228298</v>
      </c>
      <c r="E119" s="1">
        <v>5.9882174968005204</v>
      </c>
      <c r="F119" s="1">
        <v>0.48862543043314099</v>
      </c>
      <c r="G119" s="3" t="str">
        <f>"BDH2"</f>
        <v>BDH2</v>
      </c>
      <c r="H119" s="1">
        <v>56898</v>
      </c>
      <c r="I119" s="1" t="str">
        <f>"3-hydroxybutyrate dehydrogenase, type 2"</f>
        <v>3-hydroxybutyrate dehydrogenase, type 2</v>
      </c>
    </row>
    <row r="120" spans="1:9" x14ac:dyDescent="0.35">
      <c r="A120" s="1" t="str">
        <f>"218332_at"</f>
        <v>218332_at</v>
      </c>
      <c r="B120" s="1">
        <v>1.0265521969666899E-3</v>
      </c>
      <c r="C120" s="2">
        <v>4.8918621827492501E-5</v>
      </c>
      <c r="D120" s="1">
        <v>4.2384006123710698</v>
      </c>
      <c r="E120" s="1">
        <v>1.6352612975499701</v>
      </c>
      <c r="F120" s="1">
        <v>0.67258248756250105</v>
      </c>
      <c r="G120" s="3" t="str">
        <f>"BEX1"</f>
        <v>BEX1</v>
      </c>
      <c r="H120" s="1">
        <v>55859</v>
      </c>
      <c r="I120" s="1" t="str">
        <f>"brain expressed X-linked 1"</f>
        <v>brain expressed X-linked 1</v>
      </c>
    </row>
    <row r="121" spans="1:9" x14ac:dyDescent="0.35">
      <c r="A121" s="1" t="str">
        <f>"217963_s_at"</f>
        <v>217963_s_at</v>
      </c>
      <c r="B121" s="2">
        <v>2.64881908980447E-6</v>
      </c>
      <c r="C121" s="2">
        <v>3.1738755866705303E-8</v>
      </c>
      <c r="D121" s="1">
        <v>5.9817218389876397</v>
      </c>
      <c r="E121" s="1">
        <v>8.6096851580174807</v>
      </c>
      <c r="F121" s="1">
        <v>0.40912062340988198</v>
      </c>
      <c r="G121" s="3" t="str">
        <f>"BEX3"</f>
        <v>BEX3</v>
      </c>
      <c r="H121" s="1">
        <v>27018</v>
      </c>
      <c r="I121" s="1" t="str">
        <f>"brain expressed X-linked 3"</f>
        <v>brain expressed X-linked 3</v>
      </c>
    </row>
    <row r="122" spans="1:9" x14ac:dyDescent="0.35">
      <c r="A122" s="1" t="str">
        <f>"213905_x_at"</f>
        <v>213905_x_at</v>
      </c>
      <c r="B122" s="1">
        <v>1.54657223614373E-3</v>
      </c>
      <c r="C122" s="2">
        <v>8.2384833474065606E-5</v>
      </c>
      <c r="D122" s="1">
        <v>4.0995738931667001</v>
      </c>
      <c r="E122" s="1">
        <v>1.1465404629278999</v>
      </c>
      <c r="F122" s="1">
        <v>0.494995425469478</v>
      </c>
      <c r="G122" s="3" t="str">
        <f>"BGN"</f>
        <v>BGN</v>
      </c>
      <c r="H122" s="1">
        <v>633</v>
      </c>
      <c r="I122" s="1" t="str">
        <f>"biglycan"</f>
        <v>biglycan</v>
      </c>
    </row>
    <row r="123" spans="1:9" x14ac:dyDescent="0.35">
      <c r="A123" s="1" t="str">
        <f>"213429_at"</f>
        <v>213429_at</v>
      </c>
      <c r="B123" s="2">
        <v>8.4552599766296005E-7</v>
      </c>
      <c r="C123" s="2">
        <v>7.6269230144170398E-9</v>
      </c>
      <c r="D123" s="1">
        <v>6.2907450467414803</v>
      </c>
      <c r="E123" s="1">
        <v>9.9758862191474602</v>
      </c>
      <c r="F123" s="1">
        <v>0.48134925497238101</v>
      </c>
      <c r="G123" s="3" t="str">
        <f>"BICC1"</f>
        <v>BICC1</v>
      </c>
      <c r="H123" s="1">
        <v>80114</v>
      </c>
      <c r="I123" s="1" t="str">
        <f>"BicC family RNA binding protein 1"</f>
        <v>BicC family RNA binding protein 1</v>
      </c>
    </row>
    <row r="124" spans="1:9" x14ac:dyDescent="0.35">
      <c r="A124" s="1" t="str">
        <f>"211725_s_at"</f>
        <v>211725_s_at</v>
      </c>
      <c r="B124" s="2">
        <v>1.7678475761688701E-5</v>
      </c>
      <c r="C124" s="2">
        <v>3.3790273833909101E-7</v>
      </c>
      <c r="D124" s="1">
        <v>-5.4526038893491098</v>
      </c>
      <c r="E124" s="1">
        <v>6.3492418719384398</v>
      </c>
      <c r="F124" s="1">
        <v>-0.36097847880232398</v>
      </c>
      <c r="G124" s="3" t="str">
        <f>"BID"</f>
        <v>BID</v>
      </c>
      <c r="H124" s="1">
        <v>637</v>
      </c>
      <c r="I124" s="1" t="str">
        <f>"BH3 interacting domain death agonist"</f>
        <v>BH3 interacting domain death agonist</v>
      </c>
    </row>
    <row r="125" spans="1:9" x14ac:dyDescent="0.35">
      <c r="A125" s="1" t="str">
        <f>"205733_at"</f>
        <v>205733_at</v>
      </c>
      <c r="B125" s="1">
        <v>5.2729899023530298E-4</v>
      </c>
      <c r="C125" s="2">
        <v>2.0858321182961299E-5</v>
      </c>
      <c r="D125" s="1">
        <v>-4.4596077592898302</v>
      </c>
      <c r="E125" s="1">
        <v>2.4371863623678598</v>
      </c>
      <c r="F125" s="1">
        <v>-0.39120428534156798</v>
      </c>
      <c r="G125" s="3" t="str">
        <f>"BLM"</f>
        <v>BLM</v>
      </c>
      <c r="H125" s="1">
        <v>641</v>
      </c>
      <c r="I125" s="1" t="str">
        <f>"Bloom syndrome RecQ like helicase"</f>
        <v>Bloom syndrome RecQ like helicase</v>
      </c>
    </row>
    <row r="126" spans="1:9" x14ac:dyDescent="0.35">
      <c r="A126" s="1" t="str">
        <f>"201849_at"</f>
        <v>201849_at</v>
      </c>
      <c r="B126" s="1">
        <v>2.3404016165232502E-3</v>
      </c>
      <c r="C126" s="1">
        <v>1.39375889472977E-4</v>
      </c>
      <c r="D126" s="1">
        <v>3.95647947397363</v>
      </c>
      <c r="E126" s="1">
        <v>0.65503279876106102</v>
      </c>
      <c r="F126" s="1">
        <v>0.436702840026161</v>
      </c>
      <c r="G126" s="3" t="str">
        <f>"BNIP3"</f>
        <v>BNIP3</v>
      </c>
      <c r="H126" s="1">
        <v>664</v>
      </c>
      <c r="I126" s="1" t="str">
        <f>"BCL2 interacting protein 3"</f>
        <v>BCL2 interacting protein 3</v>
      </c>
    </row>
    <row r="127" spans="1:9" x14ac:dyDescent="0.35">
      <c r="A127" s="1" t="str">
        <f>"221478_at"</f>
        <v>221478_at</v>
      </c>
      <c r="B127" s="1">
        <v>7.4391657606094397E-2</v>
      </c>
      <c r="C127" s="1">
        <v>1.26929534720805E-2</v>
      </c>
      <c r="D127" s="1">
        <v>2.5362891298994001</v>
      </c>
      <c r="E127" s="1">
        <v>-3.4604830908261399</v>
      </c>
      <c r="F127" s="1">
        <v>0.32923708283575498</v>
      </c>
      <c r="G127" s="3" t="str">
        <f>"BNIP3L"</f>
        <v>BNIP3L</v>
      </c>
      <c r="H127" s="1">
        <v>665</v>
      </c>
      <c r="I127" s="1" t="str">
        <f>"BCL2 interacting protein 3 like"</f>
        <v>BCL2 interacting protein 3 like</v>
      </c>
    </row>
    <row r="128" spans="1:9" x14ac:dyDescent="0.35">
      <c r="A128" s="1" t="str">
        <f>"203825_at"</f>
        <v>203825_at</v>
      </c>
      <c r="B128" s="1">
        <v>6.0296849139836596E-4</v>
      </c>
      <c r="C128" s="2">
        <v>2.4948927391701901E-5</v>
      </c>
      <c r="D128" s="1">
        <v>4.4136946781701196</v>
      </c>
      <c r="E128" s="1">
        <v>2.2684580276333102</v>
      </c>
      <c r="F128" s="1">
        <v>0.307672934625003</v>
      </c>
      <c r="G128" s="3" t="str">
        <f>"BRD3"</f>
        <v>BRD3</v>
      </c>
      <c r="H128" s="1">
        <v>8019</v>
      </c>
      <c r="I128" s="1" t="str">
        <f>"bromodomain containing 3"</f>
        <v>bromodomain containing 3</v>
      </c>
    </row>
    <row r="129" spans="1:9" x14ac:dyDescent="0.35">
      <c r="A129" s="1" t="str">
        <f>"202103_at"</f>
        <v>202103_at</v>
      </c>
      <c r="B129" s="2">
        <v>1.9272978682723199E-6</v>
      </c>
      <c r="C129" s="2">
        <v>2.17089480964598E-8</v>
      </c>
      <c r="D129" s="1">
        <v>-6.0646875338873896</v>
      </c>
      <c r="E129" s="1">
        <v>8.9733902353041799</v>
      </c>
      <c r="F129" s="1">
        <v>-0.37671823917296599</v>
      </c>
      <c r="G129" s="3" t="str">
        <f>"BRD4"</f>
        <v>BRD4</v>
      </c>
      <c r="H129" s="1">
        <v>23476</v>
      </c>
      <c r="I129" s="1" t="str">
        <f>"bromodomain containing 4"</f>
        <v>bromodomain containing 4</v>
      </c>
    </row>
    <row r="130" spans="1:9" x14ac:dyDescent="0.35">
      <c r="A130" s="1" t="str">
        <f>"217945_at"</f>
        <v>217945_at</v>
      </c>
      <c r="B130" s="1">
        <v>3.3169992013312402E-2</v>
      </c>
      <c r="C130" s="1">
        <v>4.3487705844263303E-3</v>
      </c>
      <c r="D130" s="1">
        <v>2.9157256379634702</v>
      </c>
      <c r="E130" s="1">
        <v>-2.5073316934986201</v>
      </c>
      <c r="F130" s="1">
        <v>0.32738598955378101</v>
      </c>
      <c r="G130" s="3" t="str">
        <f>"BTBD1"</f>
        <v>BTBD1</v>
      </c>
      <c r="H130" s="1">
        <v>53339</v>
      </c>
      <c r="I130" s="1" t="str">
        <f>"BTB domain containing 1"</f>
        <v>BTB domain containing 1</v>
      </c>
    </row>
    <row r="131" spans="1:9" x14ac:dyDescent="0.35">
      <c r="A131" s="1" t="str">
        <f>"201236_s_at"</f>
        <v>201236_s_at</v>
      </c>
      <c r="B131" s="1">
        <v>7.7631991745610099E-2</v>
      </c>
      <c r="C131" s="1">
        <v>1.34866963227907E-2</v>
      </c>
      <c r="D131" s="1">
        <v>-2.5136306112780198</v>
      </c>
      <c r="E131" s="1">
        <v>-3.5137360652254999</v>
      </c>
      <c r="F131" s="1">
        <v>-0.37165836045202899</v>
      </c>
      <c r="G131" s="3" t="str">
        <f>"BTG2"</f>
        <v>BTG2</v>
      </c>
      <c r="H131" s="1">
        <v>7832</v>
      </c>
      <c r="I131" s="1" t="str">
        <f>"BTG anti-proliferation factor 2"</f>
        <v>BTG anti-proliferation factor 2</v>
      </c>
    </row>
    <row r="132" spans="1:9" x14ac:dyDescent="0.35">
      <c r="A132" s="1" t="str">
        <f>"204820_s_at"</f>
        <v>204820_s_at</v>
      </c>
      <c r="B132" s="2">
        <v>1.0964459458725099E-6</v>
      </c>
      <c r="C132" s="2">
        <v>1.05316442684251E-8</v>
      </c>
      <c r="D132" s="1">
        <v>6.2213713724393003</v>
      </c>
      <c r="E132" s="1">
        <v>9.6664989344307699</v>
      </c>
      <c r="F132" s="1">
        <v>0.66226018751598603</v>
      </c>
      <c r="G132" s="3" t="str">
        <f>"BTN3A2"</f>
        <v>BTN3A2</v>
      </c>
      <c r="H132" s="1">
        <v>11118</v>
      </c>
      <c r="I132" s="1" t="str">
        <f>"butyrophilin subfamily 3 member A2///butyrophilin subfamily 3 member A3"</f>
        <v>butyrophilin subfamily 3 member A2///butyrophilin subfamily 3 member A3</v>
      </c>
    </row>
    <row r="133" spans="1:9" x14ac:dyDescent="0.35">
      <c r="A133" s="1" t="str">
        <f>"200777_s_at"</f>
        <v>200777_s_at</v>
      </c>
      <c r="B133" s="1">
        <v>2.7293967678593601E-3</v>
      </c>
      <c r="C133" s="1">
        <v>1.7197294179753799E-4</v>
      </c>
      <c r="D133" s="1">
        <v>-3.89835229649402</v>
      </c>
      <c r="E133" s="1">
        <v>0.45901822305128398</v>
      </c>
      <c r="F133" s="1">
        <v>-0.43713550953488201</v>
      </c>
      <c r="G133" s="3" t="str">
        <f>"BZW1"</f>
        <v>BZW1</v>
      </c>
      <c r="H133" s="1">
        <v>9689</v>
      </c>
      <c r="I133" s="1" t="str">
        <f>"basic leucine zipper and W2 domains 1"</f>
        <v>basic leucine zipper and W2 domains 1</v>
      </c>
    </row>
    <row r="134" spans="1:9" x14ac:dyDescent="0.35">
      <c r="A134" s="1" t="str">
        <f>"55662_at"</f>
        <v>55662_at</v>
      </c>
      <c r="B134" s="2">
        <v>1.0168740151292799E-5</v>
      </c>
      <c r="C134" s="2">
        <v>1.7021676059921199E-7</v>
      </c>
      <c r="D134" s="1">
        <v>5.6084086030413003</v>
      </c>
      <c r="E134" s="1">
        <v>7.0036638174494703</v>
      </c>
      <c r="F134" s="1">
        <v>0.60340780445639397</v>
      </c>
      <c r="G134" s="3" t="str">
        <f>"C10orf76"</f>
        <v>C10orf76</v>
      </c>
      <c r="H134" s="1">
        <v>79591</v>
      </c>
      <c r="I134" s="1" t="str">
        <f>"chromosome 10 open reading frame 76"</f>
        <v>chromosome 10 open reading frame 76</v>
      </c>
    </row>
    <row r="135" spans="1:9" x14ac:dyDescent="0.35">
      <c r="A135" s="1" t="str">
        <f>"220560_at"</f>
        <v>220560_at</v>
      </c>
      <c r="B135" s="2">
        <v>1.9542693242182999E-5</v>
      </c>
      <c r="C135" s="2">
        <v>3.8150480457521899E-7</v>
      </c>
      <c r="D135" s="1">
        <v>5.4247985257362297</v>
      </c>
      <c r="E135" s="1">
        <v>6.2334969994530596</v>
      </c>
      <c r="F135" s="1">
        <v>0.52934465861482605</v>
      </c>
      <c r="G135" s="3" t="str">
        <f>"C11orf21"</f>
        <v>C11orf21</v>
      </c>
      <c r="H135" s="1">
        <v>29125</v>
      </c>
      <c r="I135" s="1" t="str">
        <f>"chromosome 11 open reading frame 21"</f>
        <v>chromosome 11 open reading frame 21</v>
      </c>
    </row>
    <row r="136" spans="1:9" x14ac:dyDescent="0.35">
      <c r="A136" s="1" t="str">
        <f>"218789_s_at"</f>
        <v>218789_s_at</v>
      </c>
      <c r="B136" s="1">
        <v>5.9997183275719396E-4</v>
      </c>
      <c r="C136" s="2">
        <v>2.4771084958785599E-5</v>
      </c>
      <c r="D136" s="1">
        <v>4.41553429881745</v>
      </c>
      <c r="E136" s="1">
        <v>2.27519588771499</v>
      </c>
      <c r="F136" s="1">
        <v>0.34932157555232302</v>
      </c>
      <c r="G136" s="3" t="str">
        <f>"C11orf71"</f>
        <v>C11orf71</v>
      </c>
      <c r="H136" s="1">
        <v>54494</v>
      </c>
      <c r="I136" s="1" t="str">
        <f>"chromosome 11 open reading frame 71"</f>
        <v>chromosome 11 open reading frame 71</v>
      </c>
    </row>
    <row r="137" spans="1:9" x14ac:dyDescent="0.35">
      <c r="A137" s="1" t="str">
        <f>"218298_s_at"</f>
        <v>218298_s_at</v>
      </c>
      <c r="B137" s="1">
        <v>1.5237422078005701E-4</v>
      </c>
      <c r="C137" s="2">
        <v>4.5564539238981202E-6</v>
      </c>
      <c r="D137" s="1">
        <v>4.8390690691534397</v>
      </c>
      <c r="E137" s="1">
        <v>3.8751563940419098</v>
      </c>
      <c r="F137" s="1">
        <v>0.381314287978197</v>
      </c>
      <c r="G137" s="3" t="str">
        <f>"C14orf159"</f>
        <v>C14orf159</v>
      </c>
      <c r="H137" s="1">
        <v>80017</v>
      </c>
      <c r="I137" s="1" t="str">
        <f>"chromosome 14 open reading frame 159"</f>
        <v>chromosome 14 open reading frame 159</v>
      </c>
    </row>
    <row r="138" spans="1:9" x14ac:dyDescent="0.35">
      <c r="A138" s="1" t="str">
        <f>"219506_at"</f>
        <v>219506_at</v>
      </c>
      <c r="B138" s="2">
        <v>5.5115174310404703E-5</v>
      </c>
      <c r="C138" s="2">
        <v>1.32575207244881E-6</v>
      </c>
      <c r="D138" s="1">
        <v>5.13507133402425</v>
      </c>
      <c r="E138" s="1">
        <v>5.0472737993583197</v>
      </c>
      <c r="F138" s="1">
        <v>0.39377623250145399</v>
      </c>
      <c r="G138" s="3" t="str">
        <f>"C1orf54"</f>
        <v>C1orf54</v>
      </c>
      <c r="H138" s="1">
        <v>79630</v>
      </c>
      <c r="I138" s="1" t="str">
        <f>"chromosome 1 open reading frame 54"</f>
        <v>chromosome 1 open reading frame 54</v>
      </c>
    </row>
    <row r="139" spans="1:9" x14ac:dyDescent="0.35">
      <c r="A139" s="1" t="str">
        <f>"220975_s_at"</f>
        <v>220975_s_at</v>
      </c>
      <c r="B139" s="1">
        <v>2.56488033175469E-3</v>
      </c>
      <c r="C139" s="1">
        <v>1.5780868531327399E-4</v>
      </c>
      <c r="D139" s="1">
        <v>-3.9221923572031501</v>
      </c>
      <c r="E139" s="1">
        <v>0.53915279867990995</v>
      </c>
      <c r="F139" s="1">
        <v>-0.33065883852471201</v>
      </c>
      <c r="G139" s="3" t="str">
        <f>"C1QTNF1"</f>
        <v>C1QTNF1</v>
      </c>
      <c r="H139" s="1">
        <v>114897</v>
      </c>
      <c r="I139" s="1" t="str">
        <f>"C1q and tumor necrosis factor related protein 1"</f>
        <v>C1q and tumor necrosis factor related protein 1</v>
      </c>
    </row>
    <row r="140" spans="1:9" x14ac:dyDescent="0.35">
      <c r="A140" s="1" t="str">
        <f>"202217_at"</f>
        <v>202217_at</v>
      </c>
      <c r="B140" s="1">
        <v>1.9744047274417099E-4</v>
      </c>
      <c r="C140" s="2">
        <v>6.2998777597767596E-6</v>
      </c>
      <c r="D140" s="1">
        <v>4.7597231427689701</v>
      </c>
      <c r="E140" s="1">
        <v>3.5682585833035398</v>
      </c>
      <c r="F140" s="1">
        <v>0.33136544127180301</v>
      </c>
      <c r="G140" s="3" t="str">
        <f>"C21orf33"</f>
        <v>C21orf33</v>
      </c>
      <c r="H140" s="1">
        <v>8209</v>
      </c>
      <c r="I140" s="1" t="str">
        <f>"chromosome 21 open reading frame 33"</f>
        <v>chromosome 21 open reading frame 33</v>
      </c>
    </row>
    <row r="141" spans="1:9" x14ac:dyDescent="0.35">
      <c r="A141" s="1" t="str">
        <f>"219474_at"</f>
        <v>219474_at</v>
      </c>
      <c r="B141" s="1">
        <v>2.0213575224122598E-3</v>
      </c>
      <c r="C141" s="1">
        <v>1.14570504456612E-4</v>
      </c>
      <c r="D141" s="1">
        <v>-4.01019697379982</v>
      </c>
      <c r="E141" s="1">
        <v>0.83806159989029205</v>
      </c>
      <c r="F141" s="1">
        <v>-0.461280652600291</v>
      </c>
      <c r="G141" s="3" t="str">
        <f>"C3orf52"</f>
        <v>C3orf52</v>
      </c>
      <c r="H141" s="1">
        <v>79669</v>
      </c>
      <c r="I141" s="1" t="str">
        <f>"chromosome 3 open reading frame 52"</f>
        <v>chromosome 3 open reading frame 52</v>
      </c>
    </row>
    <row r="142" spans="1:9" x14ac:dyDescent="0.35">
      <c r="A142" s="1" t="str">
        <f>"220088_at"</f>
        <v>220088_at</v>
      </c>
      <c r="B142" s="1">
        <v>2.5326062598745198E-4</v>
      </c>
      <c r="C142" s="2">
        <v>8.63788878294948E-6</v>
      </c>
      <c r="D142" s="1">
        <v>-4.6816932718181503</v>
      </c>
      <c r="E142" s="1">
        <v>3.2695917298400499</v>
      </c>
      <c r="F142" s="1">
        <v>-0.45555642344622199</v>
      </c>
      <c r="G142" s="3" t="str">
        <f>"C5AR1"</f>
        <v>C5AR1</v>
      </c>
      <c r="H142" s="1">
        <v>728</v>
      </c>
      <c r="I142" s="1" t="str">
        <f>"complement component 5a receptor 1"</f>
        <v>complement component 5a receptor 1</v>
      </c>
    </row>
    <row r="143" spans="1:9" x14ac:dyDescent="0.35">
      <c r="A143" s="1" t="str">
        <f>"210168_at"</f>
        <v>210168_at</v>
      </c>
      <c r="B143" s="2">
        <v>1.2062690857451499E-6</v>
      </c>
      <c r="C143" s="2">
        <v>1.2180161750781199E-8</v>
      </c>
      <c r="D143" s="1">
        <v>6.1900045328760003</v>
      </c>
      <c r="E143" s="1">
        <v>9.5271081603408803</v>
      </c>
      <c r="F143" s="1">
        <v>1.01705681243459</v>
      </c>
      <c r="G143" s="3" t="str">
        <f>"C6"</f>
        <v>C6</v>
      </c>
      <c r="H143" s="1">
        <v>729</v>
      </c>
      <c r="I143" s="1" t="str">
        <f>"complement component 6"</f>
        <v>complement component 6</v>
      </c>
    </row>
    <row r="144" spans="1:9" x14ac:dyDescent="0.35">
      <c r="A144" s="1" t="str">
        <f>"205457_at"</f>
        <v>205457_at</v>
      </c>
      <c r="B144" s="2">
        <v>1.9027976231925301E-5</v>
      </c>
      <c r="C144" s="2">
        <v>3.6974885376402002E-7</v>
      </c>
      <c r="D144" s="1">
        <v>-5.4319761676893599</v>
      </c>
      <c r="E144" s="1">
        <v>6.2633443394510797</v>
      </c>
      <c r="F144" s="1">
        <v>-0.38569842802034898</v>
      </c>
      <c r="G144" s="3" t="str">
        <f>"C6orf106"</f>
        <v>C6orf106</v>
      </c>
      <c r="H144" s="1">
        <v>64771</v>
      </c>
      <c r="I144" s="1" t="str">
        <f>"chromosome 6 open reading frame 106"</f>
        <v>chromosome 6 open reading frame 106</v>
      </c>
    </row>
    <row r="145" spans="1:9" x14ac:dyDescent="0.35">
      <c r="A145" s="1" t="str">
        <f>"209301_at"</f>
        <v>209301_at</v>
      </c>
      <c r="B145" s="1">
        <v>8.0142000399728499E-4</v>
      </c>
      <c r="C145" s="2">
        <v>3.5965534443175803E-5</v>
      </c>
      <c r="D145" s="1">
        <v>-4.3190184522492396</v>
      </c>
      <c r="E145" s="1">
        <v>1.92427776389404</v>
      </c>
      <c r="F145" s="1">
        <v>-0.32379439195348902</v>
      </c>
      <c r="G145" s="3" t="str">
        <f>"CA2"</f>
        <v>CA2</v>
      </c>
      <c r="H145" s="1">
        <v>760</v>
      </c>
      <c r="I145" s="1" t="str">
        <f>"carbonic anhydrase 2"</f>
        <v>carbonic anhydrase 2</v>
      </c>
    </row>
    <row r="146" spans="1:9" x14ac:dyDescent="0.35">
      <c r="A146" s="1" t="str">
        <f>"201381_x_at"</f>
        <v>201381_x_at</v>
      </c>
      <c r="B146" s="1">
        <v>2.31671561815896E-4</v>
      </c>
      <c r="C146" s="2">
        <v>7.6520338148588201E-6</v>
      </c>
      <c r="D146" s="1">
        <v>-4.7117407518833199</v>
      </c>
      <c r="E146" s="1">
        <v>3.3842282658086198</v>
      </c>
      <c r="F146" s="1">
        <v>-0.34901356033575598</v>
      </c>
      <c r="G146" s="3" t="str">
        <f>"CACYBP"</f>
        <v>CACYBP</v>
      </c>
      <c r="H146" s="1">
        <v>27101</v>
      </c>
      <c r="I146" s="1" t="str">
        <f>"calcyclin binding protein"</f>
        <v>calcyclin binding protein</v>
      </c>
    </row>
    <row r="147" spans="1:9" x14ac:dyDescent="0.35">
      <c r="A147" s="1" t="str">
        <f>"210815_s_at"</f>
        <v>210815_s_at</v>
      </c>
      <c r="B147" s="1">
        <v>2.5131579625623499E-2</v>
      </c>
      <c r="C147" s="1">
        <v>2.9764860518002902E-3</v>
      </c>
      <c r="D147" s="1">
        <v>-3.0419930194168798</v>
      </c>
      <c r="E147" s="1">
        <v>-2.1651675313664298</v>
      </c>
      <c r="F147" s="1">
        <v>-0.31069883785756103</v>
      </c>
      <c r="G147" s="3" t="str">
        <f>"CALCRL"</f>
        <v>CALCRL</v>
      </c>
      <c r="H147" s="1">
        <v>10203</v>
      </c>
      <c r="I147" s="1" t="str">
        <f>"calcitonin receptor like receptor"</f>
        <v>calcitonin receptor like receptor</v>
      </c>
    </row>
    <row r="148" spans="1:9" x14ac:dyDescent="0.35">
      <c r="A148" s="1" t="str">
        <f>"212077_at"</f>
        <v>212077_at</v>
      </c>
      <c r="B148" s="1">
        <v>9.8760251011891405E-3</v>
      </c>
      <c r="C148" s="1">
        <v>8.8819074194601403E-4</v>
      </c>
      <c r="D148" s="1">
        <v>3.4227958920821999</v>
      </c>
      <c r="E148" s="1">
        <v>-1.06148045237401</v>
      </c>
      <c r="F148" s="1">
        <v>0.317334636341567</v>
      </c>
      <c r="G148" s="3" t="str">
        <f>"CALD1"</f>
        <v>CALD1</v>
      </c>
      <c r="H148" s="1">
        <v>800</v>
      </c>
      <c r="I148" s="1" t="str">
        <f>"caldesmon 1"</f>
        <v>caldesmon 1</v>
      </c>
    </row>
    <row r="149" spans="1:9" x14ac:dyDescent="0.35">
      <c r="A149" s="1" t="str">
        <f>"200623_s_at"</f>
        <v>200623_s_at</v>
      </c>
      <c r="B149" s="1">
        <v>1.0525187462140399E-3</v>
      </c>
      <c r="C149" s="2">
        <v>5.0678413629837201E-5</v>
      </c>
      <c r="D149" s="1">
        <v>4.2290775228314397</v>
      </c>
      <c r="E149" s="1">
        <v>1.6020822827100001</v>
      </c>
      <c r="F149" s="1">
        <v>0.33253576038662702</v>
      </c>
      <c r="G149" s="3" t="str">
        <f>"CALM3"</f>
        <v>CALM3</v>
      </c>
      <c r="H149" s="1">
        <v>808</v>
      </c>
      <c r="I149" s="1" t="str">
        <f>"calmodulin 3///calmodulin 2///calmodulin 1"</f>
        <v>calmodulin 3///calmodulin 2///calmodulin 1</v>
      </c>
    </row>
    <row r="150" spans="1:9" x14ac:dyDescent="0.35">
      <c r="A150" s="1" t="str">
        <f>"200755_s_at"</f>
        <v>200755_s_at</v>
      </c>
      <c r="B150" s="1">
        <v>4.3165282711086998E-3</v>
      </c>
      <c r="C150" s="1">
        <v>3.06261777885511E-4</v>
      </c>
      <c r="D150" s="1">
        <v>-3.7357648982109302</v>
      </c>
      <c r="E150" s="1">
        <v>-7.7762732914366403E-2</v>
      </c>
      <c r="F150" s="1">
        <v>-0.51982068315407304</v>
      </c>
      <c r="G150" s="3" t="str">
        <f>"CALU"</f>
        <v>CALU</v>
      </c>
      <c r="H150" s="1">
        <v>813</v>
      </c>
      <c r="I150" s="1" t="str">
        <f>"calumenin"</f>
        <v>calumenin</v>
      </c>
    </row>
    <row r="151" spans="1:9" x14ac:dyDescent="0.35">
      <c r="A151" s="1" t="str">
        <f>"209956_s_at"</f>
        <v>209956_s_at</v>
      </c>
      <c r="B151" s="1">
        <v>2.61677480076054E-2</v>
      </c>
      <c r="C151" s="1">
        <v>3.1436997449338002E-3</v>
      </c>
      <c r="D151" s="1">
        <v>3.0240162492698799</v>
      </c>
      <c r="E151" s="1">
        <v>-2.2146226433546001</v>
      </c>
      <c r="F151" s="1">
        <v>0.39512635071366198</v>
      </c>
      <c r="G151" s="3" t="str">
        <f>"CAMK2B"</f>
        <v>CAMK2B</v>
      </c>
      <c r="H151" s="1">
        <v>816</v>
      </c>
      <c r="I151" s="1" t="str">
        <f>"calcium/calmodulin dependent protein kinase II beta"</f>
        <v>calcium/calmodulin dependent protein kinase II beta</v>
      </c>
    </row>
    <row r="152" spans="1:9" x14ac:dyDescent="0.35">
      <c r="A152" s="1" t="str">
        <f>"213547_at"</f>
        <v>213547_at</v>
      </c>
      <c r="B152" s="2">
        <v>5.1727195253753603E-5</v>
      </c>
      <c r="C152" s="2">
        <v>1.2187217837912601E-6</v>
      </c>
      <c r="D152" s="1">
        <v>5.1549157717354497</v>
      </c>
      <c r="E152" s="1">
        <v>5.1273322125867304</v>
      </c>
      <c r="F152" s="1">
        <v>0.52976379237645199</v>
      </c>
      <c r="G152" s="3" t="str">
        <f>"CAND2"</f>
        <v>CAND2</v>
      </c>
      <c r="H152" s="1">
        <v>23066</v>
      </c>
      <c r="I152" s="1" t="str">
        <f>"cullin associated and neddylation dissociated 2 (putative)"</f>
        <v>cullin associated and neddylation dissociated 2 (putative)</v>
      </c>
    </row>
    <row r="153" spans="1:9" x14ac:dyDescent="0.35">
      <c r="A153" s="1" t="str">
        <f>"208853_s_at"</f>
        <v>208853_s_at</v>
      </c>
      <c r="B153" s="1">
        <v>0.1203289264301</v>
      </c>
      <c r="C153" s="1">
        <v>2.5093951493096602E-2</v>
      </c>
      <c r="D153" s="1">
        <v>-2.2728829196513001</v>
      </c>
      <c r="E153" s="1">
        <v>-4.0532111827720696</v>
      </c>
      <c r="F153" s="1">
        <v>-0.34708076395348902</v>
      </c>
      <c r="G153" s="3" t="str">
        <f>"CANX"</f>
        <v>CANX</v>
      </c>
      <c r="H153" s="1">
        <v>821</v>
      </c>
      <c r="I153" s="1" t="str">
        <f>"calnexin"</f>
        <v>calnexin</v>
      </c>
    </row>
    <row r="154" spans="1:9" x14ac:dyDescent="0.35">
      <c r="A154" s="1" t="str">
        <f>"213798_s_at"</f>
        <v>213798_s_at</v>
      </c>
      <c r="B154" s="2">
        <v>2.9120125193336799E-5</v>
      </c>
      <c r="C154" s="2">
        <v>6.1159711845270398E-7</v>
      </c>
      <c r="D154" s="1">
        <v>-5.3159821019717102</v>
      </c>
      <c r="E154" s="1">
        <v>5.7836703191387198</v>
      </c>
      <c r="F154" s="1">
        <v>-0.57656457568313602</v>
      </c>
      <c r="G154" s="3" t="str">
        <f>"CAP1"</f>
        <v>CAP1</v>
      </c>
      <c r="H154" s="1">
        <v>10487</v>
      </c>
      <c r="I154" s="1" t="str">
        <f>"adenylate cyclase associated protein 1"</f>
        <v>adenylate cyclase associated protein 1</v>
      </c>
    </row>
    <row r="155" spans="1:9" x14ac:dyDescent="0.35">
      <c r="A155" s="1" t="str">
        <f>"207317_s_at"</f>
        <v>207317_s_at</v>
      </c>
      <c r="B155" s="1">
        <v>5.0394671617948897E-3</v>
      </c>
      <c r="C155" s="1">
        <v>3.74208627833007E-4</v>
      </c>
      <c r="D155" s="1">
        <v>3.67822552141463</v>
      </c>
      <c r="E155" s="1">
        <v>-0.26358865151308902</v>
      </c>
      <c r="F155" s="1">
        <v>0.320284836960743</v>
      </c>
      <c r="G155" s="3" t="str">
        <f>"CASQ2"</f>
        <v>CASQ2</v>
      </c>
      <c r="H155" s="1">
        <v>845</v>
      </c>
      <c r="I155" s="1" t="str">
        <f>"calsequestrin 2"</f>
        <v>calsequestrin 2</v>
      </c>
    </row>
    <row r="156" spans="1:9" x14ac:dyDescent="0.35">
      <c r="A156" s="1" t="str">
        <f>"208908_s_at"</f>
        <v>208908_s_at</v>
      </c>
      <c r="B156" s="1">
        <v>2.8156903026416098E-4</v>
      </c>
      <c r="C156" s="2">
        <v>9.7929362498193599E-6</v>
      </c>
      <c r="D156" s="1">
        <v>-4.6504578542189101</v>
      </c>
      <c r="E156" s="1">
        <v>3.15092332348391</v>
      </c>
      <c r="F156" s="1">
        <v>-0.33328108042587001</v>
      </c>
      <c r="G156" s="3" t="str">
        <f>"CAST"</f>
        <v>CAST</v>
      </c>
      <c r="H156" s="1">
        <v>831</v>
      </c>
      <c r="I156" s="1" t="str">
        <f>"calpastatin"</f>
        <v>calpastatin</v>
      </c>
    </row>
    <row r="157" spans="1:9" x14ac:dyDescent="0.35">
      <c r="A157" s="1" t="str">
        <f>"201432_at"</f>
        <v>201432_at</v>
      </c>
      <c r="B157" s="1">
        <v>3.7936459341693799E-3</v>
      </c>
      <c r="C157" s="1">
        <v>2.6084187019989998E-4</v>
      </c>
      <c r="D157" s="1">
        <v>3.7814455929390798</v>
      </c>
      <c r="E157" s="1">
        <v>7.1319326736727404E-2</v>
      </c>
      <c r="F157" s="1">
        <v>0.345726195946222</v>
      </c>
      <c r="G157" s="3" t="str">
        <f>"CAT"</f>
        <v>CAT</v>
      </c>
      <c r="H157" s="1">
        <v>847</v>
      </c>
      <c r="I157" s="1" t="str">
        <f>"catalase"</f>
        <v>catalase</v>
      </c>
    </row>
    <row r="158" spans="1:9" x14ac:dyDescent="0.35">
      <c r="A158" s="1" t="str">
        <f>"203065_s_at"</f>
        <v>203065_s_at</v>
      </c>
      <c r="B158" s="1">
        <v>9.0126945540996792E-3</v>
      </c>
      <c r="C158" s="1">
        <v>7.8749343880231903E-4</v>
      </c>
      <c r="D158" s="1">
        <v>-3.4591064400735898</v>
      </c>
      <c r="E158" s="1">
        <v>-0.95079821573453405</v>
      </c>
      <c r="F158" s="1">
        <v>-0.35168570295639301</v>
      </c>
      <c r="G158" s="3" t="str">
        <f>"CAV1"</f>
        <v>CAV1</v>
      </c>
      <c r="H158" s="1">
        <v>857</v>
      </c>
      <c r="I158" s="1" t="str">
        <f>"caveolin 1"</f>
        <v>caveolin 1</v>
      </c>
    </row>
    <row r="159" spans="1:9" x14ac:dyDescent="0.35">
      <c r="A159" s="1" t="str">
        <f>"209682_at"</f>
        <v>209682_at</v>
      </c>
      <c r="B159" s="1">
        <v>1.90647335243667E-2</v>
      </c>
      <c r="C159" s="1">
        <v>2.0627865425323398E-3</v>
      </c>
      <c r="D159" s="1">
        <v>-3.1607603688424399</v>
      </c>
      <c r="E159" s="1">
        <v>-1.8323384520761501</v>
      </c>
      <c r="F159" s="1">
        <v>-0.38458846356540599</v>
      </c>
      <c r="G159" s="3" t="str">
        <f>"CBLB"</f>
        <v>CBLB</v>
      </c>
      <c r="H159" s="1">
        <v>868</v>
      </c>
      <c r="I159" s="1" t="str">
        <f>"Cbl proto-oncogene B"</f>
        <v>Cbl proto-oncogene B</v>
      </c>
    </row>
    <row r="160" spans="1:9" x14ac:dyDescent="0.35">
      <c r="A160" s="1" t="str">
        <f>"213626_at"</f>
        <v>213626_at</v>
      </c>
      <c r="B160" s="1">
        <v>2.97251696159739E-3</v>
      </c>
      <c r="C160" s="1">
        <v>1.9276071487269299E-4</v>
      </c>
      <c r="D160" s="1">
        <v>3.8665562235900199</v>
      </c>
      <c r="E160" s="1">
        <v>0.35270315989124101</v>
      </c>
      <c r="F160" s="1">
        <v>0.325933868359012</v>
      </c>
      <c r="G160" s="3" t="str">
        <f>"CBR4"</f>
        <v>CBR4</v>
      </c>
      <c r="H160" s="1">
        <v>84869</v>
      </c>
      <c r="I160" s="1" t="str">
        <f>"carbonyl reductase 4"</f>
        <v>carbonyl reductase 4</v>
      </c>
    </row>
    <row r="161" spans="1:9" x14ac:dyDescent="0.35">
      <c r="A161" s="1" t="str">
        <f>"209479_at"</f>
        <v>209479_at</v>
      </c>
      <c r="B161" s="2">
        <v>2.2149334466076801E-5</v>
      </c>
      <c r="C161" s="2">
        <v>4.4034264544594701E-7</v>
      </c>
      <c r="D161" s="1">
        <v>5.3918458526071804</v>
      </c>
      <c r="E161" s="1">
        <v>6.0967451438871603</v>
      </c>
      <c r="F161" s="1">
        <v>0.33767643889680199</v>
      </c>
      <c r="G161" s="3" t="str">
        <f>"CCDC28A"</f>
        <v>CCDC28A</v>
      </c>
      <c r="H161" s="1">
        <v>25901</v>
      </c>
      <c r="I161" s="1" t="str">
        <f>"coiled-coil domain containing 28A"</f>
        <v>coiled-coil domain containing 28A</v>
      </c>
    </row>
    <row r="162" spans="1:9" x14ac:dyDescent="0.35">
      <c r="A162" s="1" t="str">
        <f>"203119_at"</f>
        <v>203119_at</v>
      </c>
      <c r="B162" s="2">
        <v>2.1271548518321299E-5</v>
      </c>
      <c r="C162" s="2">
        <v>4.1811866674257199E-7</v>
      </c>
      <c r="D162" s="1">
        <v>-5.40375564700713</v>
      </c>
      <c r="E162" s="1">
        <v>6.1461173594658103</v>
      </c>
      <c r="F162" s="1">
        <v>-0.32117800563227</v>
      </c>
      <c r="G162" s="3" t="str">
        <f>"CCDC86"</f>
        <v>CCDC86</v>
      </c>
      <c r="H162" s="1">
        <v>79080</v>
      </c>
      <c r="I162" s="1" t="str">
        <f>"coiled-coil domain containing 86"</f>
        <v>coiled-coil domain containing 86</v>
      </c>
    </row>
    <row r="163" spans="1:9" x14ac:dyDescent="0.35">
      <c r="A163" s="1" t="str">
        <f>"210133_at"</f>
        <v>210133_at</v>
      </c>
      <c r="B163" s="1">
        <v>0.11157777383660999</v>
      </c>
      <c r="C163" s="1">
        <v>2.25113939453477E-2</v>
      </c>
      <c r="D163" s="1">
        <v>-2.3162329195661902</v>
      </c>
      <c r="E163" s="1">
        <v>-3.9596622169055999</v>
      </c>
      <c r="F163" s="1">
        <v>-0.369199106626453</v>
      </c>
      <c r="G163" s="3" t="str">
        <f>"CCL11"</f>
        <v>CCL11</v>
      </c>
      <c r="H163" s="1">
        <v>6356</v>
      </c>
      <c r="I163" s="1" t="str">
        <f>"C-C motif chemokine ligand 11"</f>
        <v>C-C motif chemokine ligand 11</v>
      </c>
    </row>
    <row r="164" spans="1:9" x14ac:dyDescent="0.35">
      <c r="A164" s="1" t="str">
        <f>"216598_s_at"</f>
        <v>216598_s_at</v>
      </c>
      <c r="B164" s="1">
        <v>2.0782571162760101E-3</v>
      </c>
      <c r="C164" s="1">
        <v>1.18821503663584E-4</v>
      </c>
      <c r="D164" s="1">
        <v>-4.00024610526813</v>
      </c>
      <c r="E164" s="1">
        <v>0.80402099649175895</v>
      </c>
      <c r="F164" s="1">
        <v>-0.92990158496221198</v>
      </c>
      <c r="G164" s="3" t="str">
        <f>"CCL2"</f>
        <v>CCL2</v>
      </c>
      <c r="H164" s="1">
        <v>6347</v>
      </c>
      <c r="I164" s="1" t="str">
        <f>"C-C motif chemokine ligand 2"</f>
        <v>C-C motif chemokine ligand 2</v>
      </c>
    </row>
    <row r="165" spans="1:9" x14ac:dyDescent="0.35">
      <c r="A165" s="1" t="str">
        <f>"204655_at"</f>
        <v>204655_at</v>
      </c>
      <c r="B165" s="1">
        <v>1.1873223240149E-2</v>
      </c>
      <c r="C165" s="1">
        <v>1.1205577558692E-3</v>
      </c>
      <c r="D165" s="1">
        <v>3.35192269546063</v>
      </c>
      <c r="E165" s="1">
        <v>-1.27484119850681</v>
      </c>
      <c r="F165" s="1">
        <v>0.38424395921221</v>
      </c>
      <c r="G165" s="3" t="str">
        <f>"CCL5"</f>
        <v>CCL5</v>
      </c>
      <c r="H165" s="1">
        <v>6352</v>
      </c>
      <c r="I165" s="1" t="str">
        <f>"C-C motif chemokine ligand 5"</f>
        <v>C-C motif chemokine ligand 5</v>
      </c>
    </row>
    <row r="166" spans="1:9" x14ac:dyDescent="0.35">
      <c r="A166" s="1" t="str">
        <f>"208712_at"</f>
        <v>208712_at</v>
      </c>
      <c r="B166" s="2">
        <v>1.68218914117584E-5</v>
      </c>
      <c r="C166" s="2">
        <v>3.16311650205392E-7</v>
      </c>
      <c r="D166" s="1">
        <v>5.4677020826634504</v>
      </c>
      <c r="E166" s="1">
        <v>6.4122254983380502</v>
      </c>
      <c r="F166" s="1">
        <v>0.56049337694185897</v>
      </c>
      <c r="G166" s="3" t="str">
        <f>"CCND1"</f>
        <v>CCND1</v>
      </c>
      <c r="H166" s="1">
        <v>595</v>
      </c>
      <c r="I166" s="1" t="str">
        <f>"cyclin D1"</f>
        <v>cyclin D1</v>
      </c>
    </row>
    <row r="167" spans="1:9" x14ac:dyDescent="0.35">
      <c r="A167" s="1" t="str">
        <f>"200953_s_at"</f>
        <v>200953_s_at</v>
      </c>
      <c r="B167" s="2">
        <v>5.0140676417674798E-7</v>
      </c>
      <c r="C167" s="2">
        <v>4.0431043085023599E-9</v>
      </c>
      <c r="D167" s="1">
        <v>6.4263007128479304</v>
      </c>
      <c r="E167" s="1">
        <v>10.5846594362245</v>
      </c>
      <c r="F167" s="1">
        <v>0.506109528393896</v>
      </c>
      <c r="G167" s="3" t="str">
        <f>"CCND2"</f>
        <v>CCND2</v>
      </c>
      <c r="H167" s="1">
        <v>894</v>
      </c>
      <c r="I167" s="1" t="str">
        <f>"cyclin D2"</f>
        <v>cyclin D2</v>
      </c>
    </row>
    <row r="168" spans="1:9" x14ac:dyDescent="0.35">
      <c r="A168" s="1" t="str">
        <f>"208796_s_at"</f>
        <v>208796_s_at</v>
      </c>
      <c r="B168" s="1">
        <v>6.7575640064699498E-4</v>
      </c>
      <c r="C168" s="2">
        <v>2.8597508675228499E-5</v>
      </c>
      <c r="D168" s="1">
        <v>-4.3785070840046201</v>
      </c>
      <c r="E168" s="1">
        <v>2.1399453038318699</v>
      </c>
      <c r="F168" s="1">
        <v>-0.39778445440697202</v>
      </c>
      <c r="G168" s="3" t="str">
        <f>"CCNG1"</f>
        <v>CCNG1</v>
      </c>
      <c r="H168" s="1">
        <v>900</v>
      </c>
      <c r="I168" s="1" t="str">
        <f>"cyclin G1"</f>
        <v>cyclin G1</v>
      </c>
    </row>
    <row r="169" spans="1:9" x14ac:dyDescent="0.35">
      <c r="A169" s="1" t="str">
        <f>"202769_at"</f>
        <v>202769_at</v>
      </c>
      <c r="B169" s="1">
        <v>1.1196353755448201E-4</v>
      </c>
      <c r="C169" s="2">
        <v>3.1779321861994701E-6</v>
      </c>
      <c r="D169" s="1">
        <v>4.9264634207177798</v>
      </c>
      <c r="E169" s="1">
        <v>4.2168267123982996</v>
      </c>
      <c r="F169" s="1">
        <v>0.51070396506540705</v>
      </c>
      <c r="G169" s="3" t="str">
        <f>"CCNG2"</f>
        <v>CCNG2</v>
      </c>
      <c r="H169" s="1">
        <v>901</v>
      </c>
      <c r="I169" s="1" t="str">
        <f>"cyclin G2"</f>
        <v>cyclin G2</v>
      </c>
    </row>
    <row r="170" spans="1:9" x14ac:dyDescent="0.35">
      <c r="A170" s="1" t="str">
        <f>"208655_at"</f>
        <v>208655_at</v>
      </c>
      <c r="B170" s="2">
        <v>1.7680830431580001E-5</v>
      </c>
      <c r="C170" s="2">
        <v>3.3881050999796601E-7</v>
      </c>
      <c r="D170" s="1">
        <v>5.4519899922172899</v>
      </c>
      <c r="E170" s="1">
        <v>6.3466829377399003</v>
      </c>
      <c r="F170" s="1">
        <v>0.37453562363517501</v>
      </c>
      <c r="G170" s="3" t="str">
        <f>"CCNI"</f>
        <v>CCNI</v>
      </c>
      <c r="H170" s="1">
        <v>10983</v>
      </c>
      <c r="I170" s="1" t="str">
        <f>"cyclin I"</f>
        <v>cyclin I</v>
      </c>
    </row>
    <row r="171" spans="1:9" x14ac:dyDescent="0.35">
      <c r="A171" s="1" t="str">
        <f>"220046_s_at"</f>
        <v>220046_s_at</v>
      </c>
      <c r="B171" s="1">
        <v>1.2581292614967799E-3</v>
      </c>
      <c r="C171" s="2">
        <v>6.3462607814135404E-5</v>
      </c>
      <c r="D171" s="1">
        <v>-4.1694347672497702</v>
      </c>
      <c r="E171" s="1">
        <v>1.3910394742409999</v>
      </c>
      <c r="F171" s="1">
        <v>-0.33204124845930599</v>
      </c>
      <c r="G171" s="3" t="str">
        <f>"CCNL1"</f>
        <v>CCNL1</v>
      </c>
      <c r="H171" s="1">
        <v>57018</v>
      </c>
      <c r="I171" s="1" t="str">
        <f>"cyclin L1"</f>
        <v>cyclin L1</v>
      </c>
    </row>
    <row r="172" spans="1:9" x14ac:dyDescent="0.35">
      <c r="A172" s="1" t="str">
        <f>"201947_s_at"</f>
        <v>201947_s_at</v>
      </c>
      <c r="B172" s="2">
        <v>9.5736944436317892E-9</v>
      </c>
      <c r="C172" s="2">
        <v>2.4489547335951701E-11</v>
      </c>
      <c r="D172" s="1">
        <v>-7.4831769020205599</v>
      </c>
      <c r="E172" s="1">
        <v>15.4924513525911</v>
      </c>
      <c r="F172" s="1">
        <v>-0.816505025406975</v>
      </c>
      <c r="G172" s="3" t="str">
        <f>"CCT2"</f>
        <v>CCT2</v>
      </c>
      <c r="H172" s="1">
        <v>10576</v>
      </c>
      <c r="I172" s="1" t="str">
        <f>"chaperonin containing TCP1 subunit 2"</f>
        <v>chaperonin containing TCP1 subunit 2</v>
      </c>
    </row>
    <row r="173" spans="1:9" x14ac:dyDescent="0.35">
      <c r="A173" s="1" t="str">
        <f>"208696_at"</f>
        <v>208696_at</v>
      </c>
      <c r="B173" s="2">
        <v>4.1333525964561896E-6</v>
      </c>
      <c r="C173" s="2">
        <v>5.84304657309922E-8</v>
      </c>
      <c r="D173" s="1">
        <v>-5.8473355098782402</v>
      </c>
      <c r="E173" s="1">
        <v>8.0256443674226894</v>
      </c>
      <c r="F173" s="1">
        <v>-0.346064577472385</v>
      </c>
      <c r="G173" s="3" t="str">
        <f>"CCT5"</f>
        <v>CCT5</v>
      </c>
      <c r="H173" s="1">
        <v>22948</v>
      </c>
      <c r="I173" s="1" t="str">
        <f>"chaperonin containing TCP1 subunit 5"</f>
        <v>chaperonin containing TCP1 subunit 5</v>
      </c>
    </row>
    <row r="174" spans="1:9" x14ac:dyDescent="0.35">
      <c r="A174" s="1" t="str">
        <f>"201326_at"</f>
        <v>201326_at</v>
      </c>
      <c r="B174" s="1">
        <v>2.39267541190883E-2</v>
      </c>
      <c r="C174" s="1">
        <v>2.78749960477284E-3</v>
      </c>
      <c r="D174" s="1">
        <v>-3.0634721891468901</v>
      </c>
      <c r="E174" s="1">
        <v>-2.1057573131481</v>
      </c>
      <c r="F174" s="1">
        <v>-0.30479544264244102</v>
      </c>
      <c r="G174" s="3" t="str">
        <f>"CCT6A"</f>
        <v>CCT6A</v>
      </c>
      <c r="H174" s="1">
        <v>908</v>
      </c>
      <c r="I174" s="1" t="str">
        <f>"chaperonin containing TCP1 subunit 6A"</f>
        <v>chaperonin containing TCP1 subunit 6A</v>
      </c>
    </row>
    <row r="175" spans="1:9" x14ac:dyDescent="0.35">
      <c r="A175" s="1" t="str">
        <f>"201743_at"</f>
        <v>201743_at</v>
      </c>
      <c r="B175" s="1">
        <v>6.2855608788223605E-2</v>
      </c>
      <c r="C175" s="1">
        <v>1.0078673885936499E-2</v>
      </c>
      <c r="D175" s="1">
        <v>-2.62118742504394</v>
      </c>
      <c r="E175" s="1">
        <v>-3.2572221656765801</v>
      </c>
      <c r="F175" s="1">
        <v>-0.46619693585755601</v>
      </c>
      <c r="G175" s="3" t="str">
        <f>"CD14"</f>
        <v>CD14</v>
      </c>
      <c r="H175" s="1">
        <v>929</v>
      </c>
      <c r="I175" s="1" t="str">
        <f>"CD14 molecule"</f>
        <v>CD14 molecule</v>
      </c>
    </row>
    <row r="176" spans="1:9" x14ac:dyDescent="0.35">
      <c r="A176" s="1" t="str">
        <f>"215049_x_at"</f>
        <v>215049_x_at</v>
      </c>
      <c r="B176" s="2">
        <v>3.0495695837375702E-8</v>
      </c>
      <c r="C176" s="2">
        <v>1.2043356970287E-10</v>
      </c>
      <c r="D176" s="1">
        <v>-7.1589440967155902</v>
      </c>
      <c r="E176" s="1">
        <v>13.960204978919499</v>
      </c>
      <c r="F176" s="1">
        <v>-1.58075531786337</v>
      </c>
      <c r="G176" s="3" t="str">
        <f>"CD163"</f>
        <v>CD163</v>
      </c>
      <c r="H176" s="1">
        <v>9332</v>
      </c>
      <c r="I176" s="1" t="str">
        <f>"CD163 molecule"</f>
        <v>CD163 molecule</v>
      </c>
    </row>
    <row r="177" spans="1:9" x14ac:dyDescent="0.35">
      <c r="A177" s="1" t="str">
        <f>"208654_s_at"</f>
        <v>208654_s_at</v>
      </c>
      <c r="B177" s="1">
        <v>1.4021246236797799E-3</v>
      </c>
      <c r="C177" s="2">
        <v>7.30184607138556E-5</v>
      </c>
      <c r="D177" s="1">
        <v>-4.1319762669326803</v>
      </c>
      <c r="E177" s="1">
        <v>1.25957718821361</v>
      </c>
      <c r="F177" s="1">
        <v>-0.67267136267151195</v>
      </c>
      <c r="G177" s="3" t="str">
        <f>"CD164"</f>
        <v>CD164</v>
      </c>
      <c r="H177" s="1">
        <v>8763</v>
      </c>
      <c r="I177" s="1" t="str">
        <f>"CD164 molecule"</f>
        <v>CD164 molecule</v>
      </c>
    </row>
    <row r="178" spans="1:9" x14ac:dyDescent="0.35">
      <c r="A178" s="1" t="str">
        <f>"209543_s_at"</f>
        <v>209543_s_at</v>
      </c>
      <c r="B178" s="1">
        <v>2.9105285083974398E-2</v>
      </c>
      <c r="C178" s="1">
        <v>3.6194808015730302E-3</v>
      </c>
      <c r="D178" s="1">
        <v>2.97731952919957</v>
      </c>
      <c r="E178" s="1">
        <v>-2.3419425492641599</v>
      </c>
      <c r="F178" s="1">
        <v>0.30550949824272799</v>
      </c>
      <c r="G178" s="3" t="str">
        <f>"CD34"</f>
        <v>CD34</v>
      </c>
      <c r="H178" s="1">
        <v>947</v>
      </c>
      <c r="I178" s="1" t="str">
        <f>"CD34 molecule"</f>
        <v>CD34 molecule</v>
      </c>
    </row>
    <row r="179" spans="1:9" x14ac:dyDescent="0.35">
      <c r="A179" s="1" t="str">
        <f>"201926_s_at"</f>
        <v>201926_s_at</v>
      </c>
      <c r="B179" s="1">
        <v>5.4397277031899196E-3</v>
      </c>
      <c r="C179" s="1">
        <v>4.12318812129775E-4</v>
      </c>
      <c r="D179" s="1">
        <v>-3.65016190106217</v>
      </c>
      <c r="E179" s="1">
        <v>-0.353421963817872</v>
      </c>
      <c r="F179" s="1">
        <v>-0.33009803182848502</v>
      </c>
      <c r="G179" s="3" t="str">
        <f>"CD55"</f>
        <v>CD55</v>
      </c>
      <c r="H179" s="1">
        <v>1604</v>
      </c>
      <c r="I179" s="1" t="str">
        <f>"CD55 molecule (Cromer blood group)"</f>
        <v>CD55 molecule (Cromer blood group)</v>
      </c>
    </row>
    <row r="180" spans="1:9" x14ac:dyDescent="0.35">
      <c r="A180" s="1" t="str">
        <f>"200985_s_at"</f>
        <v>200985_s_at</v>
      </c>
      <c r="B180" s="2">
        <v>1.06499421701858E-7</v>
      </c>
      <c r="C180" s="2">
        <v>5.6643655910083197E-10</v>
      </c>
      <c r="D180" s="1">
        <v>-6.8394529393197603</v>
      </c>
      <c r="E180" s="1">
        <v>12.4718761430076</v>
      </c>
      <c r="F180" s="1">
        <v>-0.45893521541860199</v>
      </c>
      <c r="G180" s="3" t="str">
        <f>"CD59"</f>
        <v>CD59</v>
      </c>
      <c r="H180" s="1">
        <v>966</v>
      </c>
      <c r="I180" s="1" t="str">
        <f>"CD59 molecule"</f>
        <v>CD59 molecule</v>
      </c>
    </row>
    <row r="181" spans="1:9" x14ac:dyDescent="0.35">
      <c r="A181" s="1" t="str">
        <f>"209619_at"</f>
        <v>209619_at</v>
      </c>
      <c r="B181" s="1">
        <v>5.58392887396104E-3</v>
      </c>
      <c r="C181" s="1">
        <v>4.2700779972309002E-4</v>
      </c>
      <c r="D181" s="1">
        <v>3.6399974980366698</v>
      </c>
      <c r="E181" s="1">
        <v>-0.38582864507625803</v>
      </c>
      <c r="F181" s="1">
        <v>0.56312996772674095</v>
      </c>
      <c r="G181" s="3" t="str">
        <f>"CD74"</f>
        <v>CD74</v>
      </c>
      <c r="H181" s="1">
        <v>972</v>
      </c>
      <c r="I181" s="1" t="str">
        <f>"CD74 molecule"</f>
        <v>CD74 molecule</v>
      </c>
    </row>
    <row r="182" spans="1:9" x14ac:dyDescent="0.35">
      <c r="A182" s="1" t="str">
        <f>"221556_at"</f>
        <v>221556_at</v>
      </c>
      <c r="B182" s="1">
        <v>1.78984234713238E-2</v>
      </c>
      <c r="C182" s="1">
        <v>1.89562802999255E-3</v>
      </c>
      <c r="D182" s="1">
        <v>3.1876983986424801</v>
      </c>
      <c r="E182" s="1">
        <v>-1.7553901116799</v>
      </c>
      <c r="F182" s="1">
        <v>0.334344971651163</v>
      </c>
      <c r="G182" s="3" t="str">
        <f>"CDC14B"</f>
        <v>CDC14B</v>
      </c>
      <c r="H182" s="1">
        <v>8555</v>
      </c>
      <c r="I182" s="1" t="str">
        <f>"cell division cycle 14B"</f>
        <v>cell division cycle 14B</v>
      </c>
    </row>
    <row r="183" spans="1:9" x14ac:dyDescent="0.35">
      <c r="A183" s="1" t="str">
        <f>"219343_at"</f>
        <v>219343_at</v>
      </c>
      <c r="B183" s="2">
        <v>3.7460647677984999E-5</v>
      </c>
      <c r="C183" s="2">
        <v>8.3047883825896902E-7</v>
      </c>
      <c r="D183" s="1">
        <v>-5.2448337057204997</v>
      </c>
      <c r="E183" s="1">
        <v>5.4923222513633299</v>
      </c>
      <c r="F183" s="1">
        <v>-0.71878073436773304</v>
      </c>
      <c r="G183" s="3" t="str">
        <f>"CDC37L1"</f>
        <v>CDC37L1</v>
      </c>
      <c r="H183" s="1">
        <v>55664</v>
      </c>
      <c r="I183" s="1" t="str">
        <f>"cell division cycle 37 like 1"</f>
        <v>cell division cycle 37 like 1</v>
      </c>
    </row>
    <row r="184" spans="1:9" x14ac:dyDescent="0.35">
      <c r="A184" s="1" t="str">
        <f>"218062_x_at"</f>
        <v>218062_x_at</v>
      </c>
      <c r="B184" s="2">
        <v>1.8494396793690801E-6</v>
      </c>
      <c r="C184" s="2">
        <v>2.0500453296421599E-8</v>
      </c>
      <c r="D184" s="1">
        <v>-6.0771565199953699</v>
      </c>
      <c r="E184" s="1">
        <v>9.0282530529026506</v>
      </c>
      <c r="F184" s="1">
        <v>-0.382789042497093</v>
      </c>
      <c r="G184" s="3" t="str">
        <f>"CDC42EP4"</f>
        <v>CDC42EP4</v>
      </c>
      <c r="H184" s="1">
        <v>23580</v>
      </c>
      <c r="I184" s="1" t="str">
        <f>"CDC42 effector protein 4"</f>
        <v>CDC42 effector protein 4</v>
      </c>
    </row>
    <row r="185" spans="1:9" x14ac:dyDescent="0.35">
      <c r="A185" s="1" t="str">
        <f>"206898_at"</f>
        <v>206898_at</v>
      </c>
      <c r="B185" s="1">
        <v>5.0728387258741001E-2</v>
      </c>
      <c r="C185" s="1">
        <v>7.6127867429533697E-3</v>
      </c>
      <c r="D185" s="1">
        <v>-2.7219693873924</v>
      </c>
      <c r="E185" s="1">
        <v>-3.0083698541162902</v>
      </c>
      <c r="F185" s="1">
        <v>-0.337983436414242</v>
      </c>
      <c r="G185" s="3" t="str">
        <f>"CDH19"</f>
        <v>CDH19</v>
      </c>
      <c r="H185" s="1">
        <v>28513</v>
      </c>
      <c r="I185" s="1" t="str">
        <f>"cadherin 19"</f>
        <v>cadherin 19</v>
      </c>
    </row>
    <row r="186" spans="1:9" x14ac:dyDescent="0.35">
      <c r="A186" s="1" t="str">
        <f>"214797_s_at"</f>
        <v>214797_s_at</v>
      </c>
      <c r="B186" s="1">
        <v>9.3875389025206493E-3</v>
      </c>
      <c r="C186" s="1">
        <v>8.2866836502456999E-4</v>
      </c>
      <c r="D186" s="1">
        <v>3.4437589978577399</v>
      </c>
      <c r="E186" s="1">
        <v>-0.99769310760936403</v>
      </c>
      <c r="F186" s="1">
        <v>0.31238269426889598</v>
      </c>
      <c r="G186" s="3" t="str">
        <f>"CDK18"</f>
        <v>CDK18</v>
      </c>
      <c r="H186" s="1">
        <v>5129</v>
      </c>
      <c r="I186" s="1" t="str">
        <f>"cyclin dependent kinase 18"</f>
        <v>cyclin dependent kinase 18</v>
      </c>
    </row>
    <row r="187" spans="1:9" x14ac:dyDescent="0.35">
      <c r="A187" s="1" t="str">
        <f>"203252_at"</f>
        <v>203252_at</v>
      </c>
      <c r="B187" s="2">
        <v>3.3214330502218802E-6</v>
      </c>
      <c r="C187" s="2">
        <v>4.3321787304626298E-8</v>
      </c>
      <c r="D187" s="1">
        <v>-5.9133848630476704</v>
      </c>
      <c r="E187" s="1">
        <v>8.3118939479074694</v>
      </c>
      <c r="F187" s="1">
        <v>-0.65774445297820605</v>
      </c>
      <c r="G187" s="3" t="str">
        <f>"CDK2AP2"</f>
        <v>CDK2AP2</v>
      </c>
      <c r="H187" s="1">
        <v>10263</v>
      </c>
      <c r="I187" s="1" t="str">
        <f>"cyclin dependent kinase 2 associated protein 2"</f>
        <v>cyclin dependent kinase 2 associated protein 2</v>
      </c>
    </row>
    <row r="188" spans="1:9" x14ac:dyDescent="0.35">
      <c r="A188" s="1" t="str">
        <f>"202284_s_at"</f>
        <v>202284_s_at</v>
      </c>
      <c r="B188" s="2">
        <v>1.75813871842221E-8</v>
      </c>
      <c r="C188" s="2">
        <v>5.8386332703515295E-11</v>
      </c>
      <c r="D188" s="1">
        <v>-7.3068303985573397</v>
      </c>
      <c r="E188" s="1">
        <v>14.656563422079399</v>
      </c>
      <c r="F188" s="1">
        <v>-0.83235235187499901</v>
      </c>
      <c r="G188" s="3" t="str">
        <f>"CDKN1A"</f>
        <v>CDKN1A</v>
      </c>
      <c r="H188" s="1">
        <v>1026</v>
      </c>
      <c r="I188" s="1" t="str">
        <f>"cyclin dependent kinase inhibitor 1A"</f>
        <v>cyclin dependent kinase inhibitor 1A</v>
      </c>
    </row>
    <row r="189" spans="1:9" x14ac:dyDescent="0.35">
      <c r="A189" s="1" t="str">
        <f>"209112_at"</f>
        <v>209112_at</v>
      </c>
      <c r="B189" s="1">
        <v>5.3704201181786699E-3</v>
      </c>
      <c r="C189" s="1">
        <v>4.0586040833877303E-4</v>
      </c>
      <c r="D189" s="1">
        <v>3.6547399702922601</v>
      </c>
      <c r="E189" s="1">
        <v>-0.33880327570859903</v>
      </c>
      <c r="F189" s="1">
        <v>0.44005680961046101</v>
      </c>
      <c r="G189" s="3" t="str">
        <f>"CDKN1B"</f>
        <v>CDKN1B</v>
      </c>
      <c r="H189" s="1">
        <v>1027</v>
      </c>
      <c r="I189" s="1" t="str">
        <f>"cyclin dependent kinase inhibitor 1B"</f>
        <v>cyclin dependent kinase inhibitor 1B</v>
      </c>
    </row>
    <row r="190" spans="1:9" x14ac:dyDescent="0.35">
      <c r="A190" s="1" t="str">
        <f>"213348_at"</f>
        <v>213348_at</v>
      </c>
      <c r="B190" s="1">
        <v>2.3164394301947298E-2</v>
      </c>
      <c r="C190" s="1">
        <v>2.67061566942076E-3</v>
      </c>
      <c r="D190" s="1">
        <v>3.0774422834798001</v>
      </c>
      <c r="E190" s="1">
        <v>-2.0669304980067702</v>
      </c>
      <c r="F190" s="1">
        <v>0.33287556791860001</v>
      </c>
      <c r="G190" s="3" t="str">
        <f>"CDKN1C"</f>
        <v>CDKN1C</v>
      </c>
      <c r="H190" s="1">
        <v>1028</v>
      </c>
      <c r="I190" s="1" t="str">
        <f>"cyclin dependent kinase inhibitor 1C"</f>
        <v>cyclin dependent kinase inhibitor 1C</v>
      </c>
    </row>
    <row r="191" spans="1:9" x14ac:dyDescent="0.35">
      <c r="A191" s="1" t="str">
        <f>"213554_s_at"</f>
        <v>213554_s_at</v>
      </c>
      <c r="B191" s="2">
        <v>5.6240507346023502E-7</v>
      </c>
      <c r="C191" s="2">
        <v>4.7197302309861298E-9</v>
      </c>
      <c r="D191" s="1">
        <v>-6.3933556943997401</v>
      </c>
      <c r="E191" s="1">
        <v>10.4362017427502</v>
      </c>
      <c r="F191" s="1">
        <v>-0.39781120516715202</v>
      </c>
      <c r="G191" s="3" t="str">
        <f>"CDV3"</f>
        <v>CDV3</v>
      </c>
      <c r="H191" s="1">
        <v>55573</v>
      </c>
      <c r="I191" s="1" t="str">
        <f>"CDV3 homolog"</f>
        <v>CDV3 homolog</v>
      </c>
    </row>
    <row r="192" spans="1:9" x14ac:dyDescent="0.35">
      <c r="A192" s="1" t="str">
        <f>"212501_at"</f>
        <v>212501_at</v>
      </c>
      <c r="B192" s="1">
        <v>1.4315572667370101E-4</v>
      </c>
      <c r="C192" s="2">
        <v>4.2465527680884996E-6</v>
      </c>
      <c r="D192" s="1">
        <v>-4.8562225274089901</v>
      </c>
      <c r="E192" s="1">
        <v>3.9419198286993602</v>
      </c>
      <c r="F192" s="1">
        <v>-0.65287440062645896</v>
      </c>
      <c r="G192" s="3" t="str">
        <f>"CEBPB"</f>
        <v>CEBPB</v>
      </c>
      <c r="H192" s="1">
        <v>1051</v>
      </c>
      <c r="I192" s="1" t="str">
        <f>"CCAAT/enhancer binding protein beta"</f>
        <v>CCAAT/enhancer binding protein beta</v>
      </c>
    </row>
    <row r="193" spans="1:9" x14ac:dyDescent="0.35">
      <c r="A193" s="1" t="str">
        <f>"213006_at"</f>
        <v>213006_at</v>
      </c>
      <c r="B193" s="1">
        <v>1.62852543868637E-3</v>
      </c>
      <c r="C193" s="2">
        <v>8.8278961383685101E-5</v>
      </c>
      <c r="D193" s="1">
        <v>-4.08094933076476</v>
      </c>
      <c r="E193" s="1">
        <v>1.08185594376771</v>
      </c>
      <c r="F193" s="1">
        <v>-0.34968368409593298</v>
      </c>
      <c r="G193" s="3" t="str">
        <f>"CEBPD"</f>
        <v>CEBPD</v>
      </c>
      <c r="H193" s="1">
        <v>1052</v>
      </c>
      <c r="I193" s="1" t="str">
        <f>"CCAAT/enhancer binding protein delta"</f>
        <v>CCAAT/enhancer binding protein delta</v>
      </c>
    </row>
    <row r="194" spans="1:9" x14ac:dyDescent="0.35">
      <c r="A194" s="1" t="str">
        <f>"204203_at"</f>
        <v>204203_at</v>
      </c>
      <c r="B194" s="2">
        <v>1.2301645640416599E-6</v>
      </c>
      <c r="C194" s="2">
        <v>1.25318563944467E-8</v>
      </c>
      <c r="D194" s="1">
        <v>-6.18385707695061</v>
      </c>
      <c r="E194" s="1">
        <v>9.4998262919052703</v>
      </c>
      <c r="F194" s="1">
        <v>-0.59273941400145302</v>
      </c>
      <c r="G194" s="3" t="str">
        <f>"CEBPG"</f>
        <v>CEBPG</v>
      </c>
      <c r="H194" s="1">
        <v>1054</v>
      </c>
      <c r="I194" s="1" t="str">
        <f>"CCAAT/enhancer binding protein gamma"</f>
        <v>CCAAT/enhancer binding protein gamma</v>
      </c>
    </row>
    <row r="195" spans="1:9" x14ac:dyDescent="0.35">
      <c r="A195" s="1" t="str">
        <f>"219505_at"</f>
        <v>219505_at</v>
      </c>
      <c r="B195" s="1">
        <v>5.2957008179356502E-4</v>
      </c>
      <c r="C195" s="2">
        <v>2.1110145594221601E-5</v>
      </c>
      <c r="D195" s="1">
        <v>4.4565397919412204</v>
      </c>
      <c r="E195" s="1">
        <v>2.4258751303461401</v>
      </c>
      <c r="F195" s="1">
        <v>0.626628050892442</v>
      </c>
      <c r="G195" s="3" t="str">
        <f>"CECR1"</f>
        <v>CECR1</v>
      </c>
      <c r="H195" s="1">
        <v>51816</v>
      </c>
      <c r="I195" s="1" t="str">
        <f>"cat eye syndrome chromosome region, candidate 1"</f>
        <v>cat eye syndrome chromosome region, candidate 1</v>
      </c>
    </row>
    <row r="196" spans="1:9" x14ac:dyDescent="0.35">
      <c r="A196" s="1" t="str">
        <f>"203494_s_at"</f>
        <v>203494_s_at</v>
      </c>
      <c r="B196" s="1">
        <v>1.5505428119424001E-3</v>
      </c>
      <c r="C196" s="2">
        <v>8.2735511528946506E-5</v>
      </c>
      <c r="D196" s="1">
        <v>4.0984305923201099</v>
      </c>
      <c r="E196" s="1">
        <v>1.14256362221244</v>
      </c>
      <c r="F196" s="1">
        <v>0.32226926577035098</v>
      </c>
      <c r="G196" s="3" t="str">
        <f>"CEP57"</f>
        <v>CEP57</v>
      </c>
      <c r="H196" s="1">
        <v>9702</v>
      </c>
      <c r="I196" s="1" t="str">
        <f>"centrosomal protein 57"</f>
        <v>centrosomal protein 57</v>
      </c>
    </row>
    <row r="197" spans="1:9" x14ac:dyDescent="0.35">
      <c r="A197" s="1" t="str">
        <f>"212675_s_at"</f>
        <v>212675_s_at</v>
      </c>
      <c r="B197" s="2">
        <v>6.0132879570766203E-5</v>
      </c>
      <c r="C197" s="2">
        <v>1.48520059732199E-6</v>
      </c>
      <c r="D197" s="1">
        <v>5.1082329314303099</v>
      </c>
      <c r="E197" s="1">
        <v>4.9392872007244497</v>
      </c>
      <c r="F197" s="1">
        <v>0.55624656284157104</v>
      </c>
      <c r="G197" s="3" t="str">
        <f>"CEP68"</f>
        <v>CEP68</v>
      </c>
      <c r="H197" s="1">
        <v>23177</v>
      </c>
      <c r="I197" s="1" t="str">
        <f>"centrosomal protein 68"</f>
        <v>centrosomal protein 68</v>
      </c>
    </row>
    <row r="198" spans="1:9" x14ac:dyDescent="0.35">
      <c r="A198" s="1" t="str">
        <f>"209662_at"</f>
        <v>209662_at</v>
      </c>
      <c r="B198" s="1">
        <v>6.5761623992657897E-3</v>
      </c>
      <c r="C198" s="1">
        <v>5.24723634425103E-4</v>
      </c>
      <c r="D198" s="1">
        <v>3.5797757233751701</v>
      </c>
      <c r="E198" s="1">
        <v>-0.57640093943874104</v>
      </c>
      <c r="F198" s="1">
        <v>0.38702024563953502</v>
      </c>
      <c r="G198" s="3" t="str">
        <f>"CETN3"</f>
        <v>CETN3</v>
      </c>
      <c r="H198" s="1">
        <v>1070</v>
      </c>
      <c r="I198" s="1" t="str">
        <f>"centrin 3"</f>
        <v>centrin 3</v>
      </c>
    </row>
    <row r="199" spans="1:9" x14ac:dyDescent="0.35">
      <c r="A199" s="1" t="str">
        <f>"217957_at"</f>
        <v>217957_at</v>
      </c>
      <c r="B199" s="2">
        <v>1.88951973078425E-5</v>
      </c>
      <c r="C199" s="2">
        <v>3.6540580208901899E-7</v>
      </c>
      <c r="D199" s="1">
        <v>5.4346844814818498</v>
      </c>
      <c r="E199" s="1">
        <v>6.2746121269392097</v>
      </c>
      <c r="F199" s="1">
        <v>0.43683826520784602</v>
      </c>
      <c r="G199" s="3" t="str">
        <f>"CFAP20"</f>
        <v>CFAP20</v>
      </c>
      <c r="H199" s="1">
        <v>29105</v>
      </c>
      <c r="I199" s="1" t="str">
        <f>"cilia and flagella associated protein 20"</f>
        <v>cilia and flagella associated protein 20</v>
      </c>
    </row>
    <row r="200" spans="1:9" x14ac:dyDescent="0.35">
      <c r="A200" s="1" t="str">
        <f>"213800_at"</f>
        <v>213800_at</v>
      </c>
      <c r="B200" s="1">
        <v>5.5480389131462202E-4</v>
      </c>
      <c r="C200" s="2">
        <v>2.2466701352342002E-5</v>
      </c>
      <c r="D200" s="1">
        <v>4.4405976153931404</v>
      </c>
      <c r="E200" s="1">
        <v>2.3671824071696501</v>
      </c>
      <c r="F200" s="1">
        <v>0.75066392947093197</v>
      </c>
      <c r="G200" s="3" t="str">
        <f>"CFH"</f>
        <v>CFH</v>
      </c>
      <c r="H200" s="1">
        <v>3075</v>
      </c>
      <c r="I200" s="1" t="str">
        <f>"complement factor H"</f>
        <v>complement factor H</v>
      </c>
    </row>
    <row r="201" spans="1:9" x14ac:dyDescent="0.35">
      <c r="A201" s="1" t="str">
        <f>"215388_s_at"</f>
        <v>215388_s_at</v>
      </c>
      <c r="B201" s="1">
        <v>1.96698829393701E-3</v>
      </c>
      <c r="C201" s="1">
        <v>1.10782673288648E-4</v>
      </c>
      <c r="D201" s="1">
        <v>4.0193658821767402</v>
      </c>
      <c r="E201" s="1">
        <v>0.86948151307673405</v>
      </c>
      <c r="F201" s="1">
        <v>0.50030392152180403</v>
      </c>
      <c r="G201" s="3" t="str">
        <f>"CFHR1"</f>
        <v>CFHR1</v>
      </c>
      <c r="H201" s="1">
        <v>3078</v>
      </c>
      <c r="I201" s="1" t="str">
        <f>"complement factor H related 1///complement factor H"</f>
        <v>complement factor H related 1///complement factor H</v>
      </c>
    </row>
    <row r="202" spans="1:9" x14ac:dyDescent="0.35">
      <c r="A202" s="1" t="str">
        <f>"208485_x_at"</f>
        <v>208485_x_at</v>
      </c>
      <c r="B202" s="1">
        <v>9.2437851875333803E-3</v>
      </c>
      <c r="C202" s="1">
        <v>8.1224841346274603E-4</v>
      </c>
      <c r="D202" s="1">
        <v>-3.44979137178741</v>
      </c>
      <c r="E202" s="1">
        <v>-0.97928051938296901</v>
      </c>
      <c r="F202" s="1">
        <v>-0.36631113557994199</v>
      </c>
      <c r="G202" s="3" t="str">
        <f>"CFLAR"</f>
        <v>CFLAR</v>
      </c>
      <c r="H202" s="1">
        <v>8837</v>
      </c>
      <c r="I202" s="1" t="str">
        <f>"CASP8 and FADD like apoptosis regulator"</f>
        <v>CASP8 and FADD like apoptosis regulator</v>
      </c>
    </row>
    <row r="203" spans="1:9" x14ac:dyDescent="0.35">
      <c r="A203" s="1" t="str">
        <f>"206861_s_at"</f>
        <v>206861_s_at</v>
      </c>
      <c r="B203" s="2">
        <v>1.15982480223001E-6</v>
      </c>
      <c r="C203" s="2">
        <v>1.13988974414743E-8</v>
      </c>
      <c r="D203" s="1">
        <v>-6.2043113061542501</v>
      </c>
      <c r="E203" s="1">
        <v>9.5906470929682293</v>
      </c>
      <c r="F203" s="1">
        <v>-0.33830462259447502</v>
      </c>
      <c r="G203" s="3" t="str">
        <f>"CGGBP1"</f>
        <v>CGGBP1</v>
      </c>
      <c r="H203" s="1">
        <v>8545</v>
      </c>
      <c r="I203" s="1" t="str">
        <f>"CGG triplet repeat binding protein 1"</f>
        <v>CGG triplet repeat binding protein 1</v>
      </c>
    </row>
    <row r="204" spans="1:9" x14ac:dyDescent="0.35">
      <c r="A204" s="1" t="str">
        <f>"204258_at"</f>
        <v>204258_at</v>
      </c>
      <c r="B204" s="1">
        <v>1.3637363159319399E-2</v>
      </c>
      <c r="C204" s="1">
        <v>1.3323403310971801E-3</v>
      </c>
      <c r="D204" s="1">
        <v>-3.2984629736773199</v>
      </c>
      <c r="E204" s="1">
        <v>-1.4334134438497901</v>
      </c>
      <c r="F204" s="1">
        <v>-0.30080976285900901</v>
      </c>
      <c r="G204" s="3" t="str">
        <f>"CHD1"</f>
        <v>CHD1</v>
      </c>
      <c r="H204" s="1">
        <v>1105</v>
      </c>
      <c r="I204" s="1" t="str">
        <f>"chromodomain helicase DNA binding protein 1"</f>
        <v>chromodomain helicase DNA binding protein 1</v>
      </c>
    </row>
    <row r="205" spans="1:9" x14ac:dyDescent="0.35">
      <c r="A205" s="1" t="str">
        <f>"219492_at"</f>
        <v>219492_at</v>
      </c>
      <c r="B205" s="1">
        <v>1.14769161826193E-2</v>
      </c>
      <c r="C205" s="1">
        <v>1.0738845864901999E-3</v>
      </c>
      <c r="D205" s="1">
        <v>-3.3649726599675001</v>
      </c>
      <c r="E205" s="1">
        <v>-1.23582227770704</v>
      </c>
      <c r="F205" s="1">
        <v>-0.34731493815697501</v>
      </c>
      <c r="G205" s="3" t="str">
        <f>"CHIC2"</f>
        <v>CHIC2</v>
      </c>
      <c r="H205" s="1">
        <v>26511</v>
      </c>
      <c r="I205" s="1" t="str">
        <f>"cysteine rich hydrophobic domain 2"</f>
        <v>cysteine rich hydrophobic domain 2</v>
      </c>
    </row>
    <row r="206" spans="1:9" x14ac:dyDescent="0.35">
      <c r="A206" s="1" t="str">
        <f>"210069_at"</f>
        <v>210069_at</v>
      </c>
      <c r="B206" s="1">
        <v>3.7278899335908299E-3</v>
      </c>
      <c r="C206" s="1">
        <v>2.5491993145430398E-4</v>
      </c>
      <c r="D206" s="1">
        <v>3.7879512057701299</v>
      </c>
      <c r="E206" s="1">
        <v>9.2661863286960702E-2</v>
      </c>
      <c r="F206" s="1">
        <v>0.62889136566424098</v>
      </c>
      <c r="G206" s="3" t="str">
        <f>"CHKB-CPT1B"</f>
        <v>CHKB-CPT1B</v>
      </c>
      <c r="H206" s="1">
        <v>386593</v>
      </c>
      <c r="I206" s="1" t="str">
        <f>"CHKB-CPT1B readthrough (NMD candidate)///carnitine palmitoyltransferase 1B"</f>
        <v>CHKB-CPT1B readthrough (NMD candidate)///carnitine palmitoyltransferase 1B</v>
      </c>
    </row>
    <row r="207" spans="1:9" x14ac:dyDescent="0.35">
      <c r="A207" s="1" t="str">
        <f>"218085_at"</f>
        <v>218085_at</v>
      </c>
      <c r="B207" s="1">
        <v>3.5428873122664399E-3</v>
      </c>
      <c r="C207" s="1">
        <v>2.3912859658254001E-4</v>
      </c>
      <c r="D207" s="1">
        <v>3.8060285262764602</v>
      </c>
      <c r="E207" s="1">
        <v>0.15211152459880301</v>
      </c>
      <c r="F207" s="1">
        <v>0.358113102014534</v>
      </c>
      <c r="G207" s="3" t="str">
        <f>"CHMP5"</f>
        <v>CHMP5</v>
      </c>
      <c r="H207" s="1">
        <v>51510</v>
      </c>
      <c r="I207" s="1" t="str">
        <f>"charged multivesicular body protein 5"</f>
        <v>charged multivesicular body protein 5</v>
      </c>
    </row>
    <row r="208" spans="1:9" x14ac:dyDescent="0.35">
      <c r="A208" s="1" t="str">
        <f>"218566_s_at"</f>
        <v>218566_s_at</v>
      </c>
      <c r="B208" s="1">
        <v>1.4329758746056099E-3</v>
      </c>
      <c r="C208" s="2">
        <v>7.5111781247558704E-5</v>
      </c>
      <c r="D208" s="1">
        <v>-4.1244020198576399</v>
      </c>
      <c r="E208" s="1">
        <v>1.2330974169768101</v>
      </c>
      <c r="F208" s="1">
        <v>-0.44432198011773399</v>
      </c>
      <c r="G208" s="3" t="str">
        <f>"CHORDC1"</f>
        <v>CHORDC1</v>
      </c>
      <c r="H208" s="1">
        <v>26973</v>
      </c>
      <c r="I208" s="1" t="str">
        <f>"cysteine and histidine rich domain containing 1"</f>
        <v>cysteine and histidine rich domain containing 1</v>
      </c>
    </row>
    <row r="209" spans="1:9" x14ac:dyDescent="0.35">
      <c r="A209" s="1" t="str">
        <f>"209763_at"</f>
        <v>209763_at</v>
      </c>
      <c r="B209" s="1">
        <v>0.15714759106239401</v>
      </c>
      <c r="C209" s="1">
        <v>3.7116607693403102E-2</v>
      </c>
      <c r="D209" s="1">
        <v>2.1116603175597199</v>
      </c>
      <c r="E209" s="1">
        <v>-4.3870359681379103</v>
      </c>
      <c r="F209" s="1">
        <v>0.317936360170059</v>
      </c>
      <c r="G209" s="3" t="str">
        <f>"CHRDL1"</f>
        <v>CHRDL1</v>
      </c>
      <c r="H209" s="1">
        <v>91851</v>
      </c>
      <c r="I209" s="1" t="str">
        <f>"chordin like 1"</f>
        <v>chordin like 1</v>
      </c>
    </row>
    <row r="210" spans="1:9" x14ac:dyDescent="0.35">
      <c r="A210" s="1" t="str">
        <f>"206227_at"</f>
        <v>206227_at</v>
      </c>
      <c r="B210" s="1">
        <v>2.0338850346002899E-2</v>
      </c>
      <c r="C210" s="1">
        <v>2.24529624940161E-3</v>
      </c>
      <c r="D210" s="1">
        <v>3.1335764151156398</v>
      </c>
      <c r="E210" s="1">
        <v>-1.9094456995737901</v>
      </c>
      <c r="F210" s="1">
        <v>0.370113114882267</v>
      </c>
      <c r="G210" s="3" t="str">
        <f>"CILP"</f>
        <v>CILP</v>
      </c>
      <c r="H210" s="1">
        <v>8483</v>
      </c>
      <c r="I210" s="1" t="str">
        <f>"cartilage intermediate layer protein"</f>
        <v>cartilage intermediate layer protein</v>
      </c>
    </row>
    <row r="211" spans="1:9" x14ac:dyDescent="0.35">
      <c r="A211" s="1" t="str">
        <f>"200810_s_at"</f>
        <v>200810_s_at</v>
      </c>
      <c r="B211" s="1">
        <v>1.5921104685463999E-3</v>
      </c>
      <c r="C211" s="2">
        <v>8.5882366970011604E-5</v>
      </c>
      <c r="D211" s="1">
        <v>4.0883740455255904</v>
      </c>
      <c r="E211" s="1">
        <v>1.1076172663825301</v>
      </c>
      <c r="F211" s="1">
        <v>0.37328723831977101</v>
      </c>
      <c r="G211" s="3" t="str">
        <f>"CIRBP"</f>
        <v>CIRBP</v>
      </c>
      <c r="H211" s="1">
        <v>1153</v>
      </c>
      <c r="I211" s="1" t="str">
        <f>"cold inducible RNA binding protein"</f>
        <v>cold inducible RNA binding protein</v>
      </c>
    </row>
    <row r="212" spans="1:9" x14ac:dyDescent="0.35">
      <c r="A212" s="1" t="str">
        <f>"207980_s_at"</f>
        <v>207980_s_at</v>
      </c>
      <c r="B212" s="1">
        <v>2.9580615363738599E-2</v>
      </c>
      <c r="C212" s="1">
        <v>3.70612525626924E-3</v>
      </c>
      <c r="D212" s="1">
        <v>-2.96943143624177</v>
      </c>
      <c r="E212" s="1">
        <v>-2.3632856613705999</v>
      </c>
      <c r="F212" s="1">
        <v>-0.462319760234013</v>
      </c>
      <c r="G212" s="3" t="str">
        <f>"CITED2"</f>
        <v>CITED2</v>
      </c>
      <c r="H212" s="1">
        <v>10370</v>
      </c>
      <c r="I212" s="1" t="str">
        <f>"Cbp/p300 interacting transactivator with Glu/Asp rich carboxy-terminal domain 2"</f>
        <v>Cbp/p300 interacting transactivator with Glu/Asp rich carboxy-terminal domain 2</v>
      </c>
    </row>
    <row r="213" spans="1:9" x14ac:dyDescent="0.35">
      <c r="A213" s="1" t="str">
        <f>"204170_s_at"</f>
        <v>204170_s_at</v>
      </c>
      <c r="B213" s="1">
        <v>2.8041257487559199E-3</v>
      </c>
      <c r="C213" s="1">
        <v>1.7882074626316801E-4</v>
      </c>
      <c r="D213" s="1">
        <v>-3.8874912758171001</v>
      </c>
      <c r="E213" s="1">
        <v>0.42263025542113403</v>
      </c>
      <c r="F213" s="1">
        <v>-0.30889162960028999</v>
      </c>
      <c r="G213" s="3" t="str">
        <f>"CKS2"</f>
        <v>CKS2</v>
      </c>
      <c r="H213" s="1">
        <v>1164</v>
      </c>
      <c r="I213" s="1" t="str">
        <f>"CDC28 protein kinase regulatory subunit 2"</f>
        <v>CDC28 protein kinase regulatory subunit 2</v>
      </c>
    </row>
    <row r="214" spans="1:9" x14ac:dyDescent="0.35">
      <c r="A214" s="1" t="str">
        <f>"206207_at"</f>
        <v>206207_at</v>
      </c>
      <c r="B214" s="1">
        <v>0.15929420735785399</v>
      </c>
      <c r="C214" s="1">
        <v>3.7959531529426202E-2</v>
      </c>
      <c r="D214" s="1">
        <v>2.1021571529503298</v>
      </c>
      <c r="E214" s="1">
        <v>-4.4060134489360196</v>
      </c>
      <c r="F214" s="1">
        <v>0.32997102277180002</v>
      </c>
      <c r="G214" s="3" t="str">
        <f>"CLC"</f>
        <v>CLC</v>
      </c>
      <c r="H214" s="1">
        <v>1178</v>
      </c>
      <c r="I214" s="1" t="str">
        <f>"Charcot-Leyden crystal galectin"</f>
        <v>Charcot-Leyden crystal galectin</v>
      </c>
    </row>
    <row r="215" spans="1:9" x14ac:dyDescent="0.35">
      <c r="A215" s="1" t="str">
        <f>"208925_at"</f>
        <v>208925_at</v>
      </c>
      <c r="B215" s="1">
        <v>1.7718712929208898E-2</v>
      </c>
      <c r="C215" s="1">
        <v>1.8682607163336301E-3</v>
      </c>
      <c r="D215" s="1">
        <v>-3.1923182448663798</v>
      </c>
      <c r="E215" s="1">
        <v>-1.7421398737612701</v>
      </c>
      <c r="F215" s="1">
        <v>-0.39796534775145398</v>
      </c>
      <c r="G215" s="3" t="str">
        <f>"CLDND1"</f>
        <v>CLDND1</v>
      </c>
      <c r="H215" s="1">
        <v>56650</v>
      </c>
      <c r="I215" s="1" t="str">
        <f>"claudin domain containing 1"</f>
        <v>claudin domain containing 1</v>
      </c>
    </row>
    <row r="216" spans="1:9" x14ac:dyDescent="0.35">
      <c r="A216" s="1" t="str">
        <f>"205830_at"</f>
        <v>205830_at</v>
      </c>
      <c r="B216" s="1">
        <v>7.9851477135696996E-3</v>
      </c>
      <c r="C216" s="1">
        <v>6.7262586987256302E-4</v>
      </c>
      <c r="D216" s="1">
        <v>3.5062987605884999</v>
      </c>
      <c r="E216" s="1">
        <v>-0.80557212229674802</v>
      </c>
      <c r="F216" s="1">
        <v>0.47290028776598703</v>
      </c>
      <c r="G216" s="3" t="str">
        <f>"CLGN"</f>
        <v>CLGN</v>
      </c>
      <c r="H216" s="1">
        <v>1047</v>
      </c>
      <c r="I216" s="1" t="str">
        <f>"calmegin"</f>
        <v>calmegin</v>
      </c>
    </row>
    <row r="217" spans="1:9" x14ac:dyDescent="0.35">
      <c r="A217" s="1" t="str">
        <f>"208659_at"</f>
        <v>208659_at</v>
      </c>
      <c r="B217" s="1">
        <v>9.3674663730184099E-4</v>
      </c>
      <c r="C217" s="2">
        <v>4.3509974851115501E-5</v>
      </c>
      <c r="D217" s="1">
        <v>-4.2692191833670696</v>
      </c>
      <c r="E217" s="1">
        <v>1.74530054686945</v>
      </c>
      <c r="F217" s="1">
        <v>-0.38001623699273201</v>
      </c>
      <c r="G217" s="3" t="str">
        <f>"CLIC1"</f>
        <v>CLIC1</v>
      </c>
      <c r="H217" s="1">
        <v>1192</v>
      </c>
      <c r="I217" s="1" t="str">
        <f>"chloride intracellular channel 1"</f>
        <v>chloride intracellular channel 1</v>
      </c>
    </row>
    <row r="218" spans="1:9" x14ac:dyDescent="0.35">
      <c r="A218" s="1" t="str">
        <f>"221881_s_at"</f>
        <v>221881_s_at</v>
      </c>
      <c r="B218" s="2">
        <v>1.88951973078425E-5</v>
      </c>
      <c r="C218" s="2">
        <v>3.6547278372212601E-7</v>
      </c>
      <c r="D218" s="1">
        <v>-5.4346424731986103</v>
      </c>
      <c r="E218" s="1">
        <v>6.2744373304408203</v>
      </c>
      <c r="F218" s="1">
        <v>-0.83889876894622095</v>
      </c>
      <c r="G218" s="3" t="str">
        <f>"CLIC4"</f>
        <v>CLIC4</v>
      </c>
      <c r="H218" s="1">
        <v>25932</v>
      </c>
      <c r="I218" s="1" t="str">
        <f>"chloride intracellular channel 4"</f>
        <v>chloride intracellular channel 4</v>
      </c>
    </row>
    <row r="219" spans="1:9" x14ac:dyDescent="0.35">
      <c r="A219" s="1" t="str">
        <f>"213317_at"</f>
        <v>213317_at</v>
      </c>
      <c r="B219" s="1">
        <v>1.58174725272685E-3</v>
      </c>
      <c r="C219" s="2">
        <v>8.5050932718816903E-5</v>
      </c>
      <c r="D219" s="1">
        <v>4.0909963199105404</v>
      </c>
      <c r="E219" s="1">
        <v>1.1167237109463499</v>
      </c>
      <c r="F219" s="1">
        <v>0.419689591311045</v>
      </c>
      <c r="G219" s="3" t="str">
        <f>"CLIC5"</f>
        <v>CLIC5</v>
      </c>
      <c r="H219" s="1">
        <v>53405</v>
      </c>
      <c r="I219" s="1" t="str">
        <f>"chloride intracellular channel 5"</f>
        <v>chloride intracellular channel 5</v>
      </c>
    </row>
    <row r="220" spans="1:9" x14ac:dyDescent="0.35">
      <c r="A220" s="1" t="str">
        <f>"210716_s_at"</f>
        <v>210716_s_at</v>
      </c>
      <c r="B220" s="2">
        <v>2.8533959054224102E-6</v>
      </c>
      <c r="C220" s="2">
        <v>3.53425153658208E-8</v>
      </c>
      <c r="D220" s="1">
        <v>-5.9581380701392002</v>
      </c>
      <c r="E220" s="1">
        <v>8.5067299179828204</v>
      </c>
      <c r="F220" s="1">
        <v>-0.51632133588662799</v>
      </c>
      <c r="G220" s="3" t="str">
        <f>"CLIP1"</f>
        <v>CLIP1</v>
      </c>
      <c r="H220" s="1">
        <v>6249</v>
      </c>
      <c r="I220" s="1" t="str">
        <f>"CAP-Gly domain containing linker protein 1"</f>
        <v>CAP-Gly domain containing linker protein 1</v>
      </c>
    </row>
    <row r="221" spans="1:9" x14ac:dyDescent="0.35">
      <c r="A221" s="1" t="str">
        <f>"206284_x_at"</f>
        <v>206284_x_at</v>
      </c>
      <c r="B221" s="1">
        <v>3.2228784395285301E-3</v>
      </c>
      <c r="C221" s="1">
        <v>2.1268271163267901E-4</v>
      </c>
      <c r="D221" s="1">
        <v>-3.8390154685823799</v>
      </c>
      <c r="E221" s="1">
        <v>0.26113917712580798</v>
      </c>
      <c r="F221" s="1">
        <v>-0.312870166906981</v>
      </c>
      <c r="G221" s="3" t="str">
        <f>"CLTB"</f>
        <v>CLTB</v>
      </c>
      <c r="H221" s="1">
        <v>1212</v>
      </c>
      <c r="I221" s="1" t="str">
        <f>"clathrin light chain B"</f>
        <v>clathrin light chain B</v>
      </c>
    </row>
    <row r="222" spans="1:9" x14ac:dyDescent="0.35">
      <c r="A222" s="1" t="str">
        <f>"218728_s_at"</f>
        <v>218728_s_at</v>
      </c>
      <c r="B222" s="1">
        <v>2.8657924378935298E-4</v>
      </c>
      <c r="C222" s="2">
        <v>1.00015745212552E-5</v>
      </c>
      <c r="D222" s="1">
        <v>-4.6451992191181199</v>
      </c>
      <c r="E222" s="1">
        <v>3.1309953822516001</v>
      </c>
      <c r="F222" s="1">
        <v>-0.51152718864389402</v>
      </c>
      <c r="G222" s="3" t="str">
        <f>"CNIH4"</f>
        <v>CNIH4</v>
      </c>
      <c r="H222" s="1">
        <v>29097</v>
      </c>
      <c r="I222" s="1" t="str">
        <f>"cornichon family AMPA receptor auxiliary protein 4"</f>
        <v>cornichon family AMPA receptor auxiliary protein 4</v>
      </c>
    </row>
    <row r="223" spans="1:9" x14ac:dyDescent="0.35">
      <c r="A223" s="1" t="str">
        <f>"203951_at"</f>
        <v>203951_at</v>
      </c>
      <c r="B223" s="2">
        <v>3.0597291084870802E-11</v>
      </c>
      <c r="C223" s="2">
        <v>2.4716206952729601E-14</v>
      </c>
      <c r="D223" s="1">
        <v>-8.8528590703083907</v>
      </c>
      <c r="E223" s="1">
        <v>22.133155768845199</v>
      </c>
      <c r="F223" s="1">
        <v>-1.40139989919041</v>
      </c>
      <c r="G223" s="3" t="str">
        <f>"CNN1"</f>
        <v>CNN1</v>
      </c>
      <c r="H223" s="1">
        <v>1264</v>
      </c>
      <c r="I223" s="1" t="str">
        <f>"calponin 1"</f>
        <v>calponin 1</v>
      </c>
    </row>
    <row r="224" spans="1:9" x14ac:dyDescent="0.35">
      <c r="A224" s="1" t="str">
        <f>"202162_s_at"</f>
        <v>202162_s_at</v>
      </c>
      <c r="B224" s="1">
        <v>2.56488033175469E-3</v>
      </c>
      <c r="C224" s="1">
        <v>1.5770583605028099E-4</v>
      </c>
      <c r="D224" s="1">
        <v>-3.9223728243848899</v>
      </c>
      <c r="E224" s="1">
        <v>0.53976078274916595</v>
      </c>
      <c r="F224" s="1">
        <v>-0.35057569364244201</v>
      </c>
      <c r="G224" s="3" t="str">
        <f>"CNOT8"</f>
        <v>CNOT8</v>
      </c>
      <c r="H224" s="1">
        <v>9337</v>
      </c>
      <c r="I224" s="1" t="str">
        <f>"CCR4-NOT transcription complex subunit 8"</f>
        <v>CCR4-NOT transcription complex subunit 8</v>
      </c>
    </row>
    <row r="225" spans="1:9" x14ac:dyDescent="0.35">
      <c r="A225" s="1" t="str">
        <f>"220647_s_at"</f>
        <v>220647_s_at</v>
      </c>
      <c r="B225" s="1">
        <v>1.0532781830451701E-4</v>
      </c>
      <c r="C225" s="2">
        <v>2.9400845032270999E-6</v>
      </c>
      <c r="D225" s="1">
        <v>-4.9452190891312098</v>
      </c>
      <c r="E225" s="1">
        <v>4.2906413840119804</v>
      </c>
      <c r="F225" s="1">
        <v>-0.34357896980668701</v>
      </c>
      <c r="G225" s="3" t="str">
        <f>"COA4"</f>
        <v>COA4</v>
      </c>
      <c r="H225" s="1">
        <v>51287</v>
      </c>
      <c r="I225" s="1" t="str">
        <f>"cytochrome c oxidase assembly factor 4 homolog"</f>
        <v>cytochrome c oxidase assembly factor 4 homolog</v>
      </c>
    </row>
    <row r="226" spans="1:9" x14ac:dyDescent="0.35">
      <c r="A226" s="1" t="str">
        <f>"213050_at"</f>
        <v>213050_at</v>
      </c>
      <c r="B226" s="1">
        <v>5.0379670996093199E-4</v>
      </c>
      <c r="C226" s="2">
        <v>1.98281072851832E-5</v>
      </c>
      <c r="D226" s="1">
        <v>-4.4725430540002504</v>
      </c>
      <c r="E226" s="1">
        <v>2.4849346098857299</v>
      </c>
      <c r="F226" s="1">
        <v>-0.38430527092441402</v>
      </c>
      <c r="G226" s="3" t="str">
        <f>"COBL"</f>
        <v>COBL</v>
      </c>
      <c r="H226" s="1">
        <v>23242</v>
      </c>
      <c r="I226" s="1" t="str">
        <f>"cordon-bleu WH2 repeat protein"</f>
        <v>cordon-bleu WH2 repeat protein</v>
      </c>
    </row>
    <row r="227" spans="1:9" x14ac:dyDescent="0.35">
      <c r="A227" s="1" t="str">
        <f>"212865_s_at"</f>
        <v>212865_s_at</v>
      </c>
      <c r="B227" s="2">
        <v>2.1944824990919501E-6</v>
      </c>
      <c r="C227" s="2">
        <v>2.5605414430907299E-8</v>
      </c>
      <c r="D227" s="1">
        <v>6.0286888474606899</v>
      </c>
      <c r="E227" s="1">
        <v>8.8152914797233795</v>
      </c>
      <c r="F227" s="1">
        <v>0.57585274413226795</v>
      </c>
      <c r="G227" s="3" t="str">
        <f>"COL14A1"</f>
        <v>COL14A1</v>
      </c>
      <c r="H227" s="1">
        <v>7373</v>
      </c>
      <c r="I227" s="1" t="str">
        <f>"collagen type XIV alpha 1 chain"</f>
        <v>collagen type XIV alpha 1 chain</v>
      </c>
    </row>
    <row r="228" spans="1:9" x14ac:dyDescent="0.35">
      <c r="A228" s="1" t="str">
        <f>"203477_at"</f>
        <v>203477_at</v>
      </c>
      <c r="B228" s="2">
        <v>6.5747566656023901E-7</v>
      </c>
      <c r="C228" s="2">
        <v>5.6650957222800301E-9</v>
      </c>
      <c r="D228" s="1">
        <v>6.3543989867347799</v>
      </c>
      <c r="E228" s="1">
        <v>10.2610675511762</v>
      </c>
      <c r="F228" s="1">
        <v>1.1255762142136601</v>
      </c>
      <c r="G228" s="3" t="str">
        <f>"COL15A1"</f>
        <v>COL15A1</v>
      </c>
      <c r="H228" s="1">
        <v>1306</v>
      </c>
      <c r="I228" s="1" t="str">
        <f>"collagen type XV alpha 1 chain"</f>
        <v>collagen type XV alpha 1 chain</v>
      </c>
    </row>
    <row r="229" spans="1:9" x14ac:dyDescent="0.35">
      <c r="A229" s="1" t="str">
        <f>"204345_at"</f>
        <v>204345_at</v>
      </c>
      <c r="B229" s="2">
        <v>3.1186922589753003E-5</v>
      </c>
      <c r="C229" s="2">
        <v>6.6200306892937099E-7</v>
      </c>
      <c r="D229" s="1">
        <v>5.2976110388173998</v>
      </c>
      <c r="E229" s="1">
        <v>5.7082297409235903</v>
      </c>
      <c r="F229" s="1">
        <v>0.495754624251453</v>
      </c>
      <c r="G229" s="3" t="str">
        <f>"COL16A1"</f>
        <v>COL16A1</v>
      </c>
      <c r="H229" s="1">
        <v>1307</v>
      </c>
      <c r="I229" s="1" t="str">
        <f>"collagen type XVI alpha 1 chain"</f>
        <v>collagen type XVI alpha 1 chain</v>
      </c>
    </row>
    <row r="230" spans="1:9" x14ac:dyDescent="0.35">
      <c r="A230" s="1" t="str">
        <f>"202310_s_at"</f>
        <v>202310_s_at</v>
      </c>
      <c r="B230" s="2">
        <v>1.3333669692882601E-6</v>
      </c>
      <c r="C230" s="2">
        <v>1.3762707128137999E-8</v>
      </c>
      <c r="D230" s="1">
        <v>6.1636058411596597</v>
      </c>
      <c r="E230" s="1">
        <v>9.4100389101785993</v>
      </c>
      <c r="F230" s="1">
        <v>1.32169090694477</v>
      </c>
      <c r="G230" s="3" t="str">
        <f>"COL1A1"</f>
        <v>COL1A1</v>
      </c>
      <c r="H230" s="1">
        <v>1277</v>
      </c>
      <c r="I230" s="1" t="str">
        <f>"collagen type I alpha 1 chain"</f>
        <v>collagen type I alpha 1 chain</v>
      </c>
    </row>
    <row r="231" spans="1:9" x14ac:dyDescent="0.35">
      <c r="A231" s="1" t="str">
        <f>"202404_s_at"</f>
        <v>202404_s_at</v>
      </c>
      <c r="B231" s="2">
        <v>2.82210927814839E-6</v>
      </c>
      <c r="C231" s="2">
        <v>3.4321752653512198E-8</v>
      </c>
      <c r="D231" s="1">
        <v>5.9645688091909301</v>
      </c>
      <c r="E231" s="1">
        <v>8.5347842239656995</v>
      </c>
      <c r="F231" s="1">
        <v>1.08464002273692</v>
      </c>
      <c r="G231" s="3" t="str">
        <f>"COL1A2"</f>
        <v>COL1A2</v>
      </c>
      <c r="H231" s="1">
        <v>1278</v>
      </c>
      <c r="I231" s="1" t="str">
        <f>"collagen type I alpha 2 chain"</f>
        <v>collagen type I alpha 2 chain</v>
      </c>
    </row>
    <row r="232" spans="1:9" x14ac:dyDescent="0.35">
      <c r="A232" s="1" t="str">
        <f>"208096_s_at"</f>
        <v>208096_s_at</v>
      </c>
      <c r="B232" s="2">
        <v>9.8664754583025894E-7</v>
      </c>
      <c r="C232" s="2">
        <v>9.0769980206975298E-9</v>
      </c>
      <c r="D232" s="1">
        <v>6.2533649848811397</v>
      </c>
      <c r="E232" s="1">
        <v>9.8089951419940302</v>
      </c>
      <c r="F232" s="1">
        <v>0.88014705352906797</v>
      </c>
      <c r="G232" s="3" t="str">
        <f>"COL21A1"</f>
        <v>COL21A1</v>
      </c>
      <c r="H232" s="1">
        <v>81578</v>
      </c>
      <c r="I232" s="1" t="str">
        <f>"collagen type XXI alpha 1 chain"</f>
        <v>collagen type XXI alpha 1 chain</v>
      </c>
    </row>
    <row r="233" spans="1:9" x14ac:dyDescent="0.35">
      <c r="A233" s="1" t="str">
        <f>"211161_s_at"</f>
        <v>211161_s_at</v>
      </c>
      <c r="B233" s="2">
        <v>5.5820083605730598E-7</v>
      </c>
      <c r="C233" s="2">
        <v>4.6593975455126799E-9</v>
      </c>
      <c r="D233" s="1">
        <v>6.3960973714216198</v>
      </c>
      <c r="E233" s="1">
        <v>10.4485442021558</v>
      </c>
      <c r="F233" s="1">
        <v>1.22931642507413</v>
      </c>
      <c r="G233" s="3" t="str">
        <f>"COL3A1"</f>
        <v>COL3A1</v>
      </c>
      <c r="H233" s="1">
        <v>1281</v>
      </c>
      <c r="I233" s="1" t="str">
        <f>"collagen type III alpha 1 chain"</f>
        <v>collagen type III alpha 1 chain</v>
      </c>
    </row>
    <row r="234" spans="1:9" x14ac:dyDescent="0.35">
      <c r="A234" s="1" t="str">
        <f>"212488_at"</f>
        <v>212488_at</v>
      </c>
      <c r="B234" s="2">
        <v>6.8516911854160301E-6</v>
      </c>
      <c r="C234" s="2">
        <v>1.0449359572896701E-7</v>
      </c>
      <c r="D234" s="1">
        <v>5.7180217727436</v>
      </c>
      <c r="E234" s="1">
        <v>7.4698347246694103</v>
      </c>
      <c r="F234" s="1">
        <v>0.51623322555959505</v>
      </c>
      <c r="G234" s="3" t="str">
        <f>"COL5A1"</f>
        <v>COL5A1</v>
      </c>
      <c r="H234" s="1">
        <v>1289</v>
      </c>
      <c r="I234" s="1" t="str">
        <f>"collagen type V alpha 1 chain"</f>
        <v>collagen type V alpha 1 chain</v>
      </c>
    </row>
    <row r="235" spans="1:9" x14ac:dyDescent="0.35">
      <c r="A235" s="1" t="str">
        <f>"221729_at"</f>
        <v>221729_at</v>
      </c>
      <c r="B235" s="1">
        <v>4.2973168226009299E-3</v>
      </c>
      <c r="C235" s="1">
        <v>3.04320151957289E-4</v>
      </c>
      <c r="D235" s="1">
        <v>3.73758168243261</v>
      </c>
      <c r="E235" s="1">
        <v>-7.1859690251515396E-2</v>
      </c>
      <c r="F235" s="1">
        <v>0.40894675099127997</v>
      </c>
      <c r="G235" s="3" t="str">
        <f>"COL5A2"</f>
        <v>COL5A2</v>
      </c>
      <c r="H235" s="1">
        <v>1290</v>
      </c>
      <c r="I235" s="1" t="str">
        <f>"collagen type V alpha 2 chain"</f>
        <v>collagen type V alpha 2 chain</v>
      </c>
    </row>
    <row r="236" spans="1:9" x14ac:dyDescent="0.35">
      <c r="A236" s="1" t="str">
        <f>"213428_s_at"</f>
        <v>213428_s_at</v>
      </c>
      <c r="B236" s="2">
        <v>4.3920878469903704E-6</v>
      </c>
      <c r="C236" s="2">
        <v>6.2876453942015399E-8</v>
      </c>
      <c r="D236" s="1">
        <v>5.8310943105063799</v>
      </c>
      <c r="E236" s="1">
        <v>7.9554981951217503</v>
      </c>
      <c r="F236" s="1">
        <v>0.451494477645346</v>
      </c>
      <c r="G236" s="3" t="str">
        <f>"COL6A1"</f>
        <v>COL6A1</v>
      </c>
      <c r="H236" s="1">
        <v>1291</v>
      </c>
      <c r="I236" s="1" t="str">
        <f>"collagen type VI alpha 1 chain"</f>
        <v>collagen type VI alpha 1 chain</v>
      </c>
    </row>
    <row r="237" spans="1:9" x14ac:dyDescent="0.35">
      <c r="A237" s="1" t="str">
        <f>"219873_at"</f>
        <v>219873_at</v>
      </c>
      <c r="B237" s="2">
        <v>3.2138016878122198E-6</v>
      </c>
      <c r="C237" s="2">
        <v>4.1681492069188701E-8</v>
      </c>
      <c r="D237" s="1">
        <v>5.9218819998436096</v>
      </c>
      <c r="E237" s="1">
        <v>8.3488325242720798</v>
      </c>
      <c r="F237" s="1">
        <v>0.49486943180087101</v>
      </c>
      <c r="G237" s="3" t="str">
        <f>"COLEC11"</f>
        <v>COLEC11</v>
      </c>
      <c r="H237" s="1">
        <v>78989</v>
      </c>
      <c r="I237" s="1" t="str">
        <f>"collectin subfamily member 11"</f>
        <v>collectin subfamily member 11</v>
      </c>
    </row>
    <row r="238" spans="1:9" x14ac:dyDescent="0.35">
      <c r="A238" s="1" t="str">
        <f>"221019_s_at"</f>
        <v>221019_s_at</v>
      </c>
      <c r="B238" s="1">
        <v>1.2581292614967799E-3</v>
      </c>
      <c r="C238" s="2">
        <v>6.3373617743804397E-5</v>
      </c>
      <c r="D238" s="1">
        <v>4.16980845439417</v>
      </c>
      <c r="E238" s="1">
        <v>1.39235517436556</v>
      </c>
      <c r="F238" s="1">
        <v>0.37497029539098697</v>
      </c>
      <c r="G238" s="3" t="str">
        <f>"COLEC12"</f>
        <v>COLEC12</v>
      </c>
      <c r="H238" s="1">
        <v>81035</v>
      </c>
      <c r="I238" s="1" t="str">
        <f>"collectin subfamily member 12"</f>
        <v>collectin subfamily member 12</v>
      </c>
    </row>
    <row r="239" spans="1:9" x14ac:dyDescent="0.35">
      <c r="A239" s="1" t="str">
        <f>"209883_at"</f>
        <v>209883_at</v>
      </c>
      <c r="B239" s="2">
        <v>4.5186131105641003E-5</v>
      </c>
      <c r="C239" s="2">
        <v>1.03013753092787E-6</v>
      </c>
      <c r="D239" s="1">
        <v>5.1944267936693702</v>
      </c>
      <c r="E239" s="1">
        <v>5.2872651209881898</v>
      </c>
      <c r="F239" s="1">
        <v>0.37305316505087399</v>
      </c>
      <c r="G239" s="3" t="str">
        <f>"COLGALT2"</f>
        <v>COLGALT2</v>
      </c>
      <c r="H239" s="1">
        <v>23127</v>
      </c>
      <c r="I239" s="1" t="str">
        <f>"collagen beta(1-O)galactosyltransferase 2"</f>
        <v>collagen beta(1-O)galactosyltransferase 2</v>
      </c>
    </row>
    <row r="240" spans="1:9" x14ac:dyDescent="0.35">
      <c r="A240" s="1" t="str">
        <f>"218048_at"</f>
        <v>218048_at</v>
      </c>
      <c r="B240" s="2">
        <v>1.30995810012744E-5</v>
      </c>
      <c r="C240" s="2">
        <v>2.2927059150460099E-7</v>
      </c>
      <c r="D240" s="1">
        <v>5.5409972466124602</v>
      </c>
      <c r="E240" s="1">
        <v>6.7193135060655598</v>
      </c>
      <c r="F240" s="1">
        <v>0.30954868268895203</v>
      </c>
      <c r="G240" s="3" t="str">
        <f>"COMMD3"</f>
        <v>COMMD3</v>
      </c>
      <c r="H240" s="1">
        <v>23412</v>
      </c>
      <c r="I240" s="1" t="str">
        <f>"COMM domain containing 3"</f>
        <v>COMM domain containing 3</v>
      </c>
    </row>
    <row r="241" spans="1:9" x14ac:dyDescent="0.35">
      <c r="A241" s="1" t="str">
        <f>"218351_at"</f>
        <v>218351_at</v>
      </c>
      <c r="B241" s="1">
        <v>1.8601130108464E-3</v>
      </c>
      <c r="C241" s="1">
        <v>1.04345970630436E-4</v>
      </c>
      <c r="D241" s="1">
        <v>4.0356577930192499</v>
      </c>
      <c r="E241" s="1">
        <v>0.92543856257521595</v>
      </c>
      <c r="F241" s="1">
        <v>0.34307620018459001</v>
      </c>
      <c r="G241" s="3" t="str">
        <f>"COMMD8"</f>
        <v>COMMD8</v>
      </c>
      <c r="H241" s="1">
        <v>54951</v>
      </c>
      <c r="I241" s="1" t="str">
        <f>"COMM domain containing 8"</f>
        <v>COMM domain containing 8</v>
      </c>
    </row>
    <row r="242" spans="1:9" x14ac:dyDescent="0.35">
      <c r="A242" s="1" t="str">
        <f>"205713_s_at"</f>
        <v>205713_s_at</v>
      </c>
      <c r="B242" s="1">
        <v>2.2482593547250799E-3</v>
      </c>
      <c r="C242" s="1">
        <v>1.31164437514814E-4</v>
      </c>
      <c r="D242" s="1">
        <v>3.97317254067472</v>
      </c>
      <c r="E242" s="1">
        <v>0.71171746208279196</v>
      </c>
      <c r="F242" s="1">
        <v>0.51045031410610298</v>
      </c>
      <c r="G242" s="3" t="str">
        <f>"COMP"</f>
        <v>COMP</v>
      </c>
      <c r="H242" s="1">
        <v>1311</v>
      </c>
      <c r="I242" s="1" t="str">
        <f>"cartilage oligomeric matrix protein"</f>
        <v>cartilage oligomeric matrix protein</v>
      </c>
    </row>
    <row r="243" spans="1:9" x14ac:dyDescent="0.35">
      <c r="A243" s="1" t="str">
        <f>"214336_s_at"</f>
        <v>214336_s_at</v>
      </c>
      <c r="B243" s="1">
        <v>3.8426943028620399E-3</v>
      </c>
      <c r="C243" s="1">
        <v>2.6539992514942699E-4</v>
      </c>
      <c r="D243" s="1">
        <v>-3.7765332675915602</v>
      </c>
      <c r="E243" s="1">
        <v>5.5222071625195199E-2</v>
      </c>
      <c r="F243" s="1">
        <v>-0.44060101045639599</v>
      </c>
      <c r="G243" s="3" t="str">
        <f>"COPA"</f>
        <v>COPA</v>
      </c>
      <c r="H243" s="1">
        <v>1314</v>
      </c>
      <c r="I243" s="1" t="str">
        <f>"coatomer protein complex subunit alpha"</f>
        <v>coatomer protein complex subunit alpha</v>
      </c>
    </row>
    <row r="244" spans="1:9" x14ac:dyDescent="0.35">
      <c r="A244" s="1" t="str">
        <f>"220356_at"</f>
        <v>220356_at</v>
      </c>
      <c r="B244" s="1">
        <v>5.6679706218602504E-3</v>
      </c>
      <c r="C244" s="1">
        <v>4.344519957877E-4</v>
      </c>
      <c r="D244" s="1">
        <v>3.6349721112881199</v>
      </c>
      <c r="E244" s="1">
        <v>-0.40182519455670201</v>
      </c>
      <c r="F244" s="1">
        <v>0.85009191283284702</v>
      </c>
      <c r="G244" s="3" t="str">
        <f>"CORIN"</f>
        <v>CORIN</v>
      </c>
      <c r="H244" s="1">
        <v>10699</v>
      </c>
      <c r="I244" s="1" t="str">
        <f>"corin, serine peptidase"</f>
        <v>corin, serine peptidase</v>
      </c>
    </row>
    <row r="245" spans="1:9" x14ac:dyDescent="0.35">
      <c r="A245" s="1" t="str">
        <f>"221676_s_at"</f>
        <v>221676_s_at</v>
      </c>
      <c r="B245" s="1">
        <v>3.2713049882697898E-3</v>
      </c>
      <c r="C245" s="1">
        <v>2.17127858800477E-4</v>
      </c>
      <c r="D245" s="1">
        <v>-3.83320691547853</v>
      </c>
      <c r="E245" s="1">
        <v>0.24188991127305301</v>
      </c>
      <c r="F245" s="1">
        <v>-0.372506691545057</v>
      </c>
      <c r="G245" s="3" t="str">
        <f>"CORO1C"</f>
        <v>CORO1C</v>
      </c>
      <c r="H245" s="1">
        <v>23603</v>
      </c>
      <c r="I245" s="1" t="str">
        <f>"coronin 1C"</f>
        <v>coronin 1C</v>
      </c>
    </row>
    <row r="246" spans="1:9" x14ac:dyDescent="0.35">
      <c r="A246" s="1" t="str">
        <f>"201597_at"</f>
        <v>201597_at</v>
      </c>
      <c r="B246" s="1">
        <v>2.4282182240714401E-4</v>
      </c>
      <c r="C246" s="2">
        <v>8.1728836694052893E-6</v>
      </c>
      <c r="D246" s="1">
        <v>4.6954273040908197</v>
      </c>
      <c r="E246" s="1">
        <v>3.3219312097341902</v>
      </c>
      <c r="F246" s="1">
        <v>0.32851006437500102</v>
      </c>
      <c r="G246" s="3" t="str">
        <f>"COX7A2"</f>
        <v>COX7A2</v>
      </c>
      <c r="H246" s="1">
        <v>1347</v>
      </c>
      <c r="I246" s="1" t="str">
        <f>"cytochrome c oxidase subunit 7A2"</f>
        <v>cytochrome c oxidase subunit 7A2</v>
      </c>
    </row>
    <row r="247" spans="1:9" x14ac:dyDescent="0.35">
      <c r="A247" s="1" t="str">
        <f>"201117_s_at"</f>
        <v>201117_s_at</v>
      </c>
      <c r="B247" s="2">
        <v>4.6703825768834499E-7</v>
      </c>
      <c r="C247" s="2">
        <v>3.5630975993815302E-9</v>
      </c>
      <c r="D247" s="1">
        <v>6.4531598964833199</v>
      </c>
      <c r="E247" s="1">
        <v>10.705926972461301</v>
      </c>
      <c r="F247" s="1">
        <v>0.64342623931104403</v>
      </c>
      <c r="G247" s="3" t="str">
        <f>"CPE"</f>
        <v>CPE</v>
      </c>
      <c r="H247" s="1">
        <v>1363</v>
      </c>
      <c r="I247" s="1" t="str">
        <f>"carboxypeptidase E"</f>
        <v>carboxypeptidase E</v>
      </c>
    </row>
    <row r="248" spans="1:9" x14ac:dyDescent="0.35">
      <c r="A248" s="1" t="str">
        <f>"206100_at"</f>
        <v>206100_at</v>
      </c>
      <c r="B248" s="2">
        <v>9.1828276871761394E-6</v>
      </c>
      <c r="C248" s="2">
        <v>1.50004455330616E-7</v>
      </c>
      <c r="D248" s="1">
        <v>-5.6369020796258704</v>
      </c>
      <c r="E248" s="1">
        <v>7.1243943089890003</v>
      </c>
      <c r="F248" s="1">
        <v>-0.491056840690407</v>
      </c>
      <c r="G248" s="3" t="str">
        <f>"CPM"</f>
        <v>CPM</v>
      </c>
      <c r="H248" s="1">
        <v>1368</v>
      </c>
      <c r="I248" s="1" t="str">
        <f>"carboxypeptidase M"</f>
        <v>carboxypeptidase M</v>
      </c>
    </row>
    <row r="249" spans="1:9" x14ac:dyDescent="0.35">
      <c r="A249" s="1" t="str">
        <f>"202119_s_at"</f>
        <v>202119_s_at</v>
      </c>
      <c r="B249" s="1">
        <v>1.7118759754575899E-2</v>
      </c>
      <c r="C249" s="1">
        <v>1.77925089043655E-3</v>
      </c>
      <c r="D249" s="1">
        <v>3.2077927640100699</v>
      </c>
      <c r="E249" s="1">
        <v>-1.6976430737843</v>
      </c>
      <c r="F249" s="1">
        <v>0.30549583851162898</v>
      </c>
      <c r="G249" s="3" t="str">
        <f>"CPNE3"</f>
        <v>CPNE3</v>
      </c>
      <c r="H249" s="1">
        <v>8895</v>
      </c>
      <c r="I249" s="1" t="str">
        <f>"copine 3"</f>
        <v>copine 3</v>
      </c>
    </row>
    <row r="250" spans="1:9" x14ac:dyDescent="0.35">
      <c r="A250" s="1" t="str">
        <f>"203501_at"</f>
        <v>203501_at</v>
      </c>
      <c r="B250" s="1">
        <v>8.8791837999001397E-4</v>
      </c>
      <c r="C250" s="2">
        <v>4.0524749470441302E-5</v>
      </c>
      <c r="D250" s="1">
        <v>4.2878480919894999</v>
      </c>
      <c r="E250" s="1">
        <v>1.81208431973651</v>
      </c>
      <c r="F250" s="1">
        <v>0.49119508855086702</v>
      </c>
      <c r="G250" s="3" t="str">
        <f>"CPQ"</f>
        <v>CPQ</v>
      </c>
      <c r="H250" s="1">
        <v>10404</v>
      </c>
      <c r="I250" s="1" t="str">
        <f>"carboxypeptidase Q"</f>
        <v>carboxypeptidase Q</v>
      </c>
    </row>
    <row r="251" spans="1:9" x14ac:dyDescent="0.35">
      <c r="A251" s="1" t="str">
        <f>"207630_s_at"</f>
        <v>207630_s_at</v>
      </c>
      <c r="B251" s="1">
        <v>7.0024252670362096E-3</v>
      </c>
      <c r="C251" s="1">
        <v>5.6973464116755602E-4</v>
      </c>
      <c r="D251" s="1">
        <v>-3.5555358597213802</v>
      </c>
      <c r="E251" s="1">
        <v>-0.65241296438287699</v>
      </c>
      <c r="F251" s="1">
        <v>-0.36562209998837603</v>
      </c>
      <c r="G251" s="3" t="str">
        <f>"CREM"</f>
        <v>CREM</v>
      </c>
      <c r="H251" s="1">
        <v>1390</v>
      </c>
      <c r="I251" s="1" t="str">
        <f>"cAMP responsive element modulator"</f>
        <v>cAMP responsive element modulator</v>
      </c>
    </row>
    <row r="252" spans="1:9" x14ac:dyDescent="0.35">
      <c r="A252" s="1" t="str">
        <f>"221541_at"</f>
        <v>221541_at</v>
      </c>
      <c r="B252" s="1">
        <v>1.8221656372206501E-2</v>
      </c>
      <c r="C252" s="1">
        <v>1.9397456651256801E-3</v>
      </c>
      <c r="D252" s="1">
        <v>-3.1803801815478301</v>
      </c>
      <c r="E252" s="1">
        <v>-1.77634745683387</v>
      </c>
      <c r="F252" s="1">
        <v>-0.34587914228488598</v>
      </c>
      <c r="G252" s="3" t="str">
        <f>"CRISPLD2"</f>
        <v>CRISPLD2</v>
      </c>
      <c r="H252" s="1">
        <v>83716</v>
      </c>
      <c r="I252" s="1" t="str">
        <f>"cysteine rich secretory protein LCCL domain containing 2"</f>
        <v>cysteine rich secretory protein LCCL domain containing 2</v>
      </c>
    </row>
    <row r="253" spans="1:9" x14ac:dyDescent="0.35">
      <c r="A253" s="1" t="str">
        <f>"212695_at"</f>
        <v>212695_at</v>
      </c>
      <c r="B253" s="2">
        <v>4.3187789266521701E-8</v>
      </c>
      <c r="C253" s="2">
        <v>1.78309770341516E-10</v>
      </c>
      <c r="D253" s="1">
        <v>7.0784033501825903</v>
      </c>
      <c r="E253" s="1">
        <v>13.5828621101387</v>
      </c>
      <c r="F253" s="1">
        <v>0.51285100764099001</v>
      </c>
      <c r="G253" s="3" t="str">
        <f>"CRY2"</f>
        <v>CRY2</v>
      </c>
      <c r="H253" s="1">
        <v>1408</v>
      </c>
      <c r="I253" s="1" t="str">
        <f>"cryptochrome circadian clock 2"</f>
        <v>cryptochrome circadian clock 2</v>
      </c>
    </row>
    <row r="254" spans="1:9" x14ac:dyDescent="0.35">
      <c r="A254" s="1" t="str">
        <f>"205489_at"</f>
        <v>205489_at</v>
      </c>
      <c r="B254" s="2">
        <v>2.0885974240311101E-12</v>
      </c>
      <c r="C254" s="2">
        <v>1.40595796618349E-15</v>
      </c>
      <c r="D254" s="1">
        <v>9.4126972156833197</v>
      </c>
      <c r="E254" s="1">
        <v>24.891835060935701</v>
      </c>
      <c r="F254" s="1">
        <v>0.92805154851017202</v>
      </c>
      <c r="G254" s="3" t="str">
        <f>"CRYM"</f>
        <v>CRYM</v>
      </c>
      <c r="H254" s="1">
        <v>1428</v>
      </c>
      <c r="I254" s="1" t="str">
        <f>"crystallin mu"</f>
        <v>crystallin mu</v>
      </c>
    </row>
    <row r="255" spans="1:9" x14ac:dyDescent="0.35">
      <c r="A255" s="1" t="str">
        <f>"209981_at"</f>
        <v>209981_at</v>
      </c>
      <c r="B255" s="2">
        <v>2.1937038355117802E-6</v>
      </c>
      <c r="C255" s="2">
        <v>2.5300986659180801E-8</v>
      </c>
      <c r="D255" s="1">
        <v>-6.0313001630613696</v>
      </c>
      <c r="E255" s="1">
        <v>8.8267450917080605</v>
      </c>
      <c r="F255" s="1">
        <v>-0.65449391013372304</v>
      </c>
      <c r="G255" s="3" t="str">
        <f>"CSDC2"</f>
        <v>CSDC2</v>
      </c>
      <c r="H255" s="1">
        <v>27254</v>
      </c>
      <c r="I255" s="1" t="str">
        <f>"cold shock domain containing C2"</f>
        <v>cold shock domain containing C2</v>
      </c>
    </row>
    <row r="256" spans="1:9" x14ac:dyDescent="0.35">
      <c r="A256" s="1" t="str">
        <f>"203104_at"</f>
        <v>203104_at</v>
      </c>
      <c r="B256" s="1">
        <v>2.1990655057736699E-2</v>
      </c>
      <c r="C256" s="1">
        <v>2.4918729085305E-3</v>
      </c>
      <c r="D256" s="1">
        <v>3.0999428199524202</v>
      </c>
      <c r="E256" s="1">
        <v>-2.0040875583712898</v>
      </c>
      <c r="F256" s="1">
        <v>0.33359445388226999</v>
      </c>
      <c r="G256" s="3" t="str">
        <f>"CSF1R"</f>
        <v>CSF1R</v>
      </c>
      <c r="H256" s="1">
        <v>1436</v>
      </c>
      <c r="I256" s="1" t="str">
        <f>"colony stimulating factor 1 receptor"</f>
        <v>colony stimulating factor 1 receptor</v>
      </c>
    </row>
    <row r="257" spans="1:9" x14ac:dyDescent="0.35">
      <c r="A257" s="1" t="str">
        <f>"201487_at"</f>
        <v>201487_at</v>
      </c>
      <c r="B257" s="1">
        <v>5.6250711115095199E-2</v>
      </c>
      <c r="C257" s="1">
        <v>8.7166766360195509E-3</v>
      </c>
      <c r="D257" s="1">
        <v>-2.67366393327476</v>
      </c>
      <c r="E257" s="1">
        <v>-3.1286637210199899</v>
      </c>
      <c r="F257" s="1">
        <v>-0.40298577719040601</v>
      </c>
      <c r="G257" s="3" t="str">
        <f>"CTSC"</f>
        <v>CTSC</v>
      </c>
      <c r="H257" s="1">
        <v>1075</v>
      </c>
      <c r="I257" s="1" t="str">
        <f>"cathepsin C"</f>
        <v>cathepsin C</v>
      </c>
    </row>
    <row r="258" spans="1:9" x14ac:dyDescent="0.35">
      <c r="A258" s="1" t="str">
        <f>"203657_s_at"</f>
        <v>203657_s_at</v>
      </c>
      <c r="B258" s="1">
        <v>2.8227145848047701E-4</v>
      </c>
      <c r="C258" s="2">
        <v>9.8300341866377896E-6</v>
      </c>
      <c r="D258" s="1">
        <v>4.6495149309526198</v>
      </c>
      <c r="E258" s="1">
        <v>3.1473489809600399</v>
      </c>
      <c r="F258" s="1">
        <v>0.32547846187645701</v>
      </c>
      <c r="G258" s="3" t="str">
        <f>"CTSF"</f>
        <v>CTSF</v>
      </c>
      <c r="H258" s="1">
        <v>8722</v>
      </c>
      <c r="I258" s="1" t="str">
        <f>"cathepsin F"</f>
        <v>cathepsin F</v>
      </c>
    </row>
    <row r="259" spans="1:9" x14ac:dyDescent="0.35">
      <c r="A259" s="1" t="str">
        <f>"202450_s_at"</f>
        <v>202450_s_at</v>
      </c>
      <c r="B259" s="2">
        <v>1.1583631868250201E-7</v>
      </c>
      <c r="C259" s="2">
        <v>6.33564734592261E-10</v>
      </c>
      <c r="D259" s="1">
        <v>6.8161529746611897</v>
      </c>
      <c r="E259" s="1">
        <v>12.364264442683799</v>
      </c>
      <c r="F259" s="1">
        <v>0.54378553081831305</v>
      </c>
      <c r="G259" s="3" t="str">
        <f>"CTSK"</f>
        <v>CTSK</v>
      </c>
      <c r="H259" s="1">
        <v>1513</v>
      </c>
      <c r="I259" s="1" t="str">
        <f>"cathepsin K"</f>
        <v>cathepsin K</v>
      </c>
    </row>
    <row r="260" spans="1:9" x14ac:dyDescent="0.35">
      <c r="A260" s="1" t="str">
        <f>"203758_at"</f>
        <v>203758_at</v>
      </c>
      <c r="B260" s="2">
        <v>9.0421193085903298E-6</v>
      </c>
      <c r="C260" s="2">
        <v>1.4689436744198301E-7</v>
      </c>
      <c r="D260" s="1">
        <v>5.6416180356492598</v>
      </c>
      <c r="E260" s="1">
        <v>7.1444070789547398</v>
      </c>
      <c r="F260" s="1">
        <v>0.42445860277035002</v>
      </c>
      <c r="G260" s="3" t="str">
        <f>"CTSO"</f>
        <v>CTSO</v>
      </c>
      <c r="H260" s="1">
        <v>1519</v>
      </c>
      <c r="I260" s="1" t="str">
        <f>"cathepsin O"</f>
        <v>cathepsin O</v>
      </c>
    </row>
    <row r="261" spans="1:9" x14ac:dyDescent="0.35">
      <c r="A261" s="1" t="str">
        <f>"207614_s_at"</f>
        <v>207614_s_at</v>
      </c>
      <c r="B261" s="1">
        <v>1.6606476140876901E-3</v>
      </c>
      <c r="C261" s="2">
        <v>9.0548258812392607E-5</v>
      </c>
      <c r="D261" s="1">
        <v>-4.07409493264589</v>
      </c>
      <c r="E261" s="1">
        <v>1.0581032419070899</v>
      </c>
      <c r="F261" s="1">
        <v>-0.31545275545639601</v>
      </c>
      <c r="G261" s="3" t="str">
        <f>"CUL1"</f>
        <v>CUL1</v>
      </c>
      <c r="H261" s="1">
        <v>8454</v>
      </c>
      <c r="I261" s="1" t="str">
        <f>"cullin 1"</f>
        <v>cullin 1</v>
      </c>
    </row>
    <row r="262" spans="1:9" x14ac:dyDescent="0.35">
      <c r="A262" s="1" t="str">
        <f>"214743_at"</f>
        <v>214743_at</v>
      </c>
      <c r="B262" s="1">
        <v>1.0010155383492E-2</v>
      </c>
      <c r="C262" s="1">
        <v>9.0339821730478205E-4</v>
      </c>
      <c r="D262" s="1">
        <v>-3.4176521430739299</v>
      </c>
      <c r="E262" s="1">
        <v>-1.0770849056985801</v>
      </c>
      <c r="F262" s="1">
        <v>-0.327385875770353</v>
      </c>
      <c r="G262" s="3" t="str">
        <f>"CUX1"</f>
        <v>CUX1</v>
      </c>
      <c r="H262" s="1">
        <v>1523</v>
      </c>
      <c r="I262" s="1" t="str">
        <f>"cut like homeobox 1"</f>
        <v>cut like homeobox 1</v>
      </c>
    </row>
    <row r="263" spans="1:9" x14ac:dyDescent="0.35">
      <c r="A263" s="1" t="str">
        <f>"205898_at"</f>
        <v>205898_at</v>
      </c>
      <c r="B263" s="1">
        <v>7.5882554554039501E-3</v>
      </c>
      <c r="C263" s="1">
        <v>6.2931813856242403E-4</v>
      </c>
      <c r="D263" s="1">
        <v>3.5260917431527901</v>
      </c>
      <c r="E263" s="1">
        <v>-0.74420363660980204</v>
      </c>
      <c r="F263" s="1">
        <v>0.38879528039825201</v>
      </c>
      <c r="G263" s="3" t="str">
        <f>"CX3CR1"</f>
        <v>CX3CR1</v>
      </c>
      <c r="H263" s="1">
        <v>1524</v>
      </c>
      <c r="I263" s="1" t="str">
        <f>"C-X3-C motif chemokine receptor 1"</f>
        <v>C-X3-C motif chemokine receptor 1</v>
      </c>
    </row>
    <row r="264" spans="1:9" x14ac:dyDescent="0.35">
      <c r="A264" s="1" t="str">
        <f>"209687_at"</f>
        <v>209687_at</v>
      </c>
      <c r="B264" s="2">
        <v>3.6715051786957199E-7</v>
      </c>
      <c r="C264" s="2">
        <v>2.73201646557369E-9</v>
      </c>
      <c r="D264" s="1">
        <v>6.5094647450552703</v>
      </c>
      <c r="E264" s="1">
        <v>10.960811207209201</v>
      </c>
      <c r="F264" s="1">
        <v>0.90543809820639398</v>
      </c>
      <c r="G264" s="3" t="str">
        <f>"CXCL12"</f>
        <v>CXCL12</v>
      </c>
      <c r="H264" s="1">
        <v>6387</v>
      </c>
      <c r="I264" s="1" t="str">
        <f>"C-X-C motif chemokine ligand 12"</f>
        <v>C-X-C motif chemokine ligand 12</v>
      </c>
    </row>
    <row r="265" spans="1:9" x14ac:dyDescent="0.35">
      <c r="A265" s="1" t="str">
        <f>"218002_s_at"</f>
        <v>218002_s_at</v>
      </c>
      <c r="B265" s="1">
        <v>4.0395087361347601E-2</v>
      </c>
      <c r="C265" s="1">
        <v>5.6197446851939904E-3</v>
      </c>
      <c r="D265" s="1">
        <v>2.8281506335105702</v>
      </c>
      <c r="E265" s="1">
        <v>-2.73743730340879</v>
      </c>
      <c r="F265" s="1">
        <v>0.31623903646947399</v>
      </c>
      <c r="G265" s="3" t="str">
        <f>"CXCL14"</f>
        <v>CXCL14</v>
      </c>
      <c r="H265" s="1">
        <v>9547</v>
      </c>
      <c r="I265" s="1" t="str">
        <f>"C-X-C motif chemokine ligand 14"</f>
        <v>C-X-C motif chemokine ligand 14</v>
      </c>
    </row>
    <row r="266" spans="1:9" x14ac:dyDescent="0.35">
      <c r="A266" s="1" t="str">
        <f>"209774_x_at"</f>
        <v>209774_x_at</v>
      </c>
      <c r="B266" s="1">
        <v>0.115928063268235</v>
      </c>
      <c r="C266" s="1">
        <v>2.3853618008565301E-2</v>
      </c>
      <c r="D266" s="1">
        <v>-2.2931866153262002</v>
      </c>
      <c r="E266" s="1">
        <v>-4.0095943138066499</v>
      </c>
      <c r="F266" s="1">
        <v>-0.48295654930669002</v>
      </c>
      <c r="G266" s="3" t="str">
        <f>"CXCL2"</f>
        <v>CXCL2</v>
      </c>
      <c r="H266" s="1">
        <v>2920</v>
      </c>
      <c r="I266" s="1" t="str">
        <f>"C-X-C motif chemokine ligand 2"</f>
        <v>C-X-C motif chemokine ligand 2</v>
      </c>
    </row>
    <row r="267" spans="1:9" x14ac:dyDescent="0.35">
      <c r="A267" s="1" t="str">
        <f>"211506_s_at"</f>
        <v>211506_s_at</v>
      </c>
      <c r="B267" s="1">
        <v>2.7895118904347998E-3</v>
      </c>
      <c r="C267" s="1">
        <v>1.7731811191566799E-4</v>
      </c>
      <c r="D267" s="1">
        <v>-3.8898401435999599</v>
      </c>
      <c r="E267" s="1">
        <v>0.43049336818532602</v>
      </c>
      <c r="F267" s="1">
        <v>-0.44618474074854603</v>
      </c>
      <c r="G267" s="3" t="str">
        <f>"CXCL8"</f>
        <v>CXCL8</v>
      </c>
      <c r="H267" s="1">
        <v>3576</v>
      </c>
      <c r="I267" s="1" t="str">
        <f>"C-X-C motif chemokine ligand 8"</f>
        <v>C-X-C motif chemokine ligand 8</v>
      </c>
    </row>
    <row r="268" spans="1:9" x14ac:dyDescent="0.35">
      <c r="A268" s="1" t="str">
        <f>"215121_x_at"</f>
        <v>215121_x_at</v>
      </c>
      <c r="B268" s="1">
        <v>8.9138103235539903E-2</v>
      </c>
      <c r="C268" s="1">
        <v>1.63961569544539E-2</v>
      </c>
      <c r="D268" s="1">
        <v>2.4396732622531001</v>
      </c>
      <c r="E268" s="1">
        <v>-3.6846091586113698</v>
      </c>
      <c r="F268" s="1">
        <v>0.59155865229214999</v>
      </c>
      <c r="G268" s="3" t="str">
        <f>"CYAT1"</f>
        <v>CYAT1</v>
      </c>
      <c r="H268" s="1">
        <v>100290481</v>
      </c>
      <c r="I268" s="1" t="str">
        <f>"immunoglobulin lambda light chain-like///immunoglobulin lambda variable 1-44///immunoglobulin lambda constant 1"</f>
        <v>immunoglobulin lambda light chain-like///immunoglobulin lambda variable 1-44///immunoglobulin lambda constant 1</v>
      </c>
    </row>
    <row r="269" spans="1:9" x14ac:dyDescent="0.35">
      <c r="A269" s="1" t="str">
        <f>"205073_at"</f>
        <v>205073_at</v>
      </c>
      <c r="B269" s="1">
        <v>2.4283687962022601E-4</v>
      </c>
      <c r="C269" s="2">
        <v>8.1842883182152208E-6</v>
      </c>
      <c r="D269" s="1">
        <v>4.6950814968569503</v>
      </c>
      <c r="E269" s="1">
        <v>3.3206121544753202</v>
      </c>
      <c r="F269" s="1">
        <v>0.44459762436337003</v>
      </c>
      <c r="G269" s="3" t="str">
        <f>"CYP2J2"</f>
        <v>CYP2J2</v>
      </c>
      <c r="H269" s="1">
        <v>1573</v>
      </c>
      <c r="I269" s="1" t="str">
        <f>"cytochrome P450 family 2 subfamily J member 2"</f>
        <v>cytochrome P450 family 2 subfamily J member 2</v>
      </c>
    </row>
    <row r="270" spans="1:9" x14ac:dyDescent="0.35">
      <c r="A270" s="1" t="str">
        <f>"220331_at"</f>
        <v>220331_at</v>
      </c>
      <c r="B270" s="2">
        <v>1.68218914117584E-5</v>
      </c>
      <c r="C270" s="2">
        <v>3.1607487615276001E-7</v>
      </c>
      <c r="D270" s="1">
        <v>5.46787318784438</v>
      </c>
      <c r="E270" s="1">
        <v>6.4129398213276403</v>
      </c>
      <c r="F270" s="1">
        <v>0.37630279570784603</v>
      </c>
      <c r="G270" s="3" t="str">
        <f>"CYP46A1"</f>
        <v>CYP46A1</v>
      </c>
      <c r="H270" s="1">
        <v>10858</v>
      </c>
      <c r="I270" s="1" t="str">
        <f>"cytochrome P450 family 46 subfamily A member 1"</f>
        <v>cytochrome P450 family 46 subfamily A member 1</v>
      </c>
    </row>
    <row r="271" spans="1:9" x14ac:dyDescent="0.35">
      <c r="A271" s="1" t="str">
        <f>"210096_at"</f>
        <v>210096_at</v>
      </c>
      <c r="B271" s="2">
        <v>6.1035279109502603E-8</v>
      </c>
      <c r="C271" s="2">
        <v>2.9308328612470402E-10</v>
      </c>
      <c r="D271" s="1">
        <v>-6.9759981596004499</v>
      </c>
      <c r="E271" s="1">
        <v>13.1051279287461</v>
      </c>
      <c r="F271" s="1">
        <v>-1.4143344649781999</v>
      </c>
      <c r="G271" s="3" t="str">
        <f>"CYP4B1"</f>
        <v>CYP4B1</v>
      </c>
      <c r="H271" s="1">
        <v>1580</v>
      </c>
      <c r="I271" s="1" t="str">
        <f>"cytochrome P450 family 4 subfamily B member 1"</f>
        <v>cytochrome P450 family 4 subfamily B member 1</v>
      </c>
    </row>
    <row r="272" spans="1:9" x14ac:dyDescent="0.35">
      <c r="A272" s="1" t="str">
        <f>"201289_at"</f>
        <v>201289_at</v>
      </c>
      <c r="B272" s="1">
        <v>2.3809339867835E-4</v>
      </c>
      <c r="C272" s="2">
        <v>7.9923646821077107E-6</v>
      </c>
      <c r="D272" s="1">
        <v>-4.7009641495814103</v>
      </c>
      <c r="E272" s="1">
        <v>3.3430595600645598</v>
      </c>
      <c r="F272" s="1">
        <v>-0.90958228872528302</v>
      </c>
      <c r="G272" s="3" t="str">
        <f>"CYR61"</f>
        <v>CYR61</v>
      </c>
      <c r="H272" s="1">
        <v>3491</v>
      </c>
      <c r="I272" s="1" t="str">
        <f>"cysteine rich angiogenic inducer 61"</f>
        <v>cysteine rich angiogenic inducer 61</v>
      </c>
    </row>
    <row r="273" spans="1:9" x14ac:dyDescent="0.35">
      <c r="A273" s="1" t="str">
        <f>"218443_s_at"</f>
        <v>218443_s_at</v>
      </c>
      <c r="B273" s="2">
        <v>1.51136825367618E-5</v>
      </c>
      <c r="C273" s="2">
        <v>2.7538676158340801E-7</v>
      </c>
      <c r="D273" s="1">
        <v>-5.4993158487215501</v>
      </c>
      <c r="E273" s="1">
        <v>6.5444099984711404</v>
      </c>
      <c r="F273" s="1">
        <v>-0.39614689036918499</v>
      </c>
      <c r="G273" s="3" t="str">
        <f>"DAZAP1"</f>
        <v>DAZAP1</v>
      </c>
      <c r="H273" s="1">
        <v>26528</v>
      </c>
      <c r="I273" s="1" t="str">
        <f>"DAZ associated protein 1"</f>
        <v>DAZ associated protein 1</v>
      </c>
    </row>
    <row r="274" spans="1:9" x14ac:dyDescent="0.35">
      <c r="A274" s="1" t="str">
        <f>"212595_s_at"</f>
        <v>212595_s_at</v>
      </c>
      <c r="B274" s="1">
        <v>9.0259980887027705E-2</v>
      </c>
      <c r="C274" s="1">
        <v>1.6665418091128401E-2</v>
      </c>
      <c r="D274" s="1">
        <v>-2.4334360678040099</v>
      </c>
      <c r="E274" s="1">
        <v>-3.6988126039418998</v>
      </c>
      <c r="F274" s="1">
        <v>-0.31074198919331403</v>
      </c>
      <c r="G274" s="3" t="str">
        <f>"DAZAP2"</f>
        <v>DAZAP2</v>
      </c>
      <c r="H274" s="1">
        <v>9802</v>
      </c>
      <c r="I274" s="1" t="str">
        <f>"DAZ associated protein 2"</f>
        <v>DAZ associated protein 2</v>
      </c>
    </row>
    <row r="275" spans="1:9" x14ac:dyDescent="0.35">
      <c r="A275" s="1" t="str">
        <f>"222101_s_at"</f>
        <v>222101_s_at</v>
      </c>
      <c r="B275" s="2">
        <v>3.23159650967629E-5</v>
      </c>
      <c r="C275" s="2">
        <v>6.9612095527739502E-7</v>
      </c>
      <c r="D275" s="1">
        <v>5.2859368893219401</v>
      </c>
      <c r="E275" s="1">
        <v>5.66036642778095</v>
      </c>
      <c r="F275" s="1">
        <v>0.35860327114534701</v>
      </c>
      <c r="G275" s="3" t="str">
        <f>"DCHS1"</f>
        <v>DCHS1</v>
      </c>
      <c r="H275" s="1">
        <v>8642</v>
      </c>
      <c r="I275" s="1" t="str">
        <f>"dachsous cadherin-related 1"</f>
        <v>dachsous cadherin-related 1</v>
      </c>
    </row>
    <row r="276" spans="1:9" x14ac:dyDescent="0.35">
      <c r="A276" s="1" t="str">
        <f>"209335_at"</f>
        <v>209335_at</v>
      </c>
      <c r="B276" s="2">
        <v>8.4341783928152896E-6</v>
      </c>
      <c r="C276" s="2">
        <v>1.3209748503758601E-7</v>
      </c>
      <c r="D276" s="1">
        <v>5.6654880669275904</v>
      </c>
      <c r="E276" s="1">
        <v>7.2458353835539704</v>
      </c>
      <c r="F276" s="1">
        <v>0.72740141556831295</v>
      </c>
      <c r="G276" s="3" t="str">
        <f>"DCN"</f>
        <v>DCN</v>
      </c>
      <c r="H276" s="1">
        <v>1634</v>
      </c>
      <c r="I276" s="1" t="str">
        <f>"decorin"</f>
        <v>decorin</v>
      </c>
    </row>
    <row r="277" spans="1:9" x14ac:dyDescent="0.35">
      <c r="A277" s="1" t="str">
        <f>"219116_s_at"</f>
        <v>219116_s_at</v>
      </c>
      <c r="B277" s="1">
        <v>2.20670734459027E-3</v>
      </c>
      <c r="C277" s="1">
        <v>1.28443182064066E-4</v>
      </c>
      <c r="D277" s="1">
        <v>3.9789255937404402</v>
      </c>
      <c r="E277" s="1">
        <v>0.731293477806359</v>
      </c>
      <c r="F277" s="1">
        <v>0.444594024555234</v>
      </c>
      <c r="G277" s="3" t="str">
        <f>"DCUN1D2"</f>
        <v>DCUN1D2</v>
      </c>
      <c r="H277" s="1">
        <v>55208</v>
      </c>
      <c r="I277" s="1" t="str">
        <f>"defective in cullin neddylation 1 domain containing 2"</f>
        <v>defective in cullin neddylation 1 domain containing 2</v>
      </c>
    </row>
    <row r="278" spans="1:9" x14ac:dyDescent="0.35">
      <c r="A278" s="1" t="str">
        <f>"212690_at"</f>
        <v>212690_at</v>
      </c>
      <c r="B278" s="1">
        <v>1.7280764000217699E-4</v>
      </c>
      <c r="C278" s="2">
        <v>5.3122664543145504E-6</v>
      </c>
      <c r="D278" s="1">
        <v>4.8015748298701197</v>
      </c>
      <c r="E278" s="1">
        <v>3.7297375898701399</v>
      </c>
      <c r="F278" s="1">
        <v>0.43993034833575401</v>
      </c>
      <c r="G278" s="3" t="str">
        <f>"DDHD2"</f>
        <v>DDHD2</v>
      </c>
      <c r="H278" s="1">
        <v>23259</v>
      </c>
      <c r="I278" s="1" t="str">
        <f>"DDHD domain containing 2"</f>
        <v>DDHD domain containing 2</v>
      </c>
    </row>
    <row r="279" spans="1:9" x14ac:dyDescent="0.35">
      <c r="A279" s="1" t="str">
        <f>"208718_at"</f>
        <v>208718_at</v>
      </c>
      <c r="B279" s="1">
        <v>2.3635123853810701E-4</v>
      </c>
      <c r="C279" s="2">
        <v>7.8985894469185193E-6</v>
      </c>
      <c r="D279" s="1">
        <v>4.7038884520876296</v>
      </c>
      <c r="E279" s="1">
        <v>3.3542249992971001</v>
      </c>
      <c r="F279" s="1">
        <v>0.33596974435028998</v>
      </c>
      <c r="G279" s="3" t="str">
        <f>"DDX17"</f>
        <v>DDX17</v>
      </c>
      <c r="H279" s="1">
        <v>10521</v>
      </c>
      <c r="I279" s="1" t="str">
        <f>"DEAD-box helicase 17"</f>
        <v>DEAD-box helicase 17</v>
      </c>
    </row>
    <row r="280" spans="1:9" x14ac:dyDescent="0.35">
      <c r="A280" s="1" t="str">
        <f>"208152_s_at"</f>
        <v>208152_s_at</v>
      </c>
      <c r="B280" s="2">
        <v>8.3073915241663906E-5</v>
      </c>
      <c r="C280" s="2">
        <v>2.1846840340894398E-6</v>
      </c>
      <c r="D280" s="1">
        <v>-5.0164618705674</v>
      </c>
      <c r="E280" s="1">
        <v>4.5725718426414597</v>
      </c>
      <c r="F280" s="1">
        <v>-0.48817204698401201</v>
      </c>
      <c r="G280" s="3" t="str">
        <f>"DDX21"</f>
        <v>DDX21</v>
      </c>
      <c r="H280" s="1">
        <v>9188</v>
      </c>
      <c r="I280" s="1" t="str">
        <f>"DEAD-box helicase 21"</f>
        <v>DEAD-box helicase 21</v>
      </c>
    </row>
    <row r="281" spans="1:9" x14ac:dyDescent="0.35">
      <c r="A281" s="1" t="str">
        <f>"201584_s_at"</f>
        <v>201584_s_at</v>
      </c>
      <c r="B281" s="2">
        <v>9.67307704568383E-9</v>
      </c>
      <c r="C281" s="2">
        <v>2.5177869615835499E-11</v>
      </c>
      <c r="D281" s="1">
        <v>-7.4775684688139297</v>
      </c>
      <c r="E281" s="1">
        <v>15.465779909538099</v>
      </c>
      <c r="F281" s="1">
        <v>-0.71780928445348802</v>
      </c>
      <c r="G281" s="3" t="str">
        <f>"DDX39A"</f>
        <v>DDX39A</v>
      </c>
      <c r="H281" s="1">
        <v>10212</v>
      </c>
      <c r="I281" s="1" t="str">
        <f>"DEAD-box helicase 39A"</f>
        <v>DEAD-box helicase 39A</v>
      </c>
    </row>
    <row r="282" spans="1:9" x14ac:dyDescent="0.35">
      <c r="A282" s="1" t="str">
        <f>"212515_s_at"</f>
        <v>212515_s_at</v>
      </c>
      <c r="B282" s="1">
        <v>7.1495444904057703E-4</v>
      </c>
      <c r="C282" s="2">
        <v>3.0705533713226803E-5</v>
      </c>
      <c r="D282" s="1">
        <v>-4.3601032166314004</v>
      </c>
      <c r="E282" s="1">
        <v>2.0730092263275801</v>
      </c>
      <c r="F282" s="1">
        <v>-0.64124998924999899</v>
      </c>
      <c r="G282" s="3" t="str">
        <f>"DDX3X"</f>
        <v>DDX3X</v>
      </c>
      <c r="H282" s="1">
        <v>1654</v>
      </c>
      <c r="I282" s="1" t="str">
        <f>"DEAD-box helicase 3, X-linked"</f>
        <v>DEAD-box helicase 3, X-linked</v>
      </c>
    </row>
    <row r="283" spans="1:9" x14ac:dyDescent="0.35">
      <c r="A283" s="1" t="str">
        <f>"219696_at"</f>
        <v>219696_at</v>
      </c>
      <c r="B283" s="1">
        <v>2.3360046870216E-4</v>
      </c>
      <c r="C283" s="2">
        <v>7.7501172242932101E-6</v>
      </c>
      <c r="D283" s="1">
        <v>4.7085880062069299</v>
      </c>
      <c r="E283" s="1">
        <v>3.3721779291926599</v>
      </c>
      <c r="F283" s="1">
        <v>0.51152871389098697</v>
      </c>
      <c r="G283" s="3" t="str">
        <f>"DENND1B"</f>
        <v>DENND1B</v>
      </c>
      <c r="H283" s="1">
        <v>163486</v>
      </c>
      <c r="I283" s="1" t="str">
        <f>"DENN domain containing 1B"</f>
        <v>DENN domain containing 1B</v>
      </c>
    </row>
    <row r="284" spans="1:9" x14ac:dyDescent="0.35">
      <c r="A284" s="1" t="str">
        <f>"219402_s_at"</f>
        <v>219402_s_at</v>
      </c>
      <c r="B284" s="2">
        <v>4.3187789266521701E-8</v>
      </c>
      <c r="C284" s="2">
        <v>1.7662052033968601E-10</v>
      </c>
      <c r="D284" s="1">
        <v>-7.0803603389691299</v>
      </c>
      <c r="E284" s="1">
        <v>13.5920143204707</v>
      </c>
      <c r="F284" s="1">
        <v>-0.54585725531540696</v>
      </c>
      <c r="G284" s="3" t="str">
        <f>"DERL1"</f>
        <v>DERL1</v>
      </c>
      <c r="H284" s="1">
        <v>79139</v>
      </c>
      <c r="I284" s="1" t="str">
        <f>"derlin 1"</f>
        <v>derlin 1</v>
      </c>
    </row>
    <row r="285" spans="1:9" x14ac:dyDescent="0.35">
      <c r="A285" s="1" t="str">
        <f>"218333_at"</f>
        <v>218333_at</v>
      </c>
      <c r="B285" s="1">
        <v>1.03537300606607E-3</v>
      </c>
      <c r="C285" s="2">
        <v>4.9438445382322999E-5</v>
      </c>
      <c r="D285" s="1">
        <v>-4.2356135461453803</v>
      </c>
      <c r="E285" s="1">
        <v>1.625337338422</v>
      </c>
      <c r="F285" s="1">
        <v>-0.30178440749564001</v>
      </c>
      <c r="G285" s="3" t="str">
        <f>"DERL2"</f>
        <v>DERL2</v>
      </c>
      <c r="H285" s="1">
        <v>51009</v>
      </c>
      <c r="I285" s="1" t="str">
        <f>"derlin 2"</f>
        <v>derlin 2</v>
      </c>
    </row>
    <row r="286" spans="1:9" x14ac:dyDescent="0.35">
      <c r="A286" s="1" t="str">
        <f>"219641_at"</f>
        <v>219641_at</v>
      </c>
      <c r="B286" s="1">
        <v>7.78369844651357E-4</v>
      </c>
      <c r="C286" s="2">
        <v>3.4614222179018399E-5</v>
      </c>
      <c r="D286" s="1">
        <v>4.3289910069355697</v>
      </c>
      <c r="E286" s="1">
        <v>1.96029074039258</v>
      </c>
      <c r="F286" s="1">
        <v>0.30230321793604598</v>
      </c>
      <c r="G286" s="3" t="str">
        <f>"DET1"</f>
        <v>DET1</v>
      </c>
      <c r="H286" s="1">
        <v>55070</v>
      </c>
      <c r="I286" s="1" t="str">
        <f>"de-etiolated homolog 1 (Arabidopsis)"</f>
        <v>de-etiolated homolog 1 (Arabidopsis)</v>
      </c>
    </row>
    <row r="287" spans="1:9" x14ac:dyDescent="0.35">
      <c r="A287" s="1" t="str">
        <f>"208072_s_at"</f>
        <v>208072_s_at</v>
      </c>
      <c r="B287" s="1">
        <v>3.3363388512211698E-3</v>
      </c>
      <c r="C287" s="1">
        <v>2.2267397537487901E-4</v>
      </c>
      <c r="D287" s="1">
        <v>-3.8261164863930599</v>
      </c>
      <c r="E287" s="1">
        <v>0.218422058279863</v>
      </c>
      <c r="F287" s="1">
        <v>-0.40254752769041602</v>
      </c>
      <c r="G287" s="3" t="str">
        <f>"DGKD"</f>
        <v>DGKD</v>
      </c>
      <c r="H287" s="1">
        <v>8527</v>
      </c>
      <c r="I287" s="1" t="str">
        <f>"diacylglycerol kinase delta"</f>
        <v>diacylglycerol kinase delta</v>
      </c>
    </row>
    <row r="288" spans="1:9" x14ac:dyDescent="0.35">
      <c r="A288" s="1" t="str">
        <f>"200862_at"</f>
        <v>200862_at</v>
      </c>
      <c r="B288" s="2">
        <v>8.8491930339600201E-7</v>
      </c>
      <c r="C288" s="2">
        <v>8.0499776044469002E-9</v>
      </c>
      <c r="D288" s="1">
        <v>-6.2791611847211302</v>
      </c>
      <c r="E288" s="1">
        <v>9.9241214285661208</v>
      </c>
      <c r="F288" s="1">
        <v>-0.42271777709302499</v>
      </c>
      <c r="G288" s="3" t="str">
        <f>"DHCR24"</f>
        <v>DHCR24</v>
      </c>
      <c r="H288" s="1">
        <v>1718</v>
      </c>
      <c r="I288" s="1" t="str">
        <f>"24-dehydrocholesterol reductase"</f>
        <v>24-dehydrocholesterol reductase</v>
      </c>
    </row>
    <row r="289" spans="1:9" x14ac:dyDescent="0.35">
      <c r="A289" s="1" t="str">
        <f>"201386_s_at"</f>
        <v>201386_s_at</v>
      </c>
      <c r="B289" s="2">
        <v>4.5560599804815398E-5</v>
      </c>
      <c r="C289" s="2">
        <v>1.05094234616861E-6</v>
      </c>
      <c r="D289" s="1">
        <v>-5.1897356869374498</v>
      </c>
      <c r="E289" s="1">
        <v>5.2682394771973504</v>
      </c>
      <c r="F289" s="1">
        <v>-0.41838466240988098</v>
      </c>
      <c r="G289" s="3" t="str">
        <f>"DHX15"</f>
        <v>DHX15</v>
      </c>
      <c r="H289" s="1">
        <v>1665</v>
      </c>
      <c r="I289" s="1" t="str">
        <f>"DEAH-box helicase 15"</f>
        <v>DEAH-box helicase 15</v>
      </c>
    </row>
    <row r="290" spans="1:9" x14ac:dyDescent="0.35">
      <c r="A290" s="1" t="str">
        <f>"212107_s_at"</f>
        <v>212107_s_at</v>
      </c>
      <c r="B290" s="1">
        <v>1.1196353755448201E-4</v>
      </c>
      <c r="C290" s="2">
        <v>3.1753200355506001E-6</v>
      </c>
      <c r="D290" s="1">
        <v>-4.92666188323446</v>
      </c>
      <c r="E290" s="1">
        <v>4.2176068831599096</v>
      </c>
      <c r="F290" s="1">
        <v>-0.45132669622674498</v>
      </c>
      <c r="G290" s="3" t="str">
        <f>"DHX9"</f>
        <v>DHX9</v>
      </c>
      <c r="H290" s="1">
        <v>1660</v>
      </c>
      <c r="I290" s="1" t="str">
        <f>"DEAH-box helicase 9"</f>
        <v>DEAH-box helicase 9</v>
      </c>
    </row>
    <row r="291" spans="1:9" x14ac:dyDescent="0.35">
      <c r="A291" s="1" t="str">
        <f>"210802_s_at"</f>
        <v>210802_s_at</v>
      </c>
      <c r="B291" s="2">
        <v>5.49443575307787E-5</v>
      </c>
      <c r="C291" s="2">
        <v>1.3191774572080301E-6</v>
      </c>
      <c r="D291" s="1">
        <v>-5.1362444723096896</v>
      </c>
      <c r="E291" s="1">
        <v>5.0520015777957301</v>
      </c>
      <c r="F291" s="1">
        <v>-0.46434857398691898</v>
      </c>
      <c r="G291" s="3" t="str">
        <f>"DIMT1"</f>
        <v>DIMT1</v>
      </c>
      <c r="H291" s="1">
        <v>27292</v>
      </c>
      <c r="I291" s="1" t="str">
        <f>"DIM1 dimethyladenosine transferase 1 homolog"</f>
        <v>DIM1 dimethyladenosine transferase 1 homolog</v>
      </c>
    </row>
    <row r="292" spans="1:9" x14ac:dyDescent="0.35">
      <c r="A292" s="1" t="str">
        <f>"203700_s_at"</f>
        <v>203700_s_at</v>
      </c>
      <c r="B292" s="1">
        <v>2.09782750245324E-4</v>
      </c>
      <c r="C292" s="2">
        <v>6.7985135291322299E-6</v>
      </c>
      <c r="D292" s="1">
        <v>4.7409587650096103</v>
      </c>
      <c r="E292" s="1">
        <v>3.49614911077329</v>
      </c>
      <c r="F292" s="1">
        <v>0.46689093651889202</v>
      </c>
      <c r="G292" s="3" t="str">
        <f>"DIO2"</f>
        <v>DIO2</v>
      </c>
      <c r="H292" s="1">
        <v>1734</v>
      </c>
      <c r="I292" s="1" t="str">
        <f>"deiodinase, iodothyronine, type II"</f>
        <v>deiodinase, iodothyronine, type II</v>
      </c>
    </row>
    <row r="293" spans="1:9" x14ac:dyDescent="0.35">
      <c r="A293" s="1" t="str">
        <f>"211150_s_at"</f>
        <v>211150_s_at</v>
      </c>
      <c r="B293" s="1">
        <v>6.5385476667947098E-2</v>
      </c>
      <c r="C293" s="1">
        <v>1.06067371016595E-2</v>
      </c>
      <c r="D293" s="1">
        <v>-2.60255464622082</v>
      </c>
      <c r="E293" s="1">
        <v>-3.30233425600502</v>
      </c>
      <c r="F293" s="1">
        <v>-0.34524189067877897</v>
      </c>
      <c r="G293" s="3" t="str">
        <f>"DLAT"</f>
        <v>DLAT</v>
      </c>
      <c r="H293" s="1">
        <v>1737</v>
      </c>
      <c r="I293" s="1" t="str">
        <f>"dihydrolipoamide S-acetyltransferase"</f>
        <v>dihydrolipoamide S-acetyltransferase</v>
      </c>
    </row>
    <row r="294" spans="1:9" x14ac:dyDescent="0.35">
      <c r="A294" s="1" t="str">
        <f>"209095_at"</f>
        <v>209095_at</v>
      </c>
      <c r="B294" s="1">
        <v>1.6602822488545301E-2</v>
      </c>
      <c r="C294" s="1">
        <v>1.7092346088373601E-3</v>
      </c>
      <c r="D294" s="1">
        <v>3.22048112577101</v>
      </c>
      <c r="E294" s="1">
        <v>-1.66102693358398</v>
      </c>
      <c r="F294" s="1">
        <v>0.31813240678488702</v>
      </c>
      <c r="G294" s="3" t="str">
        <f>"DLD"</f>
        <v>DLD</v>
      </c>
      <c r="H294" s="1">
        <v>1738</v>
      </c>
      <c r="I294" s="1" t="str">
        <f>"dihydrolipoamide dehydrogenase"</f>
        <v>dihydrolipoamide dehydrogenase</v>
      </c>
    </row>
    <row r="295" spans="1:9" x14ac:dyDescent="0.35">
      <c r="A295" s="1" t="str">
        <f>"217208_s_at"</f>
        <v>217208_s_at</v>
      </c>
      <c r="B295" s="1">
        <v>1.05937567099554E-4</v>
      </c>
      <c r="C295" s="2">
        <v>2.96661319706152E-6</v>
      </c>
      <c r="D295" s="1">
        <v>-4.9430553886777204</v>
      </c>
      <c r="E295" s="1">
        <v>4.2821172116874902</v>
      </c>
      <c r="F295" s="1">
        <v>-0.38066410739098799</v>
      </c>
      <c r="G295" s="3" t="str">
        <f>"DLG1"</f>
        <v>DLG1</v>
      </c>
      <c r="H295" s="1">
        <v>1739</v>
      </c>
      <c r="I295" s="1" t="str">
        <f>"discs large MAGUK scaffold protein 1"</f>
        <v>discs large MAGUK scaffold protein 1</v>
      </c>
    </row>
    <row r="296" spans="1:9" x14ac:dyDescent="0.35">
      <c r="A296" s="1" t="str">
        <f>"203881_s_at"</f>
        <v>203881_s_at</v>
      </c>
      <c r="B296" s="1">
        <v>0.112930340734232</v>
      </c>
      <c r="C296" s="1">
        <v>2.2934139958743001E-2</v>
      </c>
      <c r="D296" s="1">
        <v>2.3088465759158701</v>
      </c>
      <c r="E296" s="1">
        <v>-3.9757144135964899</v>
      </c>
      <c r="F296" s="1">
        <v>0.35394736055959197</v>
      </c>
      <c r="G296" s="3" t="str">
        <f>"DMD"</f>
        <v>DMD</v>
      </c>
      <c r="H296" s="1">
        <v>1756</v>
      </c>
      <c r="I296" s="1" t="str">
        <f>"dystrophin"</f>
        <v>dystrophin</v>
      </c>
    </row>
    <row r="297" spans="1:9" x14ac:dyDescent="0.35">
      <c r="A297" s="1" t="str">
        <f>"200881_s_at"</f>
        <v>200881_s_at</v>
      </c>
      <c r="B297" s="1">
        <v>4.2177026241966301E-4</v>
      </c>
      <c r="C297" s="2">
        <v>1.5804791505650901E-5</v>
      </c>
      <c r="D297" s="1">
        <v>-4.53018797927768</v>
      </c>
      <c r="E297" s="1">
        <v>2.6988401613507298</v>
      </c>
      <c r="F297" s="1">
        <v>-0.49374008834157102</v>
      </c>
      <c r="G297" s="3" t="str">
        <f>"DNAJA1"</f>
        <v>DNAJA1</v>
      </c>
      <c r="H297" s="1">
        <v>3301</v>
      </c>
      <c r="I297" s="1" t="str">
        <f>"DnaJ heat shock protein family (Hsp40) member A1"</f>
        <v>DnaJ heat shock protein family (Hsp40) member A1</v>
      </c>
    </row>
    <row r="298" spans="1:9" x14ac:dyDescent="0.35">
      <c r="A298" s="1" t="str">
        <f>"200666_s_at"</f>
        <v>200666_s_at</v>
      </c>
      <c r="B298" s="1">
        <v>4.7905653584919697E-3</v>
      </c>
      <c r="C298" s="1">
        <v>3.4999956934097398E-4</v>
      </c>
      <c r="D298" s="1">
        <v>-3.6974967183185301</v>
      </c>
      <c r="E298" s="1">
        <v>-0.20159604856584401</v>
      </c>
      <c r="F298" s="1">
        <v>-0.50863590583575702</v>
      </c>
      <c r="G298" s="3" t="str">
        <f>"DNAJB1"</f>
        <v>DNAJB1</v>
      </c>
      <c r="H298" s="1">
        <v>3337</v>
      </c>
      <c r="I298" s="1" t="str">
        <f>"DnaJ heat shock protein family (Hsp40) member B1"</f>
        <v>DnaJ heat shock protein family (Hsp40) member B1</v>
      </c>
    </row>
    <row r="299" spans="1:9" x14ac:dyDescent="0.35">
      <c r="A299" s="1" t="str">
        <f>"203811_s_at"</f>
        <v>203811_s_at</v>
      </c>
      <c r="B299" s="1">
        <v>2.44631640792662E-3</v>
      </c>
      <c r="C299" s="1">
        <v>1.4809858790526401E-4</v>
      </c>
      <c r="D299" s="1">
        <v>-3.93974649497815</v>
      </c>
      <c r="E299" s="1">
        <v>0.59838797514929398</v>
      </c>
      <c r="F299" s="1">
        <v>-0.58678259016569601</v>
      </c>
      <c r="G299" s="3" t="str">
        <f>"DNAJB4"</f>
        <v>DNAJB4</v>
      </c>
      <c r="H299" s="1">
        <v>11080</v>
      </c>
      <c r="I299" s="1" t="str">
        <f>"DnaJ heat shock protein family (Hsp40) member B4"</f>
        <v>DnaJ heat shock protein family (Hsp40) member B4</v>
      </c>
    </row>
    <row r="300" spans="1:9" x14ac:dyDescent="0.35">
      <c r="A300" s="1" t="str">
        <f>"207453_s_at"</f>
        <v>207453_s_at</v>
      </c>
      <c r="B300" s="1">
        <v>8.0968648984179701E-4</v>
      </c>
      <c r="C300" s="2">
        <v>3.6372848195110099E-5</v>
      </c>
      <c r="D300" s="1">
        <v>-4.3160832481932196</v>
      </c>
      <c r="E300" s="1">
        <v>1.9136890118627199</v>
      </c>
      <c r="F300" s="1">
        <v>-0.52081565081976899</v>
      </c>
      <c r="G300" s="3" t="str">
        <f>"DNAJB5"</f>
        <v>DNAJB5</v>
      </c>
      <c r="H300" s="1">
        <v>25822</v>
      </c>
      <c r="I300" s="1" t="str">
        <f>"DnaJ heat shock protein family (Hsp40) member B5"</f>
        <v>DnaJ heat shock protein family (Hsp40) member B5</v>
      </c>
    </row>
    <row r="301" spans="1:9" x14ac:dyDescent="0.35">
      <c r="A301" s="1" t="str">
        <f>"213271_s_at"</f>
        <v>213271_s_at</v>
      </c>
      <c r="B301" s="2">
        <v>6.3138798506123803E-5</v>
      </c>
      <c r="C301" s="2">
        <v>1.5697569614680499E-6</v>
      </c>
      <c r="D301" s="1">
        <v>5.0951205783773004</v>
      </c>
      <c r="E301" s="1">
        <v>4.8866494924295401</v>
      </c>
      <c r="F301" s="1">
        <v>0.30793731144185998</v>
      </c>
      <c r="G301" s="3" t="str">
        <f>"DOPEY1"</f>
        <v>DOPEY1</v>
      </c>
      <c r="H301" s="1">
        <v>23033</v>
      </c>
      <c r="I301" s="1" t="str">
        <f>"dopey family member 1"</f>
        <v>dopey family member 1</v>
      </c>
    </row>
    <row r="302" spans="1:9" x14ac:dyDescent="0.35">
      <c r="A302" s="1" t="str">
        <f>"213071_at"</f>
        <v>213071_at</v>
      </c>
      <c r="B302" s="2">
        <v>1.0176826460452E-6</v>
      </c>
      <c r="C302" s="2">
        <v>9.5006705100541895E-9</v>
      </c>
      <c r="D302" s="1">
        <v>6.2435530805328598</v>
      </c>
      <c r="E302" s="1">
        <v>9.7652598128075692</v>
      </c>
      <c r="F302" s="1">
        <v>0.74735684028488703</v>
      </c>
      <c r="G302" s="3" t="str">
        <f>"DPT"</f>
        <v>DPT</v>
      </c>
      <c r="H302" s="1">
        <v>1805</v>
      </c>
      <c r="I302" s="1" t="str">
        <f>"dermatopontin"</f>
        <v>dermatopontin</v>
      </c>
    </row>
    <row r="303" spans="1:9" x14ac:dyDescent="0.35">
      <c r="A303" s="1" t="str">
        <f>"200762_at"</f>
        <v>200762_at</v>
      </c>
      <c r="B303" s="1">
        <v>1.5291138859790999E-3</v>
      </c>
      <c r="C303" s="2">
        <v>8.1180349464312501E-5</v>
      </c>
      <c r="D303" s="1">
        <v>4.1035366730657499</v>
      </c>
      <c r="E303" s="1">
        <v>1.1603306721745701</v>
      </c>
      <c r="F303" s="1">
        <v>0.42579814184447101</v>
      </c>
      <c r="G303" s="3" t="str">
        <f>"DPYSL2"</f>
        <v>DPYSL2</v>
      </c>
      <c r="H303" s="1">
        <v>1808</v>
      </c>
      <c r="I303" s="1" t="str">
        <f>"dihydropyrimidinase like 2"</f>
        <v>dihydropyrimidinase like 2</v>
      </c>
    </row>
    <row r="304" spans="1:9" x14ac:dyDescent="0.35">
      <c r="A304" s="1" t="str">
        <f>"201431_s_at"</f>
        <v>201431_s_at</v>
      </c>
      <c r="B304" s="2">
        <v>1.08449477216278E-10</v>
      </c>
      <c r="C304" s="2">
        <v>1.36273632906511E-13</v>
      </c>
      <c r="D304" s="1">
        <v>8.5176451087891305</v>
      </c>
      <c r="E304" s="1">
        <v>20.4897025242403</v>
      </c>
      <c r="F304" s="1">
        <v>0.73811104971075303</v>
      </c>
      <c r="G304" s="3" t="str">
        <f>"DPYSL3"</f>
        <v>DPYSL3</v>
      </c>
      <c r="H304" s="1">
        <v>1809</v>
      </c>
      <c r="I304" s="1" t="str">
        <f>"dihydropyrimidinase like 3"</f>
        <v>dihydropyrimidinase like 3</v>
      </c>
    </row>
    <row r="305" spans="1:9" x14ac:dyDescent="0.35">
      <c r="A305" s="1" t="str">
        <f>"207324_s_at"</f>
        <v>207324_s_at</v>
      </c>
      <c r="B305" s="1">
        <v>4.9189779071272003E-3</v>
      </c>
      <c r="C305" s="1">
        <v>3.6269266711888001E-4</v>
      </c>
      <c r="D305" s="1">
        <v>3.6872403303824499</v>
      </c>
      <c r="E305" s="1">
        <v>-0.234620106705068</v>
      </c>
      <c r="F305" s="1">
        <v>0.40933792996656898</v>
      </c>
      <c r="G305" s="3" t="str">
        <f>"DSC1"</f>
        <v>DSC1</v>
      </c>
      <c r="H305" s="1">
        <v>1823</v>
      </c>
      <c r="I305" s="1" t="str">
        <f>"desmocollin 1"</f>
        <v>desmocollin 1</v>
      </c>
    </row>
    <row r="306" spans="1:9" x14ac:dyDescent="0.35">
      <c r="A306" s="1" t="str">
        <f>"217901_at"</f>
        <v>217901_at</v>
      </c>
      <c r="B306" s="1">
        <v>2.7551543567900299E-3</v>
      </c>
      <c r="C306" s="1">
        <v>1.7421408646578799E-4</v>
      </c>
      <c r="D306" s="1">
        <v>3.89475297923246</v>
      </c>
      <c r="E306" s="1">
        <v>0.446951021009731</v>
      </c>
      <c r="F306" s="1">
        <v>0.35462218484157099</v>
      </c>
      <c r="G306" s="3" t="str">
        <f>"DSG2"</f>
        <v>DSG2</v>
      </c>
      <c r="H306" s="1">
        <v>1829</v>
      </c>
      <c r="I306" s="1" t="str">
        <f>"desmoglein 2"</f>
        <v>desmoglein 2</v>
      </c>
    </row>
    <row r="307" spans="1:9" x14ac:dyDescent="0.35">
      <c r="A307" s="1" t="str">
        <f>"205741_s_at"</f>
        <v>205741_s_at</v>
      </c>
      <c r="B307" s="2">
        <v>5.6692359106343801E-5</v>
      </c>
      <c r="C307" s="2">
        <v>1.38145811241489E-6</v>
      </c>
      <c r="D307" s="1">
        <v>5.1253532961688704</v>
      </c>
      <c r="E307" s="1">
        <v>5.0081341453699801</v>
      </c>
      <c r="F307" s="1">
        <v>0.43068521602617199</v>
      </c>
      <c r="G307" s="3" t="str">
        <f>"DTNA"</f>
        <v>DTNA</v>
      </c>
      <c r="H307" s="1">
        <v>1837</v>
      </c>
      <c r="I307" s="1" t="str">
        <f>"dystrobrevin alpha"</f>
        <v>dystrobrevin alpha</v>
      </c>
    </row>
    <row r="308" spans="1:9" x14ac:dyDescent="0.35">
      <c r="A308" s="1" t="str">
        <f>"201044_x_at"</f>
        <v>201044_x_at</v>
      </c>
      <c r="B308" s="2">
        <v>5.2856801689486399E-5</v>
      </c>
      <c r="C308" s="2">
        <v>1.25245215150782E-6</v>
      </c>
      <c r="D308" s="1">
        <v>-5.1484841782954396</v>
      </c>
      <c r="E308" s="1">
        <v>5.1013655162513603</v>
      </c>
      <c r="F308" s="1">
        <v>-0.58165415214389504</v>
      </c>
      <c r="G308" s="3" t="str">
        <f>"DUSP1"</f>
        <v>DUSP1</v>
      </c>
      <c r="H308" s="1">
        <v>1843</v>
      </c>
      <c r="I308" s="1" t="str">
        <f>"dual specificity phosphatase 1"</f>
        <v>dual specificity phosphatase 1</v>
      </c>
    </row>
    <row r="309" spans="1:9" x14ac:dyDescent="0.35">
      <c r="A309" s="1" t="str">
        <f>"201538_s_at"</f>
        <v>201538_s_at</v>
      </c>
      <c r="B309" s="1">
        <v>7.5066967928207495E-2</v>
      </c>
      <c r="C309" s="1">
        <v>1.2838496377256099E-2</v>
      </c>
      <c r="D309" s="1">
        <v>-2.5320409402153099</v>
      </c>
      <c r="E309" s="1">
        <v>-3.4704994437058798</v>
      </c>
      <c r="F309" s="1">
        <v>-0.35953794733139499</v>
      </c>
      <c r="G309" s="3" t="str">
        <f>"DUSP3"</f>
        <v>DUSP3</v>
      </c>
      <c r="H309" s="1">
        <v>1845</v>
      </c>
      <c r="I309" s="1" t="str">
        <f>"dual specificity phosphatase 3"</f>
        <v>dual specificity phosphatase 3</v>
      </c>
    </row>
    <row r="310" spans="1:9" x14ac:dyDescent="0.35">
      <c r="A310" s="1" t="str">
        <f>"209457_at"</f>
        <v>209457_at</v>
      </c>
      <c r="B310" s="1">
        <v>2.56488033175469E-3</v>
      </c>
      <c r="C310" s="1">
        <v>1.57580284589841E-4</v>
      </c>
      <c r="D310" s="1">
        <v>-3.9225932789378599</v>
      </c>
      <c r="E310" s="1">
        <v>0.54050351001499997</v>
      </c>
      <c r="F310" s="1">
        <v>-0.53558744793313895</v>
      </c>
      <c r="G310" s="3" t="str">
        <f>"DUSP5"</f>
        <v>DUSP5</v>
      </c>
      <c r="H310" s="1">
        <v>1847</v>
      </c>
      <c r="I310" s="1" t="str">
        <f>"dual specificity phosphatase 5"</f>
        <v>dual specificity phosphatase 5</v>
      </c>
    </row>
    <row r="311" spans="1:9" x14ac:dyDescent="0.35">
      <c r="A311" s="1" t="str">
        <f>"208956_x_at"</f>
        <v>208956_x_at</v>
      </c>
      <c r="B311" s="1">
        <v>3.3486529611867502E-2</v>
      </c>
      <c r="C311" s="1">
        <v>4.4001507294147198E-3</v>
      </c>
      <c r="D311" s="1">
        <v>2.9117537854111299</v>
      </c>
      <c r="E311" s="1">
        <v>-2.51789659878105</v>
      </c>
      <c r="F311" s="1">
        <v>0.32002706884157101</v>
      </c>
      <c r="G311" s="3" t="str">
        <f>"DUT"</f>
        <v>DUT</v>
      </c>
      <c r="H311" s="1">
        <v>1854</v>
      </c>
      <c r="I311" s="1" t="str">
        <f>"deoxyuridine triphosphatase"</f>
        <v>deoxyuridine triphosphatase</v>
      </c>
    </row>
    <row r="312" spans="1:9" x14ac:dyDescent="0.35">
      <c r="A312" s="1" t="str">
        <f>"221511_x_at"</f>
        <v>221511_x_at</v>
      </c>
      <c r="B312" s="2">
        <v>9.7122112762689305E-5</v>
      </c>
      <c r="C312" s="2">
        <v>2.6587303677799401E-6</v>
      </c>
      <c r="D312" s="1">
        <v>4.9694132481768296</v>
      </c>
      <c r="E312" s="1">
        <v>4.3861117485639802</v>
      </c>
      <c r="F312" s="1">
        <v>0.34671882270930299</v>
      </c>
      <c r="G312" s="3" t="str">
        <f>"DYX1C1-CCPG1"</f>
        <v>DYX1C1-CCPG1</v>
      </c>
      <c r="H312" s="1">
        <v>100533483</v>
      </c>
      <c r="I312" s="1" t="str">
        <f>"DYX1C1-CCPG1 readthrough (NMD candidate)///cell cycle progression 1"</f>
        <v>DYX1C1-CCPG1 readthrough (NMD candidate)///cell cycle progression 1</v>
      </c>
    </row>
    <row r="313" spans="1:9" x14ac:dyDescent="0.35">
      <c r="A313" s="1" t="str">
        <f>"213186_at"</f>
        <v>213186_at</v>
      </c>
      <c r="B313" s="2">
        <v>2.2650966952148999E-7</v>
      </c>
      <c r="C313" s="2">
        <v>1.5451002902332E-9</v>
      </c>
      <c r="D313" s="1">
        <v>6.6296812529915998</v>
      </c>
      <c r="E313" s="1">
        <v>11.507972698288301</v>
      </c>
      <c r="F313" s="1">
        <v>0.59478468141860197</v>
      </c>
      <c r="G313" s="3" t="str">
        <f>"DZIP3"</f>
        <v>DZIP3</v>
      </c>
      <c r="H313" s="1">
        <v>9666</v>
      </c>
      <c r="I313" s="1" t="str">
        <f>"DAZ interacting zinc finger protein 3"</f>
        <v>DAZ interacting zinc finger protein 3</v>
      </c>
    </row>
    <row r="314" spans="1:9" x14ac:dyDescent="0.35">
      <c r="A314" s="1" t="str">
        <f>"201135_at"</f>
        <v>201135_at</v>
      </c>
      <c r="B314" s="1">
        <v>3.5544651133775202E-4</v>
      </c>
      <c r="C314" s="2">
        <v>1.2920687258608801E-5</v>
      </c>
      <c r="D314" s="1">
        <v>4.5810396294137004</v>
      </c>
      <c r="E314" s="1">
        <v>2.8890403053607798</v>
      </c>
      <c r="F314" s="1">
        <v>0.30795133543313802</v>
      </c>
      <c r="G314" s="3" t="str">
        <f>"ECHS1"</f>
        <v>ECHS1</v>
      </c>
      <c r="H314" s="1">
        <v>1892</v>
      </c>
      <c r="I314" s="1" t="str">
        <f>"enoyl-CoA hydratase, short chain 1"</f>
        <v>enoyl-CoA hydratase, short chain 1</v>
      </c>
    </row>
    <row r="315" spans="1:9" x14ac:dyDescent="0.35">
      <c r="A315" s="1" t="str">
        <f>"206101_at"</f>
        <v>206101_at</v>
      </c>
      <c r="B315" s="2">
        <v>1.7350980971360501E-8</v>
      </c>
      <c r="C315" s="2">
        <v>5.6842508230907702E-11</v>
      </c>
      <c r="D315" s="1">
        <v>7.3122871290660703</v>
      </c>
      <c r="E315" s="1">
        <v>14.682340923092401</v>
      </c>
      <c r="F315" s="1">
        <v>0.77265192367442403</v>
      </c>
      <c r="G315" s="3" t="str">
        <f>"ECM2"</f>
        <v>ECM2</v>
      </c>
      <c r="H315" s="1">
        <v>1842</v>
      </c>
      <c r="I315" s="1" t="str">
        <f>"extracellular matrix protein 2"</f>
        <v>extracellular matrix protein 2</v>
      </c>
    </row>
    <row r="316" spans="1:9" x14ac:dyDescent="0.35">
      <c r="A316" s="1" t="str">
        <f>"204464_s_at"</f>
        <v>204464_s_at</v>
      </c>
      <c r="B316" s="2">
        <v>9.3658477934807497E-5</v>
      </c>
      <c r="C316" s="2">
        <v>2.5344909659690698E-6</v>
      </c>
      <c r="D316" s="1">
        <v>4.9809010408674101</v>
      </c>
      <c r="E316" s="1">
        <v>4.4315415658570902</v>
      </c>
      <c r="F316" s="1">
        <v>0.796045141357553</v>
      </c>
      <c r="G316" s="3" t="str">
        <f>"EDNRA"</f>
        <v>EDNRA</v>
      </c>
      <c r="H316" s="1">
        <v>1909</v>
      </c>
      <c r="I316" s="1" t="str">
        <f>"endothelin receptor type A"</f>
        <v>endothelin receptor type A</v>
      </c>
    </row>
    <row r="317" spans="1:9" x14ac:dyDescent="0.35">
      <c r="A317" s="1" t="str">
        <f>"204273_at"</f>
        <v>204273_at</v>
      </c>
      <c r="B317" s="2">
        <v>3.20495268321814E-5</v>
      </c>
      <c r="C317" s="2">
        <v>6.8319011108406198E-7</v>
      </c>
      <c r="D317" s="1">
        <v>-5.29029424615449</v>
      </c>
      <c r="E317" s="1">
        <v>5.6782243610597103</v>
      </c>
      <c r="F317" s="1">
        <v>-0.50030093946802401</v>
      </c>
      <c r="G317" s="3" t="str">
        <f>"EDNRB"</f>
        <v>EDNRB</v>
      </c>
      <c r="H317" s="1">
        <v>1910</v>
      </c>
      <c r="I317" s="1" t="str">
        <f>"endothelin receptor type B"</f>
        <v>endothelin receptor type B</v>
      </c>
    </row>
    <row r="318" spans="1:9" x14ac:dyDescent="0.35">
      <c r="A318" s="1" t="str">
        <f>"204905_s_at"</f>
        <v>204905_s_at</v>
      </c>
      <c r="B318" s="1">
        <v>1.0336533134967E-3</v>
      </c>
      <c r="C318" s="2">
        <v>4.9309943555490303E-5</v>
      </c>
      <c r="D318" s="1">
        <v>-4.2362998854104603</v>
      </c>
      <c r="E318" s="1">
        <v>1.6277807766130501</v>
      </c>
      <c r="F318" s="1">
        <v>-0.40524340559302702</v>
      </c>
      <c r="G318" s="3" t="str">
        <f>"EEF1E1"</f>
        <v>EEF1E1</v>
      </c>
      <c r="H318" s="1">
        <v>9521</v>
      </c>
      <c r="I318" s="1" t="str">
        <f>"eukaryotic translation elongation factor 1 epsilon 1"</f>
        <v>eukaryotic translation elongation factor 1 epsilon 1</v>
      </c>
    </row>
    <row r="319" spans="1:9" x14ac:dyDescent="0.35">
      <c r="A319" s="1" t="str">
        <f>"220006_at"</f>
        <v>220006_at</v>
      </c>
      <c r="B319" s="1">
        <v>2.09971339616078E-4</v>
      </c>
      <c r="C319" s="2">
        <v>6.8222075071597401E-6</v>
      </c>
      <c r="D319" s="1">
        <v>4.7401007216081599</v>
      </c>
      <c r="E319" s="1">
        <v>3.4928560647933899</v>
      </c>
      <c r="F319" s="1">
        <v>0.30510005112354099</v>
      </c>
      <c r="G319" s="3" t="str">
        <f>"EFCC1"</f>
        <v>EFCC1</v>
      </c>
      <c r="H319" s="1">
        <v>79825</v>
      </c>
      <c r="I319" s="1" t="str">
        <f>"EF-hand and coiled-coil domain containing 1"</f>
        <v>EF-hand and coiled-coil domain containing 1</v>
      </c>
    </row>
    <row r="320" spans="1:9" x14ac:dyDescent="0.35">
      <c r="A320" s="1" t="str">
        <f>"201842_s_at"</f>
        <v>201842_s_at</v>
      </c>
      <c r="B320" s="1">
        <v>2.0596168073837899E-2</v>
      </c>
      <c r="C320" s="1">
        <v>2.2887626184694698E-3</v>
      </c>
      <c r="D320" s="1">
        <v>3.12740600072661</v>
      </c>
      <c r="E320" s="1">
        <v>-1.92687175222903</v>
      </c>
      <c r="F320" s="1">
        <v>0.50653766685755297</v>
      </c>
      <c r="G320" s="3" t="str">
        <f>"EFEMP1"</f>
        <v>EFEMP1</v>
      </c>
      <c r="H320" s="1">
        <v>2202</v>
      </c>
      <c r="I320" s="1" t="str">
        <f>"EGF containing fibulin like extracellular matrix protein 1"</f>
        <v>EGF containing fibulin like extracellular matrix protein 1</v>
      </c>
    </row>
    <row r="321" spans="1:9" x14ac:dyDescent="0.35">
      <c r="A321" s="1" t="str">
        <f>"206580_s_at"</f>
        <v>206580_s_at</v>
      </c>
      <c r="B321" s="2">
        <v>1.51136825367618E-5</v>
      </c>
      <c r="C321" s="2">
        <v>2.73753964290778E-7</v>
      </c>
      <c r="D321" s="1">
        <v>5.5006707317703496</v>
      </c>
      <c r="E321" s="1">
        <v>6.5500842418183503</v>
      </c>
      <c r="F321" s="1">
        <v>0.37465452956976503</v>
      </c>
      <c r="G321" s="3" t="str">
        <f>"EFEMP2"</f>
        <v>EFEMP2</v>
      </c>
      <c r="H321" s="1">
        <v>30008</v>
      </c>
      <c r="I321" s="1" t="str">
        <f>"EGF containing fibulin like extracellular matrix protein 2"</f>
        <v>EGF containing fibulin like extracellular matrix protein 2</v>
      </c>
    </row>
    <row r="322" spans="1:9" x14ac:dyDescent="0.35">
      <c r="A322" s="1" t="str">
        <f>"221497_x_at"</f>
        <v>221497_x_at</v>
      </c>
      <c r="B322" s="2">
        <v>1.55345356260675E-5</v>
      </c>
      <c r="C322" s="2">
        <v>2.84556177972848E-7</v>
      </c>
      <c r="D322" s="1">
        <v>-5.4918503259170404</v>
      </c>
      <c r="E322" s="1">
        <v>6.5131578982314302</v>
      </c>
      <c r="F322" s="1">
        <v>-0.382451195437498</v>
      </c>
      <c r="G322" s="3" t="str">
        <f>"EGLN1"</f>
        <v>EGLN1</v>
      </c>
      <c r="H322" s="1">
        <v>54583</v>
      </c>
      <c r="I322" s="1" t="str">
        <f>"egl-9 family hypoxia inducible factor 1"</f>
        <v>egl-9 family hypoxia inducible factor 1</v>
      </c>
    </row>
    <row r="323" spans="1:9" x14ac:dyDescent="0.35">
      <c r="A323" s="1" t="str">
        <f>"218935_at"</f>
        <v>218935_at</v>
      </c>
      <c r="B323" s="2">
        <v>5.8041652741237102E-8</v>
      </c>
      <c r="C323" s="2">
        <v>2.708940396306E-10</v>
      </c>
      <c r="D323" s="1">
        <v>6.9922540977061303</v>
      </c>
      <c r="E323" s="1">
        <v>13.180806990628099</v>
      </c>
      <c r="F323" s="1">
        <v>0.61289939865552301</v>
      </c>
      <c r="G323" s="3" t="str">
        <f>"EHD3"</f>
        <v>EHD3</v>
      </c>
      <c r="H323" s="1">
        <v>30845</v>
      </c>
      <c r="I323" s="1" t="str">
        <f>"EH domain containing 3"</f>
        <v>EH domain containing 3</v>
      </c>
    </row>
    <row r="324" spans="1:9" x14ac:dyDescent="0.35">
      <c r="A324" s="1" t="str">
        <f>"211698_at"</f>
        <v>211698_at</v>
      </c>
      <c r="B324" s="1">
        <v>6.2163940231589498E-2</v>
      </c>
      <c r="C324" s="1">
        <v>9.9315005710388492E-3</v>
      </c>
      <c r="D324" s="1">
        <v>2.6265375422531099</v>
      </c>
      <c r="E324" s="1">
        <v>-3.2442169826201401</v>
      </c>
      <c r="F324" s="1">
        <v>0.36249627491279002</v>
      </c>
      <c r="G324" s="3" t="str">
        <f>"EID1"</f>
        <v>EID1</v>
      </c>
      <c r="H324" s="1">
        <v>23741</v>
      </c>
      <c r="I324" s="1" t="str">
        <f>"EP300 interacting inhibitor of differentiation 1"</f>
        <v>EP300 interacting inhibitor of differentiation 1</v>
      </c>
    </row>
    <row r="325" spans="1:9" x14ac:dyDescent="0.35">
      <c r="A325" s="1" t="str">
        <f>"201018_at"</f>
        <v>201018_at</v>
      </c>
      <c r="B325" s="1">
        <v>4.5500257876545497E-4</v>
      </c>
      <c r="C325" s="2">
        <v>1.73325246140812E-5</v>
      </c>
      <c r="D325" s="1">
        <v>-4.5067871603826903</v>
      </c>
      <c r="E325" s="1">
        <v>2.6117860354891702</v>
      </c>
      <c r="F325" s="1">
        <v>-0.49526890531540702</v>
      </c>
      <c r="G325" s="3" t="str">
        <f>"EIF1AX"</f>
        <v>EIF1AX</v>
      </c>
      <c r="H325" s="1">
        <v>1964</v>
      </c>
      <c r="I325" s="1" t="str">
        <f>"eukaryotic translation initiation factor 1A, X-linked"</f>
        <v>eukaryotic translation initiation factor 1A, X-linked</v>
      </c>
    </row>
    <row r="326" spans="1:9" x14ac:dyDescent="0.35">
      <c r="A326" s="1" t="str">
        <f>"204409_s_at"</f>
        <v>204409_s_at</v>
      </c>
      <c r="B326" s="1">
        <v>0.11140062466837899</v>
      </c>
      <c r="C326" s="1">
        <v>2.24621014511075E-2</v>
      </c>
      <c r="D326" s="1">
        <v>2.3171021168891501</v>
      </c>
      <c r="E326" s="1">
        <v>-3.9577702207966698</v>
      </c>
      <c r="F326" s="1">
        <v>1.19493090517151</v>
      </c>
      <c r="G326" s="3" t="str">
        <f>"EIF1AY"</f>
        <v>EIF1AY</v>
      </c>
      <c r="H326" s="1">
        <v>9086</v>
      </c>
      <c r="I326" s="1" t="str">
        <f>"eukaryotic translation initiation factor 1A, Y-linked"</f>
        <v>eukaryotic translation initiation factor 1A, Y-linked</v>
      </c>
    </row>
    <row r="327" spans="1:9" x14ac:dyDescent="0.35">
      <c r="A327" s="1" t="str">
        <f>"213294_at"</f>
        <v>213294_at</v>
      </c>
      <c r="B327" s="1">
        <v>9.1038240807224597E-4</v>
      </c>
      <c r="C327" s="2">
        <v>4.1835999904231003E-5</v>
      </c>
      <c r="D327" s="1">
        <v>4.2795080537429797</v>
      </c>
      <c r="E327" s="1">
        <v>1.7821607590117501</v>
      </c>
      <c r="F327" s="1">
        <v>0.41067691523982303</v>
      </c>
      <c r="G327" s="3" t="str">
        <f>"EIF2AK2"</f>
        <v>EIF2AK2</v>
      </c>
      <c r="H327" s="1">
        <v>5610</v>
      </c>
      <c r="I327" s="1" t="str">
        <f>"eukaryotic translation initiation factor 2 alpha kinase 2"</f>
        <v>eukaryotic translation initiation factor 2 alpha kinase 2</v>
      </c>
    </row>
    <row r="328" spans="1:9" x14ac:dyDescent="0.35">
      <c r="A328" s="1" t="str">
        <f>"218696_at"</f>
        <v>218696_at</v>
      </c>
      <c r="B328" s="1">
        <v>2.7188876487443201E-3</v>
      </c>
      <c r="C328" s="1">
        <v>1.7082272172696901E-4</v>
      </c>
      <c r="D328" s="1">
        <v>-3.9002169844091399</v>
      </c>
      <c r="E328" s="1">
        <v>0.46527308116350302</v>
      </c>
      <c r="F328" s="1">
        <v>-0.43686501982412701</v>
      </c>
      <c r="G328" s="3" t="str">
        <f>"EIF2AK3"</f>
        <v>EIF2AK3</v>
      </c>
      <c r="H328" s="1">
        <v>9451</v>
      </c>
      <c r="I328" s="1" t="str">
        <f>"eukaryotic translation initiation factor 2 alpha kinase 3"</f>
        <v>eukaryotic translation initiation factor 2 alpha kinase 3</v>
      </c>
    </row>
    <row r="329" spans="1:9" x14ac:dyDescent="0.35">
      <c r="A329" s="1" t="str">
        <f>"201143_s_at"</f>
        <v>201143_s_at</v>
      </c>
      <c r="B329" s="1">
        <v>1.82517339718926E-3</v>
      </c>
      <c r="C329" s="1">
        <v>1.01730707683394E-4</v>
      </c>
      <c r="D329" s="1">
        <v>-4.04255376709001</v>
      </c>
      <c r="E329" s="1">
        <v>0.94917309707198105</v>
      </c>
      <c r="F329" s="1">
        <v>-0.31240778525726998</v>
      </c>
      <c r="G329" s="3" t="str">
        <f>"EIF2S1"</f>
        <v>EIF2S1</v>
      </c>
      <c r="H329" s="1">
        <v>1965</v>
      </c>
      <c r="I329" s="1" t="str">
        <f>"eukaryotic translation initiation factor 2 subunit alpha"</f>
        <v>eukaryotic translation initiation factor 2 subunit alpha</v>
      </c>
    </row>
    <row r="330" spans="1:9" x14ac:dyDescent="0.35">
      <c r="A330" s="1" t="str">
        <f>"208726_s_at"</f>
        <v>208726_s_at</v>
      </c>
      <c r="B330" s="2">
        <v>8.6127583804132394E-5</v>
      </c>
      <c r="C330" s="2">
        <v>2.2881806584412498E-6</v>
      </c>
      <c r="D330" s="1">
        <v>-5.0053943392258704</v>
      </c>
      <c r="E330" s="1">
        <v>4.5286145352479004</v>
      </c>
      <c r="F330" s="1">
        <v>-0.36248223893314302</v>
      </c>
      <c r="G330" s="3" t="str">
        <f>"EIF2S2"</f>
        <v>EIF2S2</v>
      </c>
      <c r="H330" s="1">
        <v>8894</v>
      </c>
      <c r="I330" s="1" t="str">
        <f>"eukaryotic translation initiation factor 2 subunit beta"</f>
        <v>eukaryotic translation initiation factor 2 subunit beta</v>
      </c>
    </row>
    <row r="331" spans="1:9" x14ac:dyDescent="0.35">
      <c r="A331" s="1" t="str">
        <f>"211501_s_at"</f>
        <v>211501_s_at</v>
      </c>
      <c r="B331" s="2">
        <v>5.9131636564322298E-5</v>
      </c>
      <c r="C331" s="2">
        <v>1.4568625622139299E-6</v>
      </c>
      <c r="D331" s="1">
        <v>-5.1127907626162896</v>
      </c>
      <c r="E331" s="1">
        <v>4.95760261533042</v>
      </c>
      <c r="F331" s="1">
        <v>-0.43879709325000199</v>
      </c>
      <c r="G331" s="3" t="str">
        <f>"EIF3B"</f>
        <v>EIF3B</v>
      </c>
      <c r="H331" s="1">
        <v>8662</v>
      </c>
      <c r="I331" s="1" t="str">
        <f>"eukaryotic translation initiation factor 3 subunit B"</f>
        <v>eukaryotic translation initiation factor 3 subunit B</v>
      </c>
    </row>
    <row r="332" spans="1:9" x14ac:dyDescent="0.35">
      <c r="A332" s="1" t="str">
        <f>"208756_at"</f>
        <v>208756_at</v>
      </c>
      <c r="B332" s="2">
        <v>2.20065527656443E-7</v>
      </c>
      <c r="C332" s="2">
        <v>1.47151477004039E-9</v>
      </c>
      <c r="D332" s="1">
        <v>-6.6399361497862897</v>
      </c>
      <c r="E332" s="1">
        <v>11.554829179535901</v>
      </c>
      <c r="F332" s="1">
        <v>-0.32824477260610901</v>
      </c>
      <c r="G332" s="3" t="str">
        <f>"EIF3I"</f>
        <v>EIF3I</v>
      </c>
      <c r="H332" s="1">
        <v>8668</v>
      </c>
      <c r="I332" s="1" t="str">
        <f>"eukaryotic translation initiation factor 3 subunit I"</f>
        <v>eukaryotic translation initiation factor 3 subunit I</v>
      </c>
    </row>
    <row r="333" spans="1:9" x14ac:dyDescent="0.35">
      <c r="A333" s="1" t="str">
        <f>"208985_s_at"</f>
        <v>208985_s_at</v>
      </c>
      <c r="B333" s="1">
        <v>4.2950023598804202E-4</v>
      </c>
      <c r="C333" s="2">
        <v>1.6152277420364401E-5</v>
      </c>
      <c r="D333" s="1">
        <v>-4.5246789934274396</v>
      </c>
      <c r="E333" s="1">
        <v>2.6783191110287698</v>
      </c>
      <c r="F333" s="1">
        <v>-0.36768481210465198</v>
      </c>
      <c r="G333" s="3" t="str">
        <f>"EIF3J"</f>
        <v>EIF3J</v>
      </c>
      <c r="H333" s="1">
        <v>8669</v>
      </c>
      <c r="I333" s="1" t="str">
        <f>"eukaryotic translation initiation factor 3 subunit J"</f>
        <v>eukaryotic translation initiation factor 3 subunit J</v>
      </c>
    </row>
    <row r="334" spans="1:9" x14ac:dyDescent="0.35">
      <c r="A334" s="1" t="str">
        <f>"201435_s_at"</f>
        <v>201435_s_at</v>
      </c>
      <c r="B334" s="1">
        <v>4.3418271666114698E-3</v>
      </c>
      <c r="C334" s="1">
        <v>3.0844645715325398E-4</v>
      </c>
      <c r="D334" s="1">
        <v>-3.73373372312314</v>
      </c>
      <c r="E334" s="1">
        <v>-8.4359793958745904E-2</v>
      </c>
      <c r="F334" s="1">
        <v>-0.38459405369912603</v>
      </c>
      <c r="G334" s="3" t="str">
        <f>"EIF4E"</f>
        <v>EIF4E</v>
      </c>
      <c r="H334" s="1">
        <v>1977</v>
      </c>
      <c r="I334" s="1" t="str">
        <f>"eukaryotic translation initiation factor 4E"</f>
        <v>eukaryotic translation initiation factor 4E</v>
      </c>
    </row>
    <row r="335" spans="1:9" x14ac:dyDescent="0.35">
      <c r="A335" s="1" t="str">
        <f>"221539_at"</f>
        <v>221539_at</v>
      </c>
      <c r="B335" s="2">
        <v>4.9792437198678102E-7</v>
      </c>
      <c r="C335" s="2">
        <v>3.9104593231470901E-9</v>
      </c>
      <c r="D335" s="1">
        <v>-6.4333942518288199</v>
      </c>
      <c r="E335" s="1">
        <v>10.6166660087008</v>
      </c>
      <c r="F335" s="1">
        <v>-0.42595225982412899</v>
      </c>
      <c r="G335" s="3" t="str">
        <f>"EIF4EBP1"</f>
        <v>EIF4EBP1</v>
      </c>
      <c r="H335" s="1">
        <v>1978</v>
      </c>
      <c r="I335" s="1" t="str">
        <f>"eukaryotic translation initiation factor 4E binding protein 1"</f>
        <v>eukaryotic translation initiation factor 4E binding protein 1</v>
      </c>
    </row>
    <row r="336" spans="1:9" x14ac:dyDescent="0.35">
      <c r="A336" s="1" t="str">
        <f>"208624_s_at"</f>
        <v>208624_s_at</v>
      </c>
      <c r="B336" s="1">
        <v>1.8597829468853299E-4</v>
      </c>
      <c r="C336" s="2">
        <v>5.8339912932407802E-6</v>
      </c>
      <c r="D336" s="1">
        <v>-4.7786063368528602</v>
      </c>
      <c r="E336" s="1">
        <v>3.6410064899778098</v>
      </c>
      <c r="F336" s="1">
        <v>-0.37441225473692002</v>
      </c>
      <c r="G336" s="3" t="str">
        <f>"EIF4G1"</f>
        <v>EIF4G1</v>
      </c>
      <c r="H336" s="1">
        <v>1981</v>
      </c>
      <c r="I336" s="1" t="str">
        <f>"eukaryotic translation initiation factor 4 gamma 1"</f>
        <v>eukaryotic translation initiation factor 4 gamma 1</v>
      </c>
    </row>
    <row r="337" spans="1:9" x14ac:dyDescent="0.35">
      <c r="A337" s="1" t="str">
        <f>"208708_x_at"</f>
        <v>208708_x_at</v>
      </c>
      <c r="B337" s="1">
        <v>1.16612475932326E-2</v>
      </c>
      <c r="C337" s="1">
        <v>1.09636555705346E-3</v>
      </c>
      <c r="D337" s="1">
        <v>-3.35862186336586</v>
      </c>
      <c r="E337" s="1">
        <v>-1.2548260713236601</v>
      </c>
      <c r="F337" s="1">
        <v>-0.33595802990261803</v>
      </c>
      <c r="G337" s="3" t="str">
        <f>"EIF5"</f>
        <v>EIF5</v>
      </c>
      <c r="H337" s="1">
        <v>1983</v>
      </c>
      <c r="I337" s="1" t="str">
        <f>"eukaryotic translation initiation factor 5"</f>
        <v>eukaryotic translation initiation factor 5</v>
      </c>
    </row>
    <row r="338" spans="1:9" x14ac:dyDescent="0.35">
      <c r="A338" s="1" t="str">
        <f>"201025_at"</f>
        <v>201025_at</v>
      </c>
      <c r="B338" s="1">
        <v>1.15193640172951E-3</v>
      </c>
      <c r="C338" s="2">
        <v>5.64517592195228E-5</v>
      </c>
      <c r="D338" s="1">
        <v>-4.2005384242548196</v>
      </c>
      <c r="E338" s="1">
        <v>1.5008353939396899</v>
      </c>
      <c r="F338" s="1">
        <v>-0.40231416998546798</v>
      </c>
      <c r="G338" s="3" t="str">
        <f>"EIF5B"</f>
        <v>EIF5B</v>
      </c>
      <c r="H338" s="1">
        <v>9669</v>
      </c>
      <c r="I338" s="1" t="str">
        <f>"eukaryotic translation initiation factor 5B"</f>
        <v>eukaryotic translation initiation factor 5B</v>
      </c>
    </row>
    <row r="339" spans="1:9" x14ac:dyDescent="0.35">
      <c r="A339" s="1" t="str">
        <f>"221773_at"</f>
        <v>221773_at</v>
      </c>
      <c r="B339" s="1">
        <v>9.1610126765915595E-2</v>
      </c>
      <c r="C339" s="1">
        <v>1.70368606254972E-2</v>
      </c>
      <c r="D339" s="1">
        <v>2.4249776499595801</v>
      </c>
      <c r="E339" s="1">
        <v>-3.7180225630173398</v>
      </c>
      <c r="F339" s="1">
        <v>0.30046163618895499</v>
      </c>
      <c r="G339" s="3" t="str">
        <f>"ELK3"</f>
        <v>ELK3</v>
      </c>
      <c r="H339" s="1">
        <v>2004</v>
      </c>
      <c r="I339" s="1" t="str">
        <f>"ELK3, ETS transcription factor"</f>
        <v>ELK3, ETS transcription factor</v>
      </c>
    </row>
    <row r="340" spans="1:9" x14ac:dyDescent="0.35">
      <c r="A340" s="1" t="str">
        <f>"214446_at"</f>
        <v>214446_at</v>
      </c>
      <c r="B340" s="2">
        <v>5.4287651344054803E-7</v>
      </c>
      <c r="C340" s="2">
        <v>4.48275719037207E-9</v>
      </c>
      <c r="D340" s="1">
        <v>-6.40433059311738</v>
      </c>
      <c r="E340" s="1">
        <v>10.4856217573168</v>
      </c>
      <c r="F340" s="1">
        <v>-0.71823699340843195</v>
      </c>
      <c r="G340" s="3" t="str">
        <f>"ELL2"</f>
        <v>ELL2</v>
      </c>
      <c r="H340" s="1">
        <v>22936</v>
      </c>
      <c r="I340" s="1" t="str">
        <f>"elongation factor for RNA polymerase II 2"</f>
        <v>elongation factor for RNA polymerase II 2</v>
      </c>
    </row>
    <row r="341" spans="1:9" x14ac:dyDescent="0.35">
      <c r="A341" s="1" t="str">
        <f>"208788_at"</f>
        <v>208788_at</v>
      </c>
      <c r="B341" s="1">
        <v>3.4315166146124502E-2</v>
      </c>
      <c r="C341" s="1">
        <v>4.5536932322438701E-3</v>
      </c>
      <c r="D341" s="1">
        <v>-2.90013353201212</v>
      </c>
      <c r="E341" s="1">
        <v>-2.5487358487359102</v>
      </c>
      <c r="F341" s="1">
        <v>-0.36630233073110602</v>
      </c>
      <c r="G341" s="3" t="str">
        <f>"ELOVL5"</f>
        <v>ELOVL5</v>
      </c>
      <c r="H341" s="1">
        <v>60481</v>
      </c>
      <c r="I341" s="1" t="str">
        <f>"ELOVL fatty acid elongase 5"</f>
        <v>ELOVL fatty acid elongase 5</v>
      </c>
    </row>
    <row r="342" spans="1:9" x14ac:dyDescent="0.35">
      <c r="A342" s="1" t="str">
        <f>"203584_at"</f>
        <v>203584_at</v>
      </c>
      <c r="B342" s="1">
        <v>3.8146194182858598E-2</v>
      </c>
      <c r="C342" s="1">
        <v>5.2349801108998598E-3</v>
      </c>
      <c r="D342" s="1">
        <v>2.8525619713649299</v>
      </c>
      <c r="E342" s="1">
        <v>-2.6738957398014298</v>
      </c>
      <c r="F342" s="1">
        <v>0.30809179638662698</v>
      </c>
      <c r="G342" s="3" t="str">
        <f>"EMC2"</f>
        <v>EMC2</v>
      </c>
      <c r="H342" s="1">
        <v>9694</v>
      </c>
      <c r="I342" s="1" t="str">
        <f>"ER membrane protein complex subunit 2"</f>
        <v>ER membrane protein complex subunit 2</v>
      </c>
    </row>
    <row r="343" spans="1:9" x14ac:dyDescent="0.35">
      <c r="A343" s="1" t="str">
        <f>"201324_at"</f>
        <v>201324_at</v>
      </c>
      <c r="B343" s="1">
        <v>1.7974248621060299E-2</v>
      </c>
      <c r="C343" s="1">
        <v>1.9060786021435801E-3</v>
      </c>
      <c r="D343" s="1">
        <v>-3.1859506296839002</v>
      </c>
      <c r="E343" s="1">
        <v>-1.76039881869707</v>
      </c>
      <c r="F343" s="1">
        <v>-0.43396479729215298</v>
      </c>
      <c r="G343" s="3" t="str">
        <f>"EMP1"</f>
        <v>EMP1</v>
      </c>
      <c r="H343" s="1">
        <v>2012</v>
      </c>
      <c r="I343" s="1" t="str">
        <f>"epithelial membrane protein 1"</f>
        <v>epithelial membrane protein 1</v>
      </c>
    </row>
    <row r="344" spans="1:9" x14ac:dyDescent="0.35">
      <c r="A344" s="1" t="str">
        <f>"203729_at"</f>
        <v>203729_at</v>
      </c>
      <c r="B344" s="1">
        <v>6.0302330924736204E-4</v>
      </c>
      <c r="C344" s="2">
        <v>2.49782576150121E-5</v>
      </c>
      <c r="D344" s="1">
        <v>-4.4133924993668003</v>
      </c>
      <c r="E344" s="1">
        <v>2.26735143835907</v>
      </c>
      <c r="F344" s="1">
        <v>-0.46942529490842599</v>
      </c>
      <c r="G344" s="3" t="str">
        <f>"EMP3"</f>
        <v>EMP3</v>
      </c>
      <c r="H344" s="1">
        <v>2014</v>
      </c>
      <c r="I344" s="1" t="str">
        <f>"epithelial membrane protein 3"</f>
        <v>epithelial membrane protein 3</v>
      </c>
    </row>
    <row r="345" spans="1:9" x14ac:dyDescent="0.35">
      <c r="A345" s="1" t="str">
        <f>"217820_s_at"</f>
        <v>217820_s_at</v>
      </c>
      <c r="B345" s="1">
        <v>8.2235820089688993E-2</v>
      </c>
      <c r="C345" s="1">
        <v>1.46698103871343E-2</v>
      </c>
      <c r="D345" s="1">
        <v>-2.48198240978427</v>
      </c>
      <c r="E345" s="1">
        <v>-3.58741016731343</v>
      </c>
      <c r="F345" s="1">
        <v>-0.35256759313081298</v>
      </c>
      <c r="G345" s="3" t="str">
        <f>"ENAH"</f>
        <v>ENAH</v>
      </c>
      <c r="H345" s="1">
        <v>55740</v>
      </c>
      <c r="I345" s="1" t="str">
        <f>"enabled homolog (Drosophila)"</f>
        <v>enabled homolog (Drosophila)</v>
      </c>
    </row>
    <row r="346" spans="1:9" x14ac:dyDescent="0.35">
      <c r="A346" s="1" t="str">
        <f>"201231_s_at"</f>
        <v>201231_s_at</v>
      </c>
      <c r="B346" s="1">
        <v>2.3772675003950498E-3</v>
      </c>
      <c r="C346" s="1">
        <v>1.4218716139280301E-4</v>
      </c>
      <c r="D346" s="1">
        <v>-3.9509798294262399</v>
      </c>
      <c r="E346" s="1">
        <v>0.63639588593508101</v>
      </c>
      <c r="F346" s="1">
        <v>-0.36074787739825398</v>
      </c>
      <c r="G346" s="3" t="str">
        <f>"ENO1"</f>
        <v>ENO1</v>
      </c>
      <c r="H346" s="1">
        <v>2023</v>
      </c>
      <c r="I346" s="1" t="str">
        <f>"enolase 1"</f>
        <v>enolase 1</v>
      </c>
    </row>
    <row r="347" spans="1:9" x14ac:dyDescent="0.35">
      <c r="A347" s="1" t="str">
        <f>"209392_at"</f>
        <v>209392_at</v>
      </c>
      <c r="B347" s="1">
        <v>7.7320485094020102E-3</v>
      </c>
      <c r="C347" s="1">
        <v>6.4471328503652703E-4</v>
      </c>
      <c r="D347" s="1">
        <v>3.5189124463899399</v>
      </c>
      <c r="E347" s="1">
        <v>-0.76649439813125497</v>
      </c>
      <c r="F347" s="1">
        <v>0.49459829011336998</v>
      </c>
      <c r="G347" s="3" t="str">
        <f>"ENPP2"</f>
        <v>ENPP2</v>
      </c>
      <c r="H347" s="1">
        <v>5168</v>
      </c>
      <c r="I347" s="1" t="str">
        <f>"ectonucleotide pyrophosphatase/phosphodiesterase 2"</f>
        <v>ectonucleotide pyrophosphatase/phosphodiesterase 2</v>
      </c>
    </row>
    <row r="348" spans="1:9" x14ac:dyDescent="0.35">
      <c r="A348" s="1" t="str">
        <f>"204160_s_at"</f>
        <v>204160_s_at</v>
      </c>
      <c r="B348" s="1">
        <v>7.5678914870557302E-3</v>
      </c>
      <c r="C348" s="1">
        <v>6.2728966371637196E-4</v>
      </c>
      <c r="D348" s="1">
        <v>-3.5270500224499099</v>
      </c>
      <c r="E348" s="1">
        <v>-0.74122562159371097</v>
      </c>
      <c r="F348" s="1">
        <v>-0.38466313872093</v>
      </c>
      <c r="G348" s="3" t="str">
        <f>"ENPP4"</f>
        <v>ENPP4</v>
      </c>
      <c r="H348" s="1">
        <v>22875</v>
      </c>
      <c r="I348" s="1" t="str">
        <f>"ectonucleotide pyrophosphatase/phosphodiesterase 4 (putative)"</f>
        <v>ectonucleotide pyrophosphatase/phosphodiesterase 4 (putative)</v>
      </c>
    </row>
    <row r="349" spans="1:9" x14ac:dyDescent="0.35">
      <c r="A349" s="1" t="str">
        <f>"221487_s_at"</f>
        <v>221487_s_at</v>
      </c>
      <c r="B349" s="1">
        <v>8.4506695304157803E-2</v>
      </c>
      <c r="C349" s="1">
        <v>1.52417721324512E-2</v>
      </c>
      <c r="D349" s="1">
        <v>-2.4674938926593701</v>
      </c>
      <c r="E349" s="1">
        <v>-3.6208622930507901</v>
      </c>
      <c r="F349" s="1">
        <v>-0.38725971020639299</v>
      </c>
      <c r="G349" s="3" t="str">
        <f>"ENSA"</f>
        <v>ENSA</v>
      </c>
      <c r="H349" s="1">
        <v>2029</v>
      </c>
      <c r="I349" s="1" t="str">
        <f>"endosulfine alpha"</f>
        <v>endosulfine alpha</v>
      </c>
    </row>
    <row r="350" spans="1:9" x14ac:dyDescent="0.35">
      <c r="A350" s="1" t="str">
        <f>"200879_s_at"</f>
        <v>200879_s_at</v>
      </c>
      <c r="B350" s="1">
        <v>0.15904059347885399</v>
      </c>
      <c r="C350" s="1">
        <v>3.7820585416885003E-2</v>
      </c>
      <c r="D350" s="1">
        <v>-2.1037110179204199</v>
      </c>
      <c r="E350" s="1">
        <v>-4.4029158001108097</v>
      </c>
      <c r="F350" s="1">
        <v>-0.32052544415697698</v>
      </c>
      <c r="G350" s="3" t="str">
        <f>"EPAS1"</f>
        <v>EPAS1</v>
      </c>
      <c r="H350" s="1">
        <v>2034</v>
      </c>
      <c r="I350" s="1" t="str">
        <f>"endothelial PAS domain protein 1"</f>
        <v>endothelial PAS domain protein 1</v>
      </c>
    </row>
    <row r="351" spans="1:9" x14ac:dyDescent="0.35">
      <c r="A351" s="1" t="str">
        <f>"201719_s_at"</f>
        <v>201719_s_at</v>
      </c>
      <c r="B351" s="2">
        <v>9.4525325437119707E-6</v>
      </c>
      <c r="C351" s="2">
        <v>1.55258578781967E-7</v>
      </c>
      <c r="D351" s="1">
        <v>5.6291487562886298</v>
      </c>
      <c r="E351" s="1">
        <v>7.0915109617957599</v>
      </c>
      <c r="F351" s="1">
        <v>0.421586833952039</v>
      </c>
      <c r="G351" s="3" t="str">
        <f>"EPB41L2"</f>
        <v>EPB41L2</v>
      </c>
      <c r="H351" s="1">
        <v>2037</v>
      </c>
      <c r="I351" s="1" t="str">
        <f>"erythrocyte membrane protein band 4.1 like 2"</f>
        <v>erythrocyte membrane protein band 4.1 like 2</v>
      </c>
    </row>
    <row r="352" spans="1:9" x14ac:dyDescent="0.35">
      <c r="A352" s="1" t="str">
        <f>"206070_s_at"</f>
        <v>206070_s_at</v>
      </c>
      <c r="B352" s="1">
        <v>8.4250957489828595E-4</v>
      </c>
      <c r="C352" s="2">
        <v>3.8036378959192002E-5</v>
      </c>
      <c r="D352" s="1">
        <v>4.3044151857237702</v>
      </c>
      <c r="E352" s="1">
        <v>1.87164550625687</v>
      </c>
      <c r="F352" s="1">
        <v>0.384935092895346</v>
      </c>
      <c r="G352" s="3" t="str">
        <f>"EPHA3"</f>
        <v>EPHA3</v>
      </c>
      <c r="H352" s="1">
        <v>2042</v>
      </c>
      <c r="I352" s="1" t="str">
        <f>"EPH receptor A3"</f>
        <v>EPH receptor A3</v>
      </c>
    </row>
    <row r="353" spans="1:9" x14ac:dyDescent="0.35">
      <c r="A353" s="1" t="str">
        <f>"209368_at"</f>
        <v>209368_at</v>
      </c>
      <c r="B353" s="2">
        <v>1.75389726527185E-5</v>
      </c>
      <c r="C353" s="2">
        <v>3.3198267806550398E-7</v>
      </c>
      <c r="D353" s="1">
        <v>5.4566474886423997</v>
      </c>
      <c r="E353" s="1">
        <v>6.3661008914264698</v>
      </c>
      <c r="F353" s="1">
        <v>0.48255334383430099</v>
      </c>
      <c r="G353" s="3" t="str">
        <f>"EPHX2"</f>
        <v>EPHX2</v>
      </c>
      <c r="H353" s="1">
        <v>2053</v>
      </c>
      <c r="I353" s="1" t="str">
        <f>"epoxide hydrolase 2"</f>
        <v>epoxide hydrolase 2</v>
      </c>
    </row>
    <row r="354" spans="1:9" x14ac:dyDescent="0.35">
      <c r="A354" s="1" t="str">
        <f>"202909_at"</f>
        <v>202909_at</v>
      </c>
      <c r="B354" s="1">
        <v>9.6207187778429206E-3</v>
      </c>
      <c r="C354" s="1">
        <v>8.5659498520129101E-4</v>
      </c>
      <c r="D354" s="1">
        <v>3.4337530154032398</v>
      </c>
      <c r="E354" s="1">
        <v>-1.02817814502171</v>
      </c>
      <c r="F354" s="1">
        <v>0.31146175488953698</v>
      </c>
      <c r="G354" s="3" t="str">
        <f>"EPM2AIP1"</f>
        <v>EPM2AIP1</v>
      </c>
      <c r="H354" s="1">
        <v>9852</v>
      </c>
      <c r="I354" s="1" t="str">
        <f>"EPM2A interacting protein 1"</f>
        <v>EPM2A interacting protein 1</v>
      </c>
    </row>
    <row r="355" spans="1:9" x14ac:dyDescent="0.35">
      <c r="A355" s="1" t="str">
        <f>"221543_s_at"</f>
        <v>221543_s_at</v>
      </c>
      <c r="B355" s="1">
        <v>2.8605197603852901E-3</v>
      </c>
      <c r="C355" s="1">
        <v>1.8305888696806599E-4</v>
      </c>
      <c r="D355" s="1">
        <v>3.8809663901893301</v>
      </c>
      <c r="E355" s="1">
        <v>0.40080587578105098</v>
      </c>
      <c r="F355" s="1">
        <v>0.43479783391424298</v>
      </c>
      <c r="G355" s="3" t="str">
        <f>"ERLIN2"</f>
        <v>ERLIN2</v>
      </c>
      <c r="H355" s="1">
        <v>11160</v>
      </c>
      <c r="I355" s="1" t="str">
        <f>"ER lipid raft associated 2"</f>
        <v>ER lipid raft associated 2</v>
      </c>
    </row>
    <row r="356" spans="1:9" x14ac:dyDescent="0.35">
      <c r="A356" s="1" t="str">
        <f>"201573_s_at"</f>
        <v>201573_s_at</v>
      </c>
      <c r="B356" s="2">
        <v>1.6620742508142099E-5</v>
      </c>
      <c r="C356" s="2">
        <v>3.0879986529510601E-7</v>
      </c>
      <c r="D356" s="1">
        <v>-5.4731926035844998</v>
      </c>
      <c r="E356" s="1">
        <v>6.4351531325610702</v>
      </c>
      <c r="F356" s="1">
        <v>-0.43678514906395399</v>
      </c>
      <c r="G356" s="3" t="str">
        <f>"ETF1"</f>
        <v>ETF1</v>
      </c>
      <c r="H356" s="1">
        <v>2107</v>
      </c>
      <c r="I356" s="1" t="str">
        <f>"eukaryotic translation termination factor 1"</f>
        <v>eukaryotic translation termination factor 1</v>
      </c>
    </row>
    <row r="357" spans="1:9" x14ac:dyDescent="0.35">
      <c r="A357" s="1" t="str">
        <f>"202942_at"</f>
        <v>202942_at</v>
      </c>
      <c r="B357" s="1">
        <v>2.9799216400962E-3</v>
      </c>
      <c r="C357" s="1">
        <v>1.93642082971741E-4</v>
      </c>
      <c r="D357" s="1">
        <v>3.86528159189595</v>
      </c>
      <c r="E357" s="1">
        <v>0.34845469081504499</v>
      </c>
      <c r="F357" s="1">
        <v>0.37188389232122199</v>
      </c>
      <c r="G357" s="3" t="str">
        <f>"ETFB"</f>
        <v>ETFB</v>
      </c>
      <c r="H357" s="1">
        <v>2109</v>
      </c>
      <c r="I357" s="1" t="str">
        <f>"electron transfer flavoprotein beta subunit"</f>
        <v>electron transfer flavoprotein beta subunit</v>
      </c>
    </row>
    <row r="358" spans="1:9" x14ac:dyDescent="0.35">
      <c r="A358" s="1" t="str">
        <f>"221008_s_at"</f>
        <v>221008_s_at</v>
      </c>
      <c r="B358" s="1">
        <v>3.2288548154502703E-2</v>
      </c>
      <c r="C358" s="1">
        <v>4.1847743602837903E-3</v>
      </c>
      <c r="D358" s="1">
        <v>-2.9286983681056098</v>
      </c>
      <c r="E358" s="1">
        <v>-2.4727402015306201</v>
      </c>
      <c r="F358" s="1">
        <v>-0.52780590078633904</v>
      </c>
      <c r="G358" s="3" t="str">
        <f>"ETNPPL"</f>
        <v>ETNPPL</v>
      </c>
      <c r="H358" s="1">
        <v>64850</v>
      </c>
      <c r="I358" s="1" t="str">
        <f>"ethanolamine-phosphate phospho-lyase"</f>
        <v>ethanolamine-phosphate phospho-lyase</v>
      </c>
    </row>
    <row r="359" spans="1:9" x14ac:dyDescent="0.35">
      <c r="A359" s="1" t="str">
        <f>"201329_s_at"</f>
        <v>201329_s_at</v>
      </c>
      <c r="B359" s="1">
        <v>1.6420466238170601E-4</v>
      </c>
      <c r="C359" s="2">
        <v>4.9667433669285999E-6</v>
      </c>
      <c r="D359" s="1">
        <v>-4.8180255097354001</v>
      </c>
      <c r="E359" s="1">
        <v>3.7934533345875998</v>
      </c>
      <c r="F359" s="1">
        <v>-0.67397473869477098</v>
      </c>
      <c r="G359" s="3" t="str">
        <f>"ETS2"</f>
        <v>ETS2</v>
      </c>
      <c r="H359" s="1">
        <v>2114</v>
      </c>
      <c r="I359" s="1" t="str">
        <f>"ETS proto-oncogene 2, transcription factor"</f>
        <v>ETS proto-oncogene 2, transcription factor</v>
      </c>
    </row>
    <row r="360" spans="1:9" x14ac:dyDescent="0.35">
      <c r="A360" s="1" t="str">
        <f>"217838_s_at"</f>
        <v>217838_s_at</v>
      </c>
      <c r="B360" s="2">
        <v>2.0514693046677101E-8</v>
      </c>
      <c r="C360" s="2">
        <v>7.1810171774034604E-11</v>
      </c>
      <c r="D360" s="1">
        <v>7.2646508584778404</v>
      </c>
      <c r="E360" s="1">
        <v>14.4575040743985</v>
      </c>
      <c r="F360" s="1">
        <v>0.56991987255232701</v>
      </c>
      <c r="G360" s="3" t="str">
        <f>"EVL"</f>
        <v>EVL</v>
      </c>
      <c r="H360" s="1">
        <v>51466</v>
      </c>
      <c r="I360" s="1" t="str">
        <f>"Enah/Vasp-like"</f>
        <v>Enah/Vasp-like</v>
      </c>
    </row>
    <row r="361" spans="1:9" x14ac:dyDescent="0.35">
      <c r="A361" s="1" t="str">
        <f>"205200_at"</f>
        <v>205200_at</v>
      </c>
      <c r="B361" s="1">
        <v>3.4653541341135899E-4</v>
      </c>
      <c r="C361" s="2">
        <v>1.25345574298593E-5</v>
      </c>
      <c r="D361" s="1">
        <v>4.5886683453153303</v>
      </c>
      <c r="E361" s="1">
        <v>2.91769421909127</v>
      </c>
      <c r="F361" s="1">
        <v>0.67024795701018103</v>
      </c>
      <c r="G361" s="3" t="str">
        <f>"EXOSC7"</f>
        <v>EXOSC7</v>
      </c>
      <c r="H361" s="1">
        <v>23016</v>
      </c>
      <c r="I361" s="1" t="str">
        <f>"exosome component 7///C-type lectin domain family 3 member B"</f>
        <v>exosome component 7///C-type lectin domain family 3 member B</v>
      </c>
    </row>
    <row r="362" spans="1:9" x14ac:dyDescent="0.35">
      <c r="A362" s="1" t="str">
        <f>"201995_at"</f>
        <v>201995_at</v>
      </c>
      <c r="B362" s="1">
        <v>6.0996466427275698E-4</v>
      </c>
      <c r="C362" s="2">
        <v>2.5375274594123098E-5</v>
      </c>
      <c r="D362" s="1">
        <v>4.4093355188526902</v>
      </c>
      <c r="E362" s="1">
        <v>2.2524995988474599</v>
      </c>
      <c r="F362" s="1">
        <v>0.39593476761482599</v>
      </c>
      <c r="G362" s="3" t="str">
        <f>"EXT1"</f>
        <v>EXT1</v>
      </c>
      <c r="H362" s="1">
        <v>2131</v>
      </c>
      <c r="I362" s="1" t="str">
        <f>"exostosin glycosyltransferase 1"</f>
        <v>exostosin glycosyltransferase 1</v>
      </c>
    </row>
    <row r="363" spans="1:9" x14ac:dyDescent="0.35">
      <c r="A363" s="1" t="str">
        <f>"203249_at"</f>
        <v>203249_at</v>
      </c>
      <c r="B363" s="2">
        <v>1.0176826460452E-6</v>
      </c>
      <c r="C363" s="2">
        <v>9.5451991663351398E-9</v>
      </c>
      <c r="D363" s="1">
        <v>6.2425470014081403</v>
      </c>
      <c r="E363" s="1">
        <v>9.7607770438318209</v>
      </c>
      <c r="F363" s="1">
        <v>0.35181811286482501</v>
      </c>
      <c r="G363" s="3" t="str">
        <f>"EZH1"</f>
        <v>EZH1</v>
      </c>
      <c r="H363" s="1">
        <v>2145</v>
      </c>
      <c r="I363" s="1" t="str">
        <f>"enhancer of zeste 1 polycomb repressive complex 2 subunit"</f>
        <v>enhancer of zeste 1 polycomb repressive complex 2 subunit</v>
      </c>
    </row>
    <row r="364" spans="1:9" x14ac:dyDescent="0.35">
      <c r="A364" s="1" t="str">
        <f>"208621_s_at"</f>
        <v>208621_s_at</v>
      </c>
      <c r="B364" s="1">
        <v>3.6010306570417198E-2</v>
      </c>
      <c r="C364" s="1">
        <v>4.8574996908382802E-3</v>
      </c>
      <c r="D364" s="1">
        <v>-2.87816490779562</v>
      </c>
      <c r="E364" s="1">
        <v>-2.6067532924019798</v>
      </c>
      <c r="F364" s="1">
        <v>-0.38358490732703798</v>
      </c>
      <c r="G364" s="3" t="str">
        <f>"EZR"</f>
        <v>EZR</v>
      </c>
      <c r="H364" s="1">
        <v>7430</v>
      </c>
      <c r="I364" s="1" t="str">
        <f>"ezrin"</f>
        <v>ezrin</v>
      </c>
    </row>
    <row r="365" spans="1:9" x14ac:dyDescent="0.35">
      <c r="A365" s="1" t="str">
        <f>"203989_x_at"</f>
        <v>203989_x_at</v>
      </c>
      <c r="B365" s="1">
        <v>4.9302677629151402E-3</v>
      </c>
      <c r="C365" s="1">
        <v>3.6418887662156499E-4</v>
      </c>
      <c r="D365" s="1">
        <v>3.68605386325329</v>
      </c>
      <c r="E365" s="1">
        <v>-0.238435840621498</v>
      </c>
      <c r="F365" s="1">
        <v>0.33923094622383898</v>
      </c>
      <c r="G365" s="3" t="str">
        <f>"F2R"</f>
        <v>F2R</v>
      </c>
      <c r="H365" s="1">
        <v>2149</v>
      </c>
      <c r="I365" s="1" t="str">
        <f>"coagulation factor II thrombin receptor"</f>
        <v>coagulation factor II thrombin receptor</v>
      </c>
    </row>
    <row r="366" spans="1:9" x14ac:dyDescent="0.35">
      <c r="A366" s="1" t="str">
        <f>"204363_at"</f>
        <v>204363_at</v>
      </c>
      <c r="B366" s="1">
        <v>2.7895118904347998E-3</v>
      </c>
      <c r="C366" s="1">
        <v>1.77388069323974E-4</v>
      </c>
      <c r="D366" s="1">
        <v>3.8897303678525099</v>
      </c>
      <c r="E366" s="1">
        <v>0.43012580262561301</v>
      </c>
      <c r="F366" s="1">
        <v>0.49123837854941199</v>
      </c>
      <c r="G366" s="3" t="str">
        <f>"F3"</f>
        <v>F3</v>
      </c>
      <c r="H366" s="1">
        <v>2152</v>
      </c>
      <c r="I366" s="1" t="str">
        <f>"coagulation factor III, tissue factor"</f>
        <v>coagulation factor III, tissue factor</v>
      </c>
    </row>
    <row r="367" spans="1:9" x14ac:dyDescent="0.35">
      <c r="A367" s="1" t="str">
        <f>"204714_s_at"</f>
        <v>204714_s_at</v>
      </c>
      <c r="B367" s="1">
        <v>0.11399484712564401</v>
      </c>
      <c r="C367" s="1">
        <v>2.32921302770298E-2</v>
      </c>
      <c r="D367" s="1">
        <v>2.3026848990788</v>
      </c>
      <c r="E367" s="1">
        <v>-3.9890698180490598</v>
      </c>
      <c r="F367" s="1">
        <v>0.39770549794476601</v>
      </c>
      <c r="G367" s="3" t="str">
        <f>"F5"</f>
        <v>F5</v>
      </c>
      <c r="H367" s="1">
        <v>2153</v>
      </c>
      <c r="I367" s="1" t="str">
        <f>"coagulation factor V"</f>
        <v>coagulation factor V</v>
      </c>
    </row>
    <row r="368" spans="1:9" x14ac:dyDescent="0.35">
      <c r="A368" s="1" t="str">
        <f>"203274_at"</f>
        <v>203274_at</v>
      </c>
      <c r="B368" s="1">
        <v>2.8013023753930698E-4</v>
      </c>
      <c r="C368" s="2">
        <v>9.6851623043588494E-6</v>
      </c>
      <c r="D368" s="1">
        <v>4.6532169214324401</v>
      </c>
      <c r="E368" s="1">
        <v>3.1613848209958899</v>
      </c>
      <c r="F368" s="1">
        <v>0.31673123314680302</v>
      </c>
      <c r="G368" s="3" t="str">
        <f>"F8A3"</f>
        <v>F8A3</v>
      </c>
      <c r="H368" s="1">
        <v>474384</v>
      </c>
      <c r="I368" s="1" t="str">
        <f>"coagulation factor VIII-associated 3///coagulation factor VIII-associated 2///coagulation factor VIII-associated 1"</f>
        <v>coagulation factor VIII-associated 3///coagulation factor VIII-associated 2///coagulation factor VIII-associated 1</v>
      </c>
    </row>
    <row r="369" spans="1:9" x14ac:dyDescent="0.35">
      <c r="A369" s="1" t="str">
        <f>"204257_at"</f>
        <v>204257_at</v>
      </c>
      <c r="B369" s="2">
        <v>9.6576884972527001E-8</v>
      </c>
      <c r="C369" s="2">
        <v>4.9842219502942196E-10</v>
      </c>
      <c r="D369" s="1">
        <v>-6.8660320227564497</v>
      </c>
      <c r="E369" s="1">
        <v>12.5947939581655</v>
      </c>
      <c r="F369" s="1">
        <v>-0.59081666065116301</v>
      </c>
      <c r="G369" s="3" t="str">
        <f>"FADS3"</f>
        <v>FADS3</v>
      </c>
      <c r="H369" s="1">
        <v>3995</v>
      </c>
      <c r="I369" s="1" t="str">
        <f>"fatty acid desaturase 3"</f>
        <v>fatty acid desaturase 3</v>
      </c>
    </row>
    <row r="370" spans="1:9" x14ac:dyDescent="0.35">
      <c r="A370" s="1" t="str">
        <f>"221249_s_at"</f>
        <v>221249_s_at</v>
      </c>
      <c r="B370" s="1">
        <v>4.4217525825179701E-4</v>
      </c>
      <c r="C370" s="2">
        <v>1.67678541140227E-5</v>
      </c>
      <c r="D370" s="1">
        <v>4.5151952150702996</v>
      </c>
      <c r="E370" s="1">
        <v>2.6430306758684901</v>
      </c>
      <c r="F370" s="1">
        <v>0.30792295456976598</v>
      </c>
      <c r="G370" s="3" t="str">
        <f>"FAM117A"</f>
        <v>FAM117A</v>
      </c>
      <c r="H370" s="1">
        <v>81558</v>
      </c>
      <c r="I370" s="1" t="str">
        <f>"family with sequence similarity 117 member A"</f>
        <v>family with sequence similarity 117 member A</v>
      </c>
    </row>
    <row r="371" spans="1:9" x14ac:dyDescent="0.35">
      <c r="A371" s="1" t="str">
        <f>"217967_s_at"</f>
        <v>217967_s_at</v>
      </c>
      <c r="B371" s="1">
        <v>7.3795001494218499E-4</v>
      </c>
      <c r="C371" s="2">
        <v>3.21567771174824E-5</v>
      </c>
      <c r="D371" s="1">
        <v>4.3481283314208703</v>
      </c>
      <c r="E371" s="1">
        <v>2.02955919911019</v>
      </c>
      <c r="F371" s="1">
        <v>0.43846674714825801</v>
      </c>
      <c r="G371" s="3" t="str">
        <f>"FAM129A"</f>
        <v>FAM129A</v>
      </c>
      <c r="H371" s="1">
        <v>116496</v>
      </c>
      <c r="I371" s="1" t="str">
        <f>"family with sequence similarity 129 member A"</f>
        <v>family with sequence similarity 129 member A</v>
      </c>
    </row>
    <row r="372" spans="1:9" x14ac:dyDescent="0.35">
      <c r="A372" s="1" t="str">
        <f>"218532_s_at"</f>
        <v>218532_s_at</v>
      </c>
      <c r="B372" s="2">
        <v>1.5836696648043101E-7</v>
      </c>
      <c r="C372" s="2">
        <v>9.4217197610001505E-10</v>
      </c>
      <c r="D372" s="1">
        <v>6.7333742999583803</v>
      </c>
      <c r="E372" s="1">
        <v>11.983038852228701</v>
      </c>
      <c r="F372" s="1">
        <v>0.82747432447383895</v>
      </c>
      <c r="G372" s="3" t="str">
        <f>"FAM134B"</f>
        <v>FAM134B</v>
      </c>
      <c r="H372" s="1">
        <v>54463</v>
      </c>
      <c r="I372" s="1" t="str">
        <f>"family with sequence similarity 134 member B"</f>
        <v>family with sequence similarity 134 member B</v>
      </c>
    </row>
    <row r="373" spans="1:9" x14ac:dyDescent="0.35">
      <c r="A373" s="1" t="str">
        <f>"202973_x_at"</f>
        <v>202973_x_at</v>
      </c>
      <c r="B373" s="2">
        <v>7.9175980640397897E-8</v>
      </c>
      <c r="C373" s="2">
        <v>3.9440532473563602E-10</v>
      </c>
      <c r="D373" s="1">
        <v>6.9145780592615997</v>
      </c>
      <c r="E373" s="1">
        <v>12.8197376583195</v>
      </c>
      <c r="F373" s="1">
        <v>0.72352405873256198</v>
      </c>
      <c r="G373" s="3" t="str">
        <f>"FAM13A"</f>
        <v>FAM13A</v>
      </c>
      <c r="H373" s="1">
        <v>10144</v>
      </c>
      <c r="I373" s="1" t="str">
        <f>"family with sequence similarity 13 member A"</f>
        <v>family with sequence similarity 13 member A</v>
      </c>
    </row>
    <row r="374" spans="1:9" x14ac:dyDescent="0.35">
      <c r="A374" s="1" t="str">
        <f>"220942_x_at"</f>
        <v>220942_x_at</v>
      </c>
      <c r="B374" s="2">
        <v>3.2550168390869701E-5</v>
      </c>
      <c r="C374" s="2">
        <v>7.04378997855849E-7</v>
      </c>
      <c r="D374" s="1">
        <v>5.2831953465434296</v>
      </c>
      <c r="E374" s="1">
        <v>5.6491349114449498</v>
      </c>
      <c r="F374" s="1">
        <v>0.33485200949127503</v>
      </c>
      <c r="G374" s="3" t="str">
        <f>"FAM162A"</f>
        <v>FAM162A</v>
      </c>
      <c r="H374" s="1">
        <v>26355</v>
      </c>
      <c r="I374" s="1" t="str">
        <f>"family with sequence similarity 162 member A"</f>
        <v>family with sequence similarity 162 member A</v>
      </c>
    </row>
    <row r="375" spans="1:9" x14ac:dyDescent="0.35">
      <c r="A375" s="1" t="str">
        <f>"218074_at"</f>
        <v>218074_at</v>
      </c>
      <c r="B375" s="1">
        <v>3.0392060236519299E-4</v>
      </c>
      <c r="C375" s="2">
        <v>1.0679434171877499E-5</v>
      </c>
      <c r="D375" s="1">
        <v>-4.62881902049799</v>
      </c>
      <c r="E375" s="1">
        <v>3.0690152024107</v>
      </c>
      <c r="F375" s="1">
        <v>-0.351519035956397</v>
      </c>
      <c r="G375" s="3" t="str">
        <f>"FAM96B"</f>
        <v>FAM96B</v>
      </c>
      <c r="H375" s="1">
        <v>51647</v>
      </c>
      <c r="I375" s="1" t="str">
        <f>"family with sequence similarity 96 member B"</f>
        <v>family with sequence similarity 96 member B</v>
      </c>
    </row>
    <row r="376" spans="1:9" x14ac:dyDescent="0.35">
      <c r="A376" s="1" t="str">
        <f>"209955_s_at"</f>
        <v>209955_s_at</v>
      </c>
      <c r="B376" s="2">
        <v>1.51136825367618E-5</v>
      </c>
      <c r="C376" s="2">
        <v>2.74296413243748E-7</v>
      </c>
      <c r="D376" s="1">
        <v>5.50021973556838</v>
      </c>
      <c r="E376" s="1">
        <v>6.5481953886873399</v>
      </c>
      <c r="F376" s="1">
        <v>0.37018545846801998</v>
      </c>
      <c r="G376" s="3" t="str">
        <f>"FAP"</f>
        <v>FAP</v>
      </c>
      <c r="H376" s="1">
        <v>2191</v>
      </c>
      <c r="I376" s="1" t="str">
        <f>"fibroblast activation protein alpha"</f>
        <v>fibroblast activation protein alpha</v>
      </c>
    </row>
    <row r="377" spans="1:9" x14ac:dyDescent="0.35">
      <c r="A377" s="1" t="str">
        <f>"212218_s_at"</f>
        <v>212218_s_at</v>
      </c>
      <c r="B377" s="1">
        <v>9.3899533949105905E-4</v>
      </c>
      <c r="C377" s="2">
        <v>4.3656562029921399E-5</v>
      </c>
      <c r="D377" s="1">
        <v>-4.2683364257773198</v>
      </c>
      <c r="E377" s="1">
        <v>1.74214090668197</v>
      </c>
      <c r="F377" s="1">
        <v>-0.75355808837354299</v>
      </c>
      <c r="G377" s="3" t="str">
        <f>"FASN"</f>
        <v>FASN</v>
      </c>
      <c r="H377" s="1">
        <v>2194</v>
      </c>
      <c r="I377" s="1" t="str">
        <f>"fatty acid synthase"</f>
        <v>fatty acid synthase</v>
      </c>
    </row>
    <row r="378" spans="1:9" x14ac:dyDescent="0.35">
      <c r="A378" s="1" t="str">
        <f>"219002_at"</f>
        <v>219002_at</v>
      </c>
      <c r="B378" s="1">
        <v>2.3772675003950498E-3</v>
      </c>
      <c r="C378" s="1">
        <v>1.4242481322207E-4</v>
      </c>
      <c r="D378" s="1">
        <v>3.9505196887245</v>
      </c>
      <c r="E378" s="1">
        <v>0.63483744536239195</v>
      </c>
      <c r="F378" s="1">
        <v>0.374384126447671</v>
      </c>
      <c r="G378" s="3" t="str">
        <f>"FASTKD1"</f>
        <v>FASTKD1</v>
      </c>
      <c r="H378" s="1">
        <v>79675</v>
      </c>
      <c r="I378" s="1" t="str">
        <f>"FAST kinase domains 1"</f>
        <v>FAST kinase domains 1</v>
      </c>
    </row>
    <row r="379" spans="1:9" x14ac:dyDescent="0.35">
      <c r="A379" s="1" t="str">
        <f>"202994_s_at"</f>
        <v>202994_s_at</v>
      </c>
      <c r="B379" s="2">
        <v>4.7739413715666003E-8</v>
      </c>
      <c r="C379" s="2">
        <v>2.1209899734555199E-10</v>
      </c>
      <c r="D379" s="1">
        <v>7.0426970886097902</v>
      </c>
      <c r="E379" s="1">
        <v>13.4160225043327</v>
      </c>
      <c r="F379" s="1">
        <v>0.79051770418604805</v>
      </c>
      <c r="G379" s="3" t="str">
        <f>"FBLN1"</f>
        <v>FBLN1</v>
      </c>
      <c r="H379" s="1">
        <v>2192</v>
      </c>
      <c r="I379" s="1" t="str">
        <f>"fibulin 1"</f>
        <v>fibulin 1</v>
      </c>
    </row>
    <row r="380" spans="1:9" x14ac:dyDescent="0.35">
      <c r="A380" s="1" t="str">
        <f>"203886_s_at"</f>
        <v>203886_s_at</v>
      </c>
      <c r="B380" s="2">
        <v>8.5018678560802608E-6</v>
      </c>
      <c r="C380" s="2">
        <v>1.3392072959135499E-7</v>
      </c>
      <c r="D380" s="1">
        <v>5.6624089376790501</v>
      </c>
      <c r="E380" s="1">
        <v>7.2327391601873998</v>
      </c>
      <c r="F380" s="1">
        <v>0.62262462337645097</v>
      </c>
      <c r="G380" s="3" t="str">
        <f>"FBLN2"</f>
        <v>FBLN2</v>
      </c>
      <c r="H380" s="1">
        <v>2199</v>
      </c>
      <c r="I380" s="1" t="str">
        <f>"fibulin 2"</f>
        <v>fibulin 2</v>
      </c>
    </row>
    <row r="381" spans="1:9" x14ac:dyDescent="0.35">
      <c r="A381" s="1" t="str">
        <f>"203088_at"</f>
        <v>203088_at</v>
      </c>
      <c r="B381" s="1">
        <v>4.7276849479460703E-2</v>
      </c>
      <c r="C381" s="1">
        <v>6.9151322964352401E-3</v>
      </c>
      <c r="D381" s="1">
        <v>2.7558990982383</v>
      </c>
      <c r="E381" s="1">
        <v>-2.9227636024897401</v>
      </c>
      <c r="F381" s="1">
        <v>0.33679371273255898</v>
      </c>
      <c r="G381" s="3" t="str">
        <f>"FBLN5"</f>
        <v>FBLN5</v>
      </c>
      <c r="H381" s="1">
        <v>10516</v>
      </c>
      <c r="I381" s="1" t="str">
        <f>"fibulin 5"</f>
        <v>fibulin 5</v>
      </c>
    </row>
    <row r="382" spans="1:9" x14ac:dyDescent="0.35">
      <c r="A382" s="1" t="str">
        <f>"202766_s_at"</f>
        <v>202766_s_at</v>
      </c>
      <c r="B382" s="2">
        <v>5.2136861441886598E-5</v>
      </c>
      <c r="C382" s="2">
        <v>1.23071350888266E-6</v>
      </c>
      <c r="D382" s="1">
        <v>5.1526095504985099</v>
      </c>
      <c r="E382" s="1">
        <v>5.1180189825537097</v>
      </c>
      <c r="F382" s="1">
        <v>0.59225591969767799</v>
      </c>
      <c r="G382" s="3" t="str">
        <f>"FBN1"</f>
        <v>FBN1</v>
      </c>
      <c r="H382" s="1">
        <v>2200</v>
      </c>
      <c r="I382" s="1" t="str">
        <f>"fibrillin 1"</f>
        <v>fibrillin 1</v>
      </c>
    </row>
    <row r="383" spans="1:9" x14ac:dyDescent="0.35">
      <c r="A383" s="1" t="str">
        <f>"212987_at"</f>
        <v>212987_at</v>
      </c>
      <c r="B383" s="2">
        <v>6.6425402582165102E-5</v>
      </c>
      <c r="C383" s="2">
        <v>1.67531644083727E-6</v>
      </c>
      <c r="D383" s="1">
        <v>5.0796855991942298</v>
      </c>
      <c r="E383" s="1">
        <v>4.8247902374341196</v>
      </c>
      <c r="F383" s="1">
        <v>0.44034107221220398</v>
      </c>
      <c r="G383" s="3" t="str">
        <f>"FBXO9"</f>
        <v>FBXO9</v>
      </c>
      <c r="H383" s="1">
        <v>26268</v>
      </c>
      <c r="I383" s="1" t="str">
        <f>"F-box protein 9"</f>
        <v>F-box protein 9</v>
      </c>
    </row>
    <row r="384" spans="1:9" x14ac:dyDescent="0.35">
      <c r="A384" s="1" t="str">
        <f>"204232_at"</f>
        <v>204232_at</v>
      </c>
      <c r="B384" s="1">
        <v>4.1465203917015497E-2</v>
      </c>
      <c r="C384" s="1">
        <v>5.8281658065831602E-3</v>
      </c>
      <c r="D384" s="1">
        <v>-2.8155594153420598</v>
      </c>
      <c r="E384" s="1">
        <v>-2.77002939016266</v>
      </c>
      <c r="F384" s="1">
        <v>-0.40760282062500103</v>
      </c>
      <c r="G384" s="3" t="str">
        <f>"FCER1G"</f>
        <v>FCER1G</v>
      </c>
      <c r="H384" s="1">
        <v>2207</v>
      </c>
      <c r="I384" s="1" t="str">
        <f>"Fc fragment of IgE receptor Ig"</f>
        <v>Fc fragment of IgE receptor Ig</v>
      </c>
    </row>
    <row r="385" spans="1:9" x14ac:dyDescent="0.35">
      <c r="A385" s="1" t="str">
        <f>"204006_s_at"</f>
        <v>204006_s_at</v>
      </c>
      <c r="B385" s="1">
        <v>1.0525187462140399E-3</v>
      </c>
      <c r="C385" s="2">
        <v>5.0557398655373799E-5</v>
      </c>
      <c r="D385" s="1">
        <v>-4.2297085969481998</v>
      </c>
      <c r="E385" s="1">
        <v>1.60432653875063</v>
      </c>
      <c r="F385" s="1">
        <v>-0.49971138440552298</v>
      </c>
      <c r="G385" s="3" t="str">
        <f>"FCGR3B"</f>
        <v>FCGR3B</v>
      </c>
      <c r="H385" s="1">
        <v>2215</v>
      </c>
      <c r="I385" s="1" t="str">
        <f>"Fc fragment of IgG receptor IIIb///Fc fragment of IgG receptor IIIa"</f>
        <v>Fc fragment of IgG receptor IIIb///Fc fragment of IgG receptor IIIa</v>
      </c>
    </row>
    <row r="386" spans="1:9" x14ac:dyDescent="0.35">
      <c r="A386" s="1" t="str">
        <f>"205866_at"</f>
        <v>205866_at</v>
      </c>
      <c r="B386" s="2">
        <v>1.08449477216278E-10</v>
      </c>
      <c r="C386" s="2">
        <v>1.35008142049335E-13</v>
      </c>
      <c r="D386" s="1">
        <v>-8.5194819850719092</v>
      </c>
      <c r="E386" s="1">
        <v>20.498684565516299</v>
      </c>
      <c r="F386" s="1">
        <v>-1.1844190141337201</v>
      </c>
      <c r="G386" s="3" t="str">
        <f>"FCN3"</f>
        <v>FCN3</v>
      </c>
      <c r="H386" s="1">
        <v>8547</v>
      </c>
      <c r="I386" s="1" t="str">
        <f>"ficolin 3"</f>
        <v>ficolin 3</v>
      </c>
    </row>
    <row r="387" spans="1:9" x14ac:dyDescent="0.35">
      <c r="A387" s="1" t="str">
        <f>"208647_at"</f>
        <v>208647_at</v>
      </c>
      <c r="B387" s="1">
        <v>3.6339333989184902E-2</v>
      </c>
      <c r="C387" s="1">
        <v>4.90873739206778E-3</v>
      </c>
      <c r="D387" s="1">
        <v>2.8745847620699698</v>
      </c>
      <c r="E387" s="1">
        <v>-2.6161727080740498</v>
      </c>
      <c r="F387" s="1">
        <v>0.322608351642442</v>
      </c>
      <c r="G387" s="3" t="str">
        <f>"FDFT1"</f>
        <v>FDFT1</v>
      </c>
      <c r="H387" s="1">
        <v>2222</v>
      </c>
      <c r="I387" s="1" t="str">
        <f>"farnesyl-diphosphate farnesyltransferase 1"</f>
        <v>farnesyl-diphosphate farnesyltransferase 1</v>
      </c>
    </row>
    <row r="388" spans="1:9" x14ac:dyDescent="0.35">
      <c r="A388" s="1" t="str">
        <f>"212373_at"</f>
        <v>212373_at</v>
      </c>
      <c r="B388" s="1">
        <v>1.11014127015522E-2</v>
      </c>
      <c r="C388" s="1">
        <v>1.0272904452093799E-3</v>
      </c>
      <c r="D388" s="1">
        <v>-3.3785426014273798</v>
      </c>
      <c r="E388" s="1">
        <v>-1.19512024714003</v>
      </c>
      <c r="F388" s="1">
        <v>-0.32294080670494202</v>
      </c>
      <c r="G388" s="3" t="str">
        <f>"FEM1B"</f>
        <v>FEM1B</v>
      </c>
      <c r="H388" s="1">
        <v>10116</v>
      </c>
      <c r="I388" s="1" t="str">
        <f>"fem-1 homolog B"</f>
        <v>fem-1 homolog B</v>
      </c>
    </row>
    <row r="389" spans="1:9" x14ac:dyDescent="0.35">
      <c r="A389" s="1" t="str">
        <f>"209210_s_at"</f>
        <v>209210_s_at</v>
      </c>
      <c r="B389" s="1">
        <v>4.4223479418782196E-3</v>
      </c>
      <c r="C389" s="1">
        <v>3.15159023995988E-4</v>
      </c>
      <c r="D389" s="1">
        <v>-3.7275772120161901</v>
      </c>
      <c r="E389" s="1">
        <v>-0.104338935002843</v>
      </c>
      <c r="F389" s="1">
        <v>-0.338755826893893</v>
      </c>
      <c r="G389" s="3" t="str">
        <f>"FERMT2"</f>
        <v>FERMT2</v>
      </c>
      <c r="H389" s="1">
        <v>10979</v>
      </c>
      <c r="I389" s="1" t="str">
        <f>"fermitin family member 2"</f>
        <v>fermitin family member 2</v>
      </c>
    </row>
    <row r="390" spans="1:9" x14ac:dyDescent="0.35">
      <c r="A390" s="1" t="str">
        <f>"205117_at"</f>
        <v>205117_at</v>
      </c>
      <c r="B390" s="2">
        <v>9.1280594204231502E-11</v>
      </c>
      <c r="C390" s="2">
        <v>9.8314152533391201E-14</v>
      </c>
      <c r="D390" s="1">
        <v>8.5818917555649392</v>
      </c>
      <c r="E390" s="1">
        <v>20.804026998178099</v>
      </c>
      <c r="F390" s="1">
        <v>0.74343905530087395</v>
      </c>
      <c r="G390" s="3" t="str">
        <f>"FGF1"</f>
        <v>FGF1</v>
      </c>
      <c r="H390" s="1">
        <v>2246</v>
      </c>
      <c r="I390" s="1" t="str">
        <f>"fibroblast growth factor 1"</f>
        <v>fibroblast growth factor 1</v>
      </c>
    </row>
    <row r="391" spans="1:9" x14ac:dyDescent="0.35">
      <c r="A391" s="1" t="str">
        <f>"207501_s_at"</f>
        <v>207501_s_at</v>
      </c>
      <c r="B391" s="1">
        <v>3.1646850899071398E-2</v>
      </c>
      <c r="C391" s="1">
        <v>4.0533192328658504E-3</v>
      </c>
      <c r="D391" s="1">
        <v>2.9394393221545201</v>
      </c>
      <c r="E391" s="1">
        <v>-2.4440016345400699</v>
      </c>
      <c r="F391" s="1">
        <v>0.56991291170784197</v>
      </c>
      <c r="G391" s="3" t="str">
        <f>"FGF12"</f>
        <v>FGF12</v>
      </c>
      <c r="H391" s="1">
        <v>2257</v>
      </c>
      <c r="I391" s="1" t="str">
        <f>"fibroblast growth factor 12"</f>
        <v>fibroblast growth factor 12</v>
      </c>
    </row>
    <row r="392" spans="1:9" x14ac:dyDescent="0.35">
      <c r="A392" s="1" t="str">
        <f>"208438_s_at"</f>
        <v>208438_s_at</v>
      </c>
      <c r="B392" s="1">
        <v>9.861629016876209E-4</v>
      </c>
      <c r="C392" s="2">
        <v>4.657302482057E-5</v>
      </c>
      <c r="D392" s="1">
        <v>-4.2513417236796904</v>
      </c>
      <c r="E392" s="1">
        <v>1.6814005884507399</v>
      </c>
      <c r="F392" s="1">
        <v>-0.30459407546947898</v>
      </c>
      <c r="G392" s="3" t="str">
        <f>"FGR"</f>
        <v>FGR</v>
      </c>
      <c r="H392" s="1">
        <v>2268</v>
      </c>
      <c r="I392" s="1" t="str">
        <f>"FGR proto-oncogene, Src family tyrosine kinase"</f>
        <v>FGR proto-oncogene, Src family tyrosine kinase</v>
      </c>
    </row>
    <row r="393" spans="1:9" x14ac:dyDescent="0.35">
      <c r="A393" s="1" t="str">
        <f>"210299_s_at"</f>
        <v>210299_s_at</v>
      </c>
      <c r="B393" s="1">
        <v>3.5781614767235802E-3</v>
      </c>
      <c r="C393" s="1">
        <v>2.4215175276664499E-4</v>
      </c>
      <c r="D393" s="1">
        <v>-3.80248150034824</v>
      </c>
      <c r="E393" s="1">
        <v>0.14042991780786199</v>
      </c>
      <c r="F393" s="1">
        <v>-0.74197096906105398</v>
      </c>
      <c r="G393" s="3" t="str">
        <f>"FHL1"</f>
        <v>FHL1</v>
      </c>
      <c r="H393" s="1">
        <v>2273</v>
      </c>
      <c r="I393" s="1" t="str">
        <f>"four and a half LIM domains 1"</f>
        <v>four and a half LIM domains 1</v>
      </c>
    </row>
    <row r="394" spans="1:9" x14ac:dyDescent="0.35">
      <c r="A394" s="1" t="str">
        <f>"202949_s_at"</f>
        <v>202949_s_at</v>
      </c>
      <c r="B394" s="1">
        <v>6.8549562008937401E-2</v>
      </c>
      <c r="C394" s="1">
        <v>1.1314692324591501E-2</v>
      </c>
      <c r="D394" s="1">
        <v>2.5788459070999399</v>
      </c>
      <c r="E394" s="1">
        <v>-3.3593285091134901</v>
      </c>
      <c r="F394" s="1">
        <v>0.33427629445347901</v>
      </c>
      <c r="G394" s="3" t="str">
        <f>"FHL2"</f>
        <v>FHL2</v>
      </c>
      <c r="H394" s="1">
        <v>2274</v>
      </c>
      <c r="I394" s="1" t="str">
        <f>"four and a half LIM domains 2"</f>
        <v>four and a half LIM domains 2</v>
      </c>
    </row>
    <row r="395" spans="1:9" x14ac:dyDescent="0.35">
      <c r="A395" s="1" t="str">
        <f>"218980_at"</f>
        <v>218980_at</v>
      </c>
      <c r="B395" s="2">
        <v>1.18338883707746E-7</v>
      </c>
      <c r="C395" s="2">
        <v>6.5321916690089904E-10</v>
      </c>
      <c r="D395" s="1">
        <v>6.8097924860276304</v>
      </c>
      <c r="E395" s="1">
        <v>12.334911466377401</v>
      </c>
      <c r="F395" s="1">
        <v>0.73633803827906497</v>
      </c>
      <c r="G395" s="3" t="str">
        <f>"FHOD3"</f>
        <v>FHOD3</v>
      </c>
      <c r="H395" s="1">
        <v>80206</v>
      </c>
      <c r="I395" s="1" t="str">
        <f>"formin homology 2 domain containing 3"</f>
        <v>formin homology 2 domain containing 3</v>
      </c>
    </row>
    <row r="396" spans="1:9" x14ac:dyDescent="0.35">
      <c r="A396" s="1" t="str">
        <f>"219117_s_at"</f>
        <v>219117_s_at</v>
      </c>
      <c r="B396" s="1">
        <v>7.1073642935805703E-2</v>
      </c>
      <c r="C396" s="1">
        <v>1.1916309743219999E-2</v>
      </c>
      <c r="D396" s="1">
        <v>-2.55972637932333</v>
      </c>
      <c r="E396" s="1">
        <v>-3.40495732022096</v>
      </c>
      <c r="F396" s="1">
        <v>-0.30354936773691799</v>
      </c>
      <c r="G396" s="3" t="str">
        <f>"FKBP11"</f>
        <v>FKBP11</v>
      </c>
      <c r="H396" s="1">
        <v>51303</v>
      </c>
      <c r="I396" s="1" t="str">
        <f>"FK506 binding protein 11"</f>
        <v>FK506 binding protein 11</v>
      </c>
    </row>
    <row r="397" spans="1:9" x14ac:dyDescent="0.35">
      <c r="A397" s="1" t="str">
        <f>"200894_s_at"</f>
        <v>200894_s_at</v>
      </c>
      <c r="B397" s="2">
        <v>4.0079736224214902E-6</v>
      </c>
      <c r="C397" s="2">
        <v>5.61184656552307E-8</v>
      </c>
      <c r="D397" s="1">
        <v>-5.85626798941811</v>
      </c>
      <c r="E397" s="1">
        <v>8.0642648317903198</v>
      </c>
      <c r="F397" s="1">
        <v>-0.51639161980959303</v>
      </c>
      <c r="G397" s="3" t="str">
        <f>"FKBP4"</f>
        <v>FKBP4</v>
      </c>
      <c r="H397" s="1">
        <v>2288</v>
      </c>
      <c r="I397" s="1" t="str">
        <f>"FK506 binding protein 4"</f>
        <v>FK506 binding protein 4</v>
      </c>
    </row>
    <row r="398" spans="1:9" x14ac:dyDescent="0.35">
      <c r="A398" s="1" t="str">
        <f>"204560_at"</f>
        <v>204560_at</v>
      </c>
      <c r="B398" s="2">
        <v>3.2467869190069299E-10</v>
      </c>
      <c r="C398" s="2">
        <v>5.2454485071242503E-13</v>
      </c>
      <c r="D398" s="1">
        <v>-8.2515924404504499</v>
      </c>
      <c r="E398" s="1">
        <v>19.192045602623299</v>
      </c>
      <c r="F398" s="1">
        <v>-1.6050066412456401</v>
      </c>
      <c r="G398" s="3" t="str">
        <f>"FKBP5"</f>
        <v>FKBP5</v>
      </c>
      <c r="H398" s="1">
        <v>2289</v>
      </c>
      <c r="I398" s="1" t="str">
        <f>"FK506 binding protein 5"</f>
        <v>FK506 binding protein 5</v>
      </c>
    </row>
    <row r="399" spans="1:9" x14ac:dyDescent="0.35">
      <c r="A399" s="1" t="str">
        <f>"212169_at"</f>
        <v>212169_at</v>
      </c>
      <c r="B399" s="2">
        <v>7.5154291553032802E-7</v>
      </c>
      <c r="C399" s="2">
        <v>6.5430743442482401E-9</v>
      </c>
      <c r="D399" s="1">
        <v>6.3235880532695496</v>
      </c>
      <c r="E399" s="1">
        <v>10.1228753572735</v>
      </c>
      <c r="F399" s="1">
        <v>0.41320516878633401</v>
      </c>
      <c r="G399" s="3" t="str">
        <f>"FKBP9"</f>
        <v>FKBP9</v>
      </c>
      <c r="H399" s="1">
        <v>11328</v>
      </c>
      <c r="I399" s="1" t="str">
        <f>"FK506 binding protein 9"</f>
        <v>FK506 binding protein 9</v>
      </c>
    </row>
    <row r="400" spans="1:9" x14ac:dyDescent="0.35">
      <c r="A400" s="1" t="str">
        <f>"212025_s_at"</f>
        <v>212025_s_at</v>
      </c>
      <c r="B400" s="2">
        <v>6.4767367550039095E-5</v>
      </c>
      <c r="C400" s="2">
        <v>1.62477935917389E-6</v>
      </c>
      <c r="D400" s="1">
        <v>-5.0869530918413703</v>
      </c>
      <c r="E400" s="1">
        <v>4.85390258617499</v>
      </c>
      <c r="F400" s="1">
        <v>-0.473710577578486</v>
      </c>
      <c r="G400" s="3" t="str">
        <f>"FLII"</f>
        <v>FLII</v>
      </c>
      <c r="H400" s="1">
        <v>2314</v>
      </c>
      <c r="I400" s="1" t="str">
        <f>"FLII, actin remodeling protein"</f>
        <v>FLII, actin remodeling protein</v>
      </c>
    </row>
    <row r="401" spans="1:9" x14ac:dyDescent="0.35">
      <c r="A401" s="1" t="str">
        <f>"207876_s_at"</f>
        <v>207876_s_at</v>
      </c>
      <c r="B401" s="2">
        <v>2.0344814741829002E-8</v>
      </c>
      <c r="C401" s="2">
        <v>7.0302505727273296E-11</v>
      </c>
      <c r="D401" s="1">
        <v>-7.2689789281025101</v>
      </c>
      <c r="E401" s="1">
        <v>14.477913574395499</v>
      </c>
      <c r="F401" s="1">
        <v>-1.16442409497965</v>
      </c>
      <c r="G401" s="3" t="str">
        <f>"FLNC"</f>
        <v>FLNC</v>
      </c>
      <c r="H401" s="1">
        <v>2318</v>
      </c>
      <c r="I401" s="1" t="str">
        <f>"filamin C"</f>
        <v>filamin C</v>
      </c>
    </row>
    <row r="402" spans="1:9" x14ac:dyDescent="0.35">
      <c r="A402" s="1" t="str">
        <f>"202709_at"</f>
        <v>202709_at</v>
      </c>
      <c r="B402" s="2">
        <v>1.49307248211195E-5</v>
      </c>
      <c r="C402" s="2">
        <v>2.68690062077321E-7</v>
      </c>
      <c r="D402" s="1">
        <v>5.5049236400142298</v>
      </c>
      <c r="E402" s="1">
        <v>6.5679002721656303</v>
      </c>
      <c r="F402" s="1">
        <v>0.64383897383140398</v>
      </c>
      <c r="G402" s="3" t="str">
        <f>"FMOD"</f>
        <v>FMOD</v>
      </c>
      <c r="H402" s="1">
        <v>2331</v>
      </c>
      <c r="I402" s="1" t="str">
        <f>"fibromodulin"</f>
        <v>fibromodulin</v>
      </c>
    </row>
    <row r="403" spans="1:9" x14ac:dyDescent="0.35">
      <c r="A403" s="1" t="str">
        <f>"215245_x_at"</f>
        <v>215245_x_at</v>
      </c>
      <c r="B403" s="1">
        <v>6.5816331651606205E-2</v>
      </c>
      <c r="C403" s="1">
        <v>1.0712030170756E-2</v>
      </c>
      <c r="D403" s="1">
        <v>2.59893978131042</v>
      </c>
      <c r="E403" s="1">
        <v>-3.3110536594645499</v>
      </c>
      <c r="F403" s="1">
        <v>0.34314446180232699</v>
      </c>
      <c r="G403" s="3" t="str">
        <f>"FMR1"</f>
        <v>FMR1</v>
      </c>
      <c r="H403" s="1">
        <v>2332</v>
      </c>
      <c r="I403" s="1" t="str">
        <f>"fragile X mental retardation 1"</f>
        <v>fragile X mental retardation 1</v>
      </c>
    </row>
    <row r="404" spans="1:9" x14ac:dyDescent="0.35">
      <c r="A404" s="1" t="str">
        <f>"215017_s_at"</f>
        <v>215017_s_at</v>
      </c>
      <c r="B404" s="1">
        <v>4.5689808513185097E-2</v>
      </c>
      <c r="C404" s="1">
        <v>6.6229000357935601E-3</v>
      </c>
      <c r="D404" s="1">
        <v>2.7710470797925399</v>
      </c>
      <c r="E404" s="1">
        <v>-2.884249792022</v>
      </c>
      <c r="F404" s="1">
        <v>0.324696760110463</v>
      </c>
      <c r="G404" s="3" t="str">
        <f>"FNBP1L"</f>
        <v>FNBP1L</v>
      </c>
      <c r="H404" s="1">
        <v>54874</v>
      </c>
      <c r="I404" s="1" t="str">
        <f>"formin binding protein 1 like"</f>
        <v>formin binding protein 1 like</v>
      </c>
    </row>
    <row r="405" spans="1:9" x14ac:dyDescent="0.35">
      <c r="A405" s="1" t="str">
        <f>"209189_at"</f>
        <v>209189_at</v>
      </c>
      <c r="B405" s="1">
        <v>7.2262908280628604E-2</v>
      </c>
      <c r="C405" s="1">
        <v>1.21935347635042E-2</v>
      </c>
      <c r="D405" s="1">
        <v>-2.5512068931069001</v>
      </c>
      <c r="E405" s="1">
        <v>-3.4251930163088899</v>
      </c>
      <c r="F405" s="1">
        <v>-0.62852731877035195</v>
      </c>
      <c r="G405" s="3" t="str">
        <f>"FOS"</f>
        <v>FOS</v>
      </c>
      <c r="H405" s="1">
        <v>2353</v>
      </c>
      <c r="I405" s="1" t="str">
        <f>"Fos proto-oncogene, AP-1 transcription factor subunit"</f>
        <v>Fos proto-oncogene, AP-1 transcription factor subunit</v>
      </c>
    </row>
    <row r="406" spans="1:9" x14ac:dyDescent="0.35">
      <c r="A406" s="1" t="str">
        <f>"204420_at"</f>
        <v>204420_at</v>
      </c>
      <c r="B406" s="2">
        <v>1.20424932985865E-6</v>
      </c>
      <c r="C406" s="2">
        <v>1.2105724089590201E-8</v>
      </c>
      <c r="D406" s="1">
        <v>-6.1913280814133103</v>
      </c>
      <c r="E406" s="1">
        <v>9.5329835340057798</v>
      </c>
      <c r="F406" s="1">
        <v>-0.83377915185028895</v>
      </c>
      <c r="G406" s="3" t="str">
        <f>"FOSL1"</f>
        <v>FOSL1</v>
      </c>
      <c r="H406" s="1">
        <v>8061</v>
      </c>
      <c r="I406" s="1" t="str">
        <f>"FOS like 1, AP-1 transcription factor subunit"</f>
        <v>FOS like 1, AP-1 transcription factor subunit</v>
      </c>
    </row>
    <row r="407" spans="1:9" x14ac:dyDescent="0.35">
      <c r="A407" s="1" t="str">
        <f>"218880_at"</f>
        <v>218880_at</v>
      </c>
      <c r="B407" s="1">
        <v>1.56805139033648E-2</v>
      </c>
      <c r="C407" s="1">
        <v>1.5952845226822299E-3</v>
      </c>
      <c r="D407" s="1">
        <v>-3.24220708881312</v>
      </c>
      <c r="E407" s="1">
        <v>-1.59805698816192</v>
      </c>
      <c r="F407" s="1">
        <v>-0.30408439868458997</v>
      </c>
      <c r="G407" s="3" t="str">
        <f>"FOSL2"</f>
        <v>FOSL2</v>
      </c>
      <c r="H407" s="1">
        <v>2355</v>
      </c>
      <c r="I407" s="1" t="str">
        <f>"FOS like 2, AP-1 transcription factor subunit"</f>
        <v>FOS like 2, AP-1 transcription factor subunit</v>
      </c>
    </row>
    <row r="408" spans="1:9" x14ac:dyDescent="0.35">
      <c r="A408" s="1" t="str">
        <f>"210655_s_at"</f>
        <v>210655_s_at</v>
      </c>
      <c r="B408" s="1">
        <v>4.2616925277074898E-2</v>
      </c>
      <c r="C408" s="1">
        <v>6.0474225968725403E-3</v>
      </c>
      <c r="D408" s="1">
        <v>-2.8027504944413799</v>
      </c>
      <c r="E408" s="1">
        <v>-2.80305737291182</v>
      </c>
      <c r="F408" s="1">
        <v>-0.33920447620494198</v>
      </c>
      <c r="G408" s="3" t="str">
        <f>"FOXO3B"</f>
        <v>FOXO3B</v>
      </c>
      <c r="H408" s="1">
        <v>2310</v>
      </c>
      <c r="I408" s="1" t="str">
        <f>"forkhead box O3B pseudogene///forkhead box O3"</f>
        <v>forkhead box O3B pseudogene///forkhead box O3</v>
      </c>
    </row>
    <row r="409" spans="1:9" x14ac:dyDescent="0.35">
      <c r="A409" s="1" t="str">
        <f>"220415_at"</f>
        <v>220415_at</v>
      </c>
      <c r="B409" s="2">
        <v>8.1992625766983394E-5</v>
      </c>
      <c r="C409" s="2">
        <v>2.1415297848756599E-6</v>
      </c>
      <c r="D409" s="1">
        <v>5.0212282655343801</v>
      </c>
      <c r="E409" s="1">
        <v>4.5915206487692801</v>
      </c>
      <c r="F409" s="1">
        <v>0.71584933969476505</v>
      </c>
      <c r="G409" s="3" t="str">
        <f>"FPGT-TNNI3K"</f>
        <v>FPGT-TNNI3K</v>
      </c>
      <c r="H409" s="1">
        <v>100526835</v>
      </c>
      <c r="I409" s="1" t="str">
        <f>"FPGT-TNNI3K readthrough///TNNI3 interacting kinase"</f>
        <v>FPGT-TNNI3K readthrough///TNNI3 interacting kinase</v>
      </c>
    </row>
    <row r="410" spans="1:9" x14ac:dyDescent="0.35">
      <c r="A410" s="1" t="str">
        <f>"205119_s_at"</f>
        <v>205119_s_at</v>
      </c>
      <c r="B410" s="2">
        <v>4.13052913935491E-5</v>
      </c>
      <c r="C410" s="2">
        <v>9.3239516990329903E-7</v>
      </c>
      <c r="D410" s="1">
        <v>-5.2177827170106097</v>
      </c>
      <c r="E410" s="1">
        <v>5.3821366200785503</v>
      </c>
      <c r="F410" s="1">
        <v>-0.45761564704360302</v>
      </c>
      <c r="G410" s="3" t="str">
        <f>"FPR1"</f>
        <v>FPR1</v>
      </c>
      <c r="H410" s="1">
        <v>2357</v>
      </c>
      <c r="I410" s="1" t="str">
        <f>"formyl peptide receptor 1"</f>
        <v>formyl peptide receptor 1</v>
      </c>
    </row>
    <row r="411" spans="1:9" x14ac:dyDescent="0.35">
      <c r="A411" s="1" t="str">
        <f>"213056_at"</f>
        <v>213056_at</v>
      </c>
      <c r="B411" s="1">
        <v>1.09587954266478E-3</v>
      </c>
      <c r="C411" s="2">
        <v>5.33603780366775E-5</v>
      </c>
      <c r="D411" s="1">
        <v>4.2154510913964103</v>
      </c>
      <c r="E411" s="1">
        <v>1.55368047174712</v>
      </c>
      <c r="F411" s="1">
        <v>0.38130202969767402</v>
      </c>
      <c r="G411" s="3" t="str">
        <f>"FRMD4B"</f>
        <v>FRMD4B</v>
      </c>
      <c r="H411" s="1">
        <v>23150</v>
      </c>
      <c r="I411" s="1" t="str">
        <f>"FERM domain containing 4B"</f>
        <v>FERM domain containing 4B</v>
      </c>
    </row>
    <row r="412" spans="1:9" x14ac:dyDescent="0.35">
      <c r="A412" s="1" t="str">
        <f>"203697_at"</f>
        <v>203697_at</v>
      </c>
      <c r="B412" s="2">
        <v>3.0710329624386799E-10</v>
      </c>
      <c r="C412" s="2">
        <v>4.8236841397187903E-13</v>
      </c>
      <c r="D412" s="1">
        <v>8.2681802665980904</v>
      </c>
      <c r="E412" s="1">
        <v>19.272746355648302</v>
      </c>
      <c r="F412" s="1">
        <v>1.01266311545203</v>
      </c>
      <c r="G412" s="3" t="str">
        <f>"FRZB"</f>
        <v>FRZB</v>
      </c>
      <c r="H412" s="1">
        <v>2487</v>
      </c>
      <c r="I412" s="1" t="str">
        <f>"frizzled-related protein"</f>
        <v>frizzled-related protein</v>
      </c>
    </row>
    <row r="413" spans="1:9" x14ac:dyDescent="0.35">
      <c r="A413" s="1" t="str">
        <f>"210933_s_at"</f>
        <v>210933_s_at</v>
      </c>
      <c r="B413" s="1">
        <v>3.510798402892E-3</v>
      </c>
      <c r="C413" s="1">
        <v>2.3649007776066499E-4</v>
      </c>
      <c r="D413" s="1">
        <v>3.8091593170534899</v>
      </c>
      <c r="E413" s="1">
        <v>0.16242910331122901</v>
      </c>
      <c r="F413" s="1">
        <v>0.31618706550145298</v>
      </c>
      <c r="G413" s="3" t="str">
        <f>"FSCN1"</f>
        <v>FSCN1</v>
      </c>
      <c r="H413" s="1">
        <v>6624</v>
      </c>
      <c r="I413" s="1" t="str">
        <f>"fascin actin-bundling protein 1"</f>
        <v>fascin actin-bundling protein 1</v>
      </c>
    </row>
    <row r="414" spans="1:9" x14ac:dyDescent="0.35">
      <c r="A414" s="1" t="str">
        <f>"213187_x_at"</f>
        <v>213187_x_at</v>
      </c>
      <c r="B414" s="1">
        <v>2.04969997758211E-2</v>
      </c>
      <c r="C414" s="1">
        <v>2.2720275297885501E-3</v>
      </c>
      <c r="D414" s="1">
        <v>-3.1297686877310502</v>
      </c>
      <c r="E414" s="1">
        <v>-1.9202025592563201</v>
      </c>
      <c r="F414" s="1">
        <v>-0.49523872188372298</v>
      </c>
      <c r="G414" s="3" t="str">
        <f>"FTL"</f>
        <v>FTL</v>
      </c>
      <c r="H414" s="1">
        <v>2512</v>
      </c>
      <c r="I414" s="1" t="str">
        <f>"ferritin light chain"</f>
        <v>ferritin light chain</v>
      </c>
    </row>
    <row r="415" spans="1:9" x14ac:dyDescent="0.35">
      <c r="A415" s="1" t="str">
        <f>"209702_at"</f>
        <v>209702_at</v>
      </c>
      <c r="B415" s="2">
        <v>1.1624180044972801E-8</v>
      </c>
      <c r="C415" s="2">
        <v>3.2343004208962603E-11</v>
      </c>
      <c r="D415" s="1">
        <v>7.4268466564143596</v>
      </c>
      <c r="E415" s="1">
        <v>15.224822253736001</v>
      </c>
      <c r="F415" s="1">
        <v>0.31470384777761301</v>
      </c>
      <c r="G415" s="3" t="str">
        <f>"FTO"</f>
        <v>FTO</v>
      </c>
      <c r="H415" s="1">
        <v>79068</v>
      </c>
      <c r="I415" s="1" t="str">
        <f>"fat mass and obesity associated"</f>
        <v>fat mass and obesity associated</v>
      </c>
    </row>
    <row r="416" spans="1:9" x14ac:dyDescent="0.35">
      <c r="A416" s="1" t="str">
        <f>"205324_s_at"</f>
        <v>205324_s_at</v>
      </c>
      <c r="B416" s="1">
        <v>3.1563303888268901E-4</v>
      </c>
      <c r="C416" s="2">
        <v>1.12468084581454E-5</v>
      </c>
      <c r="D416" s="1">
        <v>-4.6158651879203898</v>
      </c>
      <c r="E416" s="1">
        <v>3.0201005850467699</v>
      </c>
      <c r="F416" s="1">
        <v>-0.35249733112209503</v>
      </c>
      <c r="G416" s="3" t="str">
        <f>"FTSJ1"</f>
        <v>FTSJ1</v>
      </c>
      <c r="H416" s="1">
        <v>24140</v>
      </c>
      <c r="I416" s="1" t="str">
        <f>"FtsJ RNA methyltransferase homolog 1 (E. coli)"</f>
        <v>FtsJ RNA methyltransferase homolog 1 (E. coli)</v>
      </c>
    </row>
    <row r="417" spans="1:9" x14ac:dyDescent="0.35">
      <c r="A417" s="1" t="str">
        <f>"202838_at"</f>
        <v>202838_at</v>
      </c>
      <c r="B417" s="1">
        <v>6.0451089460408195E-4</v>
      </c>
      <c r="C417" s="2">
        <v>2.5067004739674699E-5</v>
      </c>
      <c r="D417" s="1">
        <v>4.4124802503706899</v>
      </c>
      <c r="E417" s="1">
        <v>2.2640110617319</v>
      </c>
      <c r="F417" s="1">
        <v>0.35179460113953498</v>
      </c>
      <c r="G417" s="3" t="str">
        <f>"FUCA1"</f>
        <v>FUCA1</v>
      </c>
      <c r="H417" s="1">
        <v>2517</v>
      </c>
      <c r="I417" s="1" t="str">
        <f>"fucosidase, alpha-L- 1, tissue"</f>
        <v>fucosidase, alpha-L- 1, tissue</v>
      </c>
    </row>
    <row r="418" spans="1:9" x14ac:dyDescent="0.35">
      <c r="A418" s="1" t="str">
        <f>"205384_at"</f>
        <v>205384_at</v>
      </c>
      <c r="B418" s="2">
        <v>6.3689118149369201E-5</v>
      </c>
      <c r="C418" s="2">
        <v>1.58915539608891E-6</v>
      </c>
      <c r="D418" s="1">
        <v>5.0922096717896999</v>
      </c>
      <c r="E418" s="1">
        <v>4.8749748813462697</v>
      </c>
      <c r="F418" s="1">
        <v>0.52299797755087396</v>
      </c>
      <c r="G418" s="3" t="str">
        <f>"FXYD1"</f>
        <v>FXYD1</v>
      </c>
      <c r="H418" s="1">
        <v>5348</v>
      </c>
      <c r="I418" s="1" t="str">
        <f>"FXYD domain containing ion transport regulator 1"</f>
        <v>FXYD domain containing ion transport regulator 1</v>
      </c>
    </row>
    <row r="419" spans="1:9" x14ac:dyDescent="0.35">
      <c r="A419" s="1" t="str">
        <f>"217897_at"</f>
        <v>217897_at</v>
      </c>
      <c r="B419" s="2">
        <v>4.2416386010726203E-6</v>
      </c>
      <c r="C419" s="2">
        <v>6.0151586318671201E-8</v>
      </c>
      <c r="D419" s="1">
        <v>5.8409086656241902</v>
      </c>
      <c r="E419" s="1">
        <v>7.9978751772517596</v>
      </c>
      <c r="F419" s="1">
        <v>0.468019672665697</v>
      </c>
      <c r="G419" s="3" t="str">
        <f>"FXYD6"</f>
        <v>FXYD6</v>
      </c>
      <c r="H419" s="1">
        <v>53826</v>
      </c>
      <c r="I419" s="1" t="str">
        <f>"FXYD domain containing ion transport regulator 6"</f>
        <v>FXYD domain containing ion transport regulator 6</v>
      </c>
    </row>
    <row r="420" spans="1:9" x14ac:dyDescent="0.35">
      <c r="A420" s="1" t="str">
        <f>"218204_s_at"</f>
        <v>218204_s_at</v>
      </c>
      <c r="B420" s="1">
        <v>1.3426206875129601E-4</v>
      </c>
      <c r="C420" s="2">
        <v>3.9164540092600798E-6</v>
      </c>
      <c r="D420" s="1">
        <v>4.8758873255397503</v>
      </c>
      <c r="E420" s="1">
        <v>4.0186379059434696</v>
      </c>
      <c r="F420" s="1">
        <v>0.47605449009156797</v>
      </c>
      <c r="G420" s="3" t="str">
        <f>"FYCO1"</f>
        <v>FYCO1</v>
      </c>
      <c r="H420" s="1">
        <v>79443</v>
      </c>
      <c r="I420" s="1" t="str">
        <f>"FYVE and coiled-coil domain containing 1"</f>
        <v>FYVE and coiled-coil domain containing 1</v>
      </c>
    </row>
    <row r="421" spans="1:9" x14ac:dyDescent="0.35">
      <c r="A421" s="1" t="str">
        <f>"204451_at"</f>
        <v>204451_at</v>
      </c>
      <c r="B421" s="1">
        <v>1.2168447571610801E-3</v>
      </c>
      <c r="C421" s="2">
        <v>6.0834046559145801E-5</v>
      </c>
      <c r="D421" s="1">
        <v>4.1806906800109198</v>
      </c>
      <c r="E421" s="1">
        <v>1.43070645911974</v>
      </c>
      <c r="F421" s="1">
        <v>0.469128794136627</v>
      </c>
      <c r="G421" s="3" t="str">
        <f>"FZD1"</f>
        <v>FZD1</v>
      </c>
      <c r="H421" s="1">
        <v>8321</v>
      </c>
      <c r="I421" s="1" t="str">
        <f>"frizzled class receptor 1"</f>
        <v>frizzled class receptor 1</v>
      </c>
    </row>
    <row r="422" spans="1:9" x14ac:dyDescent="0.35">
      <c r="A422" s="1" t="str">
        <f>"203706_s_at"</f>
        <v>203706_s_at</v>
      </c>
      <c r="B422" s="2">
        <v>5.5770094051583002E-8</v>
      </c>
      <c r="C422" s="2">
        <v>2.5278371400663698E-10</v>
      </c>
      <c r="D422" s="1">
        <v>7.0065310677052803</v>
      </c>
      <c r="E422" s="1">
        <v>13.247322486434999</v>
      </c>
      <c r="F422" s="1">
        <v>0.87056103430668597</v>
      </c>
      <c r="G422" s="3" t="str">
        <f>"FZD7"</f>
        <v>FZD7</v>
      </c>
      <c r="H422" s="1">
        <v>8324</v>
      </c>
      <c r="I422" s="1" t="str">
        <f>"frizzled class receptor 7"</f>
        <v>frizzled class receptor 7</v>
      </c>
    </row>
    <row r="423" spans="1:9" x14ac:dyDescent="0.35">
      <c r="A423" s="1" t="str">
        <f>"209304_x_at"</f>
        <v>209304_x_at</v>
      </c>
      <c r="B423" s="1">
        <v>1.53786714599662E-3</v>
      </c>
      <c r="C423" s="2">
        <v>8.1852104077188601E-5</v>
      </c>
      <c r="D423" s="1">
        <v>-4.1013196873289299</v>
      </c>
      <c r="E423" s="1">
        <v>1.1526145368398899</v>
      </c>
      <c r="F423" s="1">
        <v>-0.55450976213371705</v>
      </c>
      <c r="G423" s="3" t="str">
        <f>"GADD45B"</f>
        <v>GADD45B</v>
      </c>
      <c r="H423" s="1">
        <v>4616</v>
      </c>
      <c r="I423" s="1" t="str">
        <f>"growth arrest and DNA damage inducible beta"</f>
        <v>growth arrest and DNA damage inducible beta</v>
      </c>
    </row>
    <row r="424" spans="1:9" x14ac:dyDescent="0.35">
      <c r="A424" s="1" t="str">
        <f>"219013_at"</f>
        <v>219013_at</v>
      </c>
      <c r="B424" s="1">
        <v>5.2729899023530298E-4</v>
      </c>
      <c r="C424" s="2">
        <v>2.08714136062262E-5</v>
      </c>
      <c r="D424" s="1">
        <v>4.4594473754575299</v>
      </c>
      <c r="E424" s="1">
        <v>2.4365949168479499</v>
      </c>
      <c r="F424" s="1">
        <v>0.39105424427906899</v>
      </c>
      <c r="G424" s="3" t="str">
        <f>"GALNT11"</f>
        <v>GALNT11</v>
      </c>
      <c r="H424" s="1">
        <v>63917</v>
      </c>
      <c r="I424" s="1" t="str">
        <f>"polypeptide N-acetylgalactosaminyltransferase 11"</f>
        <v>polypeptide N-acetylgalactosaminyltransferase 11</v>
      </c>
    </row>
    <row r="425" spans="1:9" x14ac:dyDescent="0.35">
      <c r="A425" s="1" t="str">
        <f>"219377_at"</f>
        <v>219377_at</v>
      </c>
      <c r="B425" s="1">
        <v>5.0379670996093199E-4</v>
      </c>
      <c r="C425" s="2">
        <v>1.9777576191080499E-5</v>
      </c>
      <c r="D425" s="1">
        <v>-4.4731941021383399</v>
      </c>
      <c r="E425" s="1">
        <v>2.4873402806244398</v>
      </c>
      <c r="F425" s="1">
        <v>-0.33689465903197702</v>
      </c>
      <c r="G425" s="3" t="str">
        <f>"GAREM1"</f>
        <v>GAREM1</v>
      </c>
      <c r="H425" s="1">
        <v>64762</v>
      </c>
      <c r="I425" s="1" t="str">
        <f>"GRB2 associated regulator of MAPK1 subtype 1"</f>
        <v>GRB2 associated regulator of MAPK1 subtype 1</v>
      </c>
    </row>
    <row r="426" spans="1:9" x14ac:dyDescent="0.35">
      <c r="A426" s="1" t="str">
        <f>"204457_s_at"</f>
        <v>204457_s_at</v>
      </c>
      <c r="B426" s="1">
        <v>2.6433552095614599E-2</v>
      </c>
      <c r="C426" s="1">
        <v>3.1874951523994301E-3</v>
      </c>
      <c r="D426" s="1">
        <v>3.01945417917891</v>
      </c>
      <c r="E426" s="1">
        <v>-2.2271342541285102</v>
      </c>
      <c r="F426" s="1">
        <v>0.38744987756395199</v>
      </c>
      <c r="G426" s="3" t="str">
        <f>"GAS1"</f>
        <v>GAS1</v>
      </c>
      <c r="H426" s="1">
        <v>2619</v>
      </c>
      <c r="I426" s="1" t="str">
        <f>"growth arrest specific 1"</f>
        <v>growth arrest specific 1</v>
      </c>
    </row>
    <row r="427" spans="1:9" x14ac:dyDescent="0.35">
      <c r="A427" s="1" t="str">
        <f>"210002_at"</f>
        <v>210002_at</v>
      </c>
      <c r="B427" s="1">
        <v>7.8075854232263001E-3</v>
      </c>
      <c r="C427" s="1">
        <v>6.55267209226429E-4</v>
      </c>
      <c r="D427" s="1">
        <v>3.51408364562326</v>
      </c>
      <c r="E427" s="1">
        <v>-0.78146719761238204</v>
      </c>
      <c r="F427" s="1">
        <v>0.48213537459592798</v>
      </c>
      <c r="G427" s="3" t="str">
        <f>"GATA6"</f>
        <v>GATA6</v>
      </c>
      <c r="H427" s="1">
        <v>2627</v>
      </c>
      <c r="I427" s="1" t="str">
        <f>"GATA binding protein 6"</f>
        <v>GATA binding protein 6</v>
      </c>
    </row>
    <row r="428" spans="1:9" x14ac:dyDescent="0.35">
      <c r="A428" s="1" t="str">
        <f>"216733_s_at"</f>
        <v>216733_s_at</v>
      </c>
      <c r="B428" s="1">
        <v>4.9623122097361499E-2</v>
      </c>
      <c r="C428" s="1">
        <v>7.4019838011874497E-3</v>
      </c>
      <c r="D428" s="1">
        <v>2.7319124597432398</v>
      </c>
      <c r="E428" s="1">
        <v>-2.9833777703785498</v>
      </c>
      <c r="F428" s="1">
        <v>0.37853215040552102</v>
      </c>
      <c r="G428" s="3" t="str">
        <f>"GATM"</f>
        <v>GATM</v>
      </c>
      <c r="H428" s="1">
        <v>2628</v>
      </c>
      <c r="I428" s="1" t="str">
        <f>"glycine amidinotransferase"</f>
        <v>glycine amidinotransferase</v>
      </c>
    </row>
    <row r="429" spans="1:9" x14ac:dyDescent="0.35">
      <c r="A429" s="1" t="str">
        <f>"201816_s_at"</f>
        <v>201816_s_at</v>
      </c>
      <c r="B429" s="1">
        <v>3.6393002429329201E-3</v>
      </c>
      <c r="C429" s="1">
        <v>2.4759588781969702E-4</v>
      </c>
      <c r="D429" s="1">
        <v>3.7961989481729002</v>
      </c>
      <c r="E429" s="1">
        <v>0.119759307629298</v>
      </c>
      <c r="F429" s="1">
        <v>0.35752345624273102</v>
      </c>
      <c r="G429" s="3" t="str">
        <f>"GBAS"</f>
        <v>GBAS</v>
      </c>
      <c r="H429" s="1">
        <v>2631</v>
      </c>
      <c r="I429" s="1" t="str">
        <f>"glioblastoma amplified sequence"</f>
        <v>glioblastoma amplified sequence</v>
      </c>
    </row>
    <row r="430" spans="1:9" x14ac:dyDescent="0.35">
      <c r="A430" s="1" t="str">
        <f>"203282_at"</f>
        <v>203282_at</v>
      </c>
      <c r="B430" s="1">
        <v>7.3897175247865604E-4</v>
      </c>
      <c r="C430" s="2">
        <v>3.2234463196573799E-5</v>
      </c>
      <c r="D430" s="1">
        <v>-4.3475020886055704</v>
      </c>
      <c r="E430" s="1">
        <v>2.0272891704796701</v>
      </c>
      <c r="F430" s="1">
        <v>-0.39720422777762099</v>
      </c>
      <c r="G430" s="3" t="str">
        <f>"GBE1"</f>
        <v>GBE1</v>
      </c>
      <c r="H430" s="1">
        <v>2632</v>
      </c>
      <c r="I430" s="1" t="str">
        <f>"glucan (1,4-alpha-), branching enzyme 1"</f>
        <v>glucan (1,4-alpha-), branching enzyme 1</v>
      </c>
    </row>
    <row r="431" spans="1:9" x14ac:dyDescent="0.35">
      <c r="A431" s="1" t="str">
        <f>"203925_at"</f>
        <v>203925_at</v>
      </c>
      <c r="B431" s="1">
        <v>7.5070147566523105E-4</v>
      </c>
      <c r="C431" s="2">
        <v>3.2981947882971802E-5</v>
      </c>
      <c r="D431" s="1">
        <v>-4.3415497128545297</v>
      </c>
      <c r="E431" s="1">
        <v>2.00572395273627</v>
      </c>
      <c r="F431" s="1">
        <v>-0.52576145249855</v>
      </c>
      <c r="G431" s="3" t="str">
        <f>"GCLM"</f>
        <v>GCLM</v>
      </c>
      <c r="H431" s="1">
        <v>2730</v>
      </c>
      <c r="I431" s="1" t="str">
        <f>"glutamate-cysteine ligase modifier subunit"</f>
        <v>glutamate-cysteine ligase modifier subunit</v>
      </c>
    </row>
    <row r="432" spans="1:9" x14ac:dyDescent="0.35">
      <c r="A432" s="1" t="str">
        <f>"200008_s_at"</f>
        <v>200008_s_at</v>
      </c>
      <c r="B432" s="1">
        <v>8.6168298085680606E-2</v>
      </c>
      <c r="C432" s="1">
        <v>1.5657471567963099E-2</v>
      </c>
      <c r="D432" s="1">
        <v>-2.4572654278761998</v>
      </c>
      <c r="E432" s="1">
        <v>-3.6443739070341299</v>
      </c>
      <c r="F432" s="1">
        <v>-0.313860593356102</v>
      </c>
      <c r="G432" s="3" t="str">
        <f>"GDI2"</f>
        <v>GDI2</v>
      </c>
      <c r="H432" s="1">
        <v>2665</v>
      </c>
      <c r="I432" s="1" t="str">
        <f>"GDP dissociation inhibitor 2"</f>
        <v>GDP dissociation inhibitor 2</v>
      </c>
    </row>
    <row r="433" spans="1:9" x14ac:dyDescent="0.35">
      <c r="A433" s="1" t="str">
        <f>"202721_s_at"</f>
        <v>202721_s_at</v>
      </c>
      <c r="B433" s="1">
        <v>4.59421749782311E-4</v>
      </c>
      <c r="C433" s="2">
        <v>1.7566186366940198E-5</v>
      </c>
      <c r="D433" s="1">
        <v>-4.5033850995782903</v>
      </c>
      <c r="E433" s="1">
        <v>2.5991548518779801</v>
      </c>
      <c r="F433" s="1">
        <v>-0.32069186228197699</v>
      </c>
      <c r="G433" s="3" t="str">
        <f>"GFPT1"</f>
        <v>GFPT1</v>
      </c>
      <c r="H433" s="1">
        <v>2673</v>
      </c>
      <c r="I433" s="1" t="str">
        <f>"glutamine--fructose-6-phosphate transaminase 1"</f>
        <v>glutamine--fructose-6-phosphate transaminase 1</v>
      </c>
    </row>
    <row r="434" spans="1:9" x14ac:dyDescent="0.35">
      <c r="A434" s="1" t="str">
        <f>"205100_at"</f>
        <v>205100_at</v>
      </c>
      <c r="B434" s="1">
        <v>4.0461197503324896E-3</v>
      </c>
      <c r="C434" s="1">
        <v>2.8345826472554199E-4</v>
      </c>
      <c r="D434" s="1">
        <v>-3.7578288521717198</v>
      </c>
      <c r="E434" s="1">
        <v>-5.9262944594173899E-3</v>
      </c>
      <c r="F434" s="1">
        <v>-0.34509499635755803</v>
      </c>
      <c r="G434" s="3" t="str">
        <f>"GFPT2"</f>
        <v>GFPT2</v>
      </c>
      <c r="H434" s="1">
        <v>9945</v>
      </c>
      <c r="I434" s="1" t="str">
        <f>"glutamine-fructose-6-phosphate transaminase 2"</f>
        <v>glutamine-fructose-6-phosphate transaminase 2</v>
      </c>
    </row>
    <row r="435" spans="1:9" x14ac:dyDescent="0.35">
      <c r="A435" s="1" t="str">
        <f>"205582_s_at"</f>
        <v>205582_s_at</v>
      </c>
      <c r="B435" s="2">
        <v>1.06674712813527E-5</v>
      </c>
      <c r="C435" s="2">
        <v>1.8000131049628101E-7</v>
      </c>
      <c r="D435" s="1">
        <v>-5.5957879964373598</v>
      </c>
      <c r="E435" s="1">
        <v>6.9502908165275201</v>
      </c>
      <c r="F435" s="1">
        <v>-0.34292647191860098</v>
      </c>
      <c r="G435" s="3" t="str">
        <f>"GGT5"</f>
        <v>GGT5</v>
      </c>
      <c r="H435" s="1">
        <v>2687</v>
      </c>
      <c r="I435" s="1" t="str">
        <f>"gamma-glutamyltransferase 5"</f>
        <v>gamma-glutamyltransferase 5</v>
      </c>
    </row>
    <row r="436" spans="1:9" x14ac:dyDescent="0.35">
      <c r="A436" s="1" t="str">
        <f>"205498_at"</f>
        <v>205498_at</v>
      </c>
      <c r="B436" s="1">
        <v>1.00439037318997E-2</v>
      </c>
      <c r="C436" s="1">
        <v>9.0790492729954798E-4</v>
      </c>
      <c r="D436" s="1">
        <v>3.4161434360635501</v>
      </c>
      <c r="E436" s="1">
        <v>-1.08165829968267</v>
      </c>
      <c r="F436" s="1">
        <v>0.46780282200872297</v>
      </c>
      <c r="G436" s="3" t="str">
        <f>"GHR"</f>
        <v>GHR</v>
      </c>
      <c r="H436" s="1">
        <v>2690</v>
      </c>
      <c r="I436" s="1" t="str">
        <f>"growth hormone receptor"</f>
        <v>growth hormone receptor</v>
      </c>
    </row>
    <row r="437" spans="1:9" x14ac:dyDescent="0.35">
      <c r="A437" s="1" t="str">
        <f>"219777_at"</f>
        <v>219777_at</v>
      </c>
      <c r="B437" s="1">
        <v>2.2450077056570102E-2</v>
      </c>
      <c r="C437" s="1">
        <v>2.5580373220226802E-3</v>
      </c>
      <c r="D437" s="1">
        <v>3.09144439424644</v>
      </c>
      <c r="E437" s="1">
        <v>-2.0278677963671998</v>
      </c>
      <c r="F437" s="1">
        <v>0.35562778078197499</v>
      </c>
      <c r="G437" s="3" t="str">
        <f>"GIMAP6"</f>
        <v>GIMAP6</v>
      </c>
      <c r="H437" s="1">
        <v>474344</v>
      </c>
      <c r="I437" s="1" t="str">
        <f>"GTPase, IMAP family member 6"</f>
        <v>GTPase, IMAP family member 6</v>
      </c>
    </row>
    <row r="438" spans="1:9" x14ac:dyDescent="0.35">
      <c r="A438" s="1" t="str">
        <f>"201667_at"</f>
        <v>201667_at</v>
      </c>
      <c r="B438" s="2">
        <v>3.8496771648298097E-6</v>
      </c>
      <c r="C438" s="2">
        <v>5.3038230471783497E-8</v>
      </c>
      <c r="D438" s="1">
        <v>5.8687477371335897</v>
      </c>
      <c r="E438" s="1">
        <v>8.1182705883345108</v>
      </c>
      <c r="F438" s="1">
        <v>0.69328417705523504</v>
      </c>
      <c r="G438" s="3" t="str">
        <f>"GJA1"</f>
        <v>GJA1</v>
      </c>
      <c r="H438" s="1">
        <v>2697</v>
      </c>
      <c r="I438" s="1" t="str">
        <f>"gap junction protein alpha 1"</f>
        <v>gap junction protein alpha 1</v>
      </c>
    </row>
    <row r="439" spans="1:9" x14ac:dyDescent="0.35">
      <c r="A439" s="1" t="str">
        <f>"219933_at"</f>
        <v>219933_at</v>
      </c>
      <c r="B439" s="2">
        <v>1.2657796918731001E-9</v>
      </c>
      <c r="C439" s="2">
        <v>2.4994079092768598E-12</v>
      </c>
      <c r="D439" s="1">
        <v>-7.9414412145115696</v>
      </c>
      <c r="E439" s="1">
        <v>17.688978393457798</v>
      </c>
      <c r="F439" s="1">
        <v>-0.75153180955523302</v>
      </c>
      <c r="G439" s="3" t="str">
        <f>"GLRX2"</f>
        <v>GLRX2</v>
      </c>
      <c r="H439" s="1">
        <v>51022</v>
      </c>
      <c r="I439" s="1" t="str">
        <f>"glutaredoxin 2"</f>
        <v>glutaredoxin 2</v>
      </c>
    </row>
    <row r="440" spans="1:9" x14ac:dyDescent="0.35">
      <c r="A440" s="1" t="str">
        <f>"209080_x_at"</f>
        <v>209080_x_at</v>
      </c>
      <c r="B440" s="2">
        <v>7.8673580284937402E-7</v>
      </c>
      <c r="C440" s="2">
        <v>6.9553899008808004E-9</v>
      </c>
      <c r="D440" s="1">
        <v>-6.3105021873032099</v>
      </c>
      <c r="E440" s="1">
        <v>10.0642699978682</v>
      </c>
      <c r="F440" s="1">
        <v>-0.47148415066715499</v>
      </c>
      <c r="G440" s="3" t="str">
        <f>"GLRX3"</f>
        <v>GLRX3</v>
      </c>
      <c r="H440" s="1">
        <v>10539</v>
      </c>
      <c r="I440" s="1" t="str">
        <f>"glutaredoxin 3"</f>
        <v>glutaredoxin 3</v>
      </c>
    </row>
    <row r="441" spans="1:9" x14ac:dyDescent="0.35">
      <c r="A441" s="1" t="str">
        <f>"221447_s_at"</f>
        <v>221447_s_at</v>
      </c>
      <c r="B441" s="2">
        <v>1.7278182162080799E-8</v>
      </c>
      <c r="C441" s="2">
        <v>5.5323088204910598E-11</v>
      </c>
      <c r="D441" s="1">
        <v>7.3178030914706103</v>
      </c>
      <c r="E441" s="1">
        <v>14.7084040863209</v>
      </c>
      <c r="F441" s="1">
        <v>0.429486290872092</v>
      </c>
      <c r="G441" s="3" t="str">
        <f>"GLT8D2"</f>
        <v>GLT8D2</v>
      </c>
      <c r="H441" s="1">
        <v>83468</v>
      </c>
      <c r="I441" s="1" t="str">
        <f>"glycosyltransferase 8 domain containing 2"</f>
        <v>glycosyltransferase 8 domain containing 2</v>
      </c>
    </row>
    <row r="442" spans="1:9" x14ac:dyDescent="0.35">
      <c r="A442" s="1" t="str">
        <f>"215001_s_at"</f>
        <v>215001_s_at</v>
      </c>
      <c r="B442" s="2">
        <v>1.9980943427780599E-6</v>
      </c>
      <c r="C442" s="2">
        <v>2.2596588178435201E-8</v>
      </c>
      <c r="D442" s="1">
        <v>-6.0559570270192999</v>
      </c>
      <c r="E442" s="1">
        <v>8.9350075258844299</v>
      </c>
      <c r="F442" s="1">
        <v>-0.74057965542005599</v>
      </c>
      <c r="G442" s="3" t="str">
        <f>"GLUL"</f>
        <v>GLUL</v>
      </c>
      <c r="H442" s="1">
        <v>2752</v>
      </c>
      <c r="I442" s="1" t="str">
        <f>"glutamate-ammonia ligase"</f>
        <v>glutamate-ammonia ligase</v>
      </c>
    </row>
    <row r="443" spans="1:9" x14ac:dyDescent="0.35">
      <c r="A443" s="1" t="str">
        <f>"212414_s_at"</f>
        <v>212414_s_at</v>
      </c>
      <c r="B443" s="1">
        <v>2.4632930723906101E-3</v>
      </c>
      <c r="C443" s="1">
        <v>1.49568528786272E-4</v>
      </c>
      <c r="D443" s="1">
        <v>3.9370197323455498</v>
      </c>
      <c r="E443" s="1">
        <v>0.58917396558579005</v>
      </c>
      <c r="F443" s="1">
        <v>0.51267575576744095</v>
      </c>
      <c r="G443" s="3" t="str">
        <f>"GLYR1"</f>
        <v>GLYR1</v>
      </c>
      <c r="H443" s="1">
        <v>84656</v>
      </c>
      <c r="I443" s="1" t="str">
        <f>"glyoxylate reductase 1 homolog///septin 6"</f>
        <v>glyoxylate reductase 1 homolog///septin 6</v>
      </c>
    </row>
    <row r="444" spans="1:9" x14ac:dyDescent="0.35">
      <c r="A444" s="1" t="str">
        <f>"200744_s_at"</f>
        <v>200744_s_at</v>
      </c>
      <c r="B444" s="1">
        <v>4.4839995000598501E-3</v>
      </c>
      <c r="C444" s="1">
        <v>3.2144471746880599E-4</v>
      </c>
      <c r="D444" s="1">
        <v>-3.7219240869506298</v>
      </c>
      <c r="E444" s="1">
        <v>-0.12266245901648</v>
      </c>
      <c r="F444" s="1">
        <v>-0.42906892183721201</v>
      </c>
      <c r="G444" s="3" t="str">
        <f>"GNB1"</f>
        <v>GNB1</v>
      </c>
      <c r="H444" s="1">
        <v>2782</v>
      </c>
      <c r="I444" s="1" t="str">
        <f>"G protein subunit beta 1"</f>
        <v>G protein subunit beta 1</v>
      </c>
    </row>
    <row r="445" spans="1:9" x14ac:dyDescent="0.35">
      <c r="A445" s="1" t="str">
        <f>"203676_at"</f>
        <v>203676_at</v>
      </c>
      <c r="B445" s="1">
        <v>7.5741412173357003E-2</v>
      </c>
      <c r="C445" s="1">
        <v>1.30116288560611E-2</v>
      </c>
      <c r="D445" s="1">
        <v>-2.5270433893766899</v>
      </c>
      <c r="E445" s="1">
        <v>-3.4822636926408701</v>
      </c>
      <c r="F445" s="1">
        <v>-0.31113452525145702</v>
      </c>
      <c r="G445" s="3" t="str">
        <f>"GNS"</f>
        <v>GNS</v>
      </c>
      <c r="H445" s="1">
        <v>2799</v>
      </c>
      <c r="I445" s="1" t="str">
        <f>"glucosamine (N-acetyl)-6-sulfatase"</f>
        <v>glucosamine (N-acetyl)-6-sulfatase</v>
      </c>
    </row>
    <row r="446" spans="1:9" x14ac:dyDescent="0.35">
      <c r="A446" s="1" t="str">
        <f>"213737_x_at"</f>
        <v>213737_x_at</v>
      </c>
      <c r="B446" s="1">
        <v>1.9638187134395201E-3</v>
      </c>
      <c r="C446" s="1">
        <v>1.10516028661004E-4</v>
      </c>
      <c r="D446" s="1">
        <v>4.0200225816118804</v>
      </c>
      <c r="E446" s="1">
        <v>0.87173387863052898</v>
      </c>
      <c r="F446" s="1">
        <v>0.42150569050290698</v>
      </c>
      <c r="G446" s="3" t="str">
        <f>"GOLGA8N"</f>
        <v>GOLGA8N</v>
      </c>
      <c r="H446" s="1">
        <v>643699</v>
      </c>
      <c r="I446" s="1" t="str">
        <f>"golgin A8 family member N"</f>
        <v>golgin A8 family member N</v>
      </c>
    </row>
    <row r="447" spans="1:9" x14ac:dyDescent="0.35">
      <c r="A447" s="1" t="str">
        <f>"218193_s_at"</f>
        <v>218193_s_at</v>
      </c>
      <c r="B447" s="2">
        <v>7.33970729333499E-7</v>
      </c>
      <c r="C447" s="2">
        <v>6.3571489817962303E-9</v>
      </c>
      <c r="D447" s="1">
        <v>-6.3297572546422796</v>
      </c>
      <c r="E447" s="1">
        <v>10.1505223087209</v>
      </c>
      <c r="F447" s="1">
        <v>-0.58254972415988804</v>
      </c>
      <c r="G447" s="3" t="str">
        <f>"GOLT1B"</f>
        <v>GOLT1B</v>
      </c>
      <c r="H447" s="1">
        <v>51026</v>
      </c>
      <c r="I447" s="1" t="str">
        <f>"golgi transport 1B"</f>
        <v>golgi transport 1B</v>
      </c>
    </row>
    <row r="448" spans="1:9" x14ac:dyDescent="0.35">
      <c r="A448" s="1" t="str">
        <f>"200708_at"</f>
        <v>200708_at</v>
      </c>
      <c r="B448" s="1">
        <v>4.0298136803957902E-4</v>
      </c>
      <c r="C448" s="2">
        <v>1.4992216223345601E-5</v>
      </c>
      <c r="D448" s="1">
        <v>4.5435418198206996</v>
      </c>
      <c r="E448" s="1">
        <v>2.7486519242813001</v>
      </c>
      <c r="F448" s="1">
        <v>0.30839222694185903</v>
      </c>
      <c r="G448" s="3" t="str">
        <f>"GOT2"</f>
        <v>GOT2</v>
      </c>
      <c r="H448" s="1">
        <v>2806</v>
      </c>
      <c r="I448" s="1" t="str">
        <f>"glutamic-oxaloacetic transaminase 2"</f>
        <v>glutamic-oxaloacetic transaminase 2</v>
      </c>
    </row>
    <row r="449" spans="1:9" x14ac:dyDescent="0.35">
      <c r="A449" s="1" t="str">
        <f>"206236_at"</f>
        <v>206236_at</v>
      </c>
      <c r="B449" s="2">
        <v>1.71833125030719E-6</v>
      </c>
      <c r="C449" s="2">
        <v>1.8418030709671199E-8</v>
      </c>
      <c r="D449" s="1">
        <v>-6.1004459591728102</v>
      </c>
      <c r="E449" s="1">
        <v>9.1308640222641593</v>
      </c>
      <c r="F449" s="1">
        <v>-0.39779268967150999</v>
      </c>
      <c r="G449" s="3" t="str">
        <f>"GPR4"</f>
        <v>GPR4</v>
      </c>
      <c r="H449" s="1">
        <v>2828</v>
      </c>
      <c r="I449" s="1" t="str">
        <f>"G protein-coupled receptor 4"</f>
        <v>G protein-coupled receptor 4</v>
      </c>
    </row>
    <row r="450" spans="1:9" x14ac:dyDescent="0.35">
      <c r="A450" s="1" t="str">
        <f>"204793_at"</f>
        <v>204793_at</v>
      </c>
      <c r="B450" s="2">
        <v>1.06815971740205E-6</v>
      </c>
      <c r="C450" s="2">
        <v>1.01624494048932E-8</v>
      </c>
      <c r="D450" s="1">
        <v>6.2290583778370197</v>
      </c>
      <c r="E450" s="1">
        <v>9.7007066961236692</v>
      </c>
      <c r="F450" s="1">
        <v>0.69476257605087099</v>
      </c>
      <c r="G450" s="3" t="str">
        <f>"GPRASP1"</f>
        <v>GPRASP1</v>
      </c>
      <c r="H450" s="1">
        <v>9737</v>
      </c>
      <c r="I450" s="1" t="str">
        <f>"G protein-coupled receptor associated sorting protein 1"</f>
        <v>G protein-coupled receptor associated sorting protein 1</v>
      </c>
    </row>
    <row r="451" spans="1:9" x14ac:dyDescent="0.35">
      <c r="A451" s="1" t="str">
        <f>"200736_s_at"</f>
        <v>200736_s_at</v>
      </c>
      <c r="B451" s="1">
        <v>8.8215979475450793E-3</v>
      </c>
      <c r="C451" s="1">
        <v>7.6406606106727102E-4</v>
      </c>
      <c r="D451" s="1">
        <v>-3.4681794435030602</v>
      </c>
      <c r="E451" s="1">
        <v>-0.92299785398354794</v>
      </c>
      <c r="F451" s="1">
        <v>-0.322015422164244</v>
      </c>
      <c r="G451" s="3" t="str">
        <f>"GPX1"</f>
        <v>GPX1</v>
      </c>
      <c r="H451" s="1">
        <v>2876</v>
      </c>
      <c r="I451" s="1" t="str">
        <f>"glutathione peroxidase 1"</f>
        <v>glutathione peroxidase 1</v>
      </c>
    </row>
    <row r="452" spans="1:9" x14ac:dyDescent="0.35">
      <c r="A452" s="1" t="str">
        <f>"201348_at"</f>
        <v>201348_at</v>
      </c>
      <c r="B452" s="1">
        <v>5.6063475798719001E-4</v>
      </c>
      <c r="C452" s="2">
        <v>2.27695757294084E-5</v>
      </c>
      <c r="D452" s="1">
        <v>-4.4371653995525904</v>
      </c>
      <c r="E452" s="1">
        <v>2.3545648690630099</v>
      </c>
      <c r="F452" s="1">
        <v>-0.73734647420349098</v>
      </c>
      <c r="G452" s="3" t="str">
        <f>"GPX3"</f>
        <v>GPX3</v>
      </c>
      <c r="H452" s="1">
        <v>2878</v>
      </c>
      <c r="I452" s="1" t="str">
        <f>"glutathione peroxidase 3"</f>
        <v>glutathione peroxidase 3</v>
      </c>
    </row>
    <row r="453" spans="1:9" x14ac:dyDescent="0.35">
      <c r="A453" s="1" t="str">
        <f>"218706_s_at"</f>
        <v>218706_s_at</v>
      </c>
      <c r="B453" s="1">
        <v>1.8335669681437101E-4</v>
      </c>
      <c r="C453" s="2">
        <v>5.7270682126644602E-6</v>
      </c>
      <c r="D453" s="1">
        <v>-4.78314640530379</v>
      </c>
      <c r="E453" s="1">
        <v>3.6585242942968899</v>
      </c>
      <c r="F453" s="1">
        <v>-0.51965611672529199</v>
      </c>
      <c r="G453" s="3" t="str">
        <f>"GRAMD3"</f>
        <v>GRAMD3</v>
      </c>
      <c r="H453" s="1">
        <v>65983</v>
      </c>
      <c r="I453" s="1" t="str">
        <f>"GRAM domain containing 3"</f>
        <v>GRAM domain containing 3</v>
      </c>
    </row>
    <row r="454" spans="1:9" x14ac:dyDescent="0.35">
      <c r="A454" s="1" t="str">
        <f>"204396_s_at"</f>
        <v>204396_s_at</v>
      </c>
      <c r="B454" s="1">
        <v>1.4862564037124101E-2</v>
      </c>
      <c r="C454" s="1">
        <v>1.4938255036848801E-3</v>
      </c>
      <c r="D454" s="1">
        <v>3.2628076217764699</v>
      </c>
      <c r="E454" s="1">
        <v>-1.5380316229672999</v>
      </c>
      <c r="F454" s="1">
        <v>0.32553557829505497</v>
      </c>
      <c r="G454" s="3" t="str">
        <f>"GRK5"</f>
        <v>GRK5</v>
      </c>
      <c r="H454" s="1">
        <v>2869</v>
      </c>
      <c r="I454" s="1" t="str">
        <f>"G protein-coupled receptor kinase 5"</f>
        <v>G protein-coupled receptor kinase 5</v>
      </c>
    </row>
    <row r="455" spans="1:9" x14ac:dyDescent="0.35">
      <c r="A455" s="1" t="str">
        <f>"207299_s_at"</f>
        <v>207299_s_at</v>
      </c>
      <c r="B455" s="1">
        <v>2.4290348058248201E-3</v>
      </c>
      <c r="C455" s="1">
        <v>1.4672534437195199E-4</v>
      </c>
      <c r="D455" s="1">
        <v>3.9423173382683601</v>
      </c>
      <c r="E455" s="1">
        <v>0.60707940398252902</v>
      </c>
      <c r="F455" s="1">
        <v>0.32482616461918501</v>
      </c>
      <c r="G455" s="3" t="str">
        <f>"GRM1"</f>
        <v>GRM1</v>
      </c>
      <c r="H455" s="1">
        <v>2911</v>
      </c>
      <c r="I455" s="1" t="str">
        <f>"glutamate metabotropic receptor 1"</f>
        <v>glutamate metabotropic receptor 1</v>
      </c>
    </row>
    <row r="456" spans="1:9" x14ac:dyDescent="0.35">
      <c r="A456" s="1" t="str">
        <f>"212432_at"</f>
        <v>212432_at</v>
      </c>
      <c r="B456" s="2">
        <v>9.1210493331494595E-6</v>
      </c>
      <c r="C456" s="2">
        <v>1.4858595826115199E-7</v>
      </c>
      <c r="D456" s="1">
        <v>-5.6390409912848698</v>
      </c>
      <c r="E456" s="1">
        <v>7.1334699820703698</v>
      </c>
      <c r="F456" s="1">
        <v>-0.315962275097387</v>
      </c>
      <c r="G456" s="3" t="str">
        <f>"GRPEL1"</f>
        <v>GRPEL1</v>
      </c>
      <c r="H456" s="1">
        <v>80273</v>
      </c>
      <c r="I456" s="1" t="str">
        <f>"GrpE like 1, mitochondrial"</f>
        <v>GrpE like 1, mitochondrial</v>
      </c>
    </row>
    <row r="457" spans="1:9" x14ac:dyDescent="0.35">
      <c r="A457" s="1" t="str">
        <f>"201501_s_at"</f>
        <v>201501_s_at</v>
      </c>
      <c r="B457" s="1">
        <v>1.8791660902254401E-2</v>
      </c>
      <c r="C457" s="1">
        <v>2.0249998906969099E-3</v>
      </c>
      <c r="D457" s="1">
        <v>3.1666671441393102</v>
      </c>
      <c r="E457" s="1">
        <v>-1.8155115840125999</v>
      </c>
      <c r="F457" s="1">
        <v>0.306876763484008</v>
      </c>
      <c r="G457" s="3" t="str">
        <f>"GRSF1"</f>
        <v>GRSF1</v>
      </c>
      <c r="H457" s="1">
        <v>2926</v>
      </c>
      <c r="I457" s="1" t="str">
        <f>"G-rich RNA sequence binding factor 1"</f>
        <v>G-rich RNA sequence binding factor 1</v>
      </c>
    </row>
    <row r="458" spans="1:9" x14ac:dyDescent="0.35">
      <c r="A458" s="1" t="str">
        <f>"200696_s_at"</f>
        <v>200696_s_at</v>
      </c>
      <c r="B458" s="2">
        <v>6.58122650209849E-6</v>
      </c>
      <c r="C458" s="2">
        <v>9.98274270838437E-8</v>
      </c>
      <c r="D458" s="1">
        <v>5.7282331662044896</v>
      </c>
      <c r="E458" s="1">
        <v>7.5134975308509899</v>
      </c>
      <c r="F458" s="1">
        <v>0.61208308685028701</v>
      </c>
      <c r="G458" s="3" t="str">
        <f>"GSN"</f>
        <v>GSN</v>
      </c>
      <c r="H458" s="1">
        <v>2934</v>
      </c>
      <c r="I458" s="1" t="str">
        <f>"gelsolin"</f>
        <v>gelsolin</v>
      </c>
    </row>
    <row r="459" spans="1:9" x14ac:dyDescent="0.35">
      <c r="A459" s="1" t="str">
        <f>"202967_at"</f>
        <v>202967_at</v>
      </c>
      <c r="B459" s="2">
        <v>2.5862651899896699E-5</v>
      </c>
      <c r="C459" s="2">
        <v>5.2809346203172697E-7</v>
      </c>
      <c r="D459" s="1">
        <v>5.3499496017471202</v>
      </c>
      <c r="E459" s="1">
        <v>5.9235424430172703</v>
      </c>
      <c r="F459" s="1">
        <v>0.31557959752180198</v>
      </c>
      <c r="G459" s="3" t="str">
        <f>"GSTA4"</f>
        <v>GSTA4</v>
      </c>
      <c r="H459" s="1">
        <v>2941</v>
      </c>
      <c r="I459" s="1" t="str">
        <f>"glutathione S-transferase alpha 4"</f>
        <v>glutathione S-transferase alpha 4</v>
      </c>
    </row>
    <row r="460" spans="1:9" x14ac:dyDescent="0.35">
      <c r="A460" s="1" t="str">
        <f>"218412_s_at"</f>
        <v>218412_s_at</v>
      </c>
      <c r="B460" s="2">
        <v>7.6971549962269597E-7</v>
      </c>
      <c r="C460" s="2">
        <v>6.73583101137305E-9</v>
      </c>
      <c r="D460" s="1">
        <v>-6.3173721380838401</v>
      </c>
      <c r="E460" s="1">
        <v>10.095030739534</v>
      </c>
      <c r="F460" s="1">
        <v>-0.42496761922674198</v>
      </c>
      <c r="G460" s="3" t="str">
        <f>"GTF2IRD1"</f>
        <v>GTF2IRD1</v>
      </c>
      <c r="H460" s="1">
        <v>9569</v>
      </c>
      <c r="I460" s="1" t="str">
        <f>"GTF2I repeat domain containing 1"</f>
        <v>GTF2I repeat domain containing 1</v>
      </c>
    </row>
    <row r="461" spans="1:9" x14ac:dyDescent="0.35">
      <c r="A461" s="1" t="str">
        <f>"218238_at"</f>
        <v>218238_at</v>
      </c>
      <c r="B461" s="1">
        <v>1.17789947081351E-3</v>
      </c>
      <c r="C461" s="2">
        <v>5.8094130881122302E-5</v>
      </c>
      <c r="D461" s="1">
        <v>-4.1929319830875897</v>
      </c>
      <c r="E461" s="1">
        <v>1.4739315919510501</v>
      </c>
      <c r="F461" s="1">
        <v>-0.40196545444766901</v>
      </c>
      <c r="G461" s="3" t="str">
        <f>"GTPBP4"</f>
        <v>GTPBP4</v>
      </c>
      <c r="H461" s="1">
        <v>23560</v>
      </c>
      <c r="I461" s="1" t="str">
        <f>"GTP binding protein 4"</f>
        <v>GTP binding protein 4</v>
      </c>
    </row>
    <row r="462" spans="1:9" x14ac:dyDescent="0.35">
      <c r="A462" s="1" t="str">
        <f>"221942_s_at"</f>
        <v>221942_s_at</v>
      </c>
      <c r="B462" s="1">
        <v>7.3586611930098494E-2</v>
      </c>
      <c r="C462" s="1">
        <v>1.2522570230172499E-2</v>
      </c>
      <c r="D462" s="1">
        <v>2.5413183080629</v>
      </c>
      <c r="E462" s="1">
        <v>-3.4486062143316998</v>
      </c>
      <c r="F462" s="1">
        <v>0.35654158161918098</v>
      </c>
      <c r="G462" s="3" t="str">
        <f>"GUCY1A3"</f>
        <v>GUCY1A3</v>
      </c>
      <c r="H462" s="1">
        <v>2982</v>
      </c>
      <c r="I462" s="1" t="str">
        <f>"guanylate cyclase 1 soluble subunit alpha"</f>
        <v>guanylate cyclase 1 soluble subunit alpha</v>
      </c>
    </row>
    <row r="463" spans="1:9" x14ac:dyDescent="0.35">
      <c r="A463" s="1" t="str">
        <f>"201554_x_at"</f>
        <v>201554_x_at</v>
      </c>
      <c r="B463" s="1">
        <v>5.2957008179356502E-4</v>
      </c>
      <c r="C463" s="2">
        <v>2.1151432607650401E-5</v>
      </c>
      <c r="D463" s="1">
        <v>-4.4560401687443303</v>
      </c>
      <c r="E463" s="1">
        <v>2.42403357334417</v>
      </c>
      <c r="F463" s="1">
        <v>-0.36601453309738302</v>
      </c>
      <c r="G463" s="3" t="str">
        <f>"GYG1"</f>
        <v>GYG1</v>
      </c>
      <c r="H463" s="1">
        <v>2992</v>
      </c>
      <c r="I463" s="1" t="str">
        <f>"glycogenin 1"</f>
        <v>glycogenin 1</v>
      </c>
    </row>
    <row r="464" spans="1:9" x14ac:dyDescent="0.35">
      <c r="A464" s="1" t="str">
        <f>"212205_at"</f>
        <v>212205_at</v>
      </c>
      <c r="B464" s="1">
        <v>6.9624629247062794E-2</v>
      </c>
      <c r="C464" s="1">
        <v>1.15702554459397E-2</v>
      </c>
      <c r="D464" s="1">
        <v>2.5706148730890899</v>
      </c>
      <c r="E464" s="1">
        <v>-3.37900843236645</v>
      </c>
      <c r="F464" s="1">
        <v>0.32399227745348502</v>
      </c>
      <c r="G464" s="3" t="str">
        <f>"H2AFV"</f>
        <v>H2AFV</v>
      </c>
      <c r="H464" s="1">
        <v>94239</v>
      </c>
      <c r="I464" s="1" t="str">
        <f>"H2A histone family member V"</f>
        <v>H2A histone family member V</v>
      </c>
    </row>
    <row r="465" spans="1:9" x14ac:dyDescent="0.35">
      <c r="A465" s="1" t="str">
        <f>"213911_s_at"</f>
        <v>213911_s_at</v>
      </c>
      <c r="B465" s="2">
        <v>1.5625633790977401E-8</v>
      </c>
      <c r="C465" s="2">
        <v>4.8385259236971701E-11</v>
      </c>
      <c r="D465" s="1">
        <v>-7.3450651668903904</v>
      </c>
      <c r="E465" s="1">
        <v>14.8373044023948</v>
      </c>
      <c r="F465" s="1">
        <v>-0.58840871181686205</v>
      </c>
      <c r="G465" s="3" t="str">
        <f>"H2AFZ"</f>
        <v>H2AFZ</v>
      </c>
      <c r="H465" s="1">
        <v>3015</v>
      </c>
      <c r="I465" s="1" t="str">
        <f>"H2A histone family member Z"</f>
        <v>H2A histone family member Z</v>
      </c>
    </row>
    <row r="466" spans="1:9" x14ac:dyDescent="0.35">
      <c r="A466" s="1" t="str">
        <f>"208579_x_at"</f>
        <v>208579_x_at</v>
      </c>
      <c r="B466" s="1">
        <v>1.98730540193078E-4</v>
      </c>
      <c r="C466" s="2">
        <v>6.35887785117196E-6</v>
      </c>
      <c r="D466" s="1">
        <v>-4.7574291354001401</v>
      </c>
      <c r="E466" s="1">
        <v>3.5594332781343998</v>
      </c>
      <c r="F466" s="1">
        <v>-0.315599203930233</v>
      </c>
      <c r="G466" s="3" t="str">
        <f>"H2BFS"</f>
        <v>H2BFS</v>
      </c>
      <c r="H466" s="1">
        <v>54145</v>
      </c>
      <c r="I466" s="1" t="str">
        <f>"H2B histone family member S"</f>
        <v>H2B histone family member S</v>
      </c>
    </row>
    <row r="467" spans="1:9" x14ac:dyDescent="0.35">
      <c r="A467" s="1" t="str">
        <f>"201036_s_at"</f>
        <v>201036_s_at</v>
      </c>
      <c r="B467" s="2">
        <v>4.2469536194694703E-6</v>
      </c>
      <c r="C467" s="2">
        <v>6.0417551378711201E-8</v>
      </c>
      <c r="D467" s="1">
        <v>5.83993167799966</v>
      </c>
      <c r="E467" s="1">
        <v>7.9936551117386001</v>
      </c>
      <c r="F467" s="1">
        <v>0.58244231442150995</v>
      </c>
      <c r="G467" s="3" t="str">
        <f>"HADH"</f>
        <v>HADH</v>
      </c>
      <c r="H467" s="1">
        <v>3033</v>
      </c>
      <c r="I467" s="1" t="str">
        <f>"hydroxyacyl-CoA dehydrogenase"</f>
        <v>hydroxyacyl-CoA dehydrogenase</v>
      </c>
    </row>
    <row r="468" spans="1:9" x14ac:dyDescent="0.35">
      <c r="A468" s="1" t="str">
        <f>"220491_at"</f>
        <v>220491_at</v>
      </c>
      <c r="B468" s="1">
        <v>9.1388444941115305E-4</v>
      </c>
      <c r="C468" s="2">
        <v>4.2078959076239399E-5</v>
      </c>
      <c r="D468" s="1">
        <v>-4.2779904172045002</v>
      </c>
      <c r="E468" s="1">
        <v>1.7767199093244099</v>
      </c>
      <c r="F468" s="1">
        <v>-0.470796646389534</v>
      </c>
      <c r="G468" s="3" t="str">
        <f>"HAMP"</f>
        <v>HAMP</v>
      </c>
      <c r="H468" s="1">
        <v>57817</v>
      </c>
      <c r="I468" s="1" t="str">
        <f>"hepcidin antimicrobial peptide"</f>
        <v>hepcidin antimicrobial peptide</v>
      </c>
    </row>
    <row r="469" spans="1:9" x14ac:dyDescent="0.35">
      <c r="A469" s="1" t="str">
        <f>"214414_x_at"</f>
        <v>214414_x_at</v>
      </c>
      <c r="B469" s="2">
        <v>1.67259641854543E-5</v>
      </c>
      <c r="C469" s="2">
        <v>3.1300664476661402E-7</v>
      </c>
      <c r="D469" s="1">
        <v>5.4701018746336203</v>
      </c>
      <c r="E469" s="1">
        <v>6.4222451573263699</v>
      </c>
      <c r="F469" s="1">
        <v>1.4611462120029099</v>
      </c>
      <c r="G469" s="3" t="str">
        <f>"HBA2"</f>
        <v>HBA2</v>
      </c>
      <c r="H469" s="1">
        <v>3040</v>
      </c>
      <c r="I469" s="1" t="str">
        <f>"hemoglobin subunit alpha 2///hemoglobin subunit alpha 1"</f>
        <v>hemoglobin subunit alpha 2///hemoglobin subunit alpha 1</v>
      </c>
    </row>
    <row r="470" spans="1:9" x14ac:dyDescent="0.35">
      <c r="A470" s="1" t="str">
        <f>"209116_x_at"</f>
        <v>209116_x_at</v>
      </c>
      <c r="B470" s="2">
        <v>3.2137963165268903E-5</v>
      </c>
      <c r="C470" s="2">
        <v>6.8795980926415995E-7</v>
      </c>
      <c r="D470" s="1">
        <v>5.2886776725018896</v>
      </c>
      <c r="E470" s="1">
        <v>5.6715981219714804</v>
      </c>
      <c r="F470" s="1">
        <v>1.4998356271133699</v>
      </c>
      <c r="G470" s="3" t="str">
        <f>"HBB"</f>
        <v>HBB</v>
      </c>
      <c r="H470" s="1">
        <v>3043</v>
      </c>
      <c r="I470" s="1" t="str">
        <f>"hemoglobin subunit beta"</f>
        <v>hemoglobin subunit beta</v>
      </c>
    </row>
    <row r="471" spans="1:9" x14ac:dyDescent="0.35">
      <c r="A471" s="1" t="str">
        <f>"38037_at"</f>
        <v>38037_at</v>
      </c>
      <c r="B471" s="1">
        <v>6.2085791126517201E-2</v>
      </c>
      <c r="C471" s="1">
        <v>9.9077947421507308E-3</v>
      </c>
      <c r="D471" s="1">
        <v>-2.62740599962879</v>
      </c>
      <c r="E471" s="1">
        <v>-3.2421037340113799</v>
      </c>
      <c r="F471" s="1">
        <v>-0.33957571662500002</v>
      </c>
      <c r="G471" s="3" t="str">
        <f>"HBEGF"</f>
        <v>HBEGF</v>
      </c>
      <c r="H471" s="1">
        <v>1839</v>
      </c>
      <c r="I471" s="1" t="str">
        <f>"heparin binding EGF like growth factor"</f>
        <v>heparin binding EGF like growth factor</v>
      </c>
    </row>
    <row r="472" spans="1:9" x14ac:dyDescent="0.35">
      <c r="A472" s="1" t="str">
        <f>"202957_at"</f>
        <v>202957_at</v>
      </c>
      <c r="B472" s="1">
        <v>9.3449958544006995E-3</v>
      </c>
      <c r="C472" s="1">
        <v>8.23658028902884E-4</v>
      </c>
      <c r="D472" s="1">
        <v>-3.4455876834531098</v>
      </c>
      <c r="E472" s="1">
        <v>-0.99211410758877705</v>
      </c>
      <c r="F472" s="1">
        <v>-0.39444497216570001</v>
      </c>
      <c r="G472" s="3" t="str">
        <f>"HCLS1"</f>
        <v>HCLS1</v>
      </c>
      <c r="H472" s="1">
        <v>3059</v>
      </c>
      <c r="I472" s="1" t="str">
        <f>"hematopoietic cell-specific Lyn substrate 1"</f>
        <v>hematopoietic cell-specific Lyn substrate 1</v>
      </c>
    </row>
    <row r="473" spans="1:9" x14ac:dyDescent="0.35">
      <c r="A473" s="1" t="str">
        <f>"218594_at"</f>
        <v>218594_at</v>
      </c>
      <c r="B473" s="1">
        <v>1.8245189389338699E-3</v>
      </c>
      <c r="C473" s="1">
        <v>1.0144859154239E-4</v>
      </c>
      <c r="D473" s="1">
        <v>-4.0433077720767896</v>
      </c>
      <c r="E473" s="1">
        <v>0.95177000191911398</v>
      </c>
      <c r="F473" s="1">
        <v>-0.32294549822674401</v>
      </c>
      <c r="G473" s="3" t="str">
        <f>"HEATR1"</f>
        <v>HEATR1</v>
      </c>
      <c r="H473" s="1">
        <v>55127</v>
      </c>
      <c r="I473" s="1" t="str">
        <f>"HEAT repeat containing 1"</f>
        <v>HEAT repeat containing 1</v>
      </c>
    </row>
    <row r="474" spans="1:9" x14ac:dyDescent="0.35">
      <c r="A474" s="1" t="str">
        <f>"213069_at"</f>
        <v>213069_at</v>
      </c>
      <c r="B474" s="1">
        <v>7.2020931592701098E-4</v>
      </c>
      <c r="C474" s="2">
        <v>3.1036302476965803E-5</v>
      </c>
      <c r="D474" s="1">
        <v>4.3573266055340802</v>
      </c>
      <c r="E474" s="1">
        <v>2.0629272148868898</v>
      </c>
      <c r="F474" s="1">
        <v>0.37890236421511903</v>
      </c>
      <c r="G474" s="3" t="str">
        <f>"HEG1"</f>
        <v>HEG1</v>
      </c>
      <c r="H474" s="1">
        <v>57493</v>
      </c>
      <c r="I474" s="1" t="str">
        <f>"heart development protein with EGF like domains 1"</f>
        <v>heart development protein with EGF like domains 1</v>
      </c>
    </row>
    <row r="475" spans="1:9" x14ac:dyDescent="0.35">
      <c r="A475" s="1" t="str">
        <f>"203903_s_at"</f>
        <v>203903_s_at</v>
      </c>
      <c r="B475" s="1">
        <v>6.5816331651606205E-2</v>
      </c>
      <c r="C475" s="1">
        <v>1.07251977048051E-2</v>
      </c>
      <c r="D475" s="1">
        <v>2.5984899777376098</v>
      </c>
      <c r="E475" s="1">
        <v>-3.3121378872129799</v>
      </c>
      <c r="F475" s="1">
        <v>0.30006476075000099</v>
      </c>
      <c r="G475" s="3" t="str">
        <f>"HEPH"</f>
        <v>HEPH</v>
      </c>
      <c r="H475" s="1">
        <v>9843</v>
      </c>
      <c r="I475" s="1" t="str">
        <f>"hephaestin"</f>
        <v>hephaestin</v>
      </c>
    </row>
    <row r="476" spans="1:9" x14ac:dyDescent="0.35">
      <c r="A476" s="1" t="str">
        <f>"218306_s_at"</f>
        <v>218306_s_at</v>
      </c>
      <c r="B476" s="1">
        <v>7.06930970596362E-4</v>
      </c>
      <c r="C476" s="2">
        <v>3.0265769687606201E-5</v>
      </c>
      <c r="D476" s="1">
        <v>4.36383976820348</v>
      </c>
      <c r="E476" s="1">
        <v>2.0865837506845799</v>
      </c>
      <c r="F476" s="1">
        <v>0.38798618070784902</v>
      </c>
      <c r="G476" s="3" t="str">
        <f>"HERC1"</f>
        <v>HERC1</v>
      </c>
      <c r="H476" s="1">
        <v>8925</v>
      </c>
      <c r="I476" s="1" t="str">
        <f>"HECT and RLD domain containing E3 ubiquitin protein ligase family member 1"</f>
        <v>HECT and RLD domain containing E3 ubiquitin protein ligase family member 1</v>
      </c>
    </row>
    <row r="477" spans="1:9" x14ac:dyDescent="0.35">
      <c r="A477" s="1" t="str">
        <f>"219352_at"</f>
        <v>219352_at</v>
      </c>
      <c r="B477" s="2">
        <v>1.76094705217722E-6</v>
      </c>
      <c r="C477" s="2">
        <v>1.9109977857568601E-8</v>
      </c>
      <c r="D477" s="1">
        <v>6.0924316594168797</v>
      </c>
      <c r="E477" s="1">
        <v>9.0955334786641</v>
      </c>
      <c r="F477" s="1">
        <v>0.51880338793313996</v>
      </c>
      <c r="G477" s="3" t="str">
        <f>"HERC6"</f>
        <v>HERC6</v>
      </c>
      <c r="H477" s="1">
        <v>55008</v>
      </c>
      <c r="I477" s="1" t="str">
        <f>"HECT and RLD domain containing E3 ubiquitin protein ligase family member 6"</f>
        <v>HECT and RLD domain containing E3 ubiquitin protein ligase family member 6</v>
      </c>
    </row>
    <row r="478" spans="1:9" x14ac:dyDescent="0.35">
      <c r="A478" s="1" t="str">
        <f>"44783_s_at"</f>
        <v>44783_s_at</v>
      </c>
      <c r="B478" s="2">
        <v>9.4718498484497004E-5</v>
      </c>
      <c r="C478" s="2">
        <v>2.5714508220665099E-6</v>
      </c>
      <c r="D478" s="1">
        <v>4.97742726570287</v>
      </c>
      <c r="E478" s="1">
        <v>4.4177974215826596</v>
      </c>
      <c r="F478" s="1">
        <v>0.602602270748546</v>
      </c>
      <c r="G478" s="3" t="str">
        <f>"HEY1"</f>
        <v>HEY1</v>
      </c>
      <c r="H478" s="1">
        <v>23462</v>
      </c>
      <c r="I478" s="1" t="str">
        <f>"hes related family bHLH transcription factor with YRPW motif 1"</f>
        <v>hes related family bHLH transcription factor with YRPW motif 1</v>
      </c>
    </row>
    <row r="479" spans="1:9" x14ac:dyDescent="0.35">
      <c r="A479" s="1" t="str">
        <f>"213763_at"</f>
        <v>213763_at</v>
      </c>
      <c r="B479" s="1">
        <v>1.2912441077581499E-4</v>
      </c>
      <c r="C479" s="2">
        <v>3.7492031491249898E-6</v>
      </c>
      <c r="D479" s="1">
        <v>-4.8864748527722197</v>
      </c>
      <c r="E479" s="1">
        <v>4.0600222732585696</v>
      </c>
      <c r="F479" s="1">
        <v>-0.44245416048837299</v>
      </c>
      <c r="G479" s="3" t="str">
        <f>"HIPK2"</f>
        <v>HIPK2</v>
      </c>
      <c r="H479" s="1">
        <v>28996</v>
      </c>
      <c r="I479" s="1" t="str">
        <f>"homeodomain interacting protein kinase 2"</f>
        <v>homeodomain interacting protein kinase 2</v>
      </c>
    </row>
    <row r="480" spans="1:9" x14ac:dyDescent="0.35">
      <c r="A480" s="1" t="str">
        <f>"210148_at"</f>
        <v>210148_at</v>
      </c>
      <c r="B480" s="1">
        <v>0.16669361486946599</v>
      </c>
      <c r="C480" s="1">
        <v>4.0626012758278797E-2</v>
      </c>
      <c r="D480" s="1">
        <v>-2.07324827248876</v>
      </c>
      <c r="E480" s="1">
        <v>-4.4632606222843698</v>
      </c>
      <c r="F480" s="1">
        <v>-0.45325211245639502</v>
      </c>
      <c r="G480" s="3" t="str">
        <f>"HIPK3"</f>
        <v>HIPK3</v>
      </c>
      <c r="H480" s="1">
        <v>10114</v>
      </c>
      <c r="I480" s="1" t="str">
        <f>"homeodomain interacting protein kinase 3"</f>
        <v>homeodomain interacting protein kinase 3</v>
      </c>
    </row>
    <row r="481" spans="1:9" x14ac:dyDescent="0.35">
      <c r="A481" s="1" t="str">
        <f>"215071_s_at"</f>
        <v>215071_s_at</v>
      </c>
      <c r="B481" s="1">
        <v>3.34812698425546E-3</v>
      </c>
      <c r="C481" s="1">
        <v>2.24152463405769E-4</v>
      </c>
      <c r="D481" s="1">
        <v>3.8242547090248</v>
      </c>
      <c r="E481" s="1">
        <v>0.21226534010477899</v>
      </c>
      <c r="F481" s="1">
        <v>0.33183646791133298</v>
      </c>
      <c r="G481" s="3" t="str">
        <f>"HIST1H2AC"</f>
        <v>HIST1H2AC</v>
      </c>
      <c r="H481" s="1">
        <v>8334</v>
      </c>
      <c r="I481" s="1" t="str">
        <f>"histone cluster 1, H2ac"</f>
        <v>histone cluster 1, H2ac</v>
      </c>
    </row>
    <row r="482" spans="1:9" x14ac:dyDescent="0.35">
      <c r="A482" s="1" t="str">
        <f>"218280_x_at"</f>
        <v>218280_x_at</v>
      </c>
      <c r="B482" s="1">
        <v>2.2913443712829499E-4</v>
      </c>
      <c r="C482" s="2">
        <v>7.5476675874957803E-6</v>
      </c>
      <c r="D482" s="1">
        <v>-4.7151387833075296</v>
      </c>
      <c r="E482" s="1">
        <v>3.39722189641807</v>
      </c>
      <c r="F482" s="1">
        <v>-0.34830999694040399</v>
      </c>
      <c r="G482" s="3" t="str">
        <f>"HIST2H2AA4"</f>
        <v>HIST2H2AA4</v>
      </c>
      <c r="H482" s="1">
        <v>723790</v>
      </c>
      <c r="I482" s="1" t="str">
        <f>"histone cluster 2, H2aa4///histone cluster 2, H2aa3"</f>
        <v>histone cluster 2, H2aa4///histone cluster 2, H2aa3</v>
      </c>
    </row>
    <row r="483" spans="1:9" x14ac:dyDescent="0.35">
      <c r="A483" s="1" t="str">
        <f>"202934_at"</f>
        <v>202934_at</v>
      </c>
      <c r="B483" s="1">
        <v>5.2846933897900703E-4</v>
      </c>
      <c r="C483" s="2">
        <v>2.1012603075680999E-5</v>
      </c>
      <c r="D483" s="1">
        <v>-4.4577239336783796</v>
      </c>
      <c r="E483" s="1">
        <v>2.43024030180786</v>
      </c>
      <c r="F483" s="1">
        <v>-0.40307878513372197</v>
      </c>
      <c r="G483" s="3" t="str">
        <f>"HK2"</f>
        <v>HK2</v>
      </c>
      <c r="H483" s="1">
        <v>3099</v>
      </c>
      <c r="I483" s="1" t="str">
        <f>"hexokinase 2"</f>
        <v>hexokinase 2</v>
      </c>
    </row>
    <row r="484" spans="1:9" x14ac:dyDescent="0.35">
      <c r="A484" s="1" t="str">
        <f>"209140_x_at"</f>
        <v>209140_x_at</v>
      </c>
      <c r="B484" s="1">
        <v>8.4692558116566796E-3</v>
      </c>
      <c r="C484" s="1">
        <v>7.2708730277338E-4</v>
      </c>
      <c r="D484" s="1">
        <v>3.4830482317135201</v>
      </c>
      <c r="E484" s="1">
        <v>-0.87731484407234805</v>
      </c>
      <c r="F484" s="1">
        <v>0.30792754279069401</v>
      </c>
      <c r="G484" s="3" t="str">
        <f>"HLA-B"</f>
        <v>HLA-B</v>
      </c>
      <c r="H484" s="1">
        <v>3106</v>
      </c>
      <c r="I484" s="1" t="str">
        <f>"major histocompatibility complex, class I, B"</f>
        <v>major histocompatibility complex, class I, B</v>
      </c>
    </row>
    <row r="485" spans="1:9" x14ac:dyDescent="0.35">
      <c r="A485" s="1" t="str">
        <f>"217478_s_at"</f>
        <v>217478_s_at</v>
      </c>
      <c r="B485" s="1">
        <v>0.14039952143036899</v>
      </c>
      <c r="C485" s="1">
        <v>3.14092184324547E-2</v>
      </c>
      <c r="D485" s="1">
        <v>2.1814253167814899</v>
      </c>
      <c r="E485" s="1">
        <v>-4.2453239064733301</v>
      </c>
      <c r="F485" s="1">
        <v>0.32301033427179698</v>
      </c>
      <c r="G485" s="3" t="str">
        <f>"HLA-DMA"</f>
        <v>HLA-DMA</v>
      </c>
      <c r="H485" s="1">
        <v>3108</v>
      </c>
      <c r="I485" s="1" t="str">
        <f>"major histocompatibility complex, class II, DM alpha"</f>
        <v>major histocompatibility complex, class II, DM alpha</v>
      </c>
    </row>
    <row r="486" spans="1:9" x14ac:dyDescent="0.35">
      <c r="A486" s="1" t="str">
        <f>"203932_at"</f>
        <v>203932_at</v>
      </c>
      <c r="B486" s="1">
        <v>5.9695118089833597E-3</v>
      </c>
      <c r="C486" s="1">
        <v>4.6399472481978098E-4</v>
      </c>
      <c r="D486" s="1">
        <v>3.6158009209013602</v>
      </c>
      <c r="E486" s="1">
        <v>-0.46269367267151001</v>
      </c>
      <c r="F486" s="1">
        <v>0.38064908218604898</v>
      </c>
      <c r="G486" s="3" t="str">
        <f>"HLA-DMB"</f>
        <v>HLA-DMB</v>
      </c>
      <c r="H486" s="1">
        <v>3109</v>
      </c>
      <c r="I486" s="1" t="str">
        <f>"major histocompatibility complex, class II, DM beta"</f>
        <v>major histocompatibility complex, class II, DM beta</v>
      </c>
    </row>
    <row r="487" spans="1:9" x14ac:dyDescent="0.35">
      <c r="A487" s="1" t="str">
        <f>"211990_at"</f>
        <v>211990_at</v>
      </c>
      <c r="B487" s="1">
        <v>3.8622506928190099E-3</v>
      </c>
      <c r="C487" s="1">
        <v>2.6692393604726798E-4</v>
      </c>
      <c r="D487" s="1">
        <v>3.7749086894539201</v>
      </c>
      <c r="E487" s="1">
        <v>4.9901938836344001E-2</v>
      </c>
      <c r="F487" s="1">
        <v>0.83677580820494102</v>
      </c>
      <c r="G487" s="3" t="str">
        <f>"HLA-DPA1"</f>
        <v>HLA-DPA1</v>
      </c>
      <c r="H487" s="1">
        <v>3113</v>
      </c>
      <c r="I487" s="1" t="str">
        <f>"major histocompatibility complex, class II, DP alpha 1"</f>
        <v>major histocompatibility complex, class II, DP alpha 1</v>
      </c>
    </row>
    <row r="488" spans="1:9" x14ac:dyDescent="0.35">
      <c r="A488" s="1" t="str">
        <f>"201137_s_at"</f>
        <v>201137_s_at</v>
      </c>
      <c r="B488" s="1">
        <v>1.3560265913785E-3</v>
      </c>
      <c r="C488" s="2">
        <v>6.9739553638188901E-5</v>
      </c>
      <c r="D488" s="1">
        <v>4.1442696203040796</v>
      </c>
      <c r="E488" s="1">
        <v>1.3026285456039299</v>
      </c>
      <c r="F488" s="1">
        <v>0.67141666820929702</v>
      </c>
      <c r="G488" s="3" t="str">
        <f>"HLA-DPB1"</f>
        <v>HLA-DPB1</v>
      </c>
      <c r="H488" s="1">
        <v>3115</v>
      </c>
      <c r="I488" s="1" t="str">
        <f>"major histocompatibility complex, class II, DP beta 1"</f>
        <v>major histocompatibility complex, class II, DP beta 1</v>
      </c>
    </row>
    <row r="489" spans="1:9" x14ac:dyDescent="0.35">
      <c r="A489" s="1" t="str">
        <f>"210982_s_at"</f>
        <v>210982_s_at</v>
      </c>
      <c r="B489" s="1">
        <v>0.11886363962482301</v>
      </c>
      <c r="C489" s="1">
        <v>2.4681688306963E-2</v>
      </c>
      <c r="D489" s="1">
        <v>2.2795316454268399</v>
      </c>
      <c r="E489" s="1">
        <v>-4.0389667835138301</v>
      </c>
      <c r="F489" s="1">
        <v>0.43947616486046698</v>
      </c>
      <c r="G489" s="3" t="str">
        <f>"HLA-DRA"</f>
        <v>HLA-DRA</v>
      </c>
      <c r="H489" s="1">
        <v>3122</v>
      </c>
      <c r="I489" s="1" t="str">
        <f>"major histocompatibility complex, class II, DR alpha"</f>
        <v>major histocompatibility complex, class II, DR alpha</v>
      </c>
    </row>
    <row r="490" spans="1:9" x14ac:dyDescent="0.35">
      <c r="A490" s="1" t="str">
        <f>"208306_x_at"</f>
        <v>208306_x_at</v>
      </c>
      <c r="B490" s="1">
        <v>7.9164048641855306E-2</v>
      </c>
      <c r="C490" s="1">
        <v>1.3851843362859301E-2</v>
      </c>
      <c r="D490" s="1">
        <v>2.5036061728321899</v>
      </c>
      <c r="E490" s="1">
        <v>-3.5371613193371898</v>
      </c>
      <c r="F490" s="1">
        <v>0.30813160656104099</v>
      </c>
      <c r="G490" s="3" t="str">
        <f>"HLA-DRB1"</f>
        <v>HLA-DRB1</v>
      </c>
      <c r="H490" s="1">
        <v>3123</v>
      </c>
      <c r="I490" s="1" t="str">
        <f>"major histocompatibility complex, class II, DR beta 1"</f>
        <v>major histocompatibility complex, class II, DR beta 1</v>
      </c>
    </row>
    <row r="491" spans="1:9" x14ac:dyDescent="0.35">
      <c r="A491" s="1" t="str">
        <f>"200904_at"</f>
        <v>200904_at</v>
      </c>
      <c r="B491" s="1">
        <v>1.2266098255561499E-3</v>
      </c>
      <c r="C491" s="2">
        <v>6.1529549812439798E-5</v>
      </c>
      <c r="D491" s="1">
        <v>4.1776676494148601</v>
      </c>
      <c r="E491" s="1">
        <v>1.4200455809561501</v>
      </c>
      <c r="F491" s="1">
        <v>0.41181787935174602</v>
      </c>
      <c r="G491" s="3" t="str">
        <f>"HLA-E"</f>
        <v>HLA-E</v>
      </c>
      <c r="H491" s="1">
        <v>3133</v>
      </c>
      <c r="I491" s="1" t="str">
        <f>"major histocompatibility complex, class I, E"</f>
        <v>major histocompatibility complex, class I, E</v>
      </c>
    </row>
    <row r="492" spans="1:9" x14ac:dyDescent="0.35">
      <c r="A492" s="1" t="str">
        <f>"204755_x_at"</f>
        <v>204755_x_at</v>
      </c>
      <c r="B492" s="1">
        <v>5.3370617486185401E-3</v>
      </c>
      <c r="C492" s="1">
        <v>4.0286038061196399E-4</v>
      </c>
      <c r="D492" s="1">
        <v>3.65689008209146</v>
      </c>
      <c r="E492" s="1">
        <v>-0.33193269120384</v>
      </c>
      <c r="F492" s="1">
        <v>0.31022084605377798</v>
      </c>
      <c r="G492" s="3" t="str">
        <f>"HLF"</f>
        <v>HLF</v>
      </c>
      <c r="H492" s="1">
        <v>3131</v>
      </c>
      <c r="I492" s="1" t="str">
        <f>"HLF, PAR bZIP transcription factor"</f>
        <v>HLF, PAR bZIP transcription factor</v>
      </c>
    </row>
    <row r="493" spans="1:9" x14ac:dyDescent="0.35">
      <c r="A493" s="1" t="str">
        <f>"202983_at"</f>
        <v>202983_at</v>
      </c>
      <c r="B493" s="2">
        <v>1.0158288081200999E-6</v>
      </c>
      <c r="C493" s="2">
        <v>9.3910485335340692E-9</v>
      </c>
      <c r="D493" s="1">
        <v>6.2460498232750696</v>
      </c>
      <c r="E493" s="1">
        <v>9.7763858743849195</v>
      </c>
      <c r="F493" s="1">
        <v>0.63227608139825298</v>
      </c>
      <c r="G493" s="3" t="str">
        <f>"HLTF"</f>
        <v>HLTF</v>
      </c>
      <c r="H493" s="1">
        <v>6596</v>
      </c>
      <c r="I493" s="1" t="str">
        <f>"helicase like transcription factor"</f>
        <v>helicase like transcription factor</v>
      </c>
    </row>
    <row r="494" spans="1:9" x14ac:dyDescent="0.35">
      <c r="A494" s="1" t="str">
        <f>"208808_s_at"</f>
        <v>208808_s_at</v>
      </c>
      <c r="B494" s="1">
        <v>1.6142090578802901E-3</v>
      </c>
      <c r="C494" s="2">
        <v>8.7189687433875796E-5</v>
      </c>
      <c r="D494" s="1">
        <v>4.0842996727349501</v>
      </c>
      <c r="E494" s="1">
        <v>1.09347637632043</v>
      </c>
      <c r="F494" s="1">
        <v>0.52208722404360397</v>
      </c>
      <c r="G494" s="3" t="str">
        <f>"HMGB2"</f>
        <v>HMGB2</v>
      </c>
      <c r="H494" s="1">
        <v>3148</v>
      </c>
      <c r="I494" s="1" t="str">
        <f>"high mobility group box 2"</f>
        <v>high mobility group box 2</v>
      </c>
    </row>
    <row r="495" spans="1:9" x14ac:dyDescent="0.35">
      <c r="A495" s="1" t="str">
        <f>"202772_at"</f>
        <v>202772_at</v>
      </c>
      <c r="B495" s="2">
        <v>3.7053447437567999E-6</v>
      </c>
      <c r="C495" s="2">
        <v>5.0717145215896602E-8</v>
      </c>
      <c r="D495" s="1">
        <v>5.8786318201623997</v>
      </c>
      <c r="E495" s="1">
        <v>8.1610835054242603</v>
      </c>
      <c r="F495" s="1">
        <v>0.30122671396947498</v>
      </c>
      <c r="G495" s="3" t="str">
        <f>"HMGCL"</f>
        <v>HMGCL</v>
      </c>
      <c r="H495" s="1">
        <v>3155</v>
      </c>
      <c r="I495" s="1" t="str">
        <f>"3-hydroxymethyl-3-methylglutaryl-CoA lyase"</f>
        <v>3-hydroxymethyl-3-methylglutaryl-CoA lyase</v>
      </c>
    </row>
    <row r="496" spans="1:9" x14ac:dyDescent="0.35">
      <c r="A496" s="1" t="str">
        <f>"204607_at"</f>
        <v>204607_at</v>
      </c>
      <c r="B496" s="1">
        <v>2.7514091481149101E-2</v>
      </c>
      <c r="C496" s="1">
        <v>3.3560696784886899E-3</v>
      </c>
      <c r="D496" s="1">
        <v>-3.0024184895016002</v>
      </c>
      <c r="E496" s="1">
        <v>-2.2737156060822801</v>
      </c>
      <c r="F496" s="1">
        <v>-0.34138371633866699</v>
      </c>
      <c r="G496" s="3" t="str">
        <f>"HMGCS2"</f>
        <v>HMGCS2</v>
      </c>
      <c r="H496" s="1">
        <v>3158</v>
      </c>
      <c r="I496" s="1" t="str">
        <f>"3-hydroxy-3-methylglutaryl-CoA synthase 2"</f>
        <v>3-hydroxy-3-methylglutaryl-CoA synthase 2</v>
      </c>
    </row>
    <row r="497" spans="1:9" x14ac:dyDescent="0.35">
      <c r="A497" s="1" t="str">
        <f>"208668_x_at"</f>
        <v>208668_x_at</v>
      </c>
      <c r="B497" s="2">
        <v>6.5315198526637203E-19</v>
      </c>
      <c r="C497" s="2">
        <v>8.7935015742903297E-23</v>
      </c>
      <c r="D497" s="1">
        <v>12.664295452800101</v>
      </c>
      <c r="E497" s="1">
        <v>40.788807749287898</v>
      </c>
      <c r="F497" s="1">
        <v>0.66834676148400995</v>
      </c>
      <c r="G497" s="3" t="str">
        <f>"HMGN2"</f>
        <v>HMGN2</v>
      </c>
      <c r="H497" s="1">
        <v>3151</v>
      </c>
      <c r="I497" s="1" t="str">
        <f>"high mobility group nucleosomal binding domain 2"</f>
        <v>high mobility group nucleosomal binding domain 2</v>
      </c>
    </row>
    <row r="498" spans="1:9" x14ac:dyDescent="0.35">
      <c r="A498" s="1" t="str">
        <f>"209377_s_at"</f>
        <v>209377_s_at</v>
      </c>
      <c r="B498" s="2">
        <v>1.76094705217722E-6</v>
      </c>
      <c r="C498" s="2">
        <v>1.9124408141941699E-8</v>
      </c>
      <c r="D498" s="1">
        <v>6.0922675838948503</v>
      </c>
      <c r="E498" s="1">
        <v>9.0948103843196897</v>
      </c>
      <c r="F498" s="1">
        <v>0.63930524827034296</v>
      </c>
      <c r="G498" s="3" t="str">
        <f>"HMGN3"</f>
        <v>HMGN3</v>
      </c>
      <c r="H498" s="1">
        <v>9324</v>
      </c>
      <c r="I498" s="1" t="str">
        <f>"high mobility group nucleosomal binding domain 3"</f>
        <v>high mobility group nucleosomal binding domain 3</v>
      </c>
    </row>
    <row r="499" spans="1:9" x14ac:dyDescent="0.35">
      <c r="A499" s="1" t="str">
        <f>"218120_s_at"</f>
        <v>218120_s_at</v>
      </c>
      <c r="B499" s="2">
        <v>1.02454943167851E-15</v>
      </c>
      <c r="C499" s="2">
        <v>3.2185280356098998E-19</v>
      </c>
      <c r="D499" s="1">
        <v>-11.0449927878241</v>
      </c>
      <c r="E499" s="1">
        <v>32.942935382324798</v>
      </c>
      <c r="F499" s="1">
        <v>-0.81518585143023103</v>
      </c>
      <c r="G499" s="3" t="str">
        <f>"HMOX2"</f>
        <v>HMOX2</v>
      </c>
      <c r="H499" s="1">
        <v>3163</v>
      </c>
      <c r="I499" s="1" t="str">
        <f>"heme oxygenase 2"</f>
        <v>heme oxygenase 2</v>
      </c>
    </row>
    <row r="500" spans="1:9" x14ac:dyDescent="0.35">
      <c r="A500" s="1" t="str">
        <f>"217755_at"</f>
        <v>217755_at</v>
      </c>
      <c r="B500" s="2">
        <v>2.0424330235140601E-7</v>
      </c>
      <c r="C500" s="2">
        <v>1.34738434886042E-9</v>
      </c>
      <c r="D500" s="1">
        <v>-6.6584420824887696</v>
      </c>
      <c r="E500" s="1">
        <v>11.639456875364001</v>
      </c>
      <c r="F500" s="1">
        <v>-0.41656973997965302</v>
      </c>
      <c r="G500" s="3" t="str">
        <f>"HN1"</f>
        <v>HN1</v>
      </c>
      <c r="H500" s="1">
        <v>51155</v>
      </c>
      <c r="I500" s="1" t="str">
        <f>"hematological and neurological expressed 1"</f>
        <v>hematological and neurological expressed 1</v>
      </c>
    </row>
    <row r="501" spans="1:9" x14ac:dyDescent="0.35">
      <c r="A501" s="1" t="str">
        <f>"201277_s_at"</f>
        <v>201277_s_at</v>
      </c>
      <c r="B501" s="2">
        <v>9.0687716369957108E-9</v>
      </c>
      <c r="C501" s="2">
        <v>2.27909712189454E-11</v>
      </c>
      <c r="D501" s="1">
        <v>-7.4977156690315603</v>
      </c>
      <c r="E501" s="1">
        <v>15.561617637980801</v>
      </c>
      <c r="F501" s="1">
        <v>-0.47641155537208701</v>
      </c>
      <c r="G501" s="3" t="str">
        <f>"HNRNPAB"</f>
        <v>HNRNPAB</v>
      </c>
      <c r="H501" s="1">
        <v>3182</v>
      </c>
      <c r="I501" s="1" t="str">
        <f>"heterogeneous nuclear ribonucleoprotein A/B"</f>
        <v>heterogeneous nuclear ribonucleoprotein A/B</v>
      </c>
    </row>
    <row r="502" spans="1:9" x14ac:dyDescent="0.35">
      <c r="A502" s="1" t="str">
        <f>"200751_s_at"</f>
        <v>200751_s_at</v>
      </c>
      <c r="B502" s="1">
        <v>0.18577239355153399</v>
      </c>
      <c r="C502" s="1">
        <v>4.7812443433022801E-2</v>
      </c>
      <c r="D502" s="1">
        <v>-2.00274727558189</v>
      </c>
      <c r="E502" s="1">
        <v>-4.5998103375434303</v>
      </c>
      <c r="F502" s="1">
        <v>-0.34712011663226799</v>
      </c>
      <c r="G502" s="3" t="str">
        <f>"HNRNPC"</f>
        <v>HNRNPC</v>
      </c>
      <c r="H502" s="1">
        <v>3183</v>
      </c>
      <c r="I502" s="1" t="str">
        <f>"heterogeneous nuclear ribonucleoprotein C (C1/C2)"</f>
        <v>heterogeneous nuclear ribonucleoprotein C (C1/C2)</v>
      </c>
    </row>
    <row r="503" spans="1:9" x14ac:dyDescent="0.35">
      <c r="A503" s="1" t="str">
        <f>"209067_s_at"</f>
        <v>209067_s_at</v>
      </c>
      <c r="B503" s="2">
        <v>8.8920070263393007E-6</v>
      </c>
      <c r="C503" s="2">
        <v>1.4365761026262801E-7</v>
      </c>
      <c r="D503" s="1">
        <v>-5.6466312405482801</v>
      </c>
      <c r="E503" s="1">
        <v>7.1656907712877</v>
      </c>
      <c r="F503" s="1">
        <v>-0.49786553395785299</v>
      </c>
      <c r="G503" s="3" t="str">
        <f>"HNRNPDL"</f>
        <v>HNRNPDL</v>
      </c>
      <c r="H503" s="1">
        <v>9987</v>
      </c>
      <c r="I503" s="1" t="str">
        <f>"heterogeneous nuclear ribonucleoprotein D like"</f>
        <v>heterogeneous nuclear ribonucleoprotein D like</v>
      </c>
    </row>
    <row r="504" spans="1:9" x14ac:dyDescent="0.35">
      <c r="A504" s="1" t="str">
        <f>"208765_s_at"</f>
        <v>208765_s_at</v>
      </c>
      <c r="B504" s="1">
        <v>6.14020809131436E-3</v>
      </c>
      <c r="C504" s="1">
        <v>4.7946695143773199E-4</v>
      </c>
      <c r="D504" s="1">
        <v>-3.60621694516548</v>
      </c>
      <c r="E504" s="1">
        <v>-0.49302971806387502</v>
      </c>
      <c r="F504" s="1">
        <v>-0.31747833613517301</v>
      </c>
      <c r="G504" s="3" t="str">
        <f>"HNRNPR"</f>
        <v>HNRNPR</v>
      </c>
      <c r="H504" s="1">
        <v>10236</v>
      </c>
      <c r="I504" s="1" t="str">
        <f>"heterogeneous nuclear ribonucleoprotein R"</f>
        <v>heterogeneous nuclear ribonucleoprotein R</v>
      </c>
    </row>
    <row r="505" spans="1:9" x14ac:dyDescent="0.35">
      <c r="A505" s="1" t="str">
        <f>"211597_s_at"</f>
        <v>211597_s_at</v>
      </c>
      <c r="B505" s="2">
        <v>8.0710455883585098E-11</v>
      </c>
      <c r="C505" s="2">
        <v>7.9685411723685001E-14</v>
      </c>
      <c r="D505" s="1">
        <v>-8.6231936584351203</v>
      </c>
      <c r="E505" s="1">
        <v>21.006272307370001</v>
      </c>
      <c r="F505" s="1">
        <v>-1.5045673194651199</v>
      </c>
      <c r="G505" s="3" t="str">
        <f>"HOPX"</f>
        <v>HOPX</v>
      </c>
      <c r="H505" s="1">
        <v>84525</v>
      </c>
      <c r="I505" s="1" t="str">
        <f>"HOP homeobox"</f>
        <v>HOP homeobox</v>
      </c>
    </row>
    <row r="506" spans="1:9" x14ac:dyDescent="0.35">
      <c r="A506" s="1" t="str">
        <f>"205462_s_at"</f>
        <v>205462_s_at</v>
      </c>
      <c r="B506" s="1">
        <v>8.6868362285016393E-3</v>
      </c>
      <c r="C506" s="1">
        <v>7.4966503915131104E-4</v>
      </c>
      <c r="D506" s="1">
        <v>-3.4738876361005402</v>
      </c>
      <c r="E506" s="1">
        <v>-0.90547813328254301</v>
      </c>
      <c r="F506" s="1">
        <v>-0.327371495902615</v>
      </c>
      <c r="G506" s="3" t="str">
        <f>"HPCAL1"</f>
        <v>HPCAL1</v>
      </c>
      <c r="H506" s="1">
        <v>3241</v>
      </c>
      <c r="I506" s="1" t="str">
        <f>"hippocalcin like 1"</f>
        <v>hippocalcin like 1</v>
      </c>
    </row>
    <row r="507" spans="1:9" x14ac:dyDescent="0.35">
      <c r="A507" s="1" t="str">
        <f>"207066_at"</f>
        <v>207066_at</v>
      </c>
      <c r="B507" s="2">
        <v>2.3012466780597E-6</v>
      </c>
      <c r="C507" s="2">
        <v>2.7264242831205901E-8</v>
      </c>
      <c r="D507" s="1">
        <v>6.0149757682018796</v>
      </c>
      <c r="E507" s="1">
        <v>8.7551819997389302</v>
      </c>
      <c r="F507" s="1">
        <v>0.60374186937063901</v>
      </c>
      <c r="G507" s="3" t="str">
        <f>"HRC"</f>
        <v>HRC</v>
      </c>
      <c r="H507" s="1">
        <v>3270</v>
      </c>
      <c r="I507" s="1" t="str">
        <f>"histidine rich calcium binding protein"</f>
        <v>histidine rich calcium binding protein</v>
      </c>
    </row>
    <row r="508" spans="1:9" x14ac:dyDescent="0.35">
      <c r="A508" s="1" t="str">
        <f>"209513_s_at"</f>
        <v>209513_s_at</v>
      </c>
      <c r="B508" s="1">
        <v>1.3093406049932199E-2</v>
      </c>
      <c r="C508" s="1">
        <v>1.2645070151888901E-3</v>
      </c>
      <c r="D508" s="1">
        <v>3.31466185392933</v>
      </c>
      <c r="E508" s="1">
        <v>-1.3855806749711801</v>
      </c>
      <c r="F508" s="1">
        <v>0.37261108576889301</v>
      </c>
      <c r="G508" s="3" t="str">
        <f>"HSDL2"</f>
        <v>HSDL2</v>
      </c>
      <c r="H508" s="1">
        <v>84263</v>
      </c>
      <c r="I508" s="1" t="str">
        <f>"hydroxysteroid dehydrogenase like 2"</f>
        <v>hydroxysteroid dehydrogenase like 2</v>
      </c>
    </row>
    <row r="509" spans="1:9" x14ac:dyDescent="0.35">
      <c r="A509" s="1" t="str">
        <f>"214328_s_at"</f>
        <v>214328_s_at</v>
      </c>
      <c r="B509" s="1">
        <v>1.2169678688428601E-3</v>
      </c>
      <c r="C509" s="2">
        <v>6.0910770808141502E-5</v>
      </c>
      <c r="D509" s="1">
        <v>-4.1803555708547702</v>
      </c>
      <c r="E509" s="1">
        <v>1.4295244109179299</v>
      </c>
      <c r="F509" s="1">
        <v>-0.43883784671512099</v>
      </c>
      <c r="G509" s="3" t="str">
        <f>"HSP90AA1"</f>
        <v>HSP90AA1</v>
      </c>
      <c r="H509" s="1">
        <v>3320</v>
      </c>
      <c r="I509" s="1" t="str">
        <f>"heat shock protein 90 alpha family class A member 1"</f>
        <v>heat shock protein 90 alpha family class A member 1</v>
      </c>
    </row>
    <row r="510" spans="1:9" x14ac:dyDescent="0.35">
      <c r="A510" s="1" t="str">
        <f>"214359_s_at"</f>
        <v>214359_s_at</v>
      </c>
      <c r="B510" s="1">
        <v>1.84060533072161E-3</v>
      </c>
      <c r="C510" s="1">
        <v>1.0267344729556E-4</v>
      </c>
      <c r="D510" s="1">
        <v>-4.0400485726838999</v>
      </c>
      <c r="E510" s="1">
        <v>0.94054734630568104</v>
      </c>
      <c r="F510" s="1">
        <v>-0.65828080425145996</v>
      </c>
      <c r="G510" s="3" t="str">
        <f>"HSP90AB1"</f>
        <v>HSP90AB1</v>
      </c>
      <c r="H510" s="1">
        <v>3326</v>
      </c>
      <c r="I510" s="1" t="str">
        <f>"heat shock protein 90 alpha family class B member 1"</f>
        <v>heat shock protein 90 alpha family class B member 1</v>
      </c>
    </row>
    <row r="511" spans="1:9" x14ac:dyDescent="0.35">
      <c r="A511" s="1" t="str">
        <f>"216450_x_at"</f>
        <v>216450_x_at</v>
      </c>
      <c r="B511" s="1">
        <v>7.5693904973853803E-4</v>
      </c>
      <c r="C511" s="2">
        <v>3.3357902743941299E-5</v>
      </c>
      <c r="D511" s="1">
        <v>-4.3386048686546603</v>
      </c>
      <c r="E511" s="1">
        <v>1.9950623865449999</v>
      </c>
      <c r="F511" s="1">
        <v>-0.33492343790407297</v>
      </c>
      <c r="G511" s="3" t="str">
        <f>"HSP90B1"</f>
        <v>HSP90B1</v>
      </c>
      <c r="H511" s="1">
        <v>7184</v>
      </c>
      <c r="I511" s="1" t="str">
        <f>"heat shock protein 90 beta family member 1"</f>
        <v>heat shock protein 90 beta family member 1</v>
      </c>
    </row>
    <row r="512" spans="1:9" x14ac:dyDescent="0.35">
      <c r="A512" s="1" t="str">
        <f>"202558_s_at"</f>
        <v>202558_s_at</v>
      </c>
      <c r="B512" s="2">
        <v>1.9007630019553999E-5</v>
      </c>
      <c r="C512" s="2">
        <v>3.6850047877069202E-7</v>
      </c>
      <c r="D512" s="1">
        <v>-5.4327514477978802</v>
      </c>
      <c r="E512" s="1">
        <v>6.26656953573975</v>
      </c>
      <c r="F512" s="1">
        <v>-0.317032435405527</v>
      </c>
      <c r="G512" s="3" t="str">
        <f>"HSPA13"</f>
        <v>HSPA13</v>
      </c>
      <c r="H512" s="1">
        <v>6782</v>
      </c>
      <c r="I512" s="1" t="str">
        <f>"heat shock protein family A (Hsp70) member 13"</f>
        <v>heat shock protein family A (Hsp70) member 13</v>
      </c>
    </row>
    <row r="513" spans="1:9" x14ac:dyDescent="0.35">
      <c r="A513" s="1" t="str">
        <f>"202581_at"</f>
        <v>202581_at</v>
      </c>
      <c r="B513" s="1">
        <v>0.112074290733256</v>
      </c>
      <c r="C513" s="1">
        <v>2.2658290165297201E-2</v>
      </c>
      <c r="D513" s="1">
        <v>-2.3136525469085201</v>
      </c>
      <c r="E513" s="1">
        <v>-3.9652751942844402</v>
      </c>
      <c r="F513" s="1">
        <v>-0.67792166536918397</v>
      </c>
      <c r="G513" s="3" t="str">
        <f>"HSPA1B"</f>
        <v>HSPA1B</v>
      </c>
      <c r="H513" s="1">
        <v>3304</v>
      </c>
      <c r="I513" s="1" t="str">
        <f>"heat shock protein family A (Hsp70) member 1B///heat shock protein family A (Hsp70) member 1A"</f>
        <v>heat shock protein family A (Hsp70) member 1B///heat shock protein family A (Hsp70) member 1A</v>
      </c>
    </row>
    <row r="514" spans="1:9" x14ac:dyDescent="0.35">
      <c r="A514" s="1" t="str">
        <f>"200800_s_at"</f>
        <v>200800_s_at</v>
      </c>
      <c r="B514" s="1">
        <v>7.1607238652663897E-3</v>
      </c>
      <c r="C514" s="1">
        <v>5.8582774340890499E-4</v>
      </c>
      <c r="D514" s="1">
        <v>-3.5473066142148699</v>
      </c>
      <c r="E514" s="1">
        <v>-0.67812714121994799</v>
      </c>
      <c r="F514" s="1">
        <v>-0.57552339336628</v>
      </c>
      <c r="G514" s="3" t="str">
        <f>"HSPA1L"</f>
        <v>HSPA1L</v>
      </c>
      <c r="H514" s="1">
        <v>3305</v>
      </c>
      <c r="I514" s="1" t="str">
        <f>"heat shock protein family A (Hsp70) member 1 like///heat shock protein family A (Hsp70) member 1B///heat shock protein family A (Hsp70) member 1A"</f>
        <v>heat shock protein family A (Hsp70) member 1 like///heat shock protein family A (Hsp70) member 1B///heat shock protein family A (Hsp70) member 1A</v>
      </c>
    </row>
    <row r="515" spans="1:9" x14ac:dyDescent="0.35">
      <c r="A515" s="1" t="str">
        <f>"211538_s_at"</f>
        <v>211538_s_at</v>
      </c>
      <c r="B515" s="1">
        <v>1.9613111851870299E-2</v>
      </c>
      <c r="C515" s="1">
        <v>2.14500532168056E-3</v>
      </c>
      <c r="D515" s="1">
        <v>3.1482483191654</v>
      </c>
      <c r="E515" s="1">
        <v>-1.86789685181397</v>
      </c>
      <c r="F515" s="1">
        <v>0.49610528499127599</v>
      </c>
      <c r="G515" s="3" t="str">
        <f>"HSPA2"</f>
        <v>HSPA2</v>
      </c>
      <c r="H515" s="1">
        <v>3306</v>
      </c>
      <c r="I515" s="1" t="str">
        <f>"heat shock protein family A (Hsp70) member 2"</f>
        <v>heat shock protein family A (Hsp70) member 2</v>
      </c>
    </row>
    <row r="516" spans="1:9" x14ac:dyDescent="0.35">
      <c r="A516" s="1" t="str">
        <f>"211016_x_at"</f>
        <v>211016_x_at</v>
      </c>
      <c r="B516" s="1">
        <v>2.5766883204908901E-3</v>
      </c>
      <c r="C516" s="1">
        <v>1.5876646160902899E-4</v>
      </c>
      <c r="D516" s="1">
        <v>-3.92051714056011</v>
      </c>
      <c r="E516" s="1">
        <v>0.53351006786348298</v>
      </c>
      <c r="F516" s="1">
        <v>-0.457882874972384</v>
      </c>
      <c r="G516" s="3" t="str">
        <f>"HSPA4"</f>
        <v>HSPA4</v>
      </c>
      <c r="H516" s="1">
        <v>3308</v>
      </c>
      <c r="I516" s="1" t="str">
        <f>"heat shock protein family A (Hsp70) member 4"</f>
        <v>heat shock protein family A (Hsp70) member 4</v>
      </c>
    </row>
    <row r="517" spans="1:9" x14ac:dyDescent="0.35">
      <c r="A517" s="1" t="str">
        <f>"211936_at"</f>
        <v>211936_at</v>
      </c>
      <c r="B517" s="1">
        <v>1.04233420107034E-2</v>
      </c>
      <c r="C517" s="1">
        <v>9.5076423129264996E-4</v>
      </c>
      <c r="D517" s="1">
        <v>-3.4021371939815199</v>
      </c>
      <c r="E517" s="1">
        <v>-1.12403935623461</v>
      </c>
      <c r="F517" s="1">
        <v>-0.42753985348546703</v>
      </c>
      <c r="G517" s="3" t="str">
        <f>"HSPA5"</f>
        <v>HSPA5</v>
      </c>
      <c r="H517" s="1">
        <v>3309</v>
      </c>
      <c r="I517" s="1" t="str">
        <f>"heat shock protein family A (Hsp70) member 5"</f>
        <v>heat shock protein family A (Hsp70) member 5</v>
      </c>
    </row>
    <row r="518" spans="1:9" x14ac:dyDescent="0.35">
      <c r="A518" s="1" t="str">
        <f>"117_at"</f>
        <v>117_at</v>
      </c>
      <c r="B518" s="1">
        <v>2.5131579625623499E-2</v>
      </c>
      <c r="C518" s="1">
        <v>2.97836218690883E-3</v>
      </c>
      <c r="D518" s="1">
        <v>-3.0417861896684202</v>
      </c>
      <c r="E518" s="1">
        <v>-2.16573792041675</v>
      </c>
      <c r="F518" s="1">
        <v>-0.40609198630378102</v>
      </c>
      <c r="G518" s="3" t="str">
        <f>"HSPA6"</f>
        <v>HSPA6</v>
      </c>
      <c r="H518" s="1">
        <v>3310</v>
      </c>
      <c r="I518" s="1" t="str">
        <f>"heat shock protein family A (Hsp70) member 6"</f>
        <v>heat shock protein family A (Hsp70) member 6</v>
      </c>
    </row>
    <row r="519" spans="1:9" x14ac:dyDescent="0.35">
      <c r="A519" s="1" t="str">
        <f>"200692_s_at"</f>
        <v>200692_s_at</v>
      </c>
      <c r="B519" s="1">
        <v>2.29664907484414E-3</v>
      </c>
      <c r="C519" s="1">
        <v>1.3486613269133601E-4</v>
      </c>
      <c r="D519" s="1">
        <v>-3.9655272262966101</v>
      </c>
      <c r="E519" s="1">
        <v>0.68573461446699502</v>
      </c>
      <c r="F519" s="1">
        <v>-0.47818748092587698</v>
      </c>
      <c r="G519" s="3" t="str">
        <f>"HSPA9"</f>
        <v>HSPA9</v>
      </c>
      <c r="H519" s="1">
        <v>3313</v>
      </c>
      <c r="I519" s="1" t="str">
        <f>"heat shock protein family A (Hsp70) member 9"</f>
        <v>heat shock protein family A (Hsp70) member 9</v>
      </c>
    </row>
    <row r="520" spans="1:9" x14ac:dyDescent="0.35">
      <c r="A520" s="1" t="str">
        <f>"201841_s_at"</f>
        <v>201841_s_at</v>
      </c>
      <c r="B520" s="1">
        <v>2.05540220991632E-3</v>
      </c>
      <c r="C520" s="1">
        <v>1.16869119955301E-4</v>
      </c>
      <c r="D520" s="1">
        <v>-4.0047732854200904</v>
      </c>
      <c r="E520" s="1">
        <v>0.81950026736815695</v>
      </c>
      <c r="F520" s="1">
        <v>-0.50754320237500705</v>
      </c>
      <c r="G520" s="3" t="str">
        <f>"HSPB1"</f>
        <v>HSPB1</v>
      </c>
      <c r="H520" s="1">
        <v>3315</v>
      </c>
      <c r="I520" s="1" t="str">
        <f>"heat shock protein family B (small) member 1"</f>
        <v>heat shock protein family B (small) member 1</v>
      </c>
    </row>
    <row r="521" spans="1:9" x14ac:dyDescent="0.35">
      <c r="A521" s="1" t="str">
        <f>"200807_s_at"</f>
        <v>200807_s_at</v>
      </c>
      <c r="B521" s="2">
        <v>7.0991983360373299E-5</v>
      </c>
      <c r="C521" s="2">
        <v>1.80641989702157E-6</v>
      </c>
      <c r="D521" s="1">
        <v>-5.06178493612342</v>
      </c>
      <c r="E521" s="1">
        <v>4.75318838481029</v>
      </c>
      <c r="F521" s="1">
        <v>-0.39859190339098799</v>
      </c>
      <c r="G521" s="3" t="str">
        <f>"HSPD1"</f>
        <v>HSPD1</v>
      </c>
      <c r="H521" s="1">
        <v>3329</v>
      </c>
      <c r="I521" s="1" t="str">
        <f>"heat shock protein family D (Hsp60) member 1"</f>
        <v>heat shock protein family D (Hsp60) member 1</v>
      </c>
    </row>
    <row r="522" spans="1:9" x14ac:dyDescent="0.35">
      <c r="A522" s="1" t="str">
        <f>"205133_s_at"</f>
        <v>205133_s_at</v>
      </c>
      <c r="B522" s="1">
        <v>7.1503681060930803E-4</v>
      </c>
      <c r="C522" s="2">
        <v>3.07732487265775E-5</v>
      </c>
      <c r="D522" s="1">
        <v>-4.3595324492048997</v>
      </c>
      <c r="E522" s="1">
        <v>2.0709363835122501</v>
      </c>
      <c r="F522" s="1">
        <v>-0.485593029077032</v>
      </c>
      <c r="G522" s="3" t="str">
        <f>"HSPE1"</f>
        <v>HSPE1</v>
      </c>
      <c r="H522" s="1">
        <v>3336</v>
      </c>
      <c r="I522" s="1" t="str">
        <f>"heat shock protein family E (Hsp10) member 1"</f>
        <v>heat shock protein family E (Hsp10) member 1</v>
      </c>
    </row>
    <row r="523" spans="1:9" x14ac:dyDescent="0.35">
      <c r="A523" s="1" t="str">
        <f>"206976_s_at"</f>
        <v>206976_s_at</v>
      </c>
      <c r="B523" s="1">
        <v>3.4757036040774202E-3</v>
      </c>
      <c r="C523" s="1">
        <v>2.3365812497904101E-4</v>
      </c>
      <c r="D523" s="1">
        <v>-3.8125568424877199</v>
      </c>
      <c r="E523" s="1">
        <v>0.17363289965996501</v>
      </c>
      <c r="F523" s="1">
        <v>-0.56818863393750396</v>
      </c>
      <c r="G523" s="3" t="str">
        <f>"HSPH1"</f>
        <v>HSPH1</v>
      </c>
      <c r="H523" s="1">
        <v>10808</v>
      </c>
      <c r="I523" s="1" t="str">
        <f>"heat shock protein family H (Hsp110) member 1"</f>
        <v>heat shock protein family H (Hsp110) member 1</v>
      </c>
    </row>
    <row r="524" spans="1:9" x14ac:dyDescent="0.35">
      <c r="A524" s="1" t="str">
        <f>"202602_s_at"</f>
        <v>202602_s_at</v>
      </c>
      <c r="B524" s="1">
        <v>9.7254596974516092E-3</v>
      </c>
      <c r="C524" s="1">
        <v>8.68975912472564E-4</v>
      </c>
      <c r="D524" s="1">
        <v>3.4294148328154099</v>
      </c>
      <c r="E524" s="1">
        <v>-1.0413733905118701</v>
      </c>
      <c r="F524" s="1">
        <v>0.35122205302325599</v>
      </c>
      <c r="G524" s="3" t="str">
        <f>"HTATSF1"</f>
        <v>HTATSF1</v>
      </c>
      <c r="H524" s="1">
        <v>27336</v>
      </c>
      <c r="I524" s="1" t="str">
        <f>"HIV-1 Tat specific factor 1"</f>
        <v>HIV-1 Tat specific factor 1</v>
      </c>
    </row>
    <row r="525" spans="1:9" x14ac:dyDescent="0.35">
      <c r="A525" s="1" t="str">
        <f>"201185_at"</f>
        <v>201185_at</v>
      </c>
      <c r="B525" s="2">
        <v>1.30000016919883E-14</v>
      </c>
      <c r="C525" s="2">
        <v>5.2506401843510598E-18</v>
      </c>
      <c r="D525" s="1">
        <v>10.500457554260599</v>
      </c>
      <c r="E525" s="1">
        <v>30.264427236178499</v>
      </c>
      <c r="F525" s="1">
        <v>0.75388416911918699</v>
      </c>
      <c r="G525" s="3" t="str">
        <f>"HTRA1"</f>
        <v>HTRA1</v>
      </c>
      <c r="H525" s="1">
        <v>5654</v>
      </c>
      <c r="I525" s="1" t="str">
        <f>"HtrA serine peptidase 1"</f>
        <v>HtrA serine peptidase 1</v>
      </c>
    </row>
    <row r="526" spans="1:9" x14ac:dyDescent="0.35">
      <c r="A526" s="1" t="str">
        <f>"206855_s_at"</f>
        <v>206855_s_at</v>
      </c>
      <c r="B526" s="1">
        <v>1.9826397990962001E-4</v>
      </c>
      <c r="C526" s="2">
        <v>6.3350515503141301E-6</v>
      </c>
      <c r="D526" s="1">
        <v>-4.7583530389709798</v>
      </c>
      <c r="E526" s="1">
        <v>3.5629873155193899</v>
      </c>
      <c r="F526" s="1">
        <v>-0.43330955519185699</v>
      </c>
      <c r="G526" s="3" t="str">
        <f>"HYAL2"</f>
        <v>HYAL2</v>
      </c>
      <c r="H526" s="1">
        <v>8692</v>
      </c>
      <c r="I526" s="1" t="str">
        <f>"hyaluronoglucosaminidase 2"</f>
        <v>hyaluronoglucosaminidase 2</v>
      </c>
    </row>
    <row r="527" spans="1:9" x14ac:dyDescent="0.35">
      <c r="A527" s="1" t="str">
        <f>"200825_s_at"</f>
        <v>200825_s_at</v>
      </c>
      <c r="B527" s="1">
        <v>4.8836070045547297E-3</v>
      </c>
      <c r="C527" s="1">
        <v>3.5855051202493099E-4</v>
      </c>
      <c r="D527" s="1">
        <v>-3.6905493657502602</v>
      </c>
      <c r="E527" s="1">
        <v>-0.223973143816216</v>
      </c>
      <c r="F527" s="1">
        <v>-0.31921254130668503</v>
      </c>
      <c r="G527" s="3" t="str">
        <f>"HYOU1"</f>
        <v>HYOU1</v>
      </c>
      <c r="H527" s="1">
        <v>10525</v>
      </c>
      <c r="I527" s="1" t="str">
        <f>"hypoxia up-regulated 1"</f>
        <v>hypoxia up-regulated 1</v>
      </c>
    </row>
    <row r="528" spans="1:9" x14ac:dyDescent="0.35">
      <c r="A528" s="1" t="str">
        <f>"204744_s_at"</f>
        <v>204744_s_at</v>
      </c>
      <c r="B528" s="1">
        <v>1.66424611980744E-4</v>
      </c>
      <c r="C528" s="2">
        <v>5.0488281514599897E-6</v>
      </c>
      <c r="D528" s="1">
        <v>-4.8140189256436399</v>
      </c>
      <c r="E528" s="1">
        <v>3.7779227131428299</v>
      </c>
      <c r="F528" s="1">
        <v>-0.35069447292587702</v>
      </c>
      <c r="G528" s="3" t="str">
        <f>"IARS"</f>
        <v>IARS</v>
      </c>
      <c r="H528" s="1">
        <v>3376</v>
      </c>
      <c r="I528" s="1" t="str">
        <f>"isoleucyl-tRNA synthetase"</f>
        <v>isoleucyl-tRNA synthetase</v>
      </c>
    </row>
    <row r="529" spans="1:9" x14ac:dyDescent="0.35">
      <c r="A529" s="1" t="str">
        <f>"208937_s_at"</f>
        <v>208937_s_at</v>
      </c>
      <c r="B529" s="1">
        <v>8.07377680531495E-2</v>
      </c>
      <c r="C529" s="1">
        <v>1.4297501805759E-2</v>
      </c>
      <c r="D529" s="1">
        <v>-2.4916873219407099</v>
      </c>
      <c r="E529" s="1">
        <v>-3.56490578999952</v>
      </c>
      <c r="F529" s="1">
        <v>-0.42260104354941702</v>
      </c>
      <c r="G529" s="3" t="str">
        <f>"ID1"</f>
        <v>ID1</v>
      </c>
      <c r="H529" s="1">
        <v>3397</v>
      </c>
      <c r="I529" s="1" t="str">
        <f>"inhibitor of DNA binding 1, HLH protein"</f>
        <v>inhibitor of DNA binding 1, HLH protein</v>
      </c>
    </row>
    <row r="530" spans="1:9" x14ac:dyDescent="0.35">
      <c r="A530" s="1" t="str">
        <f>"202069_s_at"</f>
        <v>202069_s_at</v>
      </c>
      <c r="B530" s="1">
        <v>0.141232715399502</v>
      </c>
      <c r="C530" s="1">
        <v>3.16906869361177E-2</v>
      </c>
      <c r="D530" s="1">
        <v>-2.1777362759011298</v>
      </c>
      <c r="E530" s="1">
        <v>-4.2529225550284302</v>
      </c>
      <c r="F530" s="1">
        <v>-0.36803824878924402</v>
      </c>
      <c r="G530" s="3" t="str">
        <f>"IDH3A"</f>
        <v>IDH3A</v>
      </c>
      <c r="H530" s="1">
        <v>3419</v>
      </c>
      <c r="I530" s="1" t="str">
        <f>"isocitrate dehydrogenase 3 (NAD(+)) alpha"</f>
        <v>isocitrate dehydrogenase 3 (NAD(+)) alpha</v>
      </c>
    </row>
    <row r="531" spans="1:9" x14ac:dyDescent="0.35">
      <c r="A531" s="1" t="str">
        <f>"220703_at"</f>
        <v>220703_at</v>
      </c>
      <c r="B531" s="1">
        <v>1.36717557224948E-4</v>
      </c>
      <c r="C531" s="2">
        <v>4.0126231847200201E-6</v>
      </c>
      <c r="D531" s="1">
        <v>4.86999685158096</v>
      </c>
      <c r="E531" s="1">
        <v>3.9956373261116598</v>
      </c>
      <c r="F531" s="1">
        <v>0.59443395583865999</v>
      </c>
      <c r="G531" s="3" t="str">
        <f>"IDI2-AS1"</f>
        <v>IDI2-AS1</v>
      </c>
      <c r="H531" s="1">
        <v>55853</v>
      </c>
      <c r="I531" s="1" t="str">
        <f>"IDI2 antisense RNA 1"</f>
        <v>IDI2 antisense RNA 1</v>
      </c>
    </row>
    <row r="532" spans="1:9" x14ac:dyDescent="0.35">
      <c r="A532" s="1" t="str">
        <f>"212221_x_at"</f>
        <v>212221_x_at</v>
      </c>
      <c r="B532" s="1">
        <v>2.8504787627344598E-3</v>
      </c>
      <c r="C532" s="1">
        <v>1.8228839190847701E-4</v>
      </c>
      <c r="D532" s="1">
        <v>3.8821418273833999</v>
      </c>
      <c r="E532" s="1">
        <v>0.40473546321426301</v>
      </c>
      <c r="F532" s="1">
        <v>0.35455725856540499</v>
      </c>
      <c r="G532" s="3" t="str">
        <f>"IDS"</f>
        <v>IDS</v>
      </c>
      <c r="H532" s="1">
        <v>3423</v>
      </c>
      <c r="I532" s="1" t="str">
        <f>"iduronate 2-sulfatase"</f>
        <v>iduronate 2-sulfatase</v>
      </c>
    </row>
    <row r="533" spans="1:9" x14ac:dyDescent="0.35">
      <c r="A533" s="1" t="str">
        <f>"208965_s_at"</f>
        <v>208965_s_at</v>
      </c>
      <c r="B533" s="1">
        <v>2.01361507179736E-3</v>
      </c>
      <c r="C533" s="1">
        <v>1.13950931451621E-4</v>
      </c>
      <c r="D533" s="1">
        <v>-4.0116766978736997</v>
      </c>
      <c r="E533" s="1">
        <v>0.84312878132623204</v>
      </c>
      <c r="F533" s="1">
        <v>-0.33873512229215103</v>
      </c>
      <c r="G533" s="3" t="str">
        <f>"IFI16"</f>
        <v>IFI16</v>
      </c>
      <c r="H533" s="1">
        <v>3428</v>
      </c>
      <c r="I533" s="1" t="str">
        <f>"interferon gamma inducible protein 16"</f>
        <v>interferon gamma inducible protein 16</v>
      </c>
    </row>
    <row r="534" spans="1:9" x14ac:dyDescent="0.35">
      <c r="A534" s="1" t="str">
        <f>"214453_s_at"</f>
        <v>214453_s_at</v>
      </c>
      <c r="B534" s="1">
        <v>5.2344370230385396E-3</v>
      </c>
      <c r="C534" s="1">
        <v>3.9323464419362299E-4</v>
      </c>
      <c r="D534" s="1">
        <v>3.6638927538984101</v>
      </c>
      <c r="E534" s="1">
        <v>-0.30953451014794803</v>
      </c>
      <c r="F534" s="1">
        <v>0.40774676096220902</v>
      </c>
      <c r="G534" s="3" t="str">
        <f>"IFI44"</f>
        <v>IFI44</v>
      </c>
      <c r="H534" s="1">
        <v>10561</v>
      </c>
      <c r="I534" s="1" t="str">
        <f>"interferon induced protein 44"</f>
        <v>interferon induced protein 44</v>
      </c>
    </row>
    <row r="535" spans="1:9" x14ac:dyDescent="0.35">
      <c r="A535" s="1" t="str">
        <f>"204439_at"</f>
        <v>204439_at</v>
      </c>
      <c r="B535" s="2">
        <v>7.5601664619808602E-6</v>
      </c>
      <c r="C535" s="2">
        <v>1.1739072817149301E-7</v>
      </c>
      <c r="D535" s="1">
        <v>5.6919683664010199</v>
      </c>
      <c r="E535" s="1">
        <v>7.3586129612551696</v>
      </c>
      <c r="F535" s="1">
        <v>0.95260632768313902</v>
      </c>
      <c r="G535" s="3" t="str">
        <f>"IFI44L"</f>
        <v>IFI44L</v>
      </c>
      <c r="H535" s="1">
        <v>10964</v>
      </c>
      <c r="I535" s="1" t="str">
        <f>"interferon induced protein 44 like"</f>
        <v>interferon induced protein 44 like</v>
      </c>
    </row>
    <row r="536" spans="1:9" x14ac:dyDescent="0.35">
      <c r="A536" s="1" t="str">
        <f>"203153_at"</f>
        <v>203153_at</v>
      </c>
      <c r="B536" s="2">
        <v>1.21605533164822E-5</v>
      </c>
      <c r="C536" s="2">
        <v>2.09561211395646E-7</v>
      </c>
      <c r="D536" s="1">
        <v>5.5613840947544304</v>
      </c>
      <c r="E536" s="1">
        <v>6.8051165741984603</v>
      </c>
      <c r="F536" s="1">
        <v>0.72194868906104803</v>
      </c>
      <c r="G536" s="3" t="str">
        <f>"IFIT1"</f>
        <v>IFIT1</v>
      </c>
      <c r="H536" s="1">
        <v>3434</v>
      </c>
      <c r="I536" s="1" t="str">
        <f>"interferon induced protein with tetratricopeptide repeats 1"</f>
        <v>interferon induced protein with tetratricopeptide repeats 1</v>
      </c>
    </row>
    <row r="537" spans="1:9" x14ac:dyDescent="0.35">
      <c r="A537" s="1" t="str">
        <f>"214022_s_at"</f>
        <v>214022_s_at</v>
      </c>
      <c r="B537" s="1">
        <v>4.9609704696240702E-2</v>
      </c>
      <c r="C537" s="1">
        <v>7.39592689498324E-3</v>
      </c>
      <c r="D537" s="1">
        <v>2.7322019395447898</v>
      </c>
      <c r="E537" s="1">
        <v>-2.9826489796084301</v>
      </c>
      <c r="F537" s="1">
        <v>0.33966047232558</v>
      </c>
      <c r="G537" s="3" t="str">
        <f>"IFITM1"</f>
        <v>IFITM1</v>
      </c>
      <c r="H537" s="1">
        <v>8519</v>
      </c>
      <c r="I537" s="1" t="str">
        <f>"interferon induced transmembrane protein 1"</f>
        <v>interferon induced transmembrane protein 1</v>
      </c>
    </row>
    <row r="538" spans="1:9" x14ac:dyDescent="0.35">
      <c r="A538" s="1" t="str">
        <f>"201315_x_at"</f>
        <v>201315_x_at</v>
      </c>
      <c r="B538" s="1">
        <v>2.1530232134176499E-3</v>
      </c>
      <c r="C538" s="1">
        <v>1.2444885782353899E-4</v>
      </c>
      <c r="D538" s="1">
        <v>-3.9875847028562998</v>
      </c>
      <c r="E538" s="1">
        <v>0.76079690074754203</v>
      </c>
      <c r="F538" s="1">
        <v>-0.37201555800290498</v>
      </c>
      <c r="G538" s="3" t="str">
        <f>"IFITM2"</f>
        <v>IFITM2</v>
      </c>
      <c r="H538" s="1">
        <v>10581</v>
      </c>
      <c r="I538" s="1" t="str">
        <f>"interferon induced transmembrane protein 2"</f>
        <v>interferon induced transmembrane protein 2</v>
      </c>
    </row>
    <row r="539" spans="1:9" x14ac:dyDescent="0.35">
      <c r="A539" s="1" t="str">
        <f>"212203_x_at"</f>
        <v>212203_x_at</v>
      </c>
      <c r="B539" s="1">
        <v>5.8333147004877798E-3</v>
      </c>
      <c r="C539" s="1">
        <v>4.5052886054568301E-4</v>
      </c>
      <c r="D539" s="1">
        <v>-3.6243915512188001</v>
      </c>
      <c r="E539" s="1">
        <v>-0.43544909547227501</v>
      </c>
      <c r="F539" s="1">
        <v>-0.31806133104651302</v>
      </c>
      <c r="G539" s="3" t="str">
        <f>"IFITM3"</f>
        <v>IFITM3</v>
      </c>
      <c r="H539" s="1">
        <v>10410</v>
      </c>
      <c r="I539" s="1" t="str">
        <f>"interferon induced transmembrane protein 3"</f>
        <v>interferon induced transmembrane protein 3</v>
      </c>
    </row>
    <row r="540" spans="1:9" x14ac:dyDescent="0.35">
      <c r="A540" s="1" t="str">
        <f>"211676_s_at"</f>
        <v>211676_s_at</v>
      </c>
      <c r="B540" s="1">
        <v>1.85172246582785E-2</v>
      </c>
      <c r="C540" s="1">
        <v>1.9840594084809598E-3</v>
      </c>
      <c r="D540" s="1">
        <v>-3.1731838681990698</v>
      </c>
      <c r="E540" s="1">
        <v>-1.7969172523635899</v>
      </c>
      <c r="F540" s="1">
        <v>-0.43923991497529302</v>
      </c>
      <c r="G540" s="3" t="str">
        <f>"IFNGR1"</f>
        <v>IFNGR1</v>
      </c>
      <c r="H540" s="1">
        <v>3459</v>
      </c>
      <c r="I540" s="1" t="str">
        <f>"interferon gamma receptor 1"</f>
        <v>interferon gamma receptor 1</v>
      </c>
    </row>
    <row r="541" spans="1:9" x14ac:dyDescent="0.35">
      <c r="A541" s="1" t="str">
        <f>"202146_at"</f>
        <v>202146_at</v>
      </c>
      <c r="B541" s="1">
        <v>1.56095785431878E-3</v>
      </c>
      <c r="C541" s="2">
        <v>8.3571454481097901E-5</v>
      </c>
      <c r="D541" s="1">
        <v>-4.09572383084911</v>
      </c>
      <c r="E541" s="1">
        <v>1.13315162457526</v>
      </c>
      <c r="F541" s="1">
        <v>-0.65138208640116602</v>
      </c>
      <c r="G541" s="3" t="str">
        <f>"IFRD1"</f>
        <v>IFRD1</v>
      </c>
      <c r="H541" s="1">
        <v>3475</v>
      </c>
      <c r="I541" s="1" t="str">
        <f>"interferon related developmental regulator 1"</f>
        <v>interferon related developmental regulator 1</v>
      </c>
    </row>
    <row r="542" spans="1:9" x14ac:dyDescent="0.35">
      <c r="A542" s="1" t="str">
        <f>"209541_at"</f>
        <v>209541_at</v>
      </c>
      <c r="B542" s="1">
        <v>7.8157652843087094E-2</v>
      </c>
      <c r="C542" s="1">
        <v>1.36161202861762E-2</v>
      </c>
      <c r="D542" s="1">
        <v>2.5100499934830802</v>
      </c>
      <c r="E542" s="1">
        <v>-3.5221127956562999</v>
      </c>
      <c r="F542" s="1">
        <v>0.40606813587354201</v>
      </c>
      <c r="G542" s="3" t="str">
        <f>"IGF1"</f>
        <v>IGF1</v>
      </c>
      <c r="H542" s="1">
        <v>3479</v>
      </c>
      <c r="I542" s="1" t="str">
        <f>"insulin like growth factor 1"</f>
        <v>insulin like growth factor 1</v>
      </c>
    </row>
    <row r="543" spans="1:9" x14ac:dyDescent="0.35">
      <c r="A543" s="1" t="str">
        <f>"211959_at"</f>
        <v>211959_at</v>
      </c>
      <c r="B543" s="2">
        <v>1.75389726527185E-5</v>
      </c>
      <c r="C543" s="2">
        <v>3.3215664225854799E-7</v>
      </c>
      <c r="D543" s="1">
        <v>5.4565276617606697</v>
      </c>
      <c r="E543" s="1">
        <v>6.3656011984749803</v>
      </c>
      <c r="F543" s="1">
        <v>0.70942253451889303</v>
      </c>
      <c r="G543" s="3" t="str">
        <f>"IGFBP5"</f>
        <v>IGFBP5</v>
      </c>
      <c r="H543" s="1">
        <v>3488</v>
      </c>
      <c r="I543" s="1" t="str">
        <f>"insulin like growth factor binding protein 5"</f>
        <v>insulin like growth factor binding protein 5</v>
      </c>
    </row>
    <row r="544" spans="1:9" x14ac:dyDescent="0.35">
      <c r="A544" s="1" t="str">
        <f>"217022_s_at"</f>
        <v>217022_s_at</v>
      </c>
      <c r="B544" s="1">
        <v>7.4114646207627505E-2</v>
      </c>
      <c r="C544" s="1">
        <v>1.2639036736031299E-2</v>
      </c>
      <c r="D544" s="1">
        <v>2.5378739914019102</v>
      </c>
      <c r="E544" s="1">
        <v>-3.4567425272211199</v>
      </c>
      <c r="F544" s="1">
        <v>0.91856400422383599</v>
      </c>
      <c r="G544" s="3" t="str">
        <f>"IGHA2"</f>
        <v>IGHA2</v>
      </c>
      <c r="H544" s="1">
        <v>3494</v>
      </c>
      <c r="I544" s="1" t="str">
        <f>"immunoglobulin heavy constant alpha 2 (A2m marker)///immunoglobulin heavy constant alpha 1///immunoglobulin heavy locus"</f>
        <v>immunoglobulin heavy constant alpha 2 (A2m marker)///immunoglobulin heavy constant alpha 1///immunoglobulin heavy locus</v>
      </c>
    </row>
    <row r="545" spans="1:9" x14ac:dyDescent="0.35">
      <c r="A545" s="1" t="str">
        <f>"221671_x_at"</f>
        <v>221671_x_at</v>
      </c>
      <c r="B545" s="1">
        <v>0.17637509737402399</v>
      </c>
      <c r="C545" s="1">
        <v>4.4428192862738199E-2</v>
      </c>
      <c r="D545" s="1">
        <v>2.0347277241279098</v>
      </c>
      <c r="E545" s="1">
        <v>-4.5384085219764696</v>
      </c>
      <c r="F545" s="1">
        <v>0.53089425008866098</v>
      </c>
      <c r="G545" s="3" t="str">
        <f>"IGK"</f>
        <v>IGK</v>
      </c>
      <c r="H545" s="1">
        <v>50802</v>
      </c>
      <c r="I545" s="1" t="str">
        <f>"immunoglobulin kappa locus///immunoglobulin kappa constant"</f>
        <v>immunoglobulin kappa locus///immunoglobulin kappa constant</v>
      </c>
    </row>
    <row r="546" spans="1:9" x14ac:dyDescent="0.35">
      <c r="A546" s="1" t="str">
        <f>"214669_x_at"</f>
        <v>214669_x_at</v>
      </c>
      <c r="B546" s="1">
        <v>0.19007112242893501</v>
      </c>
      <c r="C546" s="1">
        <v>4.9621261670970397E-2</v>
      </c>
      <c r="D546" s="1">
        <v>1.98643903302511</v>
      </c>
      <c r="E546" s="1">
        <v>-4.6307758028418</v>
      </c>
      <c r="F546" s="1">
        <v>0.41522461307703301</v>
      </c>
      <c r="G546" s="3" t="str">
        <f>"IGKC"</f>
        <v>IGKC</v>
      </c>
      <c r="H546" s="1">
        <v>3514</v>
      </c>
      <c r="I546" s="1" t="str">
        <f>"immunoglobulin kappa constant"</f>
        <v>immunoglobulin kappa constant</v>
      </c>
    </row>
    <row r="547" spans="1:9" x14ac:dyDescent="0.35">
      <c r="A547" s="1" t="str">
        <f>"214677_x_at"</f>
        <v>214677_x_at</v>
      </c>
      <c r="B547" s="1">
        <v>4.7441684268144303E-2</v>
      </c>
      <c r="C547" s="1">
        <v>6.9513574983391399E-3</v>
      </c>
      <c r="D547" s="1">
        <v>2.7540621821790001</v>
      </c>
      <c r="E547" s="1">
        <v>-2.9274216212798398</v>
      </c>
      <c r="F547" s="1">
        <v>0.91640017076744196</v>
      </c>
      <c r="G547" s="3" t="str">
        <f>"IGLC1"</f>
        <v>IGLC1</v>
      </c>
      <c r="H547" s="1">
        <v>3537</v>
      </c>
      <c r="I547" s="1" t="str">
        <f>"immunoglobulin lambda constant 1"</f>
        <v>immunoglobulin lambda constant 1</v>
      </c>
    </row>
    <row r="548" spans="1:9" x14ac:dyDescent="0.35">
      <c r="A548" s="1" t="str">
        <f>"215379_x_at"</f>
        <v>215379_x_at</v>
      </c>
      <c r="B548" s="1">
        <v>0.127543598099633</v>
      </c>
      <c r="C548" s="1">
        <v>2.73655227085377E-2</v>
      </c>
      <c r="D548" s="1">
        <v>2.23788087030692</v>
      </c>
      <c r="E548" s="1">
        <v>-4.1275799625825602</v>
      </c>
      <c r="F548" s="1">
        <v>0.54288721295348596</v>
      </c>
      <c r="G548" s="3" t="str">
        <f>"IGLV1-44"</f>
        <v>IGLV1-44</v>
      </c>
      <c r="H548" s="1">
        <v>28823</v>
      </c>
      <c r="I548" s="1" t="str">
        <f>"immunoglobulin lambda variable 1-44"</f>
        <v>immunoglobulin lambda variable 1-44</v>
      </c>
    </row>
    <row r="549" spans="1:9" x14ac:dyDescent="0.35">
      <c r="A549" s="1" t="str">
        <f>"211612_s_at"</f>
        <v>211612_s_at</v>
      </c>
      <c r="B549" s="1">
        <v>2.9490269451044001E-3</v>
      </c>
      <c r="C549" s="1">
        <v>1.90972754197624E-4</v>
      </c>
      <c r="D549" s="1">
        <v>-3.8691591242182199</v>
      </c>
      <c r="E549" s="1">
        <v>0.36138210546102201</v>
      </c>
      <c r="F549" s="1">
        <v>-0.318647729366278</v>
      </c>
      <c r="G549" s="3" t="str">
        <f>"IL13RA1"</f>
        <v>IL13RA1</v>
      </c>
      <c r="H549" s="1">
        <v>3597</v>
      </c>
      <c r="I549" s="1" t="str">
        <f>"interleukin 13 receptor subunit alpha 1"</f>
        <v>interleukin 13 receptor subunit alpha 1</v>
      </c>
    </row>
    <row r="550" spans="1:9" x14ac:dyDescent="0.35">
      <c r="A550" s="1" t="str">
        <f>"207375_s_at"</f>
        <v>207375_s_at</v>
      </c>
      <c r="B550" s="2">
        <v>5.5295664549467499E-6</v>
      </c>
      <c r="C550" s="2">
        <v>8.1641940657787594E-8</v>
      </c>
      <c r="D550" s="1">
        <v>-5.7730843089006099</v>
      </c>
      <c r="E550" s="1">
        <v>7.7057416317497696</v>
      </c>
      <c r="F550" s="1">
        <v>-0.33748571744040901</v>
      </c>
      <c r="G550" s="3" t="str">
        <f>"IL15RA"</f>
        <v>IL15RA</v>
      </c>
      <c r="H550" s="1">
        <v>3601</v>
      </c>
      <c r="I550" s="1" t="str">
        <f>"interleukin 15 receptor subunit alpha"</f>
        <v>interleukin 15 receptor subunit alpha</v>
      </c>
    </row>
    <row r="551" spans="1:9" x14ac:dyDescent="0.35">
      <c r="A551" s="1" t="str">
        <f>"202948_at"</f>
        <v>202948_at</v>
      </c>
      <c r="B551" s="1">
        <v>7.9948186841654202E-4</v>
      </c>
      <c r="C551" s="2">
        <v>3.5842677671234802E-5</v>
      </c>
      <c r="D551" s="1">
        <v>-4.3199100755772601</v>
      </c>
      <c r="E551" s="1">
        <v>1.92749527690051</v>
      </c>
      <c r="F551" s="1">
        <v>-0.479779824293605</v>
      </c>
      <c r="G551" s="3" t="str">
        <f>"IL1R1"</f>
        <v>IL1R1</v>
      </c>
      <c r="H551" s="1">
        <v>3554</v>
      </c>
      <c r="I551" s="1" t="str">
        <f>"interleukin 1 receptor type 1"</f>
        <v>interleukin 1 receptor type 1</v>
      </c>
    </row>
    <row r="552" spans="1:9" x14ac:dyDescent="0.35">
      <c r="A552" s="1" t="str">
        <f>"211372_s_at"</f>
        <v>211372_s_at</v>
      </c>
      <c r="B552" s="2">
        <v>3.6715051786957199E-7</v>
      </c>
      <c r="C552" s="2">
        <v>2.7351337776039598E-9</v>
      </c>
      <c r="D552" s="1">
        <v>-6.5092233827902</v>
      </c>
      <c r="E552" s="1">
        <v>10.959716675709201</v>
      </c>
      <c r="F552" s="1">
        <v>-0.364608945860464</v>
      </c>
      <c r="G552" s="3" t="str">
        <f>"IL1R2"</f>
        <v>IL1R2</v>
      </c>
      <c r="H552" s="1">
        <v>7850</v>
      </c>
      <c r="I552" s="1" t="str">
        <f>"interleukin 1 receptor type 2"</f>
        <v>interleukin 1 receptor type 2</v>
      </c>
    </row>
    <row r="553" spans="1:9" x14ac:dyDescent="0.35">
      <c r="A553" s="1" t="str">
        <f>"207526_s_at"</f>
        <v>207526_s_at</v>
      </c>
      <c r="B553" s="2">
        <v>7.4166323568790901E-16</v>
      </c>
      <c r="C553" s="2">
        <v>1.99702886241864E-19</v>
      </c>
      <c r="D553" s="1">
        <v>-11.1383008449826</v>
      </c>
      <c r="E553" s="1">
        <v>33.400404133914797</v>
      </c>
      <c r="F553" s="1">
        <v>-1.73669561679506</v>
      </c>
      <c r="G553" s="3" t="str">
        <f>"IL1RL1"</f>
        <v>IL1RL1</v>
      </c>
      <c r="H553" s="1">
        <v>9173</v>
      </c>
      <c r="I553" s="1" t="str">
        <f>"interleukin 1 receptor like 1"</f>
        <v>interleukin 1 receptor like 1</v>
      </c>
    </row>
    <row r="554" spans="1:9" x14ac:dyDescent="0.35">
      <c r="A554" s="1" t="str">
        <f>"205207_at"</f>
        <v>205207_at</v>
      </c>
      <c r="B554" s="1">
        <v>4.1100444515946299E-2</v>
      </c>
      <c r="C554" s="1">
        <v>5.7566076082335603E-3</v>
      </c>
      <c r="D554" s="1">
        <v>-2.8198353041348501</v>
      </c>
      <c r="E554" s="1">
        <v>-2.75897528174603</v>
      </c>
      <c r="F554" s="1">
        <v>-0.331777242171509</v>
      </c>
      <c r="G554" s="3" t="str">
        <f>"IL6"</f>
        <v>IL6</v>
      </c>
      <c r="H554" s="1">
        <v>3569</v>
      </c>
      <c r="I554" s="1" t="str">
        <f>"interleukin 6"</f>
        <v>interleukin 6</v>
      </c>
    </row>
    <row r="555" spans="1:9" x14ac:dyDescent="0.35">
      <c r="A555" s="1" t="str">
        <f>"205945_at"</f>
        <v>205945_at</v>
      </c>
      <c r="B555" s="1">
        <v>1.7982554127622799E-4</v>
      </c>
      <c r="C555" s="2">
        <v>5.5925638425896903E-6</v>
      </c>
      <c r="D555" s="1">
        <v>-4.7889759397120404</v>
      </c>
      <c r="E555" s="1">
        <v>3.6810328483688601</v>
      </c>
      <c r="F555" s="1">
        <v>-0.30056136520203403</v>
      </c>
      <c r="G555" s="3" t="str">
        <f>"IL6R"</f>
        <v>IL6R</v>
      </c>
      <c r="H555" s="1">
        <v>3570</v>
      </c>
      <c r="I555" s="1" t="str">
        <f>"interleukin 6 receptor"</f>
        <v>interleukin 6 receptor</v>
      </c>
    </row>
    <row r="556" spans="1:9" x14ac:dyDescent="0.35">
      <c r="A556" s="1" t="str">
        <f>"211000_s_at"</f>
        <v>211000_s_at</v>
      </c>
      <c r="B556" s="1">
        <v>1.6678043486416001E-4</v>
      </c>
      <c r="C556" s="2">
        <v>5.0745920584257199E-6</v>
      </c>
      <c r="D556" s="1">
        <v>-4.8127744209874503</v>
      </c>
      <c r="E556" s="1">
        <v>3.7731003168463699</v>
      </c>
      <c r="F556" s="1">
        <v>-0.361453385093021</v>
      </c>
      <c r="G556" s="3" t="str">
        <f>"IL6ST"</f>
        <v>IL6ST</v>
      </c>
      <c r="H556" s="1">
        <v>3572</v>
      </c>
      <c r="I556" s="1" t="str">
        <f>"interleukin 6 signal transducer"</f>
        <v>interleukin 6 signal transducer</v>
      </c>
    </row>
    <row r="557" spans="1:9" x14ac:dyDescent="0.35">
      <c r="A557" s="1" t="str">
        <f>"217805_at"</f>
        <v>217805_at</v>
      </c>
      <c r="B557" s="1">
        <v>1.4083460574672701E-2</v>
      </c>
      <c r="C557" s="1">
        <v>1.3929877981680499E-3</v>
      </c>
      <c r="D557" s="1">
        <v>-3.2846209357586198</v>
      </c>
      <c r="E557" s="1">
        <v>-1.47413712750159</v>
      </c>
      <c r="F557" s="1">
        <v>-0.323752790338662</v>
      </c>
      <c r="G557" s="3" t="str">
        <f>"ILF3"</f>
        <v>ILF3</v>
      </c>
      <c r="H557" s="1">
        <v>3609</v>
      </c>
      <c r="I557" s="1" t="str">
        <f>"interleukin enhancer binding factor 3"</f>
        <v>interleukin enhancer binding factor 3</v>
      </c>
    </row>
    <row r="558" spans="1:9" x14ac:dyDescent="0.35">
      <c r="A558" s="1" t="str">
        <f>"212411_at"</f>
        <v>212411_at</v>
      </c>
      <c r="B558" s="2">
        <v>1.5508840674577901E-7</v>
      </c>
      <c r="C558" s="2">
        <v>9.1175251463882804E-10</v>
      </c>
      <c r="D558" s="1">
        <v>-6.7402338972129598</v>
      </c>
      <c r="E558" s="1">
        <v>12.0145641209589</v>
      </c>
      <c r="F558" s="1">
        <v>-0.32220338757558398</v>
      </c>
      <c r="G558" s="3" t="str">
        <f>"IMP4"</f>
        <v>IMP4</v>
      </c>
      <c r="H558" s="1">
        <v>92856</v>
      </c>
      <c r="I558" s="1" t="str">
        <f>"IMP4 homolog, U3 small nucleolar ribonucleoprotein"</f>
        <v>IMP4 homolog, U3 small nucleolar ribonucleoprotein</v>
      </c>
    </row>
    <row r="559" spans="1:9" x14ac:dyDescent="0.35">
      <c r="A559" s="1" t="str">
        <f>"205258_at"</f>
        <v>205258_at</v>
      </c>
      <c r="B559" s="1">
        <v>8.1931053841074498E-3</v>
      </c>
      <c r="C559" s="1">
        <v>6.9565836676979296E-4</v>
      </c>
      <c r="D559" s="1">
        <v>-3.4962567764614798</v>
      </c>
      <c r="E559" s="1">
        <v>-0.83660399579294698</v>
      </c>
      <c r="F559" s="1">
        <v>-0.35754416924564197</v>
      </c>
      <c r="G559" s="3" t="str">
        <f>"INHBB"</f>
        <v>INHBB</v>
      </c>
      <c r="H559" s="1">
        <v>3625</v>
      </c>
      <c r="I559" s="1" t="str">
        <f>"inhibin beta B subunit"</f>
        <v>inhibin beta B subunit</v>
      </c>
    </row>
    <row r="560" spans="1:9" x14ac:dyDescent="0.35">
      <c r="A560" s="1" t="str">
        <f>"202409_at"</f>
        <v>202409_at</v>
      </c>
      <c r="B560" s="1">
        <v>0.12471384227324001</v>
      </c>
      <c r="C560" s="1">
        <v>2.6479941329626201E-2</v>
      </c>
      <c r="D560" s="1">
        <v>2.2512122771819199</v>
      </c>
      <c r="E560" s="1">
        <v>-4.0993778667114196</v>
      </c>
      <c r="F560" s="1">
        <v>0.35587095458430401</v>
      </c>
      <c r="G560" s="3" t="str">
        <f>"INS-IGF2"</f>
        <v>INS-IGF2</v>
      </c>
      <c r="H560" s="1">
        <v>723961</v>
      </c>
      <c r="I560" s="1" t="str">
        <f>"INS-IGF2 readthrough///insulin like growth factor 2"</f>
        <v>INS-IGF2 readthrough///insulin like growth factor 2</v>
      </c>
    </row>
    <row r="561" spans="1:9" x14ac:dyDescent="0.35">
      <c r="A561" s="1" t="str">
        <f>"211954_s_at"</f>
        <v>211954_s_at</v>
      </c>
      <c r="B561" s="1">
        <v>1.7371905643924601E-3</v>
      </c>
      <c r="C561" s="2">
        <v>9.5891235210821002E-5</v>
      </c>
      <c r="D561" s="1">
        <v>-4.0585851797968804</v>
      </c>
      <c r="E561" s="1">
        <v>1.00446283278647</v>
      </c>
      <c r="F561" s="1">
        <v>-0.36666005076890201</v>
      </c>
      <c r="G561" s="3" t="str">
        <f>"IPO5"</f>
        <v>IPO5</v>
      </c>
      <c r="H561" s="1">
        <v>3843</v>
      </c>
      <c r="I561" s="1" t="str">
        <f>"importin 5"</f>
        <v>importin 5</v>
      </c>
    </row>
    <row r="562" spans="1:9" x14ac:dyDescent="0.35">
      <c r="A562" s="1" t="str">
        <f>"200993_at"</f>
        <v>200993_at</v>
      </c>
      <c r="B562" s="1">
        <v>3.4713247290539199E-2</v>
      </c>
      <c r="C562" s="1">
        <v>4.6298869518234696E-3</v>
      </c>
      <c r="D562" s="1">
        <v>-2.8945001886699502</v>
      </c>
      <c r="E562" s="1">
        <v>-2.5636487228171099</v>
      </c>
      <c r="F562" s="1">
        <v>-0.35107031960901203</v>
      </c>
      <c r="G562" s="3" t="str">
        <f>"IPO7"</f>
        <v>IPO7</v>
      </c>
      <c r="H562" s="1">
        <v>10527</v>
      </c>
      <c r="I562" s="1" t="str">
        <f>"importin 7"</f>
        <v>importin 7</v>
      </c>
    </row>
    <row r="563" spans="1:9" x14ac:dyDescent="0.35">
      <c r="A563" s="1" t="str">
        <f>"221185_s_at"</f>
        <v>221185_s_at</v>
      </c>
      <c r="B563" s="1">
        <v>2.8256555724982201E-3</v>
      </c>
      <c r="C563" s="1">
        <v>1.80320523452519E-4</v>
      </c>
      <c r="D563" s="1">
        <v>-3.8851655721726699</v>
      </c>
      <c r="E563" s="1">
        <v>0.414848149944478</v>
      </c>
      <c r="F563" s="1">
        <v>-0.53175190157848595</v>
      </c>
      <c r="G563" s="3" t="str">
        <f>"IQCG"</f>
        <v>IQCG</v>
      </c>
      <c r="H563" s="1">
        <v>84223</v>
      </c>
      <c r="I563" s="1" t="str">
        <f>"IQ motif containing G"</f>
        <v>IQ motif containing G</v>
      </c>
    </row>
    <row r="564" spans="1:9" x14ac:dyDescent="0.35">
      <c r="A564" s="1" t="str">
        <f>"203906_at"</f>
        <v>203906_at</v>
      </c>
      <c r="B564" s="2">
        <v>8.84151251866434E-5</v>
      </c>
      <c r="C564" s="2">
        <v>2.3608580301598899E-6</v>
      </c>
      <c r="D564" s="1">
        <v>4.9979101913426502</v>
      </c>
      <c r="E564" s="1">
        <v>4.4989225700151003</v>
      </c>
      <c r="F564" s="1">
        <v>0.31658799823546901</v>
      </c>
      <c r="G564" s="3" t="str">
        <f>"IQSEC1"</f>
        <v>IQSEC1</v>
      </c>
      <c r="H564" s="1">
        <v>9922</v>
      </c>
      <c r="I564" s="1" t="str">
        <f>"IQ motif and Sec7 domain 1"</f>
        <v>IQ motif and Sec7 domain 1</v>
      </c>
    </row>
    <row r="565" spans="1:9" x14ac:dyDescent="0.35">
      <c r="A565" s="1" t="str">
        <f>"201587_s_at"</f>
        <v>201587_s_at</v>
      </c>
      <c r="B565" s="2">
        <v>3.0690192814871998E-5</v>
      </c>
      <c r="C565" s="2">
        <v>6.50081721878543E-7</v>
      </c>
      <c r="D565" s="1">
        <v>-5.3018292800831901</v>
      </c>
      <c r="E565" s="1">
        <v>5.7255389123127696</v>
      </c>
      <c r="F565" s="1">
        <v>-0.46459840260901197</v>
      </c>
      <c r="G565" s="3" t="str">
        <f>"IRAK1"</f>
        <v>IRAK1</v>
      </c>
      <c r="H565" s="1">
        <v>3654</v>
      </c>
      <c r="I565" s="1" t="str">
        <f>"interleukin 1 receptor associated kinase 1"</f>
        <v>interleukin 1 receptor associated kinase 1</v>
      </c>
    </row>
    <row r="566" spans="1:9" x14ac:dyDescent="0.35">
      <c r="A566" s="1" t="str">
        <f>"209184_s_at"</f>
        <v>209184_s_at</v>
      </c>
      <c r="B566" s="2">
        <v>2.5453406814102399E-5</v>
      </c>
      <c r="C566" s="2">
        <v>5.1402562789328505E-7</v>
      </c>
      <c r="D566" s="1">
        <v>-5.3561850816490102</v>
      </c>
      <c r="E566" s="1">
        <v>5.9492729857264797</v>
      </c>
      <c r="F566" s="1">
        <v>-0.61245184398691399</v>
      </c>
      <c r="G566" s="3" t="str">
        <f>"IRS2"</f>
        <v>IRS2</v>
      </c>
      <c r="H566" s="1">
        <v>8660</v>
      </c>
      <c r="I566" s="1" t="str">
        <f>"insulin receptor substrate 2"</f>
        <v>insulin receptor substrate 2</v>
      </c>
    </row>
    <row r="567" spans="1:9" x14ac:dyDescent="0.35">
      <c r="A567" s="1" t="str">
        <f>"209075_s_at"</f>
        <v>209075_s_at</v>
      </c>
      <c r="B567" s="2">
        <v>4.4389552367596798E-7</v>
      </c>
      <c r="C567" s="2">
        <v>3.36661775798764E-9</v>
      </c>
      <c r="D567" s="1">
        <v>6.4652005496691798</v>
      </c>
      <c r="E567" s="1">
        <v>10.760357332097399</v>
      </c>
      <c r="F567" s="1">
        <v>0.457526068925874</v>
      </c>
      <c r="G567" s="3" t="str">
        <f>"ISCU"</f>
        <v>ISCU</v>
      </c>
      <c r="H567" s="1">
        <v>23479</v>
      </c>
      <c r="I567" s="1" t="str">
        <f>"iron-sulfur cluster assembly enzyme"</f>
        <v>iron-sulfur cluster assembly enzyme</v>
      </c>
    </row>
    <row r="568" spans="1:9" x14ac:dyDescent="0.35">
      <c r="A568" s="1" t="str">
        <f>"207191_s_at"</f>
        <v>207191_s_at</v>
      </c>
      <c r="B568" s="2">
        <v>8.4840951169548404E-14</v>
      </c>
      <c r="C568" s="2">
        <v>3.8074294829936902E-17</v>
      </c>
      <c r="D568" s="1">
        <v>10.114940022787399</v>
      </c>
      <c r="E568" s="1">
        <v>28.361637913282401</v>
      </c>
      <c r="F568" s="1">
        <v>0.87103858303343495</v>
      </c>
      <c r="G568" s="3" t="str">
        <f>"ISLR"</f>
        <v>ISLR</v>
      </c>
      <c r="H568" s="1">
        <v>3671</v>
      </c>
      <c r="I568" s="1" t="str">
        <f>"immunoglobulin superfamily containing leucine rich repeat"</f>
        <v>immunoglobulin superfamily containing leucine rich repeat</v>
      </c>
    </row>
    <row r="569" spans="1:9" x14ac:dyDescent="0.35">
      <c r="A569" s="1" t="str">
        <f>"218170_at"</f>
        <v>218170_at</v>
      </c>
      <c r="B569" s="1">
        <v>9.22356977293603E-2</v>
      </c>
      <c r="C569" s="1">
        <v>1.7202870338967901E-2</v>
      </c>
      <c r="D569" s="1">
        <v>2.4212502850487101</v>
      </c>
      <c r="E569" s="1">
        <v>-3.7264688960333401</v>
      </c>
      <c r="F569" s="1">
        <v>0.32895420597674102</v>
      </c>
      <c r="G569" s="3" t="str">
        <f>"ISOC1"</f>
        <v>ISOC1</v>
      </c>
      <c r="H569" s="1">
        <v>51015</v>
      </c>
      <c r="I569" s="1" t="str">
        <f>"isochorismatase domain containing 1"</f>
        <v>isochorismatase domain containing 1</v>
      </c>
    </row>
    <row r="570" spans="1:9" x14ac:dyDescent="0.35">
      <c r="A570" s="1" t="str">
        <f>"221449_s_at"</f>
        <v>221449_s_at</v>
      </c>
      <c r="B570" s="1">
        <v>4.4839995000598501E-3</v>
      </c>
      <c r="C570" s="1">
        <v>3.2156492398221299E-4</v>
      </c>
      <c r="D570" s="1">
        <v>3.7218170037262701</v>
      </c>
      <c r="E570" s="1">
        <v>-0.12300934513560199</v>
      </c>
      <c r="F570" s="1">
        <v>0.35623141839098299</v>
      </c>
      <c r="G570" s="3" t="str">
        <f>"ITFG1"</f>
        <v>ITFG1</v>
      </c>
      <c r="H570" s="1">
        <v>81533</v>
      </c>
      <c r="I570" s="1" t="str">
        <f>"integrin alpha FG-GAP repeat containing 1"</f>
        <v>integrin alpha FG-GAP repeat containing 1</v>
      </c>
    </row>
    <row r="571" spans="1:9" x14ac:dyDescent="0.35">
      <c r="A571" s="1" t="str">
        <f>"201389_at"</f>
        <v>201389_at</v>
      </c>
      <c r="B571" s="2">
        <v>8.9409560138708894E-8</v>
      </c>
      <c r="C571" s="2">
        <v>4.5340754367338801E-10</v>
      </c>
      <c r="D571" s="1">
        <v>-6.8856775985043202</v>
      </c>
      <c r="E571" s="1">
        <v>12.6857564099996</v>
      </c>
      <c r="F571" s="1">
        <v>-0.70265603351307904</v>
      </c>
      <c r="G571" s="3" t="str">
        <f>"ITGA5"</f>
        <v>ITGA5</v>
      </c>
      <c r="H571" s="1">
        <v>3678</v>
      </c>
      <c r="I571" s="1" t="str">
        <f>"integrin subunit alpha 5"</f>
        <v>integrin subunit alpha 5</v>
      </c>
    </row>
    <row r="572" spans="1:9" x14ac:dyDescent="0.35">
      <c r="A572" s="1" t="str">
        <f>"209663_s_at"</f>
        <v>209663_s_at</v>
      </c>
      <c r="B572" s="1">
        <v>9.3274137127578094E-2</v>
      </c>
      <c r="C572" s="1">
        <v>1.7496946317597201E-2</v>
      </c>
      <c r="D572" s="1">
        <v>-2.4147253572529901</v>
      </c>
      <c r="E572" s="1">
        <v>-3.74122673080756</v>
      </c>
      <c r="F572" s="1">
        <v>-0.32226731086482402</v>
      </c>
      <c r="G572" s="3" t="str">
        <f>"ITGA7"</f>
        <v>ITGA7</v>
      </c>
      <c r="H572" s="1">
        <v>3679</v>
      </c>
      <c r="I572" s="1" t="str">
        <f>"integrin subunit alpha 7"</f>
        <v>integrin subunit alpha 7</v>
      </c>
    </row>
    <row r="573" spans="1:9" x14ac:dyDescent="0.35">
      <c r="A573" s="1" t="str">
        <f>"216178_x_at"</f>
        <v>216178_x_at</v>
      </c>
      <c r="B573" s="1">
        <v>2.24788328413409E-2</v>
      </c>
      <c r="C573" s="1">
        <v>2.5633314297826698E-3</v>
      </c>
      <c r="D573" s="1">
        <v>-3.0907732394744398</v>
      </c>
      <c r="E573" s="1">
        <v>-2.0297435157515702</v>
      </c>
      <c r="F573" s="1">
        <v>-0.76435339670639502</v>
      </c>
      <c r="G573" s="3" t="str">
        <f>"ITGB1"</f>
        <v>ITGB1</v>
      </c>
      <c r="H573" s="1">
        <v>3688</v>
      </c>
      <c r="I573" s="1" t="str">
        <f>"integrin subunit beta 1"</f>
        <v>integrin subunit beta 1</v>
      </c>
    </row>
    <row r="574" spans="1:9" x14ac:dyDescent="0.35">
      <c r="A574" s="1" t="str">
        <f>"201124_at"</f>
        <v>201124_at</v>
      </c>
      <c r="B574" s="1">
        <v>2.0310604702661301E-4</v>
      </c>
      <c r="C574" s="2">
        <v>6.5535721317656797E-6</v>
      </c>
      <c r="D574" s="1">
        <v>4.7500030447560899</v>
      </c>
      <c r="E574" s="1">
        <v>3.5308827531721998</v>
      </c>
      <c r="F574" s="1">
        <v>0.30403669835174202</v>
      </c>
      <c r="G574" s="3" t="str">
        <f>"ITGB5"</f>
        <v>ITGB5</v>
      </c>
      <c r="H574" s="1">
        <v>3693</v>
      </c>
      <c r="I574" s="1" t="str">
        <f>"integrin subunit beta 5"</f>
        <v>integrin subunit beta 5</v>
      </c>
    </row>
    <row r="575" spans="1:9" x14ac:dyDescent="0.35">
      <c r="A575" s="1" t="str">
        <f>"214927_at"</f>
        <v>214927_at</v>
      </c>
      <c r="B575" s="2">
        <v>6.5985251561019194E-5</v>
      </c>
      <c r="C575" s="2">
        <v>1.6582929082336599E-6</v>
      </c>
      <c r="D575" s="1">
        <v>5.0821095111377499</v>
      </c>
      <c r="E575" s="1">
        <v>4.8344972840912197</v>
      </c>
      <c r="F575" s="1">
        <v>0.37058457061918398</v>
      </c>
      <c r="G575" s="3" t="str">
        <f>"ITGBL1"</f>
        <v>ITGBL1</v>
      </c>
      <c r="H575" s="1">
        <v>9358</v>
      </c>
      <c r="I575" s="1" t="str">
        <f>"integrin subunit beta like 1"</f>
        <v>integrin subunit beta like 1</v>
      </c>
    </row>
    <row r="576" spans="1:9" x14ac:dyDescent="0.35">
      <c r="A576" s="1" t="str">
        <f>"219064_at"</f>
        <v>219064_at</v>
      </c>
      <c r="B576" s="2">
        <v>1.8827063946023399E-10</v>
      </c>
      <c r="C576" s="2">
        <v>2.7037025816665198E-13</v>
      </c>
      <c r="D576" s="1">
        <v>8.3825845136613797</v>
      </c>
      <c r="E576" s="1">
        <v>19.8301009635565</v>
      </c>
      <c r="F576" s="1">
        <v>0.80403838719476906</v>
      </c>
      <c r="G576" s="3" t="str">
        <f>"ITIH5"</f>
        <v>ITIH5</v>
      </c>
      <c r="H576" s="1">
        <v>80760</v>
      </c>
      <c r="I576" s="1" t="str">
        <f>"inter-alpha-trypsin inhibitor heavy chain family member 5"</f>
        <v>inter-alpha-trypsin inhibitor heavy chain family member 5</v>
      </c>
    </row>
    <row r="577" spans="1:9" x14ac:dyDescent="0.35">
      <c r="A577" s="1" t="str">
        <f>"202746_at"</f>
        <v>202746_at</v>
      </c>
      <c r="B577" s="1">
        <v>4.1417459603746901E-4</v>
      </c>
      <c r="C577" s="2">
        <v>1.54458147155741E-5</v>
      </c>
      <c r="D577" s="1">
        <v>4.5360035245227497</v>
      </c>
      <c r="E577" s="1">
        <v>2.7205210759882501</v>
      </c>
      <c r="F577" s="1">
        <v>0.64496792068022801</v>
      </c>
      <c r="G577" s="3" t="str">
        <f>"ITM2A"</f>
        <v>ITM2A</v>
      </c>
      <c r="H577" s="1">
        <v>9452</v>
      </c>
      <c r="I577" s="1" t="str">
        <f>"integral membrane protein 2A"</f>
        <v>integral membrane protein 2A</v>
      </c>
    </row>
    <row r="578" spans="1:9" x14ac:dyDescent="0.35">
      <c r="A578" s="1" t="str">
        <f>"217731_s_at"</f>
        <v>217731_s_at</v>
      </c>
      <c r="B578" s="2">
        <v>3.3214330502218802E-6</v>
      </c>
      <c r="C578" s="2">
        <v>4.3960394096486401E-8</v>
      </c>
      <c r="D578" s="1">
        <v>5.9101620139449702</v>
      </c>
      <c r="E578" s="1">
        <v>8.2978903360843095</v>
      </c>
      <c r="F578" s="1">
        <v>0.31630781932122098</v>
      </c>
      <c r="G578" s="3" t="str">
        <f>"ITM2B"</f>
        <v>ITM2B</v>
      </c>
      <c r="H578" s="1">
        <v>9445</v>
      </c>
      <c r="I578" s="1" t="str">
        <f>"integral membrane protein 2B"</f>
        <v>integral membrane protein 2B</v>
      </c>
    </row>
    <row r="579" spans="1:9" x14ac:dyDescent="0.35">
      <c r="A579" s="1" t="str">
        <f>"203710_at"</f>
        <v>203710_at</v>
      </c>
      <c r="B579" s="1">
        <v>1.0391893221049101E-3</v>
      </c>
      <c r="C579" s="2">
        <v>4.9760580114254903E-5</v>
      </c>
      <c r="D579" s="1">
        <v>4.2339005083968102</v>
      </c>
      <c r="E579" s="1">
        <v>1.6192399544378699</v>
      </c>
      <c r="F579" s="1">
        <v>0.35886742183284998</v>
      </c>
      <c r="G579" s="3" t="str">
        <f>"ITPR1"</f>
        <v>ITPR1</v>
      </c>
      <c r="H579" s="1">
        <v>3708</v>
      </c>
      <c r="I579" s="1" t="str">
        <f>"inositol 1,4,5-trisphosphate receptor type 1"</f>
        <v>inositol 1,4,5-trisphosphate receptor type 1</v>
      </c>
    </row>
    <row r="580" spans="1:9" x14ac:dyDescent="0.35">
      <c r="A580" s="1" t="str">
        <f>"201362_at"</f>
        <v>201362_at</v>
      </c>
      <c r="B580" s="1">
        <v>8.2645242114936495E-3</v>
      </c>
      <c r="C580" s="1">
        <v>7.0468949431575303E-4</v>
      </c>
      <c r="D580" s="1">
        <v>3.4924046209298001</v>
      </c>
      <c r="E580" s="1">
        <v>-0.84848945126837605</v>
      </c>
      <c r="F580" s="1">
        <v>0.48888458121947298</v>
      </c>
      <c r="G580" s="3" t="str">
        <f>"IVNS1ABP"</f>
        <v>IVNS1ABP</v>
      </c>
      <c r="H580" s="1">
        <v>10625</v>
      </c>
      <c r="I580" s="1" t="str">
        <f>"influenza virus NS1A binding protein"</f>
        <v>influenza virus NS1A binding protein</v>
      </c>
    </row>
    <row r="581" spans="1:9" x14ac:dyDescent="0.35">
      <c r="A581" s="1" t="str">
        <f>"216268_s_at"</f>
        <v>216268_s_at</v>
      </c>
      <c r="B581" s="1">
        <v>6.5052369583031002E-3</v>
      </c>
      <c r="C581" s="1">
        <v>5.1702080748349801E-4</v>
      </c>
      <c r="D581" s="1">
        <v>3.5841198891085</v>
      </c>
      <c r="E581" s="1">
        <v>-0.56273605673482696</v>
      </c>
      <c r="F581" s="1">
        <v>0.339227216363374</v>
      </c>
      <c r="G581" s="3" t="str">
        <f>"JAG1"</f>
        <v>JAG1</v>
      </c>
      <c r="H581" s="1">
        <v>182</v>
      </c>
      <c r="I581" s="1" t="str">
        <f>"jagged 1"</f>
        <v>jagged 1</v>
      </c>
    </row>
    <row r="582" spans="1:9" x14ac:dyDescent="0.35">
      <c r="A582" s="1" t="str">
        <f>"201648_at"</f>
        <v>201648_at</v>
      </c>
      <c r="B582" s="2">
        <v>8.8920070263393007E-6</v>
      </c>
      <c r="C582" s="2">
        <v>1.43446472991962E-7</v>
      </c>
      <c r="D582" s="1">
        <v>-5.6469620964798901</v>
      </c>
      <c r="E582" s="1">
        <v>7.16709577307837</v>
      </c>
      <c r="F582" s="1">
        <v>-0.337951957110464</v>
      </c>
      <c r="G582" s="3" t="str">
        <f>"JAK1"</f>
        <v>JAK1</v>
      </c>
      <c r="H582" s="1">
        <v>3716</v>
      </c>
      <c r="I582" s="1" t="str">
        <f>"Janus kinase 1"</f>
        <v>Janus kinase 1</v>
      </c>
    </row>
    <row r="583" spans="1:9" x14ac:dyDescent="0.35">
      <c r="A583" s="1" t="str">
        <f>"219213_at"</f>
        <v>219213_at</v>
      </c>
      <c r="B583" s="2">
        <v>3.4695983945729099E-6</v>
      </c>
      <c r="C583" s="2">
        <v>4.64004093516459E-8</v>
      </c>
      <c r="D583" s="1">
        <v>5.8982580706757402</v>
      </c>
      <c r="E583" s="1">
        <v>8.2461984621715594</v>
      </c>
      <c r="F583" s="1">
        <v>0.565350084998545</v>
      </c>
      <c r="G583" s="3" t="str">
        <f>"JAM2"</f>
        <v>JAM2</v>
      </c>
      <c r="H583" s="1">
        <v>58494</v>
      </c>
      <c r="I583" s="1" t="str">
        <f>"junctional adhesion molecule 2"</f>
        <v>junctional adhesion molecule 2</v>
      </c>
    </row>
    <row r="584" spans="1:9" x14ac:dyDescent="0.35">
      <c r="A584" s="1" t="str">
        <f>"212813_at"</f>
        <v>212813_at</v>
      </c>
      <c r="B584" s="1">
        <v>6.3167651215902197E-4</v>
      </c>
      <c r="C584" s="2">
        <v>2.6505297261081799E-5</v>
      </c>
      <c r="D584" s="1">
        <v>4.39811483594662</v>
      </c>
      <c r="E584" s="1">
        <v>2.2114709798030598</v>
      </c>
      <c r="F584" s="1">
        <v>0.31225120524127598</v>
      </c>
      <c r="G584" s="3" t="str">
        <f>"JAM3"</f>
        <v>JAM3</v>
      </c>
      <c r="H584" s="1">
        <v>83700</v>
      </c>
      <c r="I584" s="1" t="str">
        <f>"junctional adhesion molecule 3"</f>
        <v>junctional adhesion molecule 3</v>
      </c>
    </row>
    <row r="585" spans="1:9" x14ac:dyDescent="0.35">
      <c r="A585" s="1" t="str">
        <f>"212723_at"</f>
        <v>212723_at</v>
      </c>
      <c r="B585" s="1">
        <v>6.0096904884106702E-3</v>
      </c>
      <c r="C585" s="1">
        <v>4.6846620196424802E-4</v>
      </c>
      <c r="D585" s="1">
        <v>-3.6130004478600402</v>
      </c>
      <c r="E585" s="1">
        <v>-0.47156440111409997</v>
      </c>
      <c r="F585" s="1">
        <v>-0.38082382654069602</v>
      </c>
      <c r="G585" s="3" t="str">
        <f>"JMJD6"</f>
        <v>JMJD6</v>
      </c>
      <c r="H585" s="1">
        <v>23210</v>
      </c>
      <c r="I585" s="1" t="str">
        <f>"arginine demethylase and lysine hydroxylase"</f>
        <v>arginine demethylase and lysine hydroxylase</v>
      </c>
    </row>
    <row r="586" spans="1:9" x14ac:dyDescent="0.35">
      <c r="A586" s="1" t="str">
        <f>"210927_x_at"</f>
        <v>210927_x_at</v>
      </c>
      <c r="B586" s="2">
        <v>1.5872335107450499E-8</v>
      </c>
      <c r="C586" s="2">
        <v>4.9861484428556899E-11</v>
      </c>
      <c r="D586" s="1">
        <v>-7.33895308118705</v>
      </c>
      <c r="E586" s="1">
        <v>14.8083929333167</v>
      </c>
      <c r="F586" s="1">
        <v>-0.30182542712499599</v>
      </c>
      <c r="G586" s="3" t="str">
        <f>"JTB"</f>
        <v>JTB</v>
      </c>
      <c r="H586" s="1">
        <v>10899</v>
      </c>
      <c r="I586" s="1" t="str">
        <f>"jumping translocation breakpoint"</f>
        <v>jumping translocation breakpoint</v>
      </c>
    </row>
    <row r="587" spans="1:9" x14ac:dyDescent="0.35">
      <c r="A587" s="1" t="str">
        <f>"201473_at"</f>
        <v>201473_at</v>
      </c>
      <c r="B587" s="1">
        <v>5.3439670415479798E-2</v>
      </c>
      <c r="C587" s="1">
        <v>8.1683075213880296E-3</v>
      </c>
      <c r="D587" s="1">
        <v>-2.6969185772459401</v>
      </c>
      <c r="E587" s="1">
        <v>-3.0709861352081602</v>
      </c>
      <c r="F587" s="1">
        <v>-0.43402466620494101</v>
      </c>
      <c r="G587" s="3" t="str">
        <f>"JUNB"</f>
        <v>JUNB</v>
      </c>
      <c r="H587" s="1">
        <v>3726</v>
      </c>
      <c r="I587" s="1" t="str">
        <f>"JunB proto-oncogene, AP-1 transcription factor subunit"</f>
        <v>JunB proto-oncogene, AP-1 transcription factor subunit</v>
      </c>
    </row>
    <row r="588" spans="1:9" x14ac:dyDescent="0.35">
      <c r="A588" s="1" t="str">
        <f>"217511_at"</f>
        <v>217511_at</v>
      </c>
      <c r="B588" s="2">
        <v>9.0421193085903298E-6</v>
      </c>
      <c r="C588" s="2">
        <v>1.4672507857036899E-7</v>
      </c>
      <c r="D588" s="1">
        <v>5.6418775384163098</v>
      </c>
      <c r="E588" s="1">
        <v>7.14550856438197</v>
      </c>
      <c r="F588" s="1">
        <v>0.31302070050145098</v>
      </c>
      <c r="G588" s="3" t="str">
        <f>"KAZALD1"</f>
        <v>KAZALD1</v>
      </c>
      <c r="H588" s="1">
        <v>81621</v>
      </c>
      <c r="I588" s="1" t="str">
        <f>"Kazal type serine peptidase inhibitor domain 1"</f>
        <v>Kazal type serine peptidase inhibitor domain 1</v>
      </c>
    </row>
    <row r="589" spans="1:9" x14ac:dyDescent="0.35">
      <c r="A589" s="1" t="str">
        <f>"206762_at"</f>
        <v>206762_at</v>
      </c>
      <c r="B589" s="1">
        <v>5.4667358856157503E-3</v>
      </c>
      <c r="C589" s="1">
        <v>4.14856634321062E-4</v>
      </c>
      <c r="D589" s="1">
        <v>3.6483815261517201</v>
      </c>
      <c r="E589" s="1">
        <v>-0.35910325942749799</v>
      </c>
      <c r="F589" s="1">
        <v>0.30151492211918501</v>
      </c>
      <c r="G589" s="3" t="str">
        <f>"KCNA5"</f>
        <v>KCNA5</v>
      </c>
      <c r="H589" s="1">
        <v>3741</v>
      </c>
      <c r="I589" s="1" t="str">
        <f>"potassium voltage-gated channel subfamily A member 5"</f>
        <v>potassium voltage-gated channel subfamily A member 5</v>
      </c>
    </row>
    <row r="590" spans="1:9" x14ac:dyDescent="0.35">
      <c r="A590" s="1" t="str">
        <f>"221321_s_at"</f>
        <v>221321_s_at</v>
      </c>
      <c r="B590" s="1">
        <v>0.19100512801661401</v>
      </c>
      <c r="C590" s="1">
        <v>4.9922087042533002E-2</v>
      </c>
      <c r="D590" s="1">
        <v>-1.9837760524166801</v>
      </c>
      <c r="E590" s="1">
        <v>-4.6358099254843701</v>
      </c>
      <c r="F590" s="1">
        <v>-0.35305196738082001</v>
      </c>
      <c r="G590" s="3" t="str">
        <f>"KCNIP2"</f>
        <v>KCNIP2</v>
      </c>
      <c r="H590" s="1">
        <v>30819</v>
      </c>
      <c r="I590" s="1" t="str">
        <f>"potassium voltage-gated channel interacting protein 2"</f>
        <v>potassium voltage-gated channel interacting protein 2</v>
      </c>
    </row>
    <row r="591" spans="1:9" x14ac:dyDescent="0.35">
      <c r="A591" s="1" t="str">
        <f>"206765_at"</f>
        <v>206765_at</v>
      </c>
      <c r="B591" s="1">
        <v>4.7844976667151097E-3</v>
      </c>
      <c r="C591" s="1">
        <v>3.4889025772997698E-4</v>
      </c>
      <c r="D591" s="1">
        <v>3.6984097715070998</v>
      </c>
      <c r="E591" s="1">
        <v>-0.19865276294098</v>
      </c>
      <c r="F591" s="1">
        <v>0.42375703928634001</v>
      </c>
      <c r="G591" s="3" t="str">
        <f>"KCNJ2"</f>
        <v>KCNJ2</v>
      </c>
      <c r="H591" s="1">
        <v>3759</v>
      </c>
      <c r="I591" s="1" t="str">
        <f>"potassium voltage-gated channel subfamily J member 2"</f>
        <v>potassium voltage-gated channel subfamily J member 2</v>
      </c>
    </row>
    <row r="592" spans="1:9" x14ac:dyDescent="0.35">
      <c r="A592" s="1" t="str">
        <f>"208359_s_at"</f>
        <v>208359_s_at</v>
      </c>
      <c r="B592" s="2">
        <v>4.4786625484247602E-5</v>
      </c>
      <c r="C592" s="2">
        <v>1.0190198411575401E-6</v>
      </c>
      <c r="D592" s="1">
        <v>5.1969716917606403</v>
      </c>
      <c r="E592" s="1">
        <v>5.2975905707501196</v>
      </c>
      <c r="F592" s="1">
        <v>0.66728831036627601</v>
      </c>
      <c r="G592" s="3" t="str">
        <f>"KCNJ4"</f>
        <v>KCNJ4</v>
      </c>
      <c r="H592" s="1">
        <v>3761</v>
      </c>
      <c r="I592" s="1" t="str">
        <f>"potassium voltage-gated channel subfamily J member 4"</f>
        <v>potassium voltage-gated channel subfamily J member 4</v>
      </c>
    </row>
    <row r="593" spans="1:9" x14ac:dyDescent="0.35">
      <c r="A593" s="1" t="str">
        <f>"204678_s_at"</f>
        <v>204678_s_at</v>
      </c>
      <c r="B593" s="1">
        <v>1.2089306478907499E-3</v>
      </c>
      <c r="C593" s="2">
        <v>6.0221380386785003E-5</v>
      </c>
      <c r="D593" s="1">
        <v>-4.1833812835341604</v>
      </c>
      <c r="E593" s="1">
        <v>1.4401995873906299</v>
      </c>
      <c r="F593" s="1">
        <v>-0.39898412265988598</v>
      </c>
      <c r="G593" s="3" t="str">
        <f>"KCNK1"</f>
        <v>KCNK1</v>
      </c>
      <c r="H593" s="1">
        <v>3775</v>
      </c>
      <c r="I593" s="1" t="str">
        <f>"potassium two pore domain channel subfamily K member 1"</f>
        <v>potassium two pore domain channel subfamily K member 1</v>
      </c>
    </row>
    <row r="594" spans="1:9" x14ac:dyDescent="0.35">
      <c r="A594" s="1" t="str">
        <f>"221097_s_at"</f>
        <v>221097_s_at</v>
      </c>
      <c r="B594" s="2">
        <v>4.59983635156699E-5</v>
      </c>
      <c r="C594" s="2">
        <v>1.0651687642635901E-6</v>
      </c>
      <c r="D594" s="1">
        <v>5.1865797968969698</v>
      </c>
      <c r="E594" s="1">
        <v>5.2554457714654301</v>
      </c>
      <c r="F594" s="1">
        <v>0.31813950689098902</v>
      </c>
      <c r="G594" s="3" t="str">
        <f>"KCNMB2"</f>
        <v>KCNMB2</v>
      </c>
      <c r="H594" s="1">
        <v>10242</v>
      </c>
      <c r="I594" s="1" t="str">
        <f>"potassium calcium-activated channel subfamily M regulatory beta subunit 2"</f>
        <v>potassium calcium-activated channel subfamily M regulatory beta subunit 2</v>
      </c>
    </row>
    <row r="595" spans="1:9" x14ac:dyDescent="0.35">
      <c r="A595" s="1" t="str">
        <f>"205902_at"</f>
        <v>205902_at</v>
      </c>
      <c r="B595" s="2">
        <v>1.4177291400802501E-6</v>
      </c>
      <c r="C595" s="2">
        <v>1.4824345448938599E-8</v>
      </c>
      <c r="D595" s="1">
        <v>6.1475239827869599</v>
      </c>
      <c r="E595" s="1">
        <v>9.3388314996422395</v>
      </c>
      <c r="F595" s="1">
        <v>0.45197223654069801</v>
      </c>
      <c r="G595" s="3" t="str">
        <f>"KCNN3"</f>
        <v>KCNN3</v>
      </c>
      <c r="H595" s="1">
        <v>3782</v>
      </c>
      <c r="I595" s="1" t="str">
        <f>"potassium calcium-activated channel subfamily N member 3"</f>
        <v>potassium calcium-activated channel subfamily N member 3</v>
      </c>
    </row>
    <row r="596" spans="1:9" x14ac:dyDescent="0.35">
      <c r="A596" s="1" t="str">
        <f>"212188_at"</f>
        <v>212188_at</v>
      </c>
      <c r="B596" s="1">
        <v>3.7374669082473201E-2</v>
      </c>
      <c r="C596" s="1">
        <v>5.0980609862487404E-3</v>
      </c>
      <c r="D596" s="1">
        <v>-2.86164690444597</v>
      </c>
      <c r="E596" s="1">
        <v>-2.65012934217707</v>
      </c>
      <c r="F596" s="1">
        <v>-0.40304757464970897</v>
      </c>
      <c r="G596" s="3" t="str">
        <f>"KCTD12"</f>
        <v>KCTD12</v>
      </c>
      <c r="H596" s="1">
        <v>115207</v>
      </c>
      <c r="I596" s="1" t="str">
        <f>"potassium channel tetramerization domain containing 12"</f>
        <v>potassium channel tetramerization domain containing 12</v>
      </c>
    </row>
    <row r="597" spans="1:9" x14ac:dyDescent="0.35">
      <c r="A597" s="1" t="str">
        <f>"200698_at"</f>
        <v>200698_at</v>
      </c>
      <c r="B597" s="1">
        <v>5.2611737059204702E-2</v>
      </c>
      <c r="C597" s="1">
        <v>7.9945851852294206E-3</v>
      </c>
      <c r="D597" s="1">
        <v>-2.7045816531979501</v>
      </c>
      <c r="E597" s="1">
        <v>-3.0518849100346701</v>
      </c>
      <c r="F597" s="1">
        <v>-0.33031570811046501</v>
      </c>
      <c r="G597" s="3" t="str">
        <f>"KDELR2"</f>
        <v>KDELR2</v>
      </c>
      <c r="H597" s="1">
        <v>11014</v>
      </c>
      <c r="I597" s="1" t="str">
        <f>"KDEL endoplasmic reticulum protein retention receptor 2"</f>
        <v>KDEL endoplasmic reticulum protein retention receptor 2</v>
      </c>
    </row>
    <row r="598" spans="1:9" x14ac:dyDescent="0.35">
      <c r="A598" s="1" t="str">
        <f>"210878_s_at"</f>
        <v>210878_s_at</v>
      </c>
      <c r="B598" s="1">
        <v>1.3865205612805999E-3</v>
      </c>
      <c r="C598" s="2">
        <v>7.1805624364664294E-5</v>
      </c>
      <c r="D598" s="1">
        <v>4.1364605531603997</v>
      </c>
      <c r="E598" s="1">
        <v>1.27527064814803</v>
      </c>
      <c r="F598" s="1">
        <v>0.33049780049418798</v>
      </c>
      <c r="G598" s="3" t="str">
        <f>"KDM3B"</f>
        <v>KDM3B</v>
      </c>
      <c r="H598" s="1">
        <v>51780</v>
      </c>
      <c r="I598" s="1" t="str">
        <f>"lysine demethylase 3B"</f>
        <v>lysine demethylase 3B</v>
      </c>
    </row>
    <row r="599" spans="1:9" x14ac:dyDescent="0.35">
      <c r="A599" s="1" t="str">
        <f>"206700_s_at"</f>
        <v>206700_s_at</v>
      </c>
      <c r="B599" s="1">
        <v>0.110506609941169</v>
      </c>
      <c r="C599" s="1">
        <v>2.2167775723063599E-2</v>
      </c>
      <c r="D599" s="1">
        <v>2.3223273875289601</v>
      </c>
      <c r="E599" s="1">
        <v>-3.9463828336053002</v>
      </c>
      <c r="F599" s="1">
        <v>0.43088726203197403</v>
      </c>
      <c r="G599" s="3" t="str">
        <f>"KDM5D"</f>
        <v>KDM5D</v>
      </c>
      <c r="H599" s="1">
        <v>8284</v>
      </c>
      <c r="I599" s="1" t="str">
        <f>"lysine demethylase 5D"</f>
        <v>lysine demethylase 5D</v>
      </c>
    </row>
    <row r="600" spans="1:9" x14ac:dyDescent="0.35">
      <c r="A600" s="1" t="str">
        <f>"201977_s_at"</f>
        <v>201977_s_at</v>
      </c>
      <c r="B600" s="2">
        <v>8.8663335400240297E-6</v>
      </c>
      <c r="C600" s="2">
        <v>1.42447040673545E-7</v>
      </c>
      <c r="D600" s="1">
        <v>5.6485347365316203</v>
      </c>
      <c r="E600" s="1">
        <v>7.1737746764442596</v>
      </c>
      <c r="F600" s="1">
        <v>0.43265247986772998</v>
      </c>
      <c r="G600" s="3" t="str">
        <f>"KIAA0141"</f>
        <v>KIAA0141</v>
      </c>
      <c r="H600" s="1">
        <v>9812</v>
      </c>
      <c r="I600" s="1" t="str">
        <f>"KIAA0141"</f>
        <v>KIAA0141</v>
      </c>
    </row>
    <row r="601" spans="1:9" x14ac:dyDescent="0.35">
      <c r="A601" s="1" t="str">
        <f>"213316_at"</f>
        <v>213316_at</v>
      </c>
      <c r="B601" s="1">
        <v>1.57581336794624E-3</v>
      </c>
      <c r="C601" s="2">
        <v>8.4578952029067196E-5</v>
      </c>
      <c r="D601" s="1">
        <v>4.0924958623880201</v>
      </c>
      <c r="E601" s="1">
        <v>1.1219330917004799</v>
      </c>
      <c r="F601" s="1">
        <v>0.35233040086918499</v>
      </c>
      <c r="G601" s="3" t="str">
        <f>"KIAA1462"</f>
        <v>KIAA1462</v>
      </c>
      <c r="H601" s="1">
        <v>57608</v>
      </c>
      <c r="I601" s="1" t="str">
        <f>"KIAA1462"</f>
        <v>KIAA1462</v>
      </c>
    </row>
    <row r="602" spans="1:9" x14ac:dyDescent="0.35">
      <c r="A602" s="1" t="str">
        <f>"205051_s_at"</f>
        <v>205051_s_at</v>
      </c>
      <c r="B602" s="1">
        <v>4.9689151750053999E-4</v>
      </c>
      <c r="C602" s="2">
        <v>1.9400243244871399E-5</v>
      </c>
      <c r="D602" s="1">
        <v>4.4781071225708802</v>
      </c>
      <c r="E602" s="1">
        <v>2.5055018025437099</v>
      </c>
      <c r="F602" s="1">
        <v>0.33567296446656603</v>
      </c>
      <c r="G602" s="3" t="str">
        <f>"KIT"</f>
        <v>KIT</v>
      </c>
      <c r="H602" s="1">
        <v>3815</v>
      </c>
      <c r="I602" s="1" t="str">
        <f>"KIT proto-oncogene receptor tyrosine kinase"</f>
        <v>KIT proto-oncogene receptor tyrosine kinase</v>
      </c>
    </row>
    <row r="603" spans="1:9" x14ac:dyDescent="0.35">
      <c r="A603" s="1" t="str">
        <f>"202393_s_at"</f>
        <v>202393_s_at</v>
      </c>
      <c r="B603" s="1">
        <v>3.71426775452229E-2</v>
      </c>
      <c r="C603" s="1">
        <v>5.05725816417028E-3</v>
      </c>
      <c r="D603" s="1">
        <v>-2.8643975559029302</v>
      </c>
      <c r="E603" s="1">
        <v>-2.6429208955810402</v>
      </c>
      <c r="F603" s="1">
        <v>-0.45369149636918799</v>
      </c>
      <c r="G603" s="3" t="str">
        <f>"KLF10"</f>
        <v>KLF10</v>
      </c>
      <c r="H603" s="1">
        <v>7071</v>
      </c>
      <c r="I603" s="1" t="str">
        <f>"Kruppel like factor 10"</f>
        <v>Kruppel like factor 10</v>
      </c>
    </row>
    <row r="604" spans="1:9" x14ac:dyDescent="0.35">
      <c r="A604" s="1" t="str">
        <f>"221841_s_at"</f>
        <v>221841_s_at</v>
      </c>
      <c r="B604" s="1">
        <v>0.14105600673757901</v>
      </c>
      <c r="C604" s="1">
        <v>3.1638375518306297E-2</v>
      </c>
      <c r="D604" s="1">
        <v>-2.1784197279932198</v>
      </c>
      <c r="E604" s="1">
        <v>-4.2515156713294298</v>
      </c>
      <c r="F604" s="1">
        <v>-0.38062382549709101</v>
      </c>
      <c r="G604" s="3" t="str">
        <f>"KLF4"</f>
        <v>KLF4</v>
      </c>
      <c r="H604" s="1">
        <v>9314</v>
      </c>
      <c r="I604" s="1" t="str">
        <f>"Kruppel like factor 4"</f>
        <v>Kruppel like factor 4</v>
      </c>
    </row>
    <row r="605" spans="1:9" x14ac:dyDescent="0.35">
      <c r="A605" s="1" t="str">
        <f>"208961_s_at"</f>
        <v>208961_s_at</v>
      </c>
      <c r="B605" s="1">
        <v>2.27681640523573E-2</v>
      </c>
      <c r="C605" s="1">
        <v>2.60654249865653E-3</v>
      </c>
      <c r="D605" s="1">
        <v>-3.0853427847408001</v>
      </c>
      <c r="E605" s="1">
        <v>-2.04490795495447</v>
      </c>
      <c r="F605" s="1">
        <v>-0.32462896626744298</v>
      </c>
      <c r="G605" s="3" t="str">
        <f>"KLF6"</f>
        <v>KLF6</v>
      </c>
      <c r="H605" s="1">
        <v>1316</v>
      </c>
      <c r="I605" s="1" t="str">
        <f>"Kruppel like factor 6"</f>
        <v>Kruppel like factor 6</v>
      </c>
    </row>
    <row r="606" spans="1:9" x14ac:dyDescent="0.35">
      <c r="A606" s="1" t="str">
        <f>"203543_s_at"</f>
        <v>203543_s_at</v>
      </c>
      <c r="B606" s="1">
        <v>4.1341256727656997E-2</v>
      </c>
      <c r="C606" s="1">
        <v>5.8070337727220899E-3</v>
      </c>
      <c r="D606" s="1">
        <v>-2.8168171197686598</v>
      </c>
      <c r="E606" s="1">
        <v>-2.76677943750287</v>
      </c>
      <c r="F606" s="1">
        <v>-0.42447649903052398</v>
      </c>
      <c r="G606" s="3" t="str">
        <f>"KLF9"</f>
        <v>KLF9</v>
      </c>
      <c r="H606" s="1">
        <v>687</v>
      </c>
      <c r="I606" s="1" t="str">
        <f>"Kruppel like factor 9"</f>
        <v>Kruppel like factor 9</v>
      </c>
    </row>
    <row r="607" spans="1:9" x14ac:dyDescent="0.35">
      <c r="A607" s="1" t="str">
        <f>"217906_at"</f>
        <v>217906_at</v>
      </c>
      <c r="B607" s="1">
        <v>5.6731584539167202E-4</v>
      </c>
      <c r="C607" s="2">
        <v>2.3142759209308901E-5</v>
      </c>
      <c r="D607" s="1">
        <v>4.4329965320447302</v>
      </c>
      <c r="E607" s="1">
        <v>2.3392480844855599</v>
      </c>
      <c r="F607" s="1">
        <v>0.35069712082703602</v>
      </c>
      <c r="G607" s="3" t="str">
        <f>"KLHDC2"</f>
        <v>KLHDC2</v>
      </c>
      <c r="H607" s="1">
        <v>23588</v>
      </c>
      <c r="I607" s="1" t="str">
        <f>"kelch domain containing 2"</f>
        <v>kelch domain containing 2</v>
      </c>
    </row>
    <row r="608" spans="1:9" x14ac:dyDescent="0.35">
      <c r="A608" s="1" t="str">
        <f>"221221_s_at"</f>
        <v>221221_s_at</v>
      </c>
      <c r="B608" s="1">
        <v>8.1272905253819295E-3</v>
      </c>
      <c r="C608" s="1">
        <v>6.8934071233549602E-4</v>
      </c>
      <c r="D608" s="1">
        <v>-3.4989796497654799</v>
      </c>
      <c r="E608" s="1">
        <v>-0.82819663178465996</v>
      </c>
      <c r="F608" s="1">
        <v>-0.32004331613081399</v>
      </c>
      <c r="G608" s="3" t="str">
        <f>"KLHL3"</f>
        <v>KLHL3</v>
      </c>
      <c r="H608" s="1">
        <v>26249</v>
      </c>
      <c r="I608" s="1" t="str">
        <f>"kelch like family member 3"</f>
        <v>kelch like family member 3</v>
      </c>
    </row>
    <row r="609" spans="1:9" x14ac:dyDescent="0.35">
      <c r="A609" s="1" t="str">
        <f>"219106_s_at"</f>
        <v>219106_s_at</v>
      </c>
      <c r="B609" s="1">
        <v>1.6909760622516601E-4</v>
      </c>
      <c r="C609" s="2">
        <v>5.1678620400905796E-6</v>
      </c>
      <c r="D609" s="1">
        <v>-4.8083198479895399</v>
      </c>
      <c r="E609" s="1">
        <v>3.75584545829006</v>
      </c>
      <c r="F609" s="1">
        <v>-0.73643537705959605</v>
      </c>
      <c r="G609" s="3" t="str">
        <f>"KLHL41"</f>
        <v>KLHL41</v>
      </c>
      <c r="H609" s="1">
        <v>10324</v>
      </c>
      <c r="I609" s="1" t="str">
        <f>"kelch like family member 41"</f>
        <v>kelch like family member 41</v>
      </c>
    </row>
    <row r="610" spans="1:9" x14ac:dyDescent="0.35">
      <c r="A610" s="1" t="str">
        <f>"220239_at"</f>
        <v>220239_at</v>
      </c>
      <c r="B610" s="1">
        <v>1.6419292900806801E-3</v>
      </c>
      <c r="C610" s="2">
        <v>8.9306570012017501E-5</v>
      </c>
      <c r="D610" s="1">
        <v>4.0778247766782103</v>
      </c>
      <c r="E610" s="1">
        <v>1.07102480296366</v>
      </c>
      <c r="F610" s="1">
        <v>0.37934987561482503</v>
      </c>
      <c r="G610" s="3" t="str">
        <f>"KLHL7"</f>
        <v>KLHL7</v>
      </c>
      <c r="H610" s="1">
        <v>55975</v>
      </c>
      <c r="I610" s="1" t="str">
        <f>"kelch like family member 7"</f>
        <v>kelch like family member 7</v>
      </c>
    </row>
    <row r="611" spans="1:9" x14ac:dyDescent="0.35">
      <c r="A611" s="1" t="str">
        <f>"202058_s_at"</f>
        <v>202058_s_at</v>
      </c>
      <c r="B611" s="1">
        <v>5.9530699382570398E-3</v>
      </c>
      <c r="C611" s="1">
        <v>4.6191526828732299E-4</v>
      </c>
      <c r="D611" s="1">
        <v>-3.6171119904440001</v>
      </c>
      <c r="E611" s="1">
        <v>-0.458538930674319</v>
      </c>
      <c r="F611" s="1">
        <v>-0.418373076744188</v>
      </c>
      <c r="G611" s="3" t="str">
        <f>"KPNA1"</f>
        <v>KPNA1</v>
      </c>
      <c r="H611" s="1">
        <v>3836</v>
      </c>
      <c r="I611" s="1" t="str">
        <f>"karyopherin subunit alpha 1"</f>
        <v>karyopherin subunit alpha 1</v>
      </c>
    </row>
    <row r="612" spans="1:9" x14ac:dyDescent="0.35">
      <c r="A612" s="1" t="str">
        <f>"201088_at"</f>
        <v>201088_at</v>
      </c>
      <c r="B612" s="1">
        <v>3.6348005974860597E-4</v>
      </c>
      <c r="C612" s="2">
        <v>1.3294271359112999E-5</v>
      </c>
      <c r="D612" s="1">
        <v>-4.5738659482607602</v>
      </c>
      <c r="E612" s="1">
        <v>2.8621240451178398</v>
      </c>
      <c r="F612" s="1">
        <v>-0.55325855971075499</v>
      </c>
      <c r="G612" s="3" t="str">
        <f>"KPNA2"</f>
        <v>KPNA2</v>
      </c>
      <c r="H612" s="1">
        <v>3838</v>
      </c>
      <c r="I612" s="1" t="str">
        <f>"karyopherin subunit alpha 2"</f>
        <v>karyopherin subunit alpha 2</v>
      </c>
    </row>
    <row r="613" spans="1:9" x14ac:dyDescent="0.35">
      <c r="A613" s="1" t="str">
        <f>"209653_at"</f>
        <v>209653_at</v>
      </c>
      <c r="B613" s="1">
        <v>0.17920683462982501</v>
      </c>
      <c r="C613" s="1">
        <v>4.5431019558582003E-2</v>
      </c>
      <c r="D613" s="1">
        <v>-2.02504014323695</v>
      </c>
      <c r="E613" s="1">
        <v>-4.5571032332909098</v>
      </c>
      <c r="F613" s="1">
        <v>-0.35081566057848901</v>
      </c>
      <c r="G613" s="3" t="str">
        <f>"KPNA4"</f>
        <v>KPNA4</v>
      </c>
      <c r="H613" s="1">
        <v>3840</v>
      </c>
      <c r="I613" s="1" t="str">
        <f>"karyopherin subunit alpha 4"</f>
        <v>karyopherin subunit alpha 4</v>
      </c>
    </row>
    <row r="614" spans="1:9" x14ac:dyDescent="0.35">
      <c r="A614" s="1" t="str">
        <f>"201596_x_at"</f>
        <v>201596_x_at</v>
      </c>
      <c r="B614" s="2">
        <v>1.3899213248413501E-5</v>
      </c>
      <c r="C614" s="2">
        <v>2.4638465346332899E-7</v>
      </c>
      <c r="D614" s="1">
        <v>-5.5246429044480596</v>
      </c>
      <c r="E614" s="1">
        <v>6.6506033441077701</v>
      </c>
      <c r="F614" s="1">
        <v>-0.33410931243168701</v>
      </c>
      <c r="G614" s="3" t="str">
        <f>"KRT18"</f>
        <v>KRT18</v>
      </c>
      <c r="H614" s="1">
        <v>3875</v>
      </c>
      <c r="I614" s="1" t="str">
        <f>"keratin 18"</f>
        <v>keratin 18</v>
      </c>
    </row>
    <row r="615" spans="1:9" x14ac:dyDescent="0.35">
      <c r="A615" s="1" t="str">
        <f>"203287_at"</f>
        <v>203287_at</v>
      </c>
      <c r="B615" s="2">
        <v>1.10869686905873E-7</v>
      </c>
      <c r="C615" s="2">
        <v>5.9706334105393201E-10</v>
      </c>
      <c r="D615" s="1">
        <v>-6.8285012859119902</v>
      </c>
      <c r="E615" s="1">
        <v>12.421278992565</v>
      </c>
      <c r="F615" s="1">
        <v>-0.50833894246802502</v>
      </c>
      <c r="G615" s="3" t="str">
        <f>"LAD1"</f>
        <v>LAD1</v>
      </c>
      <c r="H615" s="1">
        <v>3898</v>
      </c>
      <c r="I615" s="1" t="str">
        <f>"ladinin 1"</f>
        <v>ladinin 1</v>
      </c>
    </row>
    <row r="616" spans="1:9" x14ac:dyDescent="0.35">
      <c r="A616" s="1" t="str">
        <f>"202202_s_at"</f>
        <v>202202_s_at</v>
      </c>
      <c r="B616" s="2">
        <v>4.5904792183640902E-10</v>
      </c>
      <c r="C616" s="2">
        <v>7.8283090381831601E-13</v>
      </c>
      <c r="D616" s="1">
        <v>8.1722749419871601</v>
      </c>
      <c r="E616" s="1">
        <v>18.806574706056001</v>
      </c>
      <c r="F616" s="1">
        <v>0.84524894487354396</v>
      </c>
      <c r="G616" s="3" t="str">
        <f>"LAMA4"</f>
        <v>LAMA4</v>
      </c>
      <c r="H616" s="1">
        <v>3910</v>
      </c>
      <c r="I616" s="1" t="str">
        <f>"laminin subunit alpha 4"</f>
        <v>laminin subunit alpha 4</v>
      </c>
    </row>
    <row r="617" spans="1:9" x14ac:dyDescent="0.35">
      <c r="A617" s="1" t="str">
        <f>"201505_at"</f>
        <v>201505_at</v>
      </c>
      <c r="B617" s="1">
        <v>7.1590302624058605E-2</v>
      </c>
      <c r="C617" s="1">
        <v>1.20350614203529E-2</v>
      </c>
      <c r="D617" s="1">
        <v>2.5560553927034699</v>
      </c>
      <c r="E617" s="1">
        <v>-3.4136840101961101</v>
      </c>
      <c r="F617" s="1">
        <v>0.38652568900581702</v>
      </c>
      <c r="G617" s="3" t="str">
        <f>"LAMB1"</f>
        <v>LAMB1</v>
      </c>
      <c r="H617" s="1">
        <v>3912</v>
      </c>
      <c r="I617" s="1" t="str">
        <f>"laminin subunit beta 1"</f>
        <v>laminin subunit beta 1</v>
      </c>
    </row>
    <row r="618" spans="1:9" x14ac:dyDescent="0.35">
      <c r="A618" s="1" t="str">
        <f>"216264_s_at"</f>
        <v>216264_s_at</v>
      </c>
      <c r="B618" s="2">
        <v>8.0990520045709399E-5</v>
      </c>
      <c r="C618" s="2">
        <v>2.1080869553700801E-6</v>
      </c>
      <c r="D618" s="1">
        <v>5.0249868304165899</v>
      </c>
      <c r="E618" s="1">
        <v>4.6064704301644603</v>
      </c>
      <c r="F618" s="1">
        <v>0.454158375706399</v>
      </c>
      <c r="G618" s="3" t="str">
        <f>"LAMB2"</f>
        <v>LAMB2</v>
      </c>
      <c r="H618" s="1">
        <v>3913</v>
      </c>
      <c r="I618" s="1" t="str">
        <f>"laminin subunit beta 2"</f>
        <v>laminin subunit beta 2</v>
      </c>
    </row>
    <row r="619" spans="1:9" x14ac:dyDescent="0.35">
      <c r="A619" s="1" t="str">
        <f>"202020_s_at"</f>
        <v>202020_s_at</v>
      </c>
      <c r="B619" s="1">
        <v>4.2082767052469E-4</v>
      </c>
      <c r="C619" s="2">
        <v>1.5750584625840001E-5</v>
      </c>
      <c r="D619" s="1">
        <v>4.5310579104856501</v>
      </c>
      <c r="E619" s="1">
        <v>2.7020821785422902</v>
      </c>
      <c r="F619" s="1">
        <v>0.32810422031104902</v>
      </c>
      <c r="G619" s="3" t="str">
        <f>"LANCL1"</f>
        <v>LANCL1</v>
      </c>
      <c r="H619" s="1">
        <v>10314</v>
      </c>
      <c r="I619" s="1" t="str">
        <f>"LanC like 1"</f>
        <v>LanC like 1</v>
      </c>
    </row>
    <row r="620" spans="1:9" x14ac:dyDescent="0.35">
      <c r="A620" s="1" t="str">
        <f>"214039_s_at"</f>
        <v>214039_s_at</v>
      </c>
      <c r="B620" s="2">
        <v>4.4559395201589102E-8</v>
      </c>
      <c r="C620" s="2">
        <v>1.8797213790554999E-10</v>
      </c>
      <c r="D620" s="1">
        <v>7.0675509400631196</v>
      </c>
      <c r="E620" s="1">
        <v>13.5321240106649</v>
      </c>
      <c r="F620" s="1">
        <v>0.60977147185464797</v>
      </c>
      <c r="G620" s="3" t="str">
        <f>"LAPTM4B"</f>
        <v>LAPTM4B</v>
      </c>
      <c r="H620" s="1">
        <v>55353</v>
      </c>
      <c r="I620" s="1" t="str">
        <f>"lysosomal protein transmembrane 4 beta"</f>
        <v>lysosomal protein transmembrane 4 beta</v>
      </c>
    </row>
    <row r="621" spans="1:9" x14ac:dyDescent="0.35">
      <c r="A621" s="1" t="str">
        <f>"201720_s_at"</f>
        <v>201720_s_at</v>
      </c>
      <c r="B621" s="2">
        <v>9.6227653911159296E-5</v>
      </c>
      <c r="C621" s="2">
        <v>2.62992600780398E-6</v>
      </c>
      <c r="D621" s="1">
        <v>-4.9720293856208801</v>
      </c>
      <c r="E621" s="1">
        <v>4.3964519850180697</v>
      </c>
      <c r="F621" s="1">
        <v>-0.53406723265116396</v>
      </c>
      <c r="G621" s="3" t="str">
        <f>"LAPTM5"</f>
        <v>LAPTM5</v>
      </c>
      <c r="H621" s="1">
        <v>7805</v>
      </c>
      <c r="I621" s="1" t="str">
        <f>"lysosomal protein transmembrane 5"</f>
        <v>lysosomal protein transmembrane 5</v>
      </c>
    </row>
    <row r="622" spans="1:9" x14ac:dyDescent="0.35">
      <c r="A622" s="1" t="str">
        <f>"218651_s_at"</f>
        <v>218651_s_at</v>
      </c>
      <c r="B622" s="2">
        <v>3.4096961780921399E-6</v>
      </c>
      <c r="C622" s="2">
        <v>4.5293275982375398E-8</v>
      </c>
      <c r="D622" s="1">
        <v>-5.9035811471199597</v>
      </c>
      <c r="E622" s="1">
        <v>8.2693072443836808</v>
      </c>
      <c r="F622" s="1">
        <v>-0.39537801848255999</v>
      </c>
      <c r="G622" s="3" t="str">
        <f>"LARP6"</f>
        <v>LARP6</v>
      </c>
      <c r="H622" s="1">
        <v>55323</v>
      </c>
      <c r="I622" s="1" t="str">
        <f>"La ribonucleoprotein domain family member 6"</f>
        <v>La ribonucleoprotein domain family member 6</v>
      </c>
    </row>
    <row r="623" spans="1:9" x14ac:dyDescent="0.35">
      <c r="A623" s="1" t="str">
        <f>"206481_s_at"</f>
        <v>206481_s_at</v>
      </c>
      <c r="B623" s="1">
        <v>4.7910577140873698E-4</v>
      </c>
      <c r="C623" s="2">
        <v>1.8490820958197399E-5</v>
      </c>
      <c r="D623" s="1">
        <v>4.49033828926847</v>
      </c>
      <c r="E623" s="1">
        <v>2.55077348624671</v>
      </c>
      <c r="F623" s="1">
        <v>0.53758159798110505</v>
      </c>
      <c r="G623" s="3" t="str">
        <f>"LDB2"</f>
        <v>LDB2</v>
      </c>
      <c r="H623" s="1">
        <v>9079</v>
      </c>
      <c r="I623" s="1" t="str">
        <f>"LIM domain binding 2"</f>
        <v>LIM domain binding 2</v>
      </c>
    </row>
    <row r="624" spans="1:9" x14ac:dyDescent="0.35">
      <c r="A624" s="1" t="str">
        <f>"213371_at"</f>
        <v>213371_at</v>
      </c>
      <c r="B624" s="1">
        <v>4.4839995000598501E-3</v>
      </c>
      <c r="C624" s="1">
        <v>3.2147384504296802E-4</v>
      </c>
      <c r="D624" s="1">
        <v>3.7218981358271601</v>
      </c>
      <c r="E624" s="1">
        <v>-0.12274652595636</v>
      </c>
      <c r="F624" s="1">
        <v>0.62104516989535197</v>
      </c>
      <c r="G624" s="3" t="str">
        <f>"LDB3"</f>
        <v>LDB3</v>
      </c>
      <c r="H624" s="1">
        <v>11155</v>
      </c>
      <c r="I624" s="1" t="str">
        <f>"LIM domain binding 3"</f>
        <v>LIM domain binding 3</v>
      </c>
    </row>
    <row r="625" spans="1:9" x14ac:dyDescent="0.35">
      <c r="A625" s="1" t="str">
        <f>"202068_s_at"</f>
        <v>202068_s_at</v>
      </c>
      <c r="B625" s="1">
        <v>7.2055570436450099E-3</v>
      </c>
      <c r="C625" s="1">
        <v>5.9078906425254402E-4</v>
      </c>
      <c r="D625" s="1">
        <v>-3.5448126619534701</v>
      </c>
      <c r="E625" s="1">
        <v>-0.68591090909571595</v>
      </c>
      <c r="F625" s="1">
        <v>-0.399785292683141</v>
      </c>
      <c r="G625" s="3" t="str">
        <f>"LDLR"</f>
        <v>LDLR</v>
      </c>
      <c r="H625" s="1">
        <v>3949</v>
      </c>
      <c r="I625" s="1" t="str">
        <f>"low density lipoprotein receptor"</f>
        <v>low density lipoprotein receptor</v>
      </c>
    </row>
    <row r="626" spans="1:9" x14ac:dyDescent="0.35">
      <c r="A626" s="1" t="str">
        <f>"209894_at"</f>
        <v>209894_at</v>
      </c>
      <c r="B626" s="1">
        <v>1.27339835585141E-4</v>
      </c>
      <c r="C626" s="2">
        <v>3.6859576337304798E-6</v>
      </c>
      <c r="D626" s="1">
        <v>4.8905986024981001</v>
      </c>
      <c r="E626" s="1">
        <v>4.0761561051711199</v>
      </c>
      <c r="F626" s="1">
        <v>0.50030250812064203</v>
      </c>
      <c r="G626" s="3" t="str">
        <f>"LEPROT"</f>
        <v>LEPROT</v>
      </c>
      <c r="H626" s="1">
        <v>54741</v>
      </c>
      <c r="I626" s="1" t="str">
        <f>"leptin receptor overlapping transcript///leptin receptor"</f>
        <v>leptin receptor overlapping transcript///leptin receptor</v>
      </c>
    </row>
    <row r="627" spans="1:9" x14ac:dyDescent="0.35">
      <c r="A627" s="1" t="str">
        <f>"202594_at"</f>
        <v>202594_at</v>
      </c>
      <c r="B627" s="2">
        <v>1.9272978682723199E-6</v>
      </c>
      <c r="C627" s="2">
        <v>2.1709454065267401E-8</v>
      </c>
      <c r="D627" s="1">
        <v>6.0646824579284404</v>
      </c>
      <c r="E627" s="1">
        <v>8.9733679119775793</v>
      </c>
      <c r="F627" s="1">
        <v>0.51919907657848996</v>
      </c>
      <c r="G627" s="3" t="str">
        <f>"LEPROTL1"</f>
        <v>LEPROTL1</v>
      </c>
      <c r="H627" s="1">
        <v>23484</v>
      </c>
      <c r="I627" s="1" t="str">
        <f>"leptin receptor overlapping transcript-like 1"</f>
        <v>leptin receptor overlapping transcript-like 1</v>
      </c>
    </row>
    <row r="628" spans="1:9" x14ac:dyDescent="0.35">
      <c r="A628" s="1" t="str">
        <f>"210732_s_at"</f>
        <v>210732_s_at</v>
      </c>
      <c r="B628" s="1">
        <v>5.9338188502320401E-2</v>
      </c>
      <c r="C628" s="1">
        <v>9.3176108050809607E-3</v>
      </c>
      <c r="D628" s="1">
        <v>-2.6496565765447602</v>
      </c>
      <c r="E628" s="1">
        <v>-3.1877529487315699</v>
      </c>
      <c r="F628" s="1">
        <v>-0.34329599266569699</v>
      </c>
      <c r="G628" s="3" t="str">
        <f>"LGALS8"</f>
        <v>LGALS8</v>
      </c>
      <c r="H628" s="1">
        <v>3964</v>
      </c>
      <c r="I628" s="1" t="str">
        <f>"galectin 8"</f>
        <v>galectin 8</v>
      </c>
    </row>
    <row r="629" spans="1:9" x14ac:dyDescent="0.35">
      <c r="A629" s="1" t="str">
        <f>"218656_s_at"</f>
        <v>218656_s_at</v>
      </c>
      <c r="B629" s="2">
        <v>8.2814309444587701E-8</v>
      </c>
      <c r="C629" s="2">
        <v>4.1624568764501299E-10</v>
      </c>
      <c r="D629" s="1">
        <v>6.9034099687225199</v>
      </c>
      <c r="E629" s="1">
        <v>12.7679394429067</v>
      </c>
      <c r="F629" s="1">
        <v>0.65588027215987799</v>
      </c>
      <c r="G629" s="3" t="str">
        <f>"LHFP"</f>
        <v>LHFP</v>
      </c>
      <c r="H629" s="1">
        <v>10186</v>
      </c>
      <c r="I629" s="1" t="str">
        <f>"lipoma HMGIC fusion partner"</f>
        <v>lipoma HMGIC fusion partner</v>
      </c>
    </row>
    <row r="630" spans="1:9" x14ac:dyDescent="0.35">
      <c r="A630" s="1" t="str">
        <f>"212327_at"</f>
        <v>212327_at</v>
      </c>
      <c r="B630" s="2">
        <v>5.90971356348924E-7</v>
      </c>
      <c r="C630" s="2">
        <v>4.9859810166314097E-9</v>
      </c>
      <c r="D630" s="1">
        <v>6.3816557184356499</v>
      </c>
      <c r="E630" s="1">
        <v>10.3835558407966</v>
      </c>
      <c r="F630" s="1">
        <v>0.53830871462354501</v>
      </c>
      <c r="G630" s="3" t="str">
        <f>"LIMCH1"</f>
        <v>LIMCH1</v>
      </c>
      <c r="H630" s="1">
        <v>22998</v>
      </c>
      <c r="I630" s="1" t="str">
        <f>"LIM and calponin homology domains 1"</f>
        <v>LIM and calponin homology domains 1</v>
      </c>
    </row>
    <row r="631" spans="1:9" x14ac:dyDescent="0.35">
      <c r="A631" s="1" t="str">
        <f>"207198_s_at"</f>
        <v>207198_s_at</v>
      </c>
      <c r="B631" s="1">
        <v>7.1745268925875599E-3</v>
      </c>
      <c r="C631" s="1">
        <v>5.8760093250335695E-4</v>
      </c>
      <c r="D631" s="1">
        <v>-3.5464129865794498</v>
      </c>
      <c r="E631" s="1">
        <v>-0.68091669448415504</v>
      </c>
      <c r="F631" s="1">
        <v>-0.30771951830813599</v>
      </c>
      <c r="G631" s="3" t="str">
        <f>"LIMS4"</f>
        <v>LIMS4</v>
      </c>
      <c r="H631" s="1">
        <v>100288695</v>
      </c>
      <c r="I631" s="1" t="str">
        <f>"LIM zinc finger domain containing 4///LIM zinc finger domain containing 1"</f>
        <v>LIM zinc finger domain containing 4///LIM zinc finger domain containing 1</v>
      </c>
    </row>
    <row r="632" spans="1:9" x14ac:dyDescent="0.35">
      <c r="A632" s="1" t="str">
        <f>"220244_at"</f>
        <v>220244_at</v>
      </c>
      <c r="B632" s="2">
        <v>2.7646135314456101E-5</v>
      </c>
      <c r="C632" s="2">
        <v>5.7567682923787805E-7</v>
      </c>
      <c r="D632" s="1">
        <v>-5.3300006265091397</v>
      </c>
      <c r="E632" s="1">
        <v>5.8413357642153896</v>
      </c>
      <c r="F632" s="1">
        <v>-0.54164818222092903</v>
      </c>
      <c r="G632" s="3" t="str">
        <f>"LINC00312"</f>
        <v>LINC00312</v>
      </c>
      <c r="H632" s="1">
        <v>29931</v>
      </c>
      <c r="I632" s="1" t="str">
        <f>"long intergenic non-protein coding RNA 312"</f>
        <v>long intergenic non-protein coding RNA 312</v>
      </c>
    </row>
    <row r="633" spans="1:9" x14ac:dyDescent="0.35">
      <c r="A633" s="1" t="str">
        <f>"205571_at"</f>
        <v>205571_at</v>
      </c>
      <c r="B633" s="1">
        <v>2.1987957137411399E-3</v>
      </c>
      <c r="C633" s="1">
        <v>1.2778532734796801E-4</v>
      </c>
      <c r="D633" s="1">
        <v>3.9803338595071298</v>
      </c>
      <c r="E633" s="1">
        <v>0.736088555563853</v>
      </c>
      <c r="F633" s="1">
        <v>0.32271652327616102</v>
      </c>
      <c r="G633" s="3" t="str">
        <f>"LIPT1"</f>
        <v>LIPT1</v>
      </c>
      <c r="H633" s="1">
        <v>51601</v>
      </c>
      <c r="I633" s="1" t="str">
        <f>"lipoyltransferase 1"</f>
        <v>lipoyltransferase 1</v>
      </c>
    </row>
    <row r="634" spans="1:9" x14ac:dyDescent="0.35">
      <c r="A634" s="1" t="str">
        <f>"218574_s_at"</f>
        <v>218574_s_at</v>
      </c>
      <c r="B634" s="2">
        <v>9.2569781555206897E-8</v>
      </c>
      <c r="C634" s="2">
        <v>4.7358771697229199E-10</v>
      </c>
      <c r="D634" s="1">
        <v>-6.8766421562506501</v>
      </c>
      <c r="E634" s="1">
        <v>12.643909250093801</v>
      </c>
      <c r="F634" s="1">
        <v>-1.2110781015799399</v>
      </c>
      <c r="G634" s="3" t="str">
        <f>"LMCD1"</f>
        <v>LMCD1</v>
      </c>
      <c r="H634" s="1">
        <v>29995</v>
      </c>
      <c r="I634" s="1" t="str">
        <f>"LIM and cysteine rich domains 1"</f>
        <v>LIM and cysteine rich domains 1</v>
      </c>
    </row>
    <row r="635" spans="1:9" x14ac:dyDescent="0.35">
      <c r="A635" s="1" t="str">
        <f>"200772_x_at"</f>
        <v>200772_x_at</v>
      </c>
      <c r="B635" s="1">
        <v>3.7580206261996298E-2</v>
      </c>
      <c r="C635" s="1">
        <v>5.1320094985080498E-3</v>
      </c>
      <c r="D635" s="1">
        <v>-2.85937366650841</v>
      </c>
      <c r="E635" s="1">
        <v>-2.65608221762735</v>
      </c>
      <c r="F635" s="1">
        <v>-0.34785566301163101</v>
      </c>
      <c r="G635" s="3" t="str">
        <f>"LOC100506248"</f>
        <v>LOC100506248</v>
      </c>
      <c r="H635" s="1">
        <v>100506248</v>
      </c>
      <c r="I635" s="1" t="str">
        <f>"prothymosin alpha///microRNA 1244-2///microRNA 1244-3///microRNA 1244-1///prothymosin alpha-like///prothymosin, alpha"</f>
        <v>prothymosin alpha///microRNA 1244-2///microRNA 1244-3///microRNA 1244-1///prothymosin alpha-like///prothymosin, alpha</v>
      </c>
    </row>
    <row r="636" spans="1:9" x14ac:dyDescent="0.35">
      <c r="A636" s="1" t="str">
        <f>"202350_s_at"</f>
        <v>202350_s_at</v>
      </c>
      <c r="B636" s="2">
        <v>6.5329064055847304E-11</v>
      </c>
      <c r="C636" s="2">
        <v>6.15675782063812E-14</v>
      </c>
      <c r="D636" s="1">
        <v>8.6738688846842606</v>
      </c>
      <c r="E636" s="1">
        <v>21.254596714852202</v>
      </c>
      <c r="F636" s="1">
        <v>1.22206788098837</v>
      </c>
      <c r="G636" s="3" t="str">
        <f>"LOC100506558"</f>
        <v>LOC100506558</v>
      </c>
      <c r="H636" s="1">
        <v>100506558</v>
      </c>
      <c r="I636" s="1" t="str">
        <f>"uncharacterized LOC100506558///matrilin 2"</f>
        <v>uncharacterized LOC100506558///matrilin 2</v>
      </c>
    </row>
    <row r="637" spans="1:9" x14ac:dyDescent="0.35">
      <c r="A637" s="1" t="str">
        <f>"204359_at"</f>
        <v>204359_at</v>
      </c>
      <c r="B637" s="1">
        <v>7.6189538286172897E-3</v>
      </c>
      <c r="C637" s="1">
        <v>6.3304321116106901E-4</v>
      </c>
      <c r="D637" s="1">
        <v>3.5243395347456499</v>
      </c>
      <c r="E637" s="1">
        <v>-0.74964728580672702</v>
      </c>
      <c r="F637" s="1">
        <v>0.35290215300435901</v>
      </c>
      <c r="G637" s="3" t="str">
        <f>"LOC100506718"</f>
        <v>LOC100506718</v>
      </c>
      <c r="H637" s="1">
        <v>100506718</v>
      </c>
      <c r="I637" s="1" t="str">
        <f>"uncharacterized LOC100506718///fibronectin leucine rich transmembrane protein 2"</f>
        <v>uncharacterized LOC100506718///fibronectin leucine rich transmembrane protein 2</v>
      </c>
    </row>
    <row r="638" spans="1:9" x14ac:dyDescent="0.35">
      <c r="A638" s="1" t="str">
        <f>"207414_s_at"</f>
        <v>207414_s_at</v>
      </c>
      <c r="B638" s="2">
        <v>1.62909869028013E-6</v>
      </c>
      <c r="C638" s="2">
        <v>1.7253838841543401E-8</v>
      </c>
      <c r="D638" s="1">
        <v>6.1146240050782898</v>
      </c>
      <c r="E638" s="1">
        <v>9.1934190660741404</v>
      </c>
      <c r="F638" s="1">
        <v>0.62267128161482499</v>
      </c>
      <c r="G638" s="3" t="str">
        <f>"LOC100507472"</f>
        <v>LOC100507472</v>
      </c>
      <c r="H638" s="1">
        <v>100507472</v>
      </c>
      <c r="I638" s="1" t="str">
        <f>"uncharacterized LOC100507472///proprotein convertase subtilisin/kexin type 6"</f>
        <v>uncharacterized LOC100507472///proprotein convertase subtilisin/kexin type 6</v>
      </c>
    </row>
    <row r="639" spans="1:9" x14ac:dyDescent="0.35">
      <c r="A639" s="1" t="str">
        <f>"204348_s_at"</f>
        <v>204348_s_at</v>
      </c>
      <c r="B639" s="1">
        <v>0.13016653734084399</v>
      </c>
      <c r="C639" s="1">
        <v>2.8185322562921201E-2</v>
      </c>
      <c r="D639" s="1">
        <v>2.2258721731849298</v>
      </c>
      <c r="E639" s="1">
        <v>-4.1528539690814297</v>
      </c>
      <c r="F639" s="1">
        <v>0.33687017950290099</v>
      </c>
      <c r="G639" s="3" t="str">
        <f>"LOC100507855"</f>
        <v>LOC100507855</v>
      </c>
      <c r="H639" s="1">
        <v>100507855</v>
      </c>
      <c r="I639" s="1" t="str">
        <f>"adenylate kinase 4, mitochondrial-like///adenylate kinase 4"</f>
        <v>adenylate kinase 4, mitochondrial-like///adenylate kinase 4</v>
      </c>
    </row>
    <row r="640" spans="1:9" x14ac:dyDescent="0.35">
      <c r="A640" s="1" t="str">
        <f>"215498_s_at"</f>
        <v>215498_s_at</v>
      </c>
      <c r="B640" s="1">
        <v>4.66773194040861E-2</v>
      </c>
      <c r="C640" s="1">
        <v>6.8100330019604102E-3</v>
      </c>
      <c r="D640" s="1">
        <v>-2.7612785682816599</v>
      </c>
      <c r="E640" s="1">
        <v>-2.9091070662806802</v>
      </c>
      <c r="F640" s="1">
        <v>-0.31393153810465302</v>
      </c>
      <c r="G640" s="3" t="str">
        <f>"LOC100996792"</f>
        <v>LOC100996792</v>
      </c>
      <c r="H640" s="1">
        <v>100996792</v>
      </c>
      <c r="I640" s="1" t="str">
        <f>"dual specificity mitogen-activated protein kinase kinase 3///mitogen-activated protein kinase kinase 3"</f>
        <v>dual specificity mitogen-activated protein kinase kinase 3///mitogen-activated protein kinase kinase 3</v>
      </c>
    </row>
    <row r="641" spans="1:9" x14ac:dyDescent="0.35">
      <c r="A641" s="1" t="str">
        <f>"215193_x_at"</f>
        <v>215193_x_at</v>
      </c>
      <c r="B641" s="1">
        <v>9.1039467677693706E-2</v>
      </c>
      <c r="C641" s="1">
        <v>1.6884211985752899E-2</v>
      </c>
      <c r="D641" s="1">
        <v>2.4284336653102998</v>
      </c>
      <c r="E641" s="1">
        <v>-3.7101807812588801</v>
      </c>
      <c r="F641" s="1">
        <v>0.40065075803197697</v>
      </c>
      <c r="G641" s="3" t="str">
        <f>"LOC101060835"</f>
        <v>LOC101060835</v>
      </c>
      <c r="H641" s="1">
        <v>101060835</v>
      </c>
      <c r="I641" s="1" t="s">
        <v>0</v>
      </c>
    </row>
    <row r="642" spans="1:9" x14ac:dyDescent="0.35">
      <c r="A642" s="1" t="str">
        <f>"201280_s_at"</f>
        <v>201280_s_at</v>
      </c>
      <c r="B642" s="1">
        <v>2.1279621417729998E-2</v>
      </c>
      <c r="C642" s="1">
        <v>2.3883827655945202E-3</v>
      </c>
      <c r="D642" s="1">
        <v>3.1136650268353598</v>
      </c>
      <c r="E642" s="1">
        <v>-1.96557630147065</v>
      </c>
      <c r="F642" s="1">
        <v>0.40450413826598502</v>
      </c>
      <c r="G642" s="3" t="str">
        <f>"LOC101926921"</f>
        <v>LOC101926921</v>
      </c>
      <c r="H642" s="1">
        <v>101926921</v>
      </c>
      <c r="I642" s="1" t="str">
        <f>"uncharacterized LOC101926921///DAB2, clathrin adaptor protein"</f>
        <v>uncharacterized LOC101926921///DAB2, clathrin adaptor protein</v>
      </c>
    </row>
    <row r="643" spans="1:9" x14ac:dyDescent="0.35">
      <c r="A643" s="1" t="str">
        <f>"214432_at"</f>
        <v>214432_at</v>
      </c>
      <c r="B643" s="1">
        <v>1.4269868243601E-2</v>
      </c>
      <c r="C643" s="1">
        <v>1.41782921022002E-3</v>
      </c>
      <c r="D643" s="1">
        <v>3.2791133707659998</v>
      </c>
      <c r="E643" s="1">
        <v>-1.4903020944730401</v>
      </c>
      <c r="F643" s="1">
        <v>0.62577607863226203</v>
      </c>
      <c r="G643" s="3" t="str">
        <f>"LOC101927137"</f>
        <v>LOC101927137</v>
      </c>
      <c r="H643" s="1">
        <v>101927137</v>
      </c>
      <c r="I643" s="1" t="str">
        <f>"uncharacterized LOC101927137///ATPase Na+/K+ transporting subunit alpha 3"</f>
        <v>uncharacterized LOC101927137///ATPase Na+/K+ transporting subunit alpha 3</v>
      </c>
    </row>
    <row r="644" spans="1:9" x14ac:dyDescent="0.35">
      <c r="A644" s="1" t="str">
        <f>"201245_s_at"</f>
        <v>201245_s_at</v>
      </c>
      <c r="B644" s="1">
        <v>1.8309138276146001E-2</v>
      </c>
      <c r="C644" s="1">
        <v>1.9535988856102101E-3</v>
      </c>
      <c r="D644" s="1">
        <v>-3.17811418391384</v>
      </c>
      <c r="E644" s="1">
        <v>-1.78282865347522</v>
      </c>
      <c r="F644" s="1">
        <v>-0.303032804309596</v>
      </c>
      <c r="G644" s="3" t="str">
        <f>"LOC101927673"</f>
        <v>LOC101927673</v>
      </c>
      <c r="H644" s="1">
        <v>101927673</v>
      </c>
      <c r="I644" s="1" t="str">
        <f>"uncharacterized LOC101927673///OTU deubiquitinase, ubiquitin aldehyde binding 1"</f>
        <v>uncharacterized LOC101927673///OTU deubiquitinase, ubiquitin aldehyde binding 1</v>
      </c>
    </row>
    <row r="645" spans="1:9" x14ac:dyDescent="0.35">
      <c r="A645" s="1" t="str">
        <f>"200944_s_at"</f>
        <v>200944_s_at</v>
      </c>
      <c r="B645" s="2">
        <v>9.33657904493194E-5</v>
      </c>
      <c r="C645" s="2">
        <v>2.5190013747234899E-6</v>
      </c>
      <c r="D645" s="1">
        <v>4.9823715626319496</v>
      </c>
      <c r="E645" s="1">
        <v>4.4373614962075401</v>
      </c>
      <c r="F645" s="1">
        <v>0.32176290396656299</v>
      </c>
      <c r="G645" s="3" t="str">
        <f>"LOC101927733"</f>
        <v>LOC101927733</v>
      </c>
      <c r="H645" s="1">
        <v>101927733</v>
      </c>
      <c r="I645" s="1" t="str">
        <f>"uncharacterized LOC101927733///high mobility group nucleosome binding domain 1"</f>
        <v>uncharacterized LOC101927733///high mobility group nucleosome binding domain 1</v>
      </c>
    </row>
    <row r="646" spans="1:9" x14ac:dyDescent="0.35">
      <c r="A646" s="1" t="str">
        <f>"218870_at"</f>
        <v>218870_at</v>
      </c>
      <c r="B646" s="1">
        <v>1.7680942178982699E-4</v>
      </c>
      <c r="C646" s="2">
        <v>5.4828932574954101E-6</v>
      </c>
      <c r="D646" s="1">
        <v>4.7938308100190996</v>
      </c>
      <c r="E646" s="1">
        <v>3.6997912647734199</v>
      </c>
      <c r="F646" s="1">
        <v>0.39258193720638901</v>
      </c>
      <c r="G646" s="3" t="str">
        <f>"LOC101928361"</f>
        <v>LOC101928361</v>
      </c>
      <c r="H646" s="1">
        <v>101928361</v>
      </c>
      <c r="I646" s="1" t="str">
        <f>"uncharacterized LOC101928361///Rho GTPase activating protein 15"</f>
        <v>uncharacterized LOC101928361///Rho GTPase activating protein 15</v>
      </c>
    </row>
    <row r="647" spans="1:9" x14ac:dyDescent="0.35">
      <c r="A647" s="1" t="str">
        <f>"201530_x_at"</f>
        <v>201530_x_at</v>
      </c>
      <c r="B647" s="2">
        <v>3.3413272953863502E-7</v>
      </c>
      <c r="C647" s="2">
        <v>2.4291837806964501E-9</v>
      </c>
      <c r="D647" s="1">
        <v>-6.5343124183052002</v>
      </c>
      <c r="E647" s="1">
        <v>11.0735780044153</v>
      </c>
      <c r="F647" s="1">
        <v>-0.64565999288663201</v>
      </c>
      <c r="G647" s="3" t="str">
        <f>"LOC101928634"</f>
        <v>LOC101928634</v>
      </c>
      <c r="H647" s="1">
        <v>101928634</v>
      </c>
      <c r="I647" s="1" t="str">
        <f>"uncharacterized LOC101928634///SENP3-EIF4A1 readthrough (NMD candidate)///small nucleolar RNA, C/D box 10///small nucleolar RNA, H/ACA box 48///small nucleolar RNA, H/ACA box 67///eukaryotic translation initiation factor 4A1"</f>
        <v>uncharacterized LOC101928634///SENP3-EIF4A1 readthrough (NMD candidate)///small nucleolar RNA, C/D box 10///small nucleolar RNA, H/ACA box 48///small nucleolar RNA, H/ACA box 67///eukaryotic translation initiation factor 4A1</v>
      </c>
    </row>
    <row r="648" spans="1:9" x14ac:dyDescent="0.35">
      <c r="A648" s="1" t="str">
        <f>"207016_s_at"</f>
        <v>207016_s_at</v>
      </c>
      <c r="B648" s="2">
        <v>1.5394722973187199E-7</v>
      </c>
      <c r="C648" s="2">
        <v>8.9813489499364298E-10</v>
      </c>
      <c r="D648" s="1">
        <v>6.7433783461394503</v>
      </c>
      <c r="E648" s="1">
        <v>12.0290193562521</v>
      </c>
      <c r="F648" s="1">
        <v>0.62711649113953205</v>
      </c>
      <c r="G648" s="3" t="str">
        <f>"LOC101928635"</f>
        <v>LOC101928635</v>
      </c>
      <c r="H648" s="1">
        <v>101928635</v>
      </c>
      <c r="I648" s="1" t="str">
        <f>"uncharacterized LOC101928635///aldehyde dehydrogenase 1 family member A2"</f>
        <v>uncharacterized LOC101928635///aldehyde dehydrogenase 1 family member A2</v>
      </c>
    </row>
    <row r="649" spans="1:9" x14ac:dyDescent="0.35">
      <c r="A649" s="1" t="str">
        <f>"202237_at"</f>
        <v>202237_at</v>
      </c>
      <c r="B649" s="1">
        <v>4.5946424691026097E-2</v>
      </c>
      <c r="C649" s="1">
        <v>6.6678216032852802E-3</v>
      </c>
      <c r="D649" s="1">
        <v>-2.7686793882873699</v>
      </c>
      <c r="E649" s="1">
        <v>-2.8902816252377099</v>
      </c>
      <c r="F649" s="1">
        <v>-0.57246621258139896</v>
      </c>
      <c r="G649" s="3" t="str">
        <f>"LOC101928916"</f>
        <v>LOC101928916</v>
      </c>
      <c r="H649" s="1">
        <v>101928916</v>
      </c>
      <c r="I649" s="1" t="str">
        <f>"uncharacterized LOC101928916///nicotinamide N-methyltransferase"</f>
        <v>uncharacterized LOC101928916///nicotinamide N-methyltransferase</v>
      </c>
    </row>
    <row r="650" spans="1:9" x14ac:dyDescent="0.35">
      <c r="A650" s="1" t="str">
        <f>"209699_x_at"</f>
        <v>209699_x_at</v>
      </c>
      <c r="B650" s="1">
        <v>2.4691250794917099E-2</v>
      </c>
      <c r="C650" s="1">
        <v>2.9042664063850402E-3</v>
      </c>
      <c r="D650" s="1">
        <v>-3.05004786741921</v>
      </c>
      <c r="E650" s="1">
        <v>-2.1429290006643398</v>
      </c>
      <c r="F650" s="1">
        <v>-0.38002627807267497</v>
      </c>
      <c r="G650" s="3" t="str">
        <f>"LOC101930400"</f>
        <v>LOC101930400</v>
      </c>
      <c r="H650" s="1">
        <v>101930400</v>
      </c>
      <c r="I650" s="1" t="str">
        <f>"aldo-keto reductase family 1 member C2-like///aldo-keto reductase family 1, member C2"</f>
        <v>aldo-keto reductase family 1 member C2-like///aldo-keto reductase family 1, member C2</v>
      </c>
    </row>
    <row r="651" spans="1:9" x14ac:dyDescent="0.35">
      <c r="A651" s="1" t="str">
        <f>"214099_s_at"</f>
        <v>214099_s_at</v>
      </c>
      <c r="B651" s="1">
        <v>2.34852136714205E-4</v>
      </c>
      <c r="C651" s="2">
        <v>7.8308637786049606E-6</v>
      </c>
      <c r="D651" s="1">
        <v>-4.70602143438831</v>
      </c>
      <c r="E651" s="1">
        <v>3.3623718578893</v>
      </c>
      <c r="F651" s="1">
        <v>-0.31810590611918399</v>
      </c>
      <c r="G651" s="3" t="str">
        <f>"LOC101930416"</f>
        <v>LOC101930416</v>
      </c>
      <c r="H651" s="1">
        <v>101930416</v>
      </c>
      <c r="I651" s="1" t="str">
        <f>"myomegalin-like///uncharacterized LOC101929792///phosphodiesterase 4D interacting protein-like///phosphodiesterase 4D interacting protein"</f>
        <v>myomegalin-like///uncharacterized LOC101929792///phosphodiesterase 4D interacting protein-like///phosphodiesterase 4D interacting protein</v>
      </c>
    </row>
    <row r="652" spans="1:9" x14ac:dyDescent="0.35">
      <c r="A652" s="1" t="str">
        <f>"203570_at"</f>
        <v>203570_at</v>
      </c>
      <c r="B652" s="1">
        <v>2.77479470971314E-3</v>
      </c>
      <c r="C652" s="1">
        <v>1.76078612374203E-4</v>
      </c>
      <c r="D652" s="1">
        <v>3.89179202261051</v>
      </c>
      <c r="E652" s="1">
        <v>0.43703018637681401</v>
      </c>
      <c r="F652" s="1">
        <v>0.59042187536482305</v>
      </c>
      <c r="G652" s="3" t="str">
        <f>"LOXL1"</f>
        <v>LOXL1</v>
      </c>
      <c r="H652" s="1">
        <v>4016</v>
      </c>
      <c r="I652" s="1" t="str">
        <f>"lysyl oxidase like 1"</f>
        <v>lysyl oxidase like 1</v>
      </c>
    </row>
    <row r="653" spans="1:9" x14ac:dyDescent="0.35">
      <c r="A653" s="1" t="str">
        <f>"202998_s_at"</f>
        <v>202998_s_at</v>
      </c>
      <c r="B653" s="1">
        <v>8.0456454886352995E-3</v>
      </c>
      <c r="C653" s="1">
        <v>6.8024934257456004E-4</v>
      </c>
      <c r="D653" s="1">
        <v>3.5029395596351001</v>
      </c>
      <c r="E653" s="1">
        <v>-0.81596053517933198</v>
      </c>
      <c r="F653" s="1">
        <v>0.38617910625871898</v>
      </c>
      <c r="G653" s="3" t="str">
        <f>"LOXL2"</f>
        <v>LOXL2</v>
      </c>
      <c r="H653" s="1">
        <v>4017</v>
      </c>
      <c r="I653" s="1" t="str">
        <f>"lysyl oxidase like 2"</f>
        <v>lysyl oxidase like 2</v>
      </c>
    </row>
    <row r="654" spans="1:9" x14ac:dyDescent="0.35">
      <c r="A654" s="1" t="str">
        <f>"212274_at"</f>
        <v>212274_at</v>
      </c>
      <c r="B654" s="1">
        <v>2.0250016053391899E-4</v>
      </c>
      <c r="C654" s="2">
        <v>6.5249344910180001E-6</v>
      </c>
      <c r="D654" s="1">
        <v>-4.7510818122342204</v>
      </c>
      <c r="E654" s="1">
        <v>3.53502845353648</v>
      </c>
      <c r="F654" s="1">
        <v>-0.356446079880817</v>
      </c>
      <c r="G654" s="3" t="str">
        <f>"LPIN1"</f>
        <v>LPIN1</v>
      </c>
      <c r="H654" s="1">
        <v>23175</v>
      </c>
      <c r="I654" s="1" t="str">
        <f>"lipin 1"</f>
        <v>lipin 1</v>
      </c>
    </row>
    <row r="655" spans="1:9" x14ac:dyDescent="0.35">
      <c r="A655" s="1" t="str">
        <f>"203548_s_at"</f>
        <v>203548_s_at</v>
      </c>
      <c r="B655" s="1">
        <v>0.15692647493702999</v>
      </c>
      <c r="C655" s="1">
        <v>3.7036141080368103E-2</v>
      </c>
      <c r="D655" s="1">
        <v>-2.1125772174996502</v>
      </c>
      <c r="E655" s="1">
        <v>-4.38520080413155</v>
      </c>
      <c r="F655" s="1">
        <v>-0.45194650746221199</v>
      </c>
      <c r="G655" s="3" t="str">
        <f>"LPL"</f>
        <v>LPL</v>
      </c>
      <c r="H655" s="1">
        <v>4023</v>
      </c>
      <c r="I655" s="1" t="str">
        <f>"lipoprotein lipase"</f>
        <v>lipoprotein lipase</v>
      </c>
    </row>
    <row r="656" spans="1:9" x14ac:dyDescent="0.35">
      <c r="A656" s="1" t="str">
        <f>"201186_at"</f>
        <v>201186_at</v>
      </c>
      <c r="B656" s="1">
        <v>4.62892921987864E-3</v>
      </c>
      <c r="C656" s="1">
        <v>3.3403573062715301E-4</v>
      </c>
      <c r="D656" s="1">
        <v>3.7109091125021498</v>
      </c>
      <c r="E656" s="1">
        <v>-0.15830471968920001</v>
      </c>
      <c r="F656" s="1">
        <v>0.33397643187644399</v>
      </c>
      <c r="G656" s="3" t="str">
        <f>"LRPAP1"</f>
        <v>LRPAP1</v>
      </c>
      <c r="H656" s="1">
        <v>4043</v>
      </c>
      <c r="I656" s="1" t="str">
        <f>"LDL receptor related protein associated protein 1"</f>
        <v>LDL receptor related protein associated protein 1</v>
      </c>
    </row>
    <row r="657" spans="1:9" x14ac:dyDescent="0.35">
      <c r="A657" s="1" t="str">
        <f>"205381_at"</f>
        <v>205381_at</v>
      </c>
      <c r="B657" s="2">
        <v>8.1144942249189593E-9</v>
      </c>
      <c r="C657" s="2">
        <v>1.96644387266357E-11</v>
      </c>
      <c r="D657" s="1">
        <v>7.5275361882706804</v>
      </c>
      <c r="E657" s="1">
        <v>15.7036002187915</v>
      </c>
      <c r="F657" s="1">
        <v>0.73930063795057899</v>
      </c>
      <c r="G657" s="3" t="str">
        <f>"LRRC17"</f>
        <v>LRRC17</v>
      </c>
      <c r="H657" s="1">
        <v>10234</v>
      </c>
      <c r="I657" s="1" t="str">
        <f>"leucine rich repeat containing 17"</f>
        <v>leucine rich repeat containing 17</v>
      </c>
    </row>
    <row r="658" spans="1:9" x14ac:dyDescent="0.35">
      <c r="A658" s="1" t="str">
        <f>"219949_at"</f>
        <v>219949_at</v>
      </c>
      <c r="B658" s="1">
        <v>4.5072914678151298E-2</v>
      </c>
      <c r="C658" s="1">
        <v>6.5132515937551998E-3</v>
      </c>
      <c r="D658" s="1">
        <v>2.77688844602292</v>
      </c>
      <c r="E658" s="1">
        <v>-2.8693496257649298</v>
      </c>
      <c r="F658" s="1">
        <v>0.36104375476453299</v>
      </c>
      <c r="G658" s="3" t="str">
        <f>"LRRC2"</f>
        <v>LRRC2</v>
      </c>
      <c r="H658" s="1">
        <v>79442</v>
      </c>
      <c r="I658" s="1" t="str">
        <f>"leucine rich repeat containing 2"</f>
        <v>leucine rich repeat containing 2</v>
      </c>
    </row>
    <row r="659" spans="1:9" x14ac:dyDescent="0.35">
      <c r="A659" s="1" t="str">
        <f>"219338_s_at"</f>
        <v>219338_s_at</v>
      </c>
      <c r="B659" s="1">
        <v>1.1257936213847201E-3</v>
      </c>
      <c r="C659" s="2">
        <v>5.5019039343353997E-5</v>
      </c>
      <c r="D659" s="1">
        <v>4.2073495919189599</v>
      </c>
      <c r="E659" s="1">
        <v>1.5249553970773899</v>
      </c>
      <c r="F659" s="1">
        <v>0.516151036319765</v>
      </c>
      <c r="G659" s="3" t="str">
        <f>"LRRC49"</f>
        <v>LRRC49</v>
      </c>
      <c r="H659" s="1">
        <v>54839</v>
      </c>
      <c r="I659" s="1" t="str">
        <f>"leucine rich repeat containing 49"</f>
        <v>leucine rich repeat containing 49</v>
      </c>
    </row>
    <row r="660" spans="1:9" x14ac:dyDescent="0.35">
      <c r="A660" s="1" t="str">
        <f>"222231_s_at"</f>
        <v>222231_s_at</v>
      </c>
      <c r="B660" s="2">
        <v>4.7433243068388997E-8</v>
      </c>
      <c r="C660" s="2">
        <v>2.0861005343544999E-10</v>
      </c>
      <c r="D660" s="1">
        <v>-7.0461124249036198</v>
      </c>
      <c r="E660" s="1">
        <v>13.4319687291856</v>
      </c>
      <c r="F660" s="1">
        <v>-0.59101059685610702</v>
      </c>
      <c r="G660" s="3" t="str">
        <f>"LRRC59"</f>
        <v>LRRC59</v>
      </c>
      <c r="H660" s="1">
        <v>55379</v>
      </c>
      <c r="I660" s="1" t="str">
        <f>"leucine rich repeat containing 59"</f>
        <v>leucine rich repeat containing 59</v>
      </c>
    </row>
    <row r="661" spans="1:9" x14ac:dyDescent="0.35">
      <c r="A661" s="1" t="str">
        <f>"204559_s_at"</f>
        <v>204559_s_at</v>
      </c>
      <c r="B661" s="1">
        <v>6.9100497280579704E-3</v>
      </c>
      <c r="C661" s="1">
        <v>5.6004801009167104E-4</v>
      </c>
      <c r="D661" s="1">
        <v>-3.5605956524028901</v>
      </c>
      <c r="E661" s="1">
        <v>-0.63657946459548997</v>
      </c>
      <c r="F661" s="1">
        <v>-0.32500460599273101</v>
      </c>
      <c r="G661" s="3" t="str">
        <f>"LSM7"</f>
        <v>LSM7</v>
      </c>
      <c r="H661" s="1">
        <v>51690</v>
      </c>
      <c r="I661" s="1" t="str">
        <f>"LSM7 homolog, U6 small nuclear RNA and mRNA degradation associated"</f>
        <v>LSM7 homolog, U6 small nuclear RNA and mRNA degradation associated</v>
      </c>
    </row>
    <row r="662" spans="1:9" x14ac:dyDescent="0.35">
      <c r="A662" s="1" t="str">
        <f>"203523_at"</f>
        <v>203523_at</v>
      </c>
      <c r="B662" s="2">
        <v>7.5086631771321394E-5</v>
      </c>
      <c r="C662" s="2">
        <v>1.9274583033341899E-6</v>
      </c>
      <c r="D662" s="1">
        <v>5.0463490692556299</v>
      </c>
      <c r="E662" s="1">
        <v>4.6915662289526896</v>
      </c>
      <c r="F662" s="1">
        <v>0.32406284968749399</v>
      </c>
      <c r="G662" s="3" t="str">
        <f>"LSP1"</f>
        <v>LSP1</v>
      </c>
      <c r="H662" s="1">
        <v>4046</v>
      </c>
      <c r="I662" s="1" t="str">
        <f>"lymphocyte-specific protein 1"</f>
        <v>lymphocyte-specific protein 1</v>
      </c>
    </row>
    <row r="663" spans="1:9" x14ac:dyDescent="0.35">
      <c r="A663" s="1" t="str">
        <f>"202729_s_at"</f>
        <v>202729_s_at</v>
      </c>
      <c r="B663" s="2">
        <v>1.21736927285968E-9</v>
      </c>
      <c r="C663" s="2">
        <v>2.34918452331222E-12</v>
      </c>
      <c r="D663" s="1">
        <v>7.9538011771745598</v>
      </c>
      <c r="E663" s="1">
        <v>17.748649238098398</v>
      </c>
      <c r="F663" s="1">
        <v>0.47697185469331399</v>
      </c>
      <c r="G663" s="3" t="str">
        <f>"LTBP1"</f>
        <v>LTBP1</v>
      </c>
      <c r="H663" s="1">
        <v>4052</v>
      </c>
      <c r="I663" s="1" t="str">
        <f>"latent transforming growth factor beta binding protein 1"</f>
        <v>latent transforming growth factor beta binding protein 1</v>
      </c>
    </row>
    <row r="664" spans="1:9" x14ac:dyDescent="0.35">
      <c r="A664" s="1" t="str">
        <f>"204682_at"</f>
        <v>204682_at</v>
      </c>
      <c r="B664" s="2">
        <v>3.0886162922912999E-6</v>
      </c>
      <c r="C664" s="2">
        <v>3.9780679257173699E-8</v>
      </c>
      <c r="D664" s="1">
        <v>5.9321500554773001</v>
      </c>
      <c r="E664" s="1">
        <v>8.3935036429092396</v>
      </c>
      <c r="F664" s="1">
        <v>0.83900252537645803</v>
      </c>
      <c r="G664" s="3" t="str">
        <f>"LTBP2"</f>
        <v>LTBP2</v>
      </c>
      <c r="H664" s="1">
        <v>4053</v>
      </c>
      <c r="I664" s="1" t="str">
        <f>"latent transforming growth factor beta binding protein 2"</f>
        <v>latent transforming growth factor beta binding protein 2</v>
      </c>
    </row>
    <row r="665" spans="1:9" x14ac:dyDescent="0.35">
      <c r="A665" s="1" t="str">
        <f>"219922_s_at"</f>
        <v>219922_s_at</v>
      </c>
      <c r="B665" s="1">
        <v>1.1668583633698E-3</v>
      </c>
      <c r="C665" s="2">
        <v>5.7497216846028E-5</v>
      </c>
      <c r="D665" s="1">
        <v>4.1956723355781804</v>
      </c>
      <c r="E665" s="1">
        <v>1.48362020323958</v>
      </c>
      <c r="F665" s="1">
        <v>0.58669136639243702</v>
      </c>
      <c r="G665" s="3" t="str">
        <f>"LTBP3"</f>
        <v>LTBP3</v>
      </c>
      <c r="H665" s="1">
        <v>4054</v>
      </c>
      <c r="I665" s="1" t="str">
        <f>"latent transforming growth factor beta binding protein 3"</f>
        <v>latent transforming growth factor beta binding protein 3</v>
      </c>
    </row>
    <row r="666" spans="1:9" x14ac:dyDescent="0.35">
      <c r="A666" s="1" t="str">
        <f>"204442_x_at"</f>
        <v>204442_x_at</v>
      </c>
      <c r="B666" s="1">
        <v>2.3325559316786899E-4</v>
      </c>
      <c r="C666" s="2">
        <v>7.7252895820978807E-6</v>
      </c>
      <c r="D666" s="1">
        <v>4.7093823803339196</v>
      </c>
      <c r="E666" s="1">
        <v>3.3752136779885298</v>
      </c>
      <c r="F666" s="1">
        <v>0.52488766969767797</v>
      </c>
      <c r="G666" s="3" t="str">
        <f>"LTBP4"</f>
        <v>LTBP4</v>
      </c>
      <c r="H666" s="1">
        <v>8425</v>
      </c>
      <c r="I666" s="1" t="str">
        <f>"latent transforming growth factor beta binding protein 4"</f>
        <v>latent transforming growth factor beta binding protein 4</v>
      </c>
    </row>
    <row r="667" spans="1:9" x14ac:dyDescent="0.35">
      <c r="A667" s="1" t="str">
        <f>"201744_s_at"</f>
        <v>201744_s_at</v>
      </c>
      <c r="B667" s="2">
        <v>1.5819053876045599E-17</v>
      </c>
      <c r="C667" s="2">
        <v>2.8396632187848299E-21</v>
      </c>
      <c r="D667" s="1">
        <v>11.974063770824101</v>
      </c>
      <c r="E667" s="1">
        <v>37.4713975558724</v>
      </c>
      <c r="F667" s="1">
        <v>2.1192203942369199</v>
      </c>
      <c r="G667" s="3" t="str">
        <f>"LUM"</f>
        <v>LUM</v>
      </c>
      <c r="H667" s="1">
        <v>4060</v>
      </c>
      <c r="I667" s="1" t="str">
        <f>"lumican"</f>
        <v>lumican</v>
      </c>
    </row>
    <row r="668" spans="1:9" x14ac:dyDescent="0.35">
      <c r="A668" s="1" t="str">
        <f>"213195_at"</f>
        <v>213195_at</v>
      </c>
      <c r="B668" s="2">
        <v>4.7763555906052599E-5</v>
      </c>
      <c r="C668" s="2">
        <v>1.10818823333614E-6</v>
      </c>
      <c r="D668" s="1">
        <v>5.1772810743094597</v>
      </c>
      <c r="E668" s="1">
        <v>5.2177757183120903</v>
      </c>
      <c r="F668" s="1">
        <v>0.31964471739244099</v>
      </c>
      <c r="G668" s="3" t="str">
        <f>"LYRM9"</f>
        <v>LYRM9</v>
      </c>
      <c r="H668" s="1">
        <v>201229</v>
      </c>
      <c r="I668" s="1" t="str">
        <f>"LYR motif containing 9"</f>
        <v>LYR motif containing 9</v>
      </c>
    </row>
    <row r="669" spans="1:9" x14ac:dyDescent="0.35">
      <c r="A669" s="1" t="str">
        <f>"219059_s_at"</f>
        <v>219059_s_at</v>
      </c>
      <c r="B669" s="2">
        <v>1.5325492073948801E-7</v>
      </c>
      <c r="C669" s="2">
        <v>8.8721827291630198E-10</v>
      </c>
      <c r="D669" s="1">
        <v>-6.74593335112543</v>
      </c>
      <c r="E669" s="1">
        <v>12.040766731637399</v>
      </c>
      <c r="F669" s="1">
        <v>-0.85862255309302504</v>
      </c>
      <c r="G669" s="3" t="str">
        <f>"LYVE1"</f>
        <v>LYVE1</v>
      </c>
      <c r="H669" s="1">
        <v>10894</v>
      </c>
      <c r="I669" s="1" t="str">
        <f>"lymphatic vessel endothelial hyaluronan receptor 1"</f>
        <v>lymphatic vessel endothelial hyaluronan receptor 1</v>
      </c>
    </row>
    <row r="670" spans="1:9" x14ac:dyDescent="0.35">
      <c r="A670" s="1" t="str">
        <f>"205193_at"</f>
        <v>205193_at</v>
      </c>
      <c r="B670" s="1">
        <v>3.7375237613761599E-4</v>
      </c>
      <c r="C670" s="2">
        <v>1.37035269624571E-5</v>
      </c>
      <c r="D670" s="1">
        <v>-4.5662278393722797</v>
      </c>
      <c r="E670" s="1">
        <v>2.8334956544168999</v>
      </c>
      <c r="F670" s="1">
        <v>-0.44119937254069802</v>
      </c>
      <c r="G670" s="3" t="str">
        <f>"MAFF"</f>
        <v>MAFF</v>
      </c>
      <c r="H670" s="1">
        <v>23764</v>
      </c>
      <c r="I670" s="1" t="str">
        <f>"MAF bZIP transcription factor F"</f>
        <v>MAF bZIP transcription factor F</v>
      </c>
    </row>
    <row r="671" spans="1:9" x14ac:dyDescent="0.35">
      <c r="A671" s="1" t="str">
        <f>"209014_at"</f>
        <v>209014_at</v>
      </c>
      <c r="B671" s="2">
        <v>6.0476752298889796E-8</v>
      </c>
      <c r="C671" s="2">
        <v>2.8768728374466302E-10</v>
      </c>
      <c r="D671" s="1">
        <v>6.9798362218091796</v>
      </c>
      <c r="E671" s="1">
        <v>13.122990488218701</v>
      </c>
      <c r="F671" s="1">
        <v>0.44949312765261601</v>
      </c>
      <c r="G671" s="3" t="str">
        <f>"MAGED1"</f>
        <v>MAGED1</v>
      </c>
      <c r="H671" s="1">
        <v>9500</v>
      </c>
      <c r="I671" s="1" t="str">
        <f>"MAGE family member D1"</f>
        <v>MAGE family member D1</v>
      </c>
    </row>
    <row r="672" spans="1:9" x14ac:dyDescent="0.35">
      <c r="A672" s="1" t="str">
        <f>"213627_at"</f>
        <v>213627_at</v>
      </c>
      <c r="B672" s="2">
        <v>3.8178271386641001E-7</v>
      </c>
      <c r="C672" s="2">
        <v>2.8612715171067899E-9</v>
      </c>
      <c r="D672" s="1">
        <v>6.49967822302923</v>
      </c>
      <c r="E672" s="1">
        <v>10.9164443657032</v>
      </c>
      <c r="F672" s="1">
        <v>0.40888695662063701</v>
      </c>
      <c r="G672" s="3" t="str">
        <f>"MAGED2"</f>
        <v>MAGED2</v>
      </c>
      <c r="H672" s="1">
        <v>10916</v>
      </c>
      <c r="I672" s="1" t="str">
        <f>"MAGE family member D2"</f>
        <v>MAGE family member D2</v>
      </c>
    </row>
    <row r="673" spans="1:9" x14ac:dyDescent="0.35">
      <c r="A673" s="1" t="str">
        <f>"210092_at"</f>
        <v>210092_at</v>
      </c>
      <c r="B673" s="1">
        <v>4.5365707381879901E-2</v>
      </c>
      <c r="C673" s="1">
        <v>6.56574098220899E-3</v>
      </c>
      <c r="D673" s="1">
        <v>-2.77408104467712</v>
      </c>
      <c r="E673" s="1">
        <v>-2.8765141133030299</v>
      </c>
      <c r="F673" s="1">
        <v>-0.30319363849273501</v>
      </c>
      <c r="G673" s="3" t="str">
        <f>"MAGOHB"</f>
        <v>MAGOHB</v>
      </c>
      <c r="H673" s="1">
        <v>55110</v>
      </c>
      <c r="I673" s="1" t="str">
        <f>"mago homolog B, exon junction complex core component///mago homolog, exon junction complex core component"</f>
        <v>mago homolog B, exon junction complex core component///mago homolog, exon junction complex core component</v>
      </c>
    </row>
    <row r="674" spans="1:9" x14ac:dyDescent="0.35">
      <c r="A674" s="1" t="str">
        <f>"221553_at"</f>
        <v>221553_at</v>
      </c>
      <c r="B674" s="1">
        <v>4.4237718635866001E-2</v>
      </c>
      <c r="C674" s="1">
        <v>6.3469006183576497E-3</v>
      </c>
      <c r="D674" s="1">
        <v>-2.7859242126460102</v>
      </c>
      <c r="E674" s="1">
        <v>-2.8462481245161602</v>
      </c>
      <c r="F674" s="1">
        <v>-0.35174382820494599</v>
      </c>
      <c r="G674" s="3" t="str">
        <f>"MAGT1"</f>
        <v>MAGT1</v>
      </c>
      <c r="H674" s="1">
        <v>84061</v>
      </c>
      <c r="I674" s="1" t="str">
        <f>"magnesium transporter 1"</f>
        <v>magnesium transporter 1</v>
      </c>
    </row>
    <row r="675" spans="1:9" x14ac:dyDescent="0.35">
      <c r="A675" s="1" t="str">
        <f>"218918_at"</f>
        <v>218918_at</v>
      </c>
      <c r="B675" s="1">
        <v>1.3950022235394001E-3</v>
      </c>
      <c r="C675" s="2">
        <v>7.2446793889537596E-5</v>
      </c>
      <c r="D675" s="1">
        <v>4.1340809462487904</v>
      </c>
      <c r="E675" s="1">
        <v>1.26694133595013</v>
      </c>
      <c r="F675" s="1">
        <v>0.30153269885755801</v>
      </c>
      <c r="G675" s="3" t="str">
        <f>"MAN1C1"</f>
        <v>MAN1C1</v>
      </c>
      <c r="H675" s="1">
        <v>57134</v>
      </c>
      <c r="I675" s="1" t="str">
        <f>"mannosidase alpha class 1C member 1"</f>
        <v>mannosidase alpha class 1C member 1</v>
      </c>
    </row>
    <row r="676" spans="1:9" x14ac:dyDescent="0.35">
      <c r="A676" s="1" t="str">
        <f>"204041_at"</f>
        <v>204041_at</v>
      </c>
      <c r="B676" s="1">
        <v>1.3642499312270799E-3</v>
      </c>
      <c r="C676" s="2">
        <v>7.0346145984827803E-5</v>
      </c>
      <c r="D676" s="1">
        <v>4.1419541247155296</v>
      </c>
      <c r="E676" s="1">
        <v>1.29451273415859</v>
      </c>
      <c r="F676" s="1">
        <v>0.34681168312354399</v>
      </c>
      <c r="G676" s="3" t="str">
        <f>"MAOB"</f>
        <v>MAOB</v>
      </c>
      <c r="H676" s="1">
        <v>4129</v>
      </c>
      <c r="I676" s="1" t="str">
        <f>"monoamine oxidase B"</f>
        <v>monoamine oxidase B</v>
      </c>
    </row>
    <row r="677" spans="1:9" x14ac:dyDescent="0.35">
      <c r="A677" s="1" t="str">
        <f>"203151_at"</f>
        <v>203151_at</v>
      </c>
      <c r="B677" s="1">
        <v>1.4926879257659001E-2</v>
      </c>
      <c r="C677" s="1">
        <v>1.50186524685507E-3</v>
      </c>
      <c r="D677" s="1">
        <v>3.2611282354644402</v>
      </c>
      <c r="E677" s="1">
        <v>-1.5429365156927599</v>
      </c>
      <c r="F677" s="1">
        <v>0.31852905593749598</v>
      </c>
      <c r="G677" s="3" t="str">
        <f>"MAP1A"</f>
        <v>MAP1A</v>
      </c>
      <c r="H677" s="1">
        <v>4130</v>
      </c>
      <c r="I677" s="1" t="str">
        <f>"microtubule associated protein 1A"</f>
        <v>microtubule associated protein 1A</v>
      </c>
    </row>
    <row r="678" spans="1:9" x14ac:dyDescent="0.35">
      <c r="A678" s="1" t="str">
        <f>"208785_s_at"</f>
        <v>208785_s_at</v>
      </c>
      <c r="B678" s="2">
        <v>8.5081699169961199E-6</v>
      </c>
      <c r="C678" s="2">
        <v>1.3440182250067901E-7</v>
      </c>
      <c r="D678" s="1">
        <v>-5.6616033172844302</v>
      </c>
      <c r="E678" s="1">
        <v>7.2293132826556397</v>
      </c>
      <c r="F678" s="1">
        <v>-0.40932350210900698</v>
      </c>
      <c r="G678" s="3" t="str">
        <f>"MAP1LC3B"</f>
        <v>MAP1LC3B</v>
      </c>
      <c r="H678" s="1">
        <v>81631</v>
      </c>
      <c r="I678" s="1" t="str">
        <f>"microtubule associated protein 1 light chain 3 beta"</f>
        <v>microtubule associated protein 1 light chain 3 beta</v>
      </c>
    </row>
    <row r="679" spans="1:9" x14ac:dyDescent="0.35">
      <c r="A679" s="1" t="str">
        <f>"202670_at"</f>
        <v>202670_at</v>
      </c>
      <c r="B679" s="2">
        <v>1.2225494388218299E-10</v>
      </c>
      <c r="C679" s="2">
        <v>1.5910754263713699E-13</v>
      </c>
      <c r="D679" s="1">
        <v>-8.4871360214821703</v>
      </c>
      <c r="E679" s="1">
        <v>20.340560426889699</v>
      </c>
      <c r="F679" s="1">
        <v>-0.64179341336337004</v>
      </c>
      <c r="G679" s="3" t="str">
        <f>"MAP2K1"</f>
        <v>MAP2K1</v>
      </c>
      <c r="H679" s="1">
        <v>5604</v>
      </c>
      <c r="I679" s="1" t="str">
        <f>"mitogen-activated protein kinase kinase 1"</f>
        <v>mitogen-activated protein kinase kinase 1</v>
      </c>
    </row>
    <row r="680" spans="1:9" x14ac:dyDescent="0.35">
      <c r="A680" s="1" t="str">
        <f>"219278_at"</f>
        <v>219278_at</v>
      </c>
      <c r="B680" s="1">
        <v>2.5360999123254197E-4</v>
      </c>
      <c r="C680" s="2">
        <v>8.6611858065774001E-6</v>
      </c>
      <c r="D680" s="1">
        <v>-4.6810241891565099</v>
      </c>
      <c r="E680" s="1">
        <v>3.26704441606842</v>
      </c>
      <c r="F680" s="1">
        <v>-0.421930030361921</v>
      </c>
      <c r="G680" s="3" t="str">
        <f>"MAP3K6"</f>
        <v>MAP3K6</v>
      </c>
      <c r="H680" s="1">
        <v>9064</v>
      </c>
      <c r="I680" s="1" t="str">
        <f>"mitogen-activated protein kinase kinase kinase 6"</f>
        <v>mitogen-activated protein kinase kinase kinase 6</v>
      </c>
    </row>
    <row r="681" spans="1:9" x14ac:dyDescent="0.35">
      <c r="A681" s="1" t="str">
        <f>"212566_at"</f>
        <v>212566_at</v>
      </c>
      <c r="B681" s="2">
        <v>3.07015268051505E-6</v>
      </c>
      <c r="C681" s="2">
        <v>3.9405092071413299E-8</v>
      </c>
      <c r="D681" s="1">
        <v>5.9342359473938204</v>
      </c>
      <c r="E681" s="1">
        <v>8.4025828451349103</v>
      </c>
      <c r="F681" s="1">
        <v>0.60971776408720402</v>
      </c>
      <c r="G681" s="3" t="str">
        <f>"MAP4"</f>
        <v>MAP4</v>
      </c>
      <c r="H681" s="1">
        <v>4134</v>
      </c>
      <c r="I681" s="1" t="str">
        <f>"microtubule associated protein 4"</f>
        <v>microtubule associated protein 4</v>
      </c>
    </row>
    <row r="682" spans="1:9" x14ac:dyDescent="0.35">
      <c r="A682" s="1" t="str">
        <f>"208351_s_at"</f>
        <v>208351_s_at</v>
      </c>
      <c r="B682" s="1">
        <v>1.1606218809731999E-3</v>
      </c>
      <c r="C682" s="2">
        <v>5.7033656135424199E-5</v>
      </c>
      <c r="D682" s="1">
        <v>-4.1978194021920903</v>
      </c>
      <c r="E682" s="1">
        <v>1.4912143411800001</v>
      </c>
      <c r="F682" s="1">
        <v>-0.33355223945639301</v>
      </c>
      <c r="G682" s="3" t="str">
        <f>"MAPK1"</f>
        <v>MAPK1</v>
      </c>
      <c r="H682" s="1">
        <v>5594</v>
      </c>
      <c r="I682" s="1" t="str">
        <f>"mitogen-activated protein kinase 1"</f>
        <v>mitogen-activated protein kinase 1</v>
      </c>
    </row>
    <row r="683" spans="1:9" x14ac:dyDescent="0.35">
      <c r="A683" s="1" t="str">
        <f>"210449_x_at"</f>
        <v>210449_x_at</v>
      </c>
      <c r="B683" s="1">
        <v>1.20951959419164E-4</v>
      </c>
      <c r="C683" s="2">
        <v>3.4630592877721499E-6</v>
      </c>
      <c r="D683" s="1">
        <v>-4.9057018214676704</v>
      </c>
      <c r="E683" s="1">
        <v>4.1353177138534898</v>
      </c>
      <c r="F683" s="1">
        <v>-0.30121334924564303</v>
      </c>
      <c r="G683" s="3" t="str">
        <f>"MAPK14"</f>
        <v>MAPK14</v>
      </c>
      <c r="H683" s="1">
        <v>1432</v>
      </c>
      <c r="I683" s="1" t="str">
        <f>"mitogen-activated protein kinase 14"</f>
        <v>mitogen-activated protein kinase 14</v>
      </c>
    </row>
    <row r="684" spans="1:9" x14ac:dyDescent="0.35">
      <c r="A684" s="1" t="str">
        <f>"201461_s_at"</f>
        <v>201461_s_at</v>
      </c>
      <c r="B684" s="1">
        <v>2.04061073929503E-2</v>
      </c>
      <c r="C684" s="1">
        <v>2.2592050863172999E-3</v>
      </c>
      <c r="D684" s="1">
        <v>-3.13158994988627</v>
      </c>
      <c r="E684" s="1">
        <v>-1.91505882318093</v>
      </c>
      <c r="F684" s="1">
        <v>-0.43162072033139998</v>
      </c>
      <c r="G684" s="3" t="str">
        <f>"MAPKAPK2"</f>
        <v>MAPKAPK2</v>
      </c>
      <c r="H684" s="1">
        <v>9261</v>
      </c>
      <c r="I684" s="1" t="str">
        <f>"mitogen-activated protein kinase-activated protein kinase 2"</f>
        <v>mitogen-activated protein kinase-activated protein kinase 2</v>
      </c>
    </row>
    <row r="685" spans="1:9" x14ac:dyDescent="0.35">
      <c r="A685" s="1" t="str">
        <f>"200712_s_at"</f>
        <v>200712_s_at</v>
      </c>
      <c r="B685" s="1">
        <v>2.3140375018622199E-2</v>
      </c>
      <c r="C685" s="1">
        <v>2.6619094732967699E-3</v>
      </c>
      <c r="D685" s="1">
        <v>-3.0785054103904002</v>
      </c>
      <c r="E685" s="1">
        <v>-2.0639697707043498</v>
      </c>
      <c r="F685" s="1">
        <v>-0.31363611156249699</v>
      </c>
      <c r="G685" s="3" t="str">
        <f>"MAPRE1"</f>
        <v>MAPRE1</v>
      </c>
      <c r="H685" s="1">
        <v>22919</v>
      </c>
      <c r="I685" s="1" t="str">
        <f>"microtubule associated protein RP/EB family member 1"</f>
        <v>microtubule associated protein RP/EB family member 1</v>
      </c>
    </row>
    <row r="686" spans="1:9" x14ac:dyDescent="0.35">
      <c r="A686" s="1" t="str">
        <f>"218582_at"</f>
        <v>218582_at</v>
      </c>
      <c r="B686" s="2">
        <v>2.9514319200551499E-8</v>
      </c>
      <c r="C686" s="2">
        <v>1.13908874534283E-10</v>
      </c>
      <c r="D686" s="1">
        <v>-7.1703532832546504</v>
      </c>
      <c r="E686" s="1">
        <v>14.013769342434101</v>
      </c>
      <c r="F686" s="1">
        <v>-0.59175127186628096</v>
      </c>
      <c r="G686" s="3" t="str">
        <f>"MARCH5"</f>
        <v>MARCH5</v>
      </c>
      <c r="H686" s="1">
        <v>54708</v>
      </c>
      <c r="I686" s="1" t="str">
        <f>"membrane associated ring-CH-type finger 5"</f>
        <v>membrane associated ring-CH-type finger 5</v>
      </c>
    </row>
    <row r="687" spans="1:9" x14ac:dyDescent="0.35">
      <c r="A687" s="1" t="str">
        <f>"201737_s_at"</f>
        <v>201737_s_at</v>
      </c>
      <c r="B687" s="1">
        <v>0.143007777723757</v>
      </c>
      <c r="C687" s="1">
        <v>3.2287938326447198E-2</v>
      </c>
      <c r="D687" s="1">
        <v>-2.17000191554426</v>
      </c>
      <c r="E687" s="1">
        <v>-4.26881567957816</v>
      </c>
      <c r="F687" s="1">
        <v>-0.36978144987064299</v>
      </c>
      <c r="G687" s="3" t="str">
        <f>"MARCH6"</f>
        <v>MARCH6</v>
      </c>
      <c r="H687" s="1">
        <v>10299</v>
      </c>
      <c r="I687" s="1" t="str">
        <f>"membrane associated ring-CH-type finger 6"</f>
        <v>membrane associated ring-CH-type finger 6</v>
      </c>
    </row>
    <row r="688" spans="1:9" x14ac:dyDescent="0.35">
      <c r="A688" s="1" t="str">
        <f>"201669_s_at"</f>
        <v>201669_s_at</v>
      </c>
      <c r="B688" s="1">
        <v>2.8730773317618202E-3</v>
      </c>
      <c r="C688" s="1">
        <v>1.8412038009944299E-4</v>
      </c>
      <c r="D688" s="1">
        <v>3.8793547217975299</v>
      </c>
      <c r="E688" s="1">
        <v>0.39541936281573697</v>
      </c>
      <c r="F688" s="1">
        <v>0.68400947284883695</v>
      </c>
      <c r="G688" s="3" t="str">
        <f>"MARCKS"</f>
        <v>MARCKS</v>
      </c>
      <c r="H688" s="1">
        <v>4082</v>
      </c>
      <c r="I688" s="1" t="str">
        <f>"myristoylated alanine rich protein kinase C substrate"</f>
        <v>myristoylated alanine rich protein kinase C substrate</v>
      </c>
    </row>
    <row r="689" spans="1:9" x14ac:dyDescent="0.35">
      <c r="A689" s="1" t="str">
        <f>"202569_s_at"</f>
        <v>202569_s_at</v>
      </c>
      <c r="B689" s="2">
        <v>2.1944824990919501E-6</v>
      </c>
      <c r="C689" s="2">
        <v>2.5535257985609499E-8</v>
      </c>
      <c r="D689" s="1">
        <v>-6.0292879140715199</v>
      </c>
      <c r="E689" s="1">
        <v>8.8179188687050996</v>
      </c>
      <c r="F689" s="1">
        <v>-0.50679672503488504</v>
      </c>
      <c r="G689" s="3" t="str">
        <f>"MARK3"</f>
        <v>MARK3</v>
      </c>
      <c r="H689" s="1">
        <v>4140</v>
      </c>
      <c r="I689" s="1" t="str">
        <f>"microtubule affinity regulating kinase 3"</f>
        <v>microtubule affinity regulating kinase 3</v>
      </c>
    </row>
    <row r="690" spans="1:9" x14ac:dyDescent="0.35">
      <c r="A690" s="1" t="str">
        <f>"213749_at"</f>
        <v>213749_at</v>
      </c>
      <c r="B690" s="1">
        <v>2.9202680733909101E-4</v>
      </c>
      <c r="C690" s="2">
        <v>1.0235288629530599E-5</v>
      </c>
      <c r="D690" s="1">
        <v>4.6394333089561002</v>
      </c>
      <c r="E690" s="1">
        <v>3.10916186858588</v>
      </c>
      <c r="F690" s="1">
        <v>0.48614904579651402</v>
      </c>
      <c r="G690" s="3" t="str">
        <f>"MASP1"</f>
        <v>MASP1</v>
      </c>
      <c r="H690" s="1">
        <v>5648</v>
      </c>
      <c r="I690" s="1" t="str">
        <f>"mannan binding lectin serine peptidase 1"</f>
        <v>mannan binding lectin serine peptidase 1</v>
      </c>
    </row>
    <row r="691" spans="1:9" x14ac:dyDescent="0.35">
      <c r="A691" s="1" t="str">
        <f>"200769_s_at"</f>
        <v>200769_s_at</v>
      </c>
      <c r="B691" s="1">
        <v>3.45960107180483E-3</v>
      </c>
      <c r="C691" s="1">
        <v>2.3242035652703099E-4</v>
      </c>
      <c r="D691" s="1">
        <v>-3.8140541338193898</v>
      </c>
      <c r="E691" s="1">
        <v>0.17857279282860899</v>
      </c>
      <c r="F691" s="1">
        <v>-0.52404752073982996</v>
      </c>
      <c r="G691" s="3" t="str">
        <f>"MAT2A"</f>
        <v>MAT2A</v>
      </c>
      <c r="H691" s="1">
        <v>4144</v>
      </c>
      <c r="I691" s="1" t="str">
        <f>"methionine adenosyltransferase 2A"</f>
        <v>methionine adenosyltransferase 2A</v>
      </c>
    </row>
    <row r="692" spans="1:9" x14ac:dyDescent="0.35">
      <c r="A692" s="1" t="str">
        <f>"201152_s_at"</f>
        <v>201152_s_at</v>
      </c>
      <c r="B692" s="1">
        <v>5.5076966807857397E-2</v>
      </c>
      <c r="C692" s="1">
        <v>8.4804143570326503E-3</v>
      </c>
      <c r="D692" s="1">
        <v>-2.6835155191898901</v>
      </c>
      <c r="E692" s="1">
        <v>-3.1042821066614801</v>
      </c>
      <c r="F692" s="1">
        <v>-0.31619672482122302</v>
      </c>
      <c r="G692" s="3" t="str">
        <f>"MBNL1"</f>
        <v>MBNL1</v>
      </c>
      <c r="H692" s="1">
        <v>4154</v>
      </c>
      <c r="I692" s="1" t="str">
        <f>"muscleblind like splicing regulator 1"</f>
        <v>muscleblind like splicing regulator 1</v>
      </c>
    </row>
    <row r="693" spans="1:9" x14ac:dyDescent="0.35">
      <c r="A693" s="1" t="str">
        <f>"205017_s_at"</f>
        <v>205017_s_at</v>
      </c>
      <c r="B693" s="1">
        <v>5.7459566264946903E-3</v>
      </c>
      <c r="C693" s="1">
        <v>4.4171896518356601E-4</v>
      </c>
      <c r="D693" s="1">
        <v>-3.6301444148492799</v>
      </c>
      <c r="E693" s="1">
        <v>-0.41717645946378501</v>
      </c>
      <c r="F693" s="1">
        <v>-0.31866591363662999</v>
      </c>
      <c r="G693" s="3" t="str">
        <f>"MBNL2"</f>
        <v>MBNL2</v>
      </c>
      <c r="H693" s="1">
        <v>10150</v>
      </c>
      <c r="I693" s="1" t="str">
        <f>"muscleblind like splicing regulator 2"</f>
        <v>muscleblind like splicing regulator 2</v>
      </c>
    </row>
    <row r="694" spans="1:9" x14ac:dyDescent="0.35">
      <c r="A694" s="1" t="str">
        <f>"210136_at"</f>
        <v>210136_at</v>
      </c>
      <c r="B694" s="1">
        <v>0.11642215137150801</v>
      </c>
      <c r="C694" s="1">
        <v>2.3989147509243899E-2</v>
      </c>
      <c r="D694" s="1">
        <v>2.2909234675411998</v>
      </c>
      <c r="E694" s="1">
        <v>-4.0144733866478397</v>
      </c>
      <c r="F694" s="1">
        <v>0.50026177961773</v>
      </c>
      <c r="G694" s="3" t="str">
        <f>"MBP"</f>
        <v>MBP</v>
      </c>
      <c r="H694" s="1">
        <v>4155</v>
      </c>
      <c r="I694" s="1" t="str">
        <f>"myelin basic protein"</f>
        <v>myelin basic protein</v>
      </c>
    </row>
    <row r="695" spans="1:9" x14ac:dyDescent="0.35">
      <c r="A695" s="1" t="str">
        <f>"212245_at"</f>
        <v>212245_at</v>
      </c>
      <c r="B695" s="1">
        <v>4.1740630802309898E-3</v>
      </c>
      <c r="C695" s="1">
        <v>2.9371857065037E-4</v>
      </c>
      <c r="D695" s="1">
        <v>-3.7477001118768598</v>
      </c>
      <c r="E695" s="1">
        <v>-3.89434475731507E-2</v>
      </c>
      <c r="F695" s="1">
        <v>-0.45066000016715002</v>
      </c>
      <c r="G695" s="3" t="str">
        <f>"MCFD2"</f>
        <v>MCFD2</v>
      </c>
      <c r="H695" s="1">
        <v>90411</v>
      </c>
      <c r="I695" s="1" t="str">
        <f>"multiple coagulation factor deficiency 2"</f>
        <v>multiple coagulation factor deficiency 2</v>
      </c>
    </row>
    <row r="696" spans="1:9" x14ac:dyDescent="0.35">
      <c r="A696" s="1" t="str">
        <f>"200798_x_at"</f>
        <v>200798_x_at</v>
      </c>
      <c r="B696" s="1">
        <v>7.2075558849345302E-3</v>
      </c>
      <c r="C696" s="1">
        <v>5.9159986148836605E-4</v>
      </c>
      <c r="D696" s="1">
        <v>-3.5444069724301501</v>
      </c>
      <c r="E696" s="1">
        <v>-0.68717668604039295</v>
      </c>
      <c r="F696" s="1">
        <v>-0.44403747104215302</v>
      </c>
      <c r="G696" s="3" t="str">
        <f>"MCL1"</f>
        <v>MCL1</v>
      </c>
      <c r="H696" s="1">
        <v>4170</v>
      </c>
      <c r="I696" s="1" t="str">
        <f>"BCL2 family apoptosis regulator"</f>
        <v>BCL2 family apoptosis regulator</v>
      </c>
    </row>
    <row r="697" spans="1:9" x14ac:dyDescent="0.35">
      <c r="A697" s="1" t="str">
        <f>"211675_s_at"</f>
        <v>211675_s_at</v>
      </c>
      <c r="B697" s="1">
        <v>1.8922627775697101E-4</v>
      </c>
      <c r="C697" s="2">
        <v>5.9613538116678097E-6</v>
      </c>
      <c r="D697" s="1">
        <v>4.7733026500089197</v>
      </c>
      <c r="E697" s="1">
        <v>3.62055555724185</v>
      </c>
      <c r="F697" s="1">
        <v>0.35772677382558099</v>
      </c>
      <c r="G697" s="3" t="str">
        <f>"MDFIC"</f>
        <v>MDFIC</v>
      </c>
      <c r="H697" s="1">
        <v>29969</v>
      </c>
      <c r="I697" s="1" t="str">
        <f>"MyoD family inhibitor domain containing"</f>
        <v>MyoD family inhibitor domain containing</v>
      </c>
    </row>
    <row r="698" spans="1:9" x14ac:dyDescent="0.35">
      <c r="A698" s="1" t="str">
        <f>"215167_at"</f>
        <v>215167_at</v>
      </c>
      <c r="B698" s="2">
        <v>3.56013968101585E-6</v>
      </c>
      <c r="C698" s="2">
        <v>4.7771025652907497E-8</v>
      </c>
      <c r="D698" s="1">
        <v>5.8918385566903204</v>
      </c>
      <c r="E698" s="1">
        <v>8.2183432115412707</v>
      </c>
      <c r="F698" s="1">
        <v>0.35033355725290199</v>
      </c>
      <c r="G698" s="3" t="str">
        <f>"MED14"</f>
        <v>MED14</v>
      </c>
      <c r="H698" s="1">
        <v>9282</v>
      </c>
      <c r="I698" s="1" t="str">
        <f>"mediator complex subunit 14"</f>
        <v>mediator complex subunit 14</v>
      </c>
    </row>
    <row r="699" spans="1:9" x14ac:dyDescent="0.35">
      <c r="A699" s="1" t="str">
        <f>"212535_at"</f>
        <v>212535_at</v>
      </c>
      <c r="B699" s="2">
        <v>9.9579649455164103E-5</v>
      </c>
      <c r="C699" s="2">
        <v>2.7572877850305702E-6</v>
      </c>
      <c r="D699" s="1">
        <v>4.96066596930737</v>
      </c>
      <c r="E699" s="1">
        <v>4.3515622490326704</v>
      </c>
      <c r="F699" s="1">
        <v>0.31704370236482399</v>
      </c>
      <c r="G699" s="3" t="str">
        <f>"MEF2A"</f>
        <v>MEF2A</v>
      </c>
      <c r="H699" s="1">
        <v>4205</v>
      </c>
      <c r="I699" s="1" t="str">
        <f>"myocyte enhancer factor 2A"</f>
        <v>myocyte enhancer factor 2A</v>
      </c>
    </row>
    <row r="700" spans="1:9" x14ac:dyDescent="0.35">
      <c r="A700" s="1" t="str">
        <f>"209200_at"</f>
        <v>209200_at</v>
      </c>
      <c r="B700" s="2">
        <v>1.0176826460452E-6</v>
      </c>
      <c r="C700" s="2">
        <v>9.5077898535626304E-9</v>
      </c>
      <c r="D700" s="1">
        <v>6.2433919144773604</v>
      </c>
      <c r="E700" s="1">
        <v>9.7645416867383794</v>
      </c>
      <c r="F700" s="1">
        <v>0.51217899620929996</v>
      </c>
      <c r="G700" s="3" t="str">
        <f>"MEF2C"</f>
        <v>MEF2C</v>
      </c>
      <c r="H700" s="1">
        <v>4208</v>
      </c>
      <c r="I700" s="1" t="str">
        <f>"myocyte enhancer factor 2C"</f>
        <v>myocyte enhancer factor 2C</v>
      </c>
    </row>
    <row r="701" spans="1:9" x14ac:dyDescent="0.35">
      <c r="A701" s="1" t="str">
        <f>"205619_s_at"</f>
        <v>205619_s_at</v>
      </c>
      <c r="B701" s="1">
        <v>2.78419285179855E-2</v>
      </c>
      <c r="C701" s="1">
        <v>3.4135506310252902E-3</v>
      </c>
      <c r="D701" s="1">
        <v>2.99679005713489</v>
      </c>
      <c r="E701" s="1">
        <v>-2.2890571978360801</v>
      </c>
      <c r="F701" s="1">
        <v>0.43951342280377598</v>
      </c>
      <c r="G701" s="3" t="str">
        <f>"MEOX1"</f>
        <v>MEOX1</v>
      </c>
      <c r="H701" s="1">
        <v>4222</v>
      </c>
      <c r="I701" s="1" t="str">
        <f>"mesenchyme homeobox 1"</f>
        <v>mesenchyme homeobox 1</v>
      </c>
    </row>
    <row r="702" spans="1:9" x14ac:dyDescent="0.35">
      <c r="A702" s="1" t="str">
        <f>"206201_s_at"</f>
        <v>206201_s_at</v>
      </c>
      <c r="B702" s="1">
        <v>1.7264241026074899E-4</v>
      </c>
      <c r="C702" s="2">
        <v>5.29476823367904E-6</v>
      </c>
      <c r="D702" s="1">
        <v>4.8023826109290404</v>
      </c>
      <c r="E702" s="1">
        <v>3.7328630476440501</v>
      </c>
      <c r="F702" s="1">
        <v>0.42266310473546498</v>
      </c>
      <c r="G702" s="3" t="str">
        <f>"MEOX2"</f>
        <v>MEOX2</v>
      </c>
      <c r="H702" s="1">
        <v>4223</v>
      </c>
      <c r="I702" s="1" t="str">
        <f>"mesenchyme homeobox 2"</f>
        <v>mesenchyme homeobox 2</v>
      </c>
    </row>
    <row r="703" spans="1:9" x14ac:dyDescent="0.35">
      <c r="A703" s="1" t="str">
        <f>"211599_x_at"</f>
        <v>211599_x_at</v>
      </c>
      <c r="B703" s="2">
        <v>9.2789026943330703E-6</v>
      </c>
      <c r="C703" s="2">
        <v>1.51990283329514E-7</v>
      </c>
      <c r="D703" s="1">
        <v>-5.63394080107149</v>
      </c>
      <c r="E703" s="1">
        <v>7.1118321783628504</v>
      </c>
      <c r="F703" s="1">
        <v>-0.34708311704506001</v>
      </c>
      <c r="G703" s="3" t="str">
        <f>"MET"</f>
        <v>MET</v>
      </c>
      <c r="H703" s="1">
        <v>4233</v>
      </c>
      <c r="I703" s="1" t="str">
        <f>"MET proto-oncogene, receptor tyrosine kinase"</f>
        <v>MET proto-oncogene, receptor tyrosine kinase</v>
      </c>
    </row>
    <row r="704" spans="1:9" x14ac:dyDescent="0.35">
      <c r="A704" s="1" t="str">
        <f>"218945_at"</f>
        <v>218945_at</v>
      </c>
      <c r="B704" s="1">
        <v>2.6643410035890903E-4</v>
      </c>
      <c r="C704" s="2">
        <v>9.1469769229711298E-6</v>
      </c>
      <c r="D704" s="1">
        <v>-4.66745600528259</v>
      </c>
      <c r="E704" s="1">
        <v>3.2154385401616699</v>
      </c>
      <c r="F704" s="1">
        <v>-0.35501604745494098</v>
      </c>
      <c r="G704" s="3" t="str">
        <f>"METTL22"</f>
        <v>METTL22</v>
      </c>
      <c r="H704" s="1">
        <v>79091</v>
      </c>
      <c r="I704" s="1" t="str">
        <f>"methyltransferase like 22"</f>
        <v>methyltransferase like 22</v>
      </c>
    </row>
    <row r="705" spans="1:9" x14ac:dyDescent="0.35">
      <c r="A705" s="1" t="str">
        <f>"212713_at"</f>
        <v>212713_at</v>
      </c>
      <c r="B705" s="2">
        <v>2.03371815234091E-7</v>
      </c>
      <c r="C705" s="2">
        <v>1.3233816456017199E-9</v>
      </c>
      <c r="D705" s="1">
        <v>6.6622143659557702</v>
      </c>
      <c r="E705" s="1">
        <v>11.656718657834301</v>
      </c>
      <c r="F705" s="1">
        <v>0.68958515254505404</v>
      </c>
      <c r="G705" s="3" t="str">
        <f>"MFAP4"</f>
        <v>MFAP4</v>
      </c>
      <c r="H705" s="1">
        <v>4239</v>
      </c>
      <c r="I705" s="1" t="str">
        <f>"microfibrillar associated protein 4"</f>
        <v>microfibrillar associated protein 4</v>
      </c>
    </row>
    <row r="706" spans="1:9" x14ac:dyDescent="0.35">
      <c r="A706" s="1" t="str">
        <f>"213764_s_at"</f>
        <v>213764_s_at</v>
      </c>
      <c r="B706" s="1">
        <v>1.0368925056249E-2</v>
      </c>
      <c r="C706" s="1">
        <v>9.44152445322853E-4</v>
      </c>
      <c r="D706" s="1">
        <v>3.4042586955326399</v>
      </c>
      <c r="E706" s="1">
        <v>-1.11762885782382</v>
      </c>
      <c r="F706" s="1">
        <v>0.43534305936191797</v>
      </c>
      <c r="G706" s="3" t="str">
        <f>"MFAP5"</f>
        <v>MFAP5</v>
      </c>
      <c r="H706" s="1">
        <v>8076</v>
      </c>
      <c r="I706" s="1" t="str">
        <f>"microfibrillar associated protein 5"</f>
        <v>microfibrillar associated protein 5</v>
      </c>
    </row>
    <row r="707" spans="1:9" x14ac:dyDescent="0.35">
      <c r="A707" s="1" t="str">
        <f>"200899_s_at"</f>
        <v>200899_s_at</v>
      </c>
      <c r="B707" s="1">
        <v>6.9070148312931905E-4</v>
      </c>
      <c r="C707" s="2">
        <v>2.9384957411775601E-5</v>
      </c>
      <c r="D707" s="1">
        <v>4.3714838490530701</v>
      </c>
      <c r="E707" s="1">
        <v>2.1143786578953501</v>
      </c>
      <c r="F707" s="1">
        <v>0.396503933411336</v>
      </c>
      <c r="G707" s="3" t="str">
        <f>"MGEA5"</f>
        <v>MGEA5</v>
      </c>
      <c r="H707" s="1">
        <v>10724</v>
      </c>
      <c r="I707" s="1" t="str">
        <f>"meningioma expressed antigen 5 (hyaluronidase)"</f>
        <v>meningioma expressed antigen 5 (hyaluronidase)</v>
      </c>
    </row>
    <row r="708" spans="1:9" x14ac:dyDescent="0.35">
      <c r="A708" s="1" t="str">
        <f>"211026_s_at"</f>
        <v>211026_s_at</v>
      </c>
      <c r="B708" s="1">
        <v>2.64448511752889E-2</v>
      </c>
      <c r="C708" s="1">
        <v>3.1901267171470299E-3</v>
      </c>
      <c r="D708" s="1">
        <v>3.0191819043963899</v>
      </c>
      <c r="E708" s="1">
        <v>-2.2278804770287102</v>
      </c>
      <c r="F708" s="1">
        <v>0.30652327525872097</v>
      </c>
      <c r="G708" s="3" t="str">
        <f>"MGLL"</f>
        <v>MGLL</v>
      </c>
      <c r="H708" s="1">
        <v>11343</v>
      </c>
      <c r="I708" s="1" t="str">
        <f>"monoglyceride lipase"</f>
        <v>monoglyceride lipase</v>
      </c>
    </row>
    <row r="709" spans="1:9" x14ac:dyDescent="0.35">
      <c r="A709" s="1" t="str">
        <f>"203637_s_at"</f>
        <v>203637_s_at</v>
      </c>
      <c r="B709" s="1">
        <v>1.6389486378952001E-3</v>
      </c>
      <c r="C709" s="2">
        <v>8.8923794067912704E-5</v>
      </c>
      <c r="D709" s="1">
        <v>4.0789846019251099</v>
      </c>
      <c r="E709" s="1">
        <v>1.0750445960988699</v>
      </c>
      <c r="F709" s="1">
        <v>0.43869171872238</v>
      </c>
      <c r="G709" s="3" t="str">
        <f>"MID1"</f>
        <v>MID1</v>
      </c>
      <c r="H709" s="1">
        <v>4281</v>
      </c>
      <c r="I709" s="1" t="str">
        <f>"midline 1"</f>
        <v>midline 1</v>
      </c>
    </row>
    <row r="710" spans="1:9" x14ac:dyDescent="0.35">
      <c r="A710" s="1" t="str">
        <f>"218251_at"</f>
        <v>218251_at</v>
      </c>
      <c r="B710" s="1">
        <v>4.0614610156103296E-3</v>
      </c>
      <c r="C710" s="1">
        <v>2.8488370360359698E-4</v>
      </c>
      <c r="D710" s="1">
        <v>-3.75640104739422</v>
      </c>
      <c r="E710" s="1">
        <v>-1.05846554202653E-2</v>
      </c>
      <c r="F710" s="1">
        <v>-0.41599007332994498</v>
      </c>
      <c r="G710" s="3" t="str">
        <f>"MID1IP1"</f>
        <v>MID1IP1</v>
      </c>
      <c r="H710" s="1">
        <v>58526</v>
      </c>
      <c r="I710" s="1" t="str">
        <f>"MID1 interacting protein 1"</f>
        <v>MID1 interacting protein 1</v>
      </c>
    </row>
    <row r="711" spans="1:9" x14ac:dyDescent="0.35">
      <c r="A711" s="1" t="str">
        <f>"37005_at"</f>
        <v>37005_at</v>
      </c>
      <c r="B711" s="1">
        <v>2.7682714837092399E-3</v>
      </c>
      <c r="C711" s="1">
        <v>1.75333673063363E-4</v>
      </c>
      <c r="D711" s="1">
        <v>3.8929714175196</v>
      </c>
      <c r="E711" s="1">
        <v>0.44098114019701101</v>
      </c>
      <c r="F711" s="1">
        <v>0.31661468841569701</v>
      </c>
      <c r="G711" s="3" t="str">
        <f>"MINOS1-NBL1"</f>
        <v>MINOS1-NBL1</v>
      </c>
      <c r="H711" s="1">
        <v>100532736</v>
      </c>
      <c r="I711" s="1" t="str">
        <f>"MINOS1-NBL1 readthrough///neuroblastoma 1, DAN family BMP antagonist"</f>
        <v>MINOS1-NBL1 readthrough///neuroblastoma 1, DAN family BMP antagonist</v>
      </c>
    </row>
    <row r="712" spans="1:9" x14ac:dyDescent="0.35">
      <c r="A712" s="1" t="str">
        <f>"221580_s_at"</f>
        <v>221580_s_at</v>
      </c>
      <c r="B712" s="1">
        <v>6.5335741097190796E-3</v>
      </c>
      <c r="C712" s="1">
        <v>5.1956618599031598E-4</v>
      </c>
      <c r="D712" s="1">
        <v>-3.5826776409010201</v>
      </c>
      <c r="E712" s="1">
        <v>-0.56727417523139501</v>
      </c>
      <c r="F712" s="1">
        <v>-0.34344425507412801</v>
      </c>
      <c r="G712" s="3" t="str">
        <f>"MIR1304"</f>
        <v>MIR1304</v>
      </c>
      <c r="H712" s="1">
        <v>100302240</v>
      </c>
      <c r="I712" s="1" t="s">
        <v>1</v>
      </c>
    </row>
    <row r="713" spans="1:9" x14ac:dyDescent="0.35">
      <c r="A713" s="1" t="str">
        <f>"220990_s_at"</f>
        <v>220990_s_at</v>
      </c>
      <c r="B713" s="1">
        <v>2.5904361027118E-2</v>
      </c>
      <c r="C713" s="1">
        <v>3.0986947648906E-3</v>
      </c>
      <c r="D713" s="1">
        <v>-3.0287659625860699</v>
      </c>
      <c r="E713" s="1">
        <v>-2.2015796692931602</v>
      </c>
      <c r="F713" s="1">
        <v>-0.36159775998692001</v>
      </c>
      <c r="G713" s="3" t="str">
        <f>"MIR21"</f>
        <v>MIR21</v>
      </c>
      <c r="H713" s="1">
        <v>406991</v>
      </c>
      <c r="I713" s="1" t="str">
        <f>"microRNA 21///vacuole membrane protein 1"</f>
        <v>microRNA 21///vacuole membrane protein 1</v>
      </c>
    </row>
    <row r="714" spans="1:9" x14ac:dyDescent="0.35">
      <c r="A714" s="1" t="str">
        <f>"208750_s_at"</f>
        <v>208750_s_at</v>
      </c>
      <c r="B714" s="1">
        <v>0.145363299091468</v>
      </c>
      <c r="C714" s="1">
        <v>3.3022731375359098E-2</v>
      </c>
      <c r="D714" s="1">
        <v>-2.1606552155646801</v>
      </c>
      <c r="E714" s="1">
        <v>-4.2879531738796404</v>
      </c>
      <c r="F714" s="1">
        <v>-0.45569376041569298</v>
      </c>
      <c r="G714" s="3" t="str">
        <f>"MIR3620"</f>
        <v>MIR3620</v>
      </c>
      <c r="H714" s="1">
        <v>100500810</v>
      </c>
      <c r="I714" s="1" t="str">
        <f>"microRNA 3620///ADP ribosylation factor 1"</f>
        <v>microRNA 3620///ADP ribosylation factor 1</v>
      </c>
    </row>
    <row r="715" spans="1:9" x14ac:dyDescent="0.35">
      <c r="A715" s="1" t="str">
        <f>"200598_s_at"</f>
        <v>200598_s_at</v>
      </c>
      <c r="B715" s="1">
        <v>9.7259656172026601E-3</v>
      </c>
      <c r="C715" s="1">
        <v>8.6989406610801497E-4</v>
      </c>
      <c r="D715" s="1">
        <v>-3.4290954386894801</v>
      </c>
      <c r="E715" s="1">
        <v>-1.0423443545967599</v>
      </c>
      <c r="F715" s="1">
        <v>-0.89634827996075295</v>
      </c>
      <c r="G715" s="3" t="str">
        <f>"MIR3652"</f>
        <v>MIR3652</v>
      </c>
      <c r="H715" s="1">
        <v>100500842</v>
      </c>
      <c r="I715" s="1" t="str">
        <f>"microRNA 3652///heat shock protein 90 beta family member 1"</f>
        <v>microRNA 3652///heat shock protein 90 beta family member 1</v>
      </c>
    </row>
    <row r="716" spans="1:9" x14ac:dyDescent="0.35">
      <c r="A716" s="1" t="str">
        <f>"209825_s_at"</f>
        <v>209825_s_at</v>
      </c>
      <c r="B716" s="1">
        <v>2.4923720145651897E-4</v>
      </c>
      <c r="C716" s="2">
        <v>8.4536864024995805E-6</v>
      </c>
      <c r="D716" s="1">
        <v>-4.6870459470725603</v>
      </c>
      <c r="E716" s="1">
        <v>3.2899787134521601</v>
      </c>
      <c r="F716" s="1">
        <v>-0.65472475396075402</v>
      </c>
      <c r="G716" s="3" t="str">
        <f>"MIR3658"</f>
        <v>MIR3658</v>
      </c>
      <c r="H716" s="1">
        <v>100500832</v>
      </c>
      <c r="I716" s="1" t="str">
        <f>"microRNA 3658///uridine-cytidine kinase 2"</f>
        <v>microRNA 3658///uridine-cytidine kinase 2</v>
      </c>
    </row>
    <row r="717" spans="1:9" x14ac:dyDescent="0.35">
      <c r="A717" s="1" t="str">
        <f>"202189_x_at"</f>
        <v>202189_x_at</v>
      </c>
      <c r="B717" s="1">
        <v>2.1615881164695999E-3</v>
      </c>
      <c r="C717" s="1">
        <v>1.250546608461E-4</v>
      </c>
      <c r="D717" s="1">
        <v>-3.9862544631549301</v>
      </c>
      <c r="E717" s="1">
        <v>0.75626145440797599</v>
      </c>
      <c r="F717" s="1">
        <v>-0.30418663176017302</v>
      </c>
      <c r="G717" s="3" t="str">
        <f>"MIR4745"</f>
        <v>MIR4745</v>
      </c>
      <c r="H717" s="1">
        <v>100616459</v>
      </c>
      <c r="I717" s="1" t="str">
        <f>"microRNA 4745///polypyrimidine tract binding protein 1"</f>
        <v>microRNA 4745///polypyrimidine tract binding protein 1</v>
      </c>
    </row>
    <row r="718" spans="1:9" x14ac:dyDescent="0.35">
      <c r="A718" s="1" t="str">
        <f>"214882_s_at"</f>
        <v>214882_s_at</v>
      </c>
      <c r="B718" s="1">
        <v>1.2170954047478E-2</v>
      </c>
      <c r="C718" s="1">
        <v>1.15903444279264E-3</v>
      </c>
      <c r="D718" s="1">
        <v>-3.3415423728713902</v>
      </c>
      <c r="E718" s="1">
        <v>-1.3057913297754999</v>
      </c>
      <c r="F718" s="1">
        <v>-0.35735331987063601</v>
      </c>
      <c r="G718" s="3" t="str">
        <f>"MIR636"</f>
        <v>MIR636</v>
      </c>
      <c r="H718" s="1">
        <v>693221</v>
      </c>
      <c r="I718" s="1" t="str">
        <f>"microRNA 636///serine and arginine rich splicing factor 2"</f>
        <v>microRNA 636///serine and arginine rich splicing factor 2</v>
      </c>
    </row>
    <row r="719" spans="1:9" x14ac:dyDescent="0.35">
      <c r="A719" s="1" t="str">
        <f>"203890_s_at"</f>
        <v>203890_s_at</v>
      </c>
      <c r="B719" s="1">
        <v>1.6269954363509699E-3</v>
      </c>
      <c r="C719" s="2">
        <v>8.8056208600245298E-5</v>
      </c>
      <c r="D719" s="1">
        <v>-4.0816312294004904</v>
      </c>
      <c r="E719" s="1">
        <v>1.0842205086263801</v>
      </c>
      <c r="F719" s="1">
        <v>-0.50176177929360399</v>
      </c>
      <c r="G719" s="3" t="str">
        <f>"MIR637"</f>
        <v>MIR637</v>
      </c>
      <c r="H719" s="1">
        <v>693222</v>
      </c>
      <c r="I719" s="1" t="str">
        <f>"microRNA 637///death associated protein kinase 3"</f>
        <v>microRNA 637///death associated protein kinase 3</v>
      </c>
    </row>
    <row r="720" spans="1:9" x14ac:dyDescent="0.35">
      <c r="A720" s="1" t="str">
        <f>"201323_at"</f>
        <v>201323_at</v>
      </c>
      <c r="B720" s="1">
        <v>2.8504787627344598E-3</v>
      </c>
      <c r="C720" s="1">
        <v>1.8227255517648701E-4</v>
      </c>
      <c r="D720" s="1">
        <v>-3.8821660369450299</v>
      </c>
      <c r="E720" s="1">
        <v>0.40481640711887201</v>
      </c>
      <c r="F720" s="1">
        <v>-0.35552326934883799</v>
      </c>
      <c r="G720" s="3" t="str">
        <f>"MIR6733"</f>
        <v>MIR6733</v>
      </c>
      <c r="H720" s="1">
        <v>102465439</v>
      </c>
      <c r="I720" s="1" t="str">
        <f>"microRNA 6733///EBNA1 binding protein 2"</f>
        <v>microRNA 6733///EBNA1 binding protein 2</v>
      </c>
    </row>
    <row r="721" spans="1:9" x14ac:dyDescent="0.35">
      <c r="A721" s="1" t="str">
        <f>"213671_s_at"</f>
        <v>213671_s_at</v>
      </c>
      <c r="B721" s="1">
        <v>2.3116723523765701E-3</v>
      </c>
      <c r="C721" s="1">
        <v>1.36119825522302E-4</v>
      </c>
      <c r="D721" s="1">
        <v>-3.9629833147274902</v>
      </c>
      <c r="E721" s="1">
        <v>0.67709715603500298</v>
      </c>
      <c r="F721" s="1">
        <v>-0.38419753344476998</v>
      </c>
      <c r="G721" s="3" t="str">
        <f>"MIR6758"</f>
        <v>MIR6758</v>
      </c>
      <c r="H721" s="1">
        <v>102465454</v>
      </c>
      <c r="I721" s="1" t="str">
        <f>"microRNA 6758///methionyl-tRNA synthetase"</f>
        <v>microRNA 6758///methionyl-tRNA synthetase</v>
      </c>
    </row>
    <row r="722" spans="1:9" x14ac:dyDescent="0.35">
      <c r="A722" s="1" t="str">
        <f>"212563_at"</f>
        <v>212563_at</v>
      </c>
      <c r="B722" s="2">
        <v>1.73138250753049E-6</v>
      </c>
      <c r="C722" s="2">
        <v>1.86479289955266E-8</v>
      </c>
      <c r="D722" s="1">
        <v>-6.0977508001184901</v>
      </c>
      <c r="E722" s="1">
        <v>9.1189802060519298</v>
      </c>
      <c r="F722" s="1">
        <v>-0.40460646873837702</v>
      </c>
      <c r="G722" s="3" t="str">
        <f>"MIR7112"</f>
        <v>MIR7112</v>
      </c>
      <c r="H722" s="1">
        <v>102465906</v>
      </c>
      <c r="I722" s="1" t="str">
        <f>"microRNA 7112///block of proliferation 1"</f>
        <v>microRNA 7112///block of proliferation 1</v>
      </c>
    </row>
    <row r="723" spans="1:9" x14ac:dyDescent="0.35">
      <c r="A723" s="1" t="str">
        <f>"211430_s_at"</f>
        <v>211430_s_at</v>
      </c>
      <c r="B723" s="1">
        <v>0.157196063876335</v>
      </c>
      <c r="C723" s="1">
        <v>3.7146659713556199E-2</v>
      </c>
      <c r="D723" s="1">
        <v>2.1113183215052098</v>
      </c>
      <c r="E723" s="1">
        <v>-4.3877202822257004</v>
      </c>
      <c r="F723" s="1">
        <v>0.70642883493459296</v>
      </c>
      <c r="G723" s="3" t="str">
        <f>"MIR8071-2"</f>
        <v>MIR8071-2</v>
      </c>
      <c r="H723" s="1">
        <v>102466889</v>
      </c>
      <c r="I723" s="1" t="str">
        <f>"microRNA 8071-2///microRNA 8071-1///immunoglobulin heavy variable 4-31///immunoglobulin heavy constant mu///immunoglobulin heavy constant gamma 2 (G2m marker)///immunoglobulin heavy constant gamma 1 (G1m marker)"</f>
        <v>microRNA 8071-2///microRNA 8071-1///immunoglobulin heavy variable 4-31///immunoglobulin heavy constant mu///immunoglobulin heavy constant gamma 2 (G2m marker)///immunoglobulin heavy constant gamma 1 (G1m marker)</v>
      </c>
    </row>
    <row r="724" spans="1:9" x14ac:dyDescent="0.35">
      <c r="A724" s="1" t="str">
        <f>"204908_s_at"</f>
        <v>204908_s_at</v>
      </c>
      <c r="B724" s="1">
        <v>1.5352054999648101E-2</v>
      </c>
      <c r="C724" s="1">
        <v>1.55497859956943E-3</v>
      </c>
      <c r="D724" s="1">
        <v>-3.2502401957543801</v>
      </c>
      <c r="E724" s="1">
        <v>-1.57468697665444</v>
      </c>
      <c r="F724" s="1">
        <v>-0.46523041259738301</v>
      </c>
      <c r="G724" s="3" t="str">
        <f>"MIR8085"</f>
        <v>MIR8085</v>
      </c>
      <c r="H724" s="1">
        <v>102465879</v>
      </c>
      <c r="I724" s="1" t="str">
        <f>"microRNA 8085///B-cell CLL/lymphoma 3"</f>
        <v>microRNA 8085///B-cell CLL/lymphoma 3</v>
      </c>
    </row>
    <row r="725" spans="1:9" x14ac:dyDescent="0.35">
      <c r="A725" s="1" t="str">
        <f>"218205_s_at"</f>
        <v>218205_s_at</v>
      </c>
      <c r="B725" s="1">
        <v>3.8694764325476902E-2</v>
      </c>
      <c r="C725" s="1">
        <v>5.3311011299741499E-3</v>
      </c>
      <c r="D725" s="1">
        <v>-2.8463133122191602</v>
      </c>
      <c r="E725" s="1">
        <v>-2.6902050284346002</v>
      </c>
      <c r="F725" s="1">
        <v>-0.38236107255377799</v>
      </c>
      <c r="G725" s="3" t="str">
        <f>"MKNK2"</f>
        <v>MKNK2</v>
      </c>
      <c r="H725" s="1">
        <v>2872</v>
      </c>
      <c r="I725" s="1" t="str">
        <f>"MAP kinase interacting serine/threonine kinase 2"</f>
        <v>MAP kinase interacting serine/threonine kinase 2</v>
      </c>
    </row>
    <row r="726" spans="1:9" x14ac:dyDescent="0.35">
      <c r="A726" s="1" t="str">
        <f>"204784_s_at"</f>
        <v>204784_s_at</v>
      </c>
      <c r="B726" s="1">
        <v>9.5545114488658593E-3</v>
      </c>
      <c r="C726" s="1">
        <v>8.4829624226962104E-4</v>
      </c>
      <c r="D726" s="1">
        <v>3.4366939743883802</v>
      </c>
      <c r="E726" s="1">
        <v>-1.01922526092812</v>
      </c>
      <c r="F726" s="1">
        <v>0.420580151462213</v>
      </c>
      <c r="G726" s="3" t="str">
        <f>"MLF1"</f>
        <v>MLF1</v>
      </c>
      <c r="H726" s="1">
        <v>4291</v>
      </c>
      <c r="I726" s="1" t="str">
        <f>"myeloid leukemia factor 1"</f>
        <v>myeloid leukemia factor 1</v>
      </c>
    </row>
    <row r="727" spans="1:9" x14ac:dyDescent="0.35">
      <c r="A727" s="1" t="str">
        <f>"203365_s_at"</f>
        <v>203365_s_at</v>
      </c>
      <c r="B727" s="1">
        <v>1.7365759628421699E-3</v>
      </c>
      <c r="C727" s="2">
        <v>9.5701444256616504E-5</v>
      </c>
      <c r="D727" s="1">
        <v>4.0591217698311501</v>
      </c>
      <c r="E727" s="1">
        <v>1.0063161699807901</v>
      </c>
      <c r="F727" s="1">
        <v>0.32883811988662698</v>
      </c>
      <c r="G727" s="3" t="str">
        <f>"MMP15"</f>
        <v>MMP15</v>
      </c>
      <c r="H727" s="1">
        <v>4324</v>
      </c>
      <c r="I727" s="1" t="str">
        <f>"matrix metallopeptidase 15"</f>
        <v>matrix metallopeptidase 15</v>
      </c>
    </row>
    <row r="728" spans="1:9" x14ac:dyDescent="0.35">
      <c r="A728" s="1" t="str">
        <f>"201069_at"</f>
        <v>201069_at</v>
      </c>
      <c r="B728" s="2">
        <v>8.4884162167467899E-5</v>
      </c>
      <c r="C728" s="2">
        <v>2.2399087804367099E-6</v>
      </c>
      <c r="D728" s="1">
        <v>5.0104943275062599</v>
      </c>
      <c r="E728" s="1">
        <v>4.5488630953526599</v>
      </c>
      <c r="F728" s="1">
        <v>0.45539352603487998</v>
      </c>
      <c r="G728" s="3" t="str">
        <f>"MMP2"</f>
        <v>MMP2</v>
      </c>
      <c r="H728" s="1">
        <v>4313</v>
      </c>
      <c r="I728" s="1" t="str">
        <f>"matrix metallopeptidase 2"</f>
        <v>matrix metallopeptidase 2</v>
      </c>
    </row>
    <row r="729" spans="1:9" x14ac:dyDescent="0.35">
      <c r="A729" s="1" t="str">
        <f>"205330_at"</f>
        <v>205330_at</v>
      </c>
      <c r="B729" s="2">
        <v>5.5665799162836904E-7</v>
      </c>
      <c r="C729" s="2">
        <v>4.6215378742201799E-9</v>
      </c>
      <c r="D729" s="1">
        <v>6.3978357648117798</v>
      </c>
      <c r="E729" s="1">
        <v>10.456371235167399</v>
      </c>
      <c r="F729" s="1">
        <v>0.62237722429505804</v>
      </c>
      <c r="G729" s="3" t="str">
        <f>"MN1"</f>
        <v>MN1</v>
      </c>
      <c r="H729" s="1">
        <v>4330</v>
      </c>
      <c r="I729" s="1" t="str">
        <f>"MN1 proto-oncogene, transcriptional regulator"</f>
        <v>MN1 proto-oncogene, transcriptional regulator</v>
      </c>
    </row>
    <row r="730" spans="1:9" x14ac:dyDescent="0.35">
      <c r="A730" s="1" t="str">
        <f>"212508_at"</f>
        <v>212508_at</v>
      </c>
      <c r="B730" s="2">
        <v>5.8673951667372198E-6</v>
      </c>
      <c r="C730" s="2">
        <v>8.7946415908550603E-8</v>
      </c>
      <c r="D730" s="1">
        <v>5.7565132821026701</v>
      </c>
      <c r="E730" s="1">
        <v>7.6346257998845797</v>
      </c>
      <c r="F730" s="1">
        <v>0.48580699054651399</v>
      </c>
      <c r="G730" s="3" t="str">
        <f>"MOAP1"</f>
        <v>MOAP1</v>
      </c>
      <c r="H730" s="1">
        <v>64112</v>
      </c>
      <c r="I730" s="1" t="str">
        <f>"modulator of apoptosis 1"</f>
        <v>modulator of apoptosis 1</v>
      </c>
    </row>
    <row r="731" spans="1:9" x14ac:dyDescent="0.35">
      <c r="A731" s="1" t="str">
        <f>"209708_at"</f>
        <v>209708_at</v>
      </c>
      <c r="B731" s="2">
        <v>1.0474930341092999E-5</v>
      </c>
      <c r="C731" s="2">
        <v>1.75812231188295E-7</v>
      </c>
      <c r="D731" s="1">
        <v>5.6011068401821396</v>
      </c>
      <c r="E731" s="1">
        <v>6.9727767247561703</v>
      </c>
      <c r="F731" s="1">
        <v>0.56124778170784895</v>
      </c>
      <c r="G731" s="3" t="str">
        <f>"MOXD1"</f>
        <v>MOXD1</v>
      </c>
      <c r="H731" s="1">
        <v>26002</v>
      </c>
      <c r="I731" s="1" t="str">
        <f>"monooxygenase DBH like 1"</f>
        <v>monooxygenase DBH like 1</v>
      </c>
    </row>
    <row r="732" spans="1:9" x14ac:dyDescent="0.35">
      <c r="A732" s="1" t="str">
        <f>"202472_at"</f>
        <v>202472_at</v>
      </c>
      <c r="B732" s="2">
        <v>2.1213843279700699E-5</v>
      </c>
      <c r="C732" s="2">
        <v>4.1603237953727999E-7</v>
      </c>
      <c r="D732" s="1">
        <v>5.4049053146664496</v>
      </c>
      <c r="E732" s="1">
        <v>6.1508864925774303</v>
      </c>
      <c r="F732" s="1">
        <v>0.302415676114826</v>
      </c>
      <c r="G732" s="3" t="str">
        <f>"MPI"</f>
        <v>MPI</v>
      </c>
      <c r="H732" s="1">
        <v>4351</v>
      </c>
      <c r="I732" s="1" t="str">
        <f>"mannose phosphate isomerase"</f>
        <v>mannose phosphate isomerase</v>
      </c>
    </row>
    <row r="733" spans="1:9" x14ac:dyDescent="0.35">
      <c r="A733" s="1" t="str">
        <f>"208787_at"</f>
        <v>208787_at</v>
      </c>
      <c r="B733" s="1">
        <v>2.3281189336149398E-3</v>
      </c>
      <c r="C733" s="1">
        <v>1.3801755200400901E-4</v>
      </c>
      <c r="D733" s="1">
        <v>-3.9591748548447598</v>
      </c>
      <c r="E733" s="1">
        <v>0.66417369416899996</v>
      </c>
      <c r="F733" s="1">
        <v>-0.30110962093168903</v>
      </c>
      <c r="G733" s="3" t="str">
        <f>"MRPL3"</f>
        <v>MRPL3</v>
      </c>
      <c r="H733" s="1">
        <v>11222</v>
      </c>
      <c r="I733" s="1" t="str">
        <f>"mitochondrial ribosomal protein L3"</f>
        <v>mitochondrial ribosomal protein L3</v>
      </c>
    </row>
    <row r="734" spans="1:9" x14ac:dyDescent="0.35">
      <c r="A734" s="1" t="str">
        <f>"204331_s_at"</f>
        <v>204331_s_at</v>
      </c>
      <c r="B734" s="1">
        <v>8.5023186264219803E-3</v>
      </c>
      <c r="C734" s="1">
        <v>7.3145199510168903E-4</v>
      </c>
      <c r="D734" s="1">
        <v>-3.4812566139804999</v>
      </c>
      <c r="E734" s="1">
        <v>-0.88282757222703501</v>
      </c>
      <c r="F734" s="1">
        <v>-0.40553534017296899</v>
      </c>
      <c r="G734" s="3" t="str">
        <f>"MRPS12"</f>
        <v>MRPS12</v>
      </c>
      <c r="H734" s="1">
        <v>6183</v>
      </c>
      <c r="I734" s="1" t="str">
        <f>"mitochondrial ribosomal protein S12"</f>
        <v>mitochondrial ribosomal protein S12</v>
      </c>
    </row>
    <row r="735" spans="1:9" x14ac:dyDescent="0.35">
      <c r="A735" s="1" t="str">
        <f>"220688_s_at"</f>
        <v>220688_s_at</v>
      </c>
      <c r="B735" s="2">
        <v>1.1751467131431299E-5</v>
      </c>
      <c r="C735" s="2">
        <v>2.0092936216287401E-7</v>
      </c>
      <c r="D735" s="1">
        <v>-5.5709116139857304</v>
      </c>
      <c r="E735" s="1">
        <v>6.8452726361534104</v>
      </c>
      <c r="F735" s="1">
        <v>-0.33571196509592999</v>
      </c>
      <c r="G735" s="3" t="str">
        <f>"MRTO4"</f>
        <v>MRTO4</v>
      </c>
      <c r="H735" s="1">
        <v>51154</v>
      </c>
      <c r="I735" s="1" t="str">
        <f>"MRT4 homolog, ribosome maturation factor"</f>
        <v>MRT4 homolog, ribosome maturation factor</v>
      </c>
    </row>
    <row r="736" spans="1:9" x14ac:dyDescent="0.35">
      <c r="A736" s="1" t="str">
        <f>"218773_s_at"</f>
        <v>218773_s_at</v>
      </c>
      <c r="B736" s="2">
        <v>4.1075642852525198E-7</v>
      </c>
      <c r="C736" s="2">
        <v>3.09684871840606E-9</v>
      </c>
      <c r="D736" s="1">
        <v>6.4829149775867299</v>
      </c>
      <c r="E736" s="1">
        <v>10.8405117104012</v>
      </c>
      <c r="F736" s="1">
        <v>0.40680053547092998</v>
      </c>
      <c r="G736" s="3" t="str">
        <f>"MSRB2"</f>
        <v>MSRB2</v>
      </c>
      <c r="H736" s="1">
        <v>22921</v>
      </c>
      <c r="I736" s="1" t="str">
        <f>"methionine sulfoxide reductase B2"</f>
        <v>methionine sulfoxide reductase B2</v>
      </c>
    </row>
    <row r="737" spans="1:9" x14ac:dyDescent="0.35">
      <c r="A737" s="1" t="str">
        <f>"217165_x_at"</f>
        <v>217165_x_at</v>
      </c>
      <c r="B737" s="1">
        <v>1.2770807337673601E-4</v>
      </c>
      <c r="C737" s="2">
        <v>3.7023477719055501E-6</v>
      </c>
      <c r="D737" s="1">
        <v>-4.88952336202511</v>
      </c>
      <c r="E737" s="1">
        <v>4.0719485067867902</v>
      </c>
      <c r="F737" s="1">
        <v>-0.54397300987209396</v>
      </c>
      <c r="G737" s="3" t="str">
        <f>"MT1F"</f>
        <v>MT1F</v>
      </c>
      <c r="H737" s="1">
        <v>4494</v>
      </c>
      <c r="I737" s="1" t="str">
        <f>"metallothionein 1F"</f>
        <v>metallothionein 1F</v>
      </c>
    </row>
    <row r="738" spans="1:9" x14ac:dyDescent="0.35">
      <c r="A738" s="1" t="str">
        <f>"204745_x_at"</f>
        <v>204745_x_at</v>
      </c>
      <c r="B738" s="1">
        <v>9.2041272802042707E-3</v>
      </c>
      <c r="C738" s="1">
        <v>8.0793757393885705E-4</v>
      </c>
      <c r="D738" s="1">
        <v>-3.4513941114917701</v>
      </c>
      <c r="E738" s="1">
        <v>-0.97438420530895298</v>
      </c>
      <c r="F738" s="1">
        <v>-0.33741404845058698</v>
      </c>
      <c r="G738" s="3" t="str">
        <f>"MT1G"</f>
        <v>MT1G</v>
      </c>
      <c r="H738" s="1">
        <v>4495</v>
      </c>
      <c r="I738" s="1" t="str">
        <f>"metallothionein 1G"</f>
        <v>metallothionein 1G</v>
      </c>
    </row>
    <row r="739" spans="1:9" x14ac:dyDescent="0.35">
      <c r="A739" s="1" t="str">
        <f>"206461_x_at"</f>
        <v>206461_x_at</v>
      </c>
      <c r="B739" s="1">
        <v>4.9472026507480296E-3</v>
      </c>
      <c r="C739" s="1">
        <v>3.6566183932962401E-4</v>
      </c>
      <c r="D739" s="1">
        <v>-3.6848903379682998</v>
      </c>
      <c r="E739" s="1">
        <v>-0.242176882279341</v>
      </c>
      <c r="F739" s="1">
        <v>-0.38429314728633401</v>
      </c>
      <c r="G739" s="3" t="str">
        <f>"MT1H"</f>
        <v>MT1H</v>
      </c>
      <c r="H739" s="1">
        <v>4496</v>
      </c>
      <c r="I739" s="1" t="str">
        <f>"metallothionein 1H"</f>
        <v>metallothionein 1H</v>
      </c>
    </row>
    <row r="740" spans="1:9" x14ac:dyDescent="0.35">
      <c r="A740" s="1" t="str">
        <f>"211456_x_at"</f>
        <v>211456_x_at</v>
      </c>
      <c r="B740" s="1">
        <v>2.6824191734374499E-3</v>
      </c>
      <c r="C740" s="1">
        <v>1.6841109471969599E-4</v>
      </c>
      <c r="D740" s="1">
        <v>-3.9041658181990999</v>
      </c>
      <c r="E740" s="1">
        <v>0.47852623068204098</v>
      </c>
      <c r="F740" s="1">
        <v>-0.38500362959157097</v>
      </c>
      <c r="G740" s="3" t="str">
        <f>"MT1HL1"</f>
        <v>MT1HL1</v>
      </c>
      <c r="H740" s="1">
        <v>645745</v>
      </c>
      <c r="I740" s="1" t="str">
        <f>"metallothionein 1H-like 1"</f>
        <v>metallothionein 1H-like 1</v>
      </c>
    </row>
    <row r="741" spans="1:9" x14ac:dyDescent="0.35">
      <c r="A741" s="1" t="str">
        <f>"217546_at"</f>
        <v>217546_at</v>
      </c>
      <c r="B741" s="2">
        <v>1.1555302004704201E-5</v>
      </c>
      <c r="C741" s="2">
        <v>1.9653814386675399E-7</v>
      </c>
      <c r="D741" s="1">
        <v>-5.5759135914466196</v>
      </c>
      <c r="E741" s="1">
        <v>6.8663692116535904</v>
      </c>
      <c r="F741" s="1">
        <v>-1.14740148733866</v>
      </c>
      <c r="G741" s="3" t="str">
        <f>"MT1M"</f>
        <v>MT1M</v>
      </c>
      <c r="H741" s="1">
        <v>4499</v>
      </c>
      <c r="I741" s="1" t="str">
        <f>"metallothionein 1M"</f>
        <v>metallothionein 1M</v>
      </c>
    </row>
    <row r="742" spans="1:9" x14ac:dyDescent="0.35">
      <c r="A742" s="1" t="str">
        <f>"208581_x_at"</f>
        <v>208581_x_at</v>
      </c>
      <c r="B742" s="2">
        <v>6.5679821510003903E-7</v>
      </c>
      <c r="C742" s="2">
        <v>5.6297832017281103E-9</v>
      </c>
      <c r="D742" s="1">
        <v>-6.3557347595556903</v>
      </c>
      <c r="E742" s="1">
        <v>10.267065175907099</v>
      </c>
      <c r="F742" s="1">
        <v>-0.86587850956685497</v>
      </c>
      <c r="G742" s="3" t="str">
        <f>"MT1X"</f>
        <v>MT1X</v>
      </c>
      <c r="H742" s="1">
        <v>4501</v>
      </c>
      <c r="I742" s="1" t="str">
        <f>"metallothionein 1X"</f>
        <v>metallothionein 1X</v>
      </c>
    </row>
    <row r="743" spans="1:9" x14ac:dyDescent="0.35">
      <c r="A743" s="1" t="str">
        <f>"212185_x_at"</f>
        <v>212185_x_at</v>
      </c>
      <c r="B743" s="2">
        <v>3.23159650967629E-5</v>
      </c>
      <c r="C743" s="2">
        <v>6.9538418495233604E-7</v>
      </c>
      <c r="D743" s="1">
        <v>-5.2861830281150697</v>
      </c>
      <c r="E743" s="1">
        <v>5.6613749669930904</v>
      </c>
      <c r="F743" s="1">
        <v>-0.68934214099999902</v>
      </c>
      <c r="G743" s="3" t="str">
        <f>"MT2A"</f>
        <v>MT2A</v>
      </c>
      <c r="H743" s="1">
        <v>4502</v>
      </c>
      <c r="I743" s="1" t="str">
        <f>"metallothionein 2A"</f>
        <v>metallothionein 2A</v>
      </c>
    </row>
    <row r="744" spans="1:9" x14ac:dyDescent="0.35">
      <c r="A744" s="1" t="str">
        <f>"221619_s_at"</f>
        <v>221619_s_at</v>
      </c>
      <c r="B744" s="2">
        <v>1.51136825367618E-5</v>
      </c>
      <c r="C744" s="2">
        <v>2.7520488325797702E-7</v>
      </c>
      <c r="D744" s="1">
        <v>-5.4994663799690704</v>
      </c>
      <c r="E744" s="1">
        <v>6.5450403855153301</v>
      </c>
      <c r="F744" s="1">
        <v>-0.33295997415407502</v>
      </c>
      <c r="G744" s="3" t="str">
        <f>"MTCH1"</f>
        <v>MTCH1</v>
      </c>
      <c r="H744" s="1">
        <v>23787</v>
      </c>
      <c r="I744" s="1" t="str">
        <f>"mitochondrial carrier 1"</f>
        <v>mitochondrial carrier 1</v>
      </c>
    </row>
    <row r="745" spans="1:9" x14ac:dyDescent="0.35">
      <c r="A745" s="1" t="str">
        <f>"203207_s_at"</f>
        <v>203207_s_at</v>
      </c>
      <c r="B745" s="2">
        <v>1.88207668121162E-8</v>
      </c>
      <c r="C745" s="2">
        <v>6.3346834398811304E-11</v>
      </c>
      <c r="D745" s="1">
        <v>-7.2902186457755098</v>
      </c>
      <c r="E745" s="1">
        <v>14.5781254027678</v>
      </c>
      <c r="F745" s="1">
        <v>-0.64525801041424302</v>
      </c>
      <c r="G745" s="3" t="str">
        <f>"MTFR1"</f>
        <v>MTFR1</v>
      </c>
      <c r="H745" s="1">
        <v>9650</v>
      </c>
      <c r="I745" s="1" t="str">
        <f>"mitochondrial fission regulator 1"</f>
        <v>mitochondrial fission regulator 1</v>
      </c>
    </row>
    <row r="746" spans="1:9" x14ac:dyDescent="0.35">
      <c r="A746" s="1" t="str">
        <f>"201761_at"</f>
        <v>201761_at</v>
      </c>
      <c r="B746" s="2">
        <v>2.83322278169016E-5</v>
      </c>
      <c r="C746" s="2">
        <v>5.9250631255558804E-7</v>
      </c>
      <c r="D746" s="1">
        <v>-5.3233292178566902</v>
      </c>
      <c r="E746" s="1">
        <v>5.8138822017240797</v>
      </c>
      <c r="F746" s="1">
        <v>-0.89999593534156996</v>
      </c>
      <c r="G746" s="3" t="str">
        <f>"MTHFD2"</f>
        <v>MTHFD2</v>
      </c>
      <c r="H746" s="1">
        <v>10797</v>
      </c>
      <c r="I746" s="1" t="str">
        <f>"methylenetetrahydrofolate dehydrogenase (NADP+ dependent) 2, methenyltetrahydrofolate cyclohydrolase"</f>
        <v>methylenetetrahydrofolate dehydrogenase (NADP+ dependent) 2, methenyltetrahydrofolate cyclohydrolase</v>
      </c>
    </row>
    <row r="747" spans="1:9" x14ac:dyDescent="0.35">
      <c r="A747" s="1" t="str">
        <f>"212093_s_at"</f>
        <v>212093_s_at</v>
      </c>
      <c r="B747" s="1">
        <v>5.2298670392785303E-2</v>
      </c>
      <c r="C747" s="1">
        <v>7.9149866211460397E-3</v>
      </c>
      <c r="D747" s="1">
        <v>-2.70814348114724</v>
      </c>
      <c r="E747" s="1">
        <v>-3.0429906169536798</v>
      </c>
      <c r="F747" s="1">
        <v>-0.47327292251889702</v>
      </c>
      <c r="G747" s="3" t="str">
        <f>"MTUS1"</f>
        <v>MTUS1</v>
      </c>
      <c r="H747" s="1">
        <v>57509</v>
      </c>
      <c r="I747" s="1" t="str">
        <f>"microtubule associated tumor suppressor 1"</f>
        <v>microtubule associated tumor suppressor 1</v>
      </c>
    </row>
    <row r="748" spans="1:9" x14ac:dyDescent="0.35">
      <c r="A748" s="1" t="str">
        <f>"202086_at"</f>
        <v>202086_at</v>
      </c>
      <c r="B748" s="1">
        <v>4.32905193915048E-4</v>
      </c>
      <c r="C748" s="2">
        <v>1.6338610962731899E-5</v>
      </c>
      <c r="D748" s="1">
        <v>4.5217719107833698</v>
      </c>
      <c r="E748" s="1">
        <v>2.6674968548899698</v>
      </c>
      <c r="F748" s="1">
        <v>0.56984232952616198</v>
      </c>
      <c r="G748" s="3" t="str">
        <f>"MX1"</f>
        <v>MX1</v>
      </c>
      <c r="H748" s="1">
        <v>4599</v>
      </c>
      <c r="I748" s="1" t="str">
        <f>"MX dynamin like GTPase 1"</f>
        <v>MX dynamin like GTPase 1</v>
      </c>
    </row>
    <row r="749" spans="1:9" x14ac:dyDescent="0.35">
      <c r="A749" s="1" t="str">
        <f>"209596_at"</f>
        <v>209596_at</v>
      </c>
      <c r="B749" s="2">
        <v>7.9849518519895401E-13</v>
      </c>
      <c r="C749" s="2">
        <v>3.9417704246234798E-16</v>
      </c>
      <c r="D749" s="1">
        <v>9.66029848083903</v>
      </c>
      <c r="E749" s="1">
        <v>26.114953620937101</v>
      </c>
      <c r="F749" s="1">
        <v>1.5363190819316801</v>
      </c>
      <c r="G749" s="3" t="str">
        <f>"MXRA5"</f>
        <v>MXRA5</v>
      </c>
      <c r="H749" s="1">
        <v>25878</v>
      </c>
      <c r="I749" s="1" t="str">
        <f>"matrix remodeling associated 5"</f>
        <v>matrix remodeling associated 5</v>
      </c>
    </row>
    <row r="750" spans="1:9" x14ac:dyDescent="0.35">
      <c r="A750" s="1" t="str">
        <f>"212509_s_at"</f>
        <v>212509_s_at</v>
      </c>
      <c r="B750" s="1">
        <v>1.3508593070527799E-3</v>
      </c>
      <c r="C750" s="2">
        <v>6.9413180746552905E-5</v>
      </c>
      <c r="D750" s="1">
        <v>4.1455234667780596</v>
      </c>
      <c r="E750" s="1">
        <v>1.3070246199669899</v>
      </c>
      <c r="F750" s="1">
        <v>0.306742293808133</v>
      </c>
      <c r="G750" s="3" t="str">
        <f>"MXRA7"</f>
        <v>MXRA7</v>
      </c>
      <c r="H750" s="1">
        <v>439921</v>
      </c>
      <c r="I750" s="1" t="str">
        <f>"matrix remodeling associated 7"</f>
        <v>matrix remodeling associated 7</v>
      </c>
    </row>
    <row r="751" spans="1:9" x14ac:dyDescent="0.35">
      <c r="A751" s="1" t="str">
        <f>"213422_s_at"</f>
        <v>213422_s_at</v>
      </c>
      <c r="B751" s="1">
        <v>3.5495185650232999E-4</v>
      </c>
      <c r="C751" s="2">
        <v>1.288677700087E-5</v>
      </c>
      <c r="D751" s="1">
        <v>4.5817006904147402</v>
      </c>
      <c r="E751" s="1">
        <v>2.8915220540162898</v>
      </c>
      <c r="F751" s="1">
        <v>0.34698297946947498</v>
      </c>
      <c r="G751" s="3" t="str">
        <f>"MXRA8"</f>
        <v>MXRA8</v>
      </c>
      <c r="H751" s="1">
        <v>54587</v>
      </c>
      <c r="I751" s="1" t="str">
        <f>"matrix remodeling associated 8"</f>
        <v>matrix remodeling associated 8</v>
      </c>
    </row>
    <row r="752" spans="1:9" x14ac:dyDescent="0.35">
      <c r="A752" s="1" t="str">
        <f>"202431_s_at"</f>
        <v>202431_s_at</v>
      </c>
      <c r="B752" s="2">
        <v>1.25240288578609E-5</v>
      </c>
      <c r="C752" s="2">
        <v>2.1694902567582099E-7</v>
      </c>
      <c r="D752" s="1">
        <v>-5.5535303917002103</v>
      </c>
      <c r="E752" s="1">
        <v>6.77204255554454</v>
      </c>
      <c r="F752" s="1">
        <v>-0.79788496731831304</v>
      </c>
      <c r="G752" s="3" t="str">
        <f>"MYC"</f>
        <v>MYC</v>
      </c>
      <c r="H752" s="1">
        <v>4609</v>
      </c>
      <c r="I752" s="1" t="str">
        <f>"v-myc avian myelocytomatosis viral oncogene homolog"</f>
        <v>v-myc avian myelocytomatosis viral oncogene homolog</v>
      </c>
    </row>
    <row r="753" spans="1:9" x14ac:dyDescent="0.35">
      <c r="A753" s="1" t="str">
        <f>"212372_at"</f>
        <v>212372_at</v>
      </c>
      <c r="B753" s="2">
        <v>9.3803195177509306E-11</v>
      </c>
      <c r="C753" s="2">
        <v>1.05240761093108E-13</v>
      </c>
      <c r="D753" s="1">
        <v>8.5685006078612105</v>
      </c>
      <c r="E753" s="1">
        <v>20.738483120273099</v>
      </c>
      <c r="F753" s="1">
        <v>0.72640667988517305</v>
      </c>
      <c r="G753" s="3" t="str">
        <f>"MYH10"</f>
        <v>MYH10</v>
      </c>
      <c r="H753" s="1">
        <v>4628</v>
      </c>
      <c r="I753" s="1" t="str">
        <f>"myosin, heavy chain 10, non-muscle"</f>
        <v>myosin, heavy chain 10, non-muscle</v>
      </c>
    </row>
    <row r="754" spans="1:9" x14ac:dyDescent="0.35">
      <c r="A754" s="1" t="str">
        <f>"201497_x_at"</f>
        <v>201497_x_at</v>
      </c>
      <c r="B754" s="1">
        <v>6.6111965158153199E-3</v>
      </c>
      <c r="C754" s="1">
        <v>5.2929922291498205E-4</v>
      </c>
      <c r="D754" s="1">
        <v>3.57722368352503</v>
      </c>
      <c r="E754" s="1">
        <v>-0.584422572089347</v>
      </c>
      <c r="F754" s="1">
        <v>0.44223656388953703</v>
      </c>
      <c r="G754" s="3" t="str">
        <f>"MYH11"</f>
        <v>MYH11</v>
      </c>
      <c r="H754" s="1">
        <v>4629</v>
      </c>
      <c r="I754" s="1" t="str">
        <f>"myosin heavy chain 11"</f>
        <v>myosin heavy chain 11</v>
      </c>
    </row>
    <row r="755" spans="1:9" x14ac:dyDescent="0.35">
      <c r="A755" s="1" t="str">
        <f>"214468_at"</f>
        <v>214468_at</v>
      </c>
      <c r="B755" s="1">
        <v>3.5694495496206899E-4</v>
      </c>
      <c r="C755" s="2">
        <v>1.29911752669855E-5</v>
      </c>
      <c r="D755" s="1">
        <v>-4.5796708620728603</v>
      </c>
      <c r="E755" s="1">
        <v>2.8839024387625001</v>
      </c>
      <c r="F755" s="1">
        <v>-1.3648894467935999</v>
      </c>
      <c r="G755" s="3" t="str">
        <f>"MYH6"</f>
        <v>MYH6</v>
      </c>
      <c r="H755" s="1">
        <v>4624</v>
      </c>
      <c r="I755" s="1" t="str">
        <f>"myosin heavy chain 6"</f>
        <v>myosin heavy chain 6</v>
      </c>
    </row>
    <row r="756" spans="1:9" x14ac:dyDescent="0.35">
      <c r="A756" s="1" t="str">
        <f>"211926_s_at"</f>
        <v>211926_s_at</v>
      </c>
      <c r="B756" s="1">
        <v>3.3104382545185398E-2</v>
      </c>
      <c r="C756" s="1">
        <v>4.3373846028225398E-3</v>
      </c>
      <c r="D756" s="1">
        <v>-2.9166116500248198</v>
      </c>
      <c r="E756" s="1">
        <v>-2.5049732903458199</v>
      </c>
      <c r="F756" s="1">
        <v>-0.32791112381249998</v>
      </c>
      <c r="G756" s="3" t="str">
        <f>"MYH9"</f>
        <v>MYH9</v>
      </c>
      <c r="H756" s="1">
        <v>4627</v>
      </c>
      <c r="I756" s="1" t="str">
        <f>"myosin, heavy chain 9, non-muscle"</f>
        <v>myosin, heavy chain 9, non-muscle</v>
      </c>
    </row>
    <row r="757" spans="1:9" x14ac:dyDescent="0.35">
      <c r="A757" s="1" t="str">
        <f>"217623_at"</f>
        <v>217623_at</v>
      </c>
      <c r="B757" s="1">
        <v>8.92810355918911E-2</v>
      </c>
      <c r="C757" s="1">
        <v>1.6435435443967899E-2</v>
      </c>
      <c r="D757" s="1">
        <v>2.4387577507751299</v>
      </c>
      <c r="E757" s="1">
        <v>-3.6866960017771802</v>
      </c>
      <c r="F757" s="1">
        <v>0.43459147029360301</v>
      </c>
      <c r="G757" s="3" t="str">
        <f>"MYLK3"</f>
        <v>MYLK3</v>
      </c>
      <c r="H757" s="1">
        <v>91807</v>
      </c>
      <c r="I757" s="1" t="str">
        <f>"myosin light chain kinase 3"</f>
        <v>myosin light chain kinase 3</v>
      </c>
    </row>
    <row r="758" spans="1:9" x14ac:dyDescent="0.35">
      <c r="A758" s="1" t="str">
        <f>"215119_at"</f>
        <v>215119_at</v>
      </c>
      <c r="B758" s="1">
        <v>4.2468612614425999E-4</v>
      </c>
      <c r="C758" s="2">
        <v>1.59331149960329E-5</v>
      </c>
      <c r="D758" s="1">
        <v>-4.5281400432965198</v>
      </c>
      <c r="E758" s="1">
        <v>2.69120964016731</v>
      </c>
      <c r="F758" s="1">
        <v>-0.41378044438662698</v>
      </c>
      <c r="G758" s="3" t="str">
        <f>"MYO16"</f>
        <v>MYO16</v>
      </c>
      <c r="H758" s="1">
        <v>23026</v>
      </c>
      <c r="I758" s="1" t="str">
        <f>"myosin XVI"</f>
        <v>myosin XVI</v>
      </c>
    </row>
    <row r="759" spans="1:9" x14ac:dyDescent="0.35">
      <c r="A759" s="1" t="str">
        <f>"210155_at"</f>
        <v>210155_at</v>
      </c>
      <c r="B759" s="1">
        <v>1.3228095547530099E-3</v>
      </c>
      <c r="C759" s="2">
        <v>6.7140762304252394E-5</v>
      </c>
      <c r="D759" s="1">
        <v>4.1544137104835404</v>
      </c>
      <c r="E759" s="1">
        <v>1.33822147423205</v>
      </c>
      <c r="F759" s="1">
        <v>0.49696595150145401</v>
      </c>
      <c r="G759" s="3" t="str">
        <f>"MYOC"</f>
        <v>MYOC</v>
      </c>
      <c r="H759" s="1">
        <v>4653</v>
      </c>
      <c r="I759" s="1" t="str">
        <f>"myocilin"</f>
        <v>myocilin</v>
      </c>
    </row>
    <row r="760" spans="1:9" x14ac:dyDescent="0.35">
      <c r="A760" s="1" t="str">
        <f>"201798_s_at"</f>
        <v>201798_s_at</v>
      </c>
      <c r="B760" s="1">
        <v>5.5404427419163496E-4</v>
      </c>
      <c r="C760" s="2">
        <v>2.2352726405702999E-5</v>
      </c>
      <c r="D760" s="1">
        <v>4.44190077507273</v>
      </c>
      <c r="E760" s="1">
        <v>2.3719748125546101</v>
      </c>
      <c r="F760" s="1">
        <v>0.42944258087936299</v>
      </c>
      <c r="G760" s="3" t="str">
        <f>"MYOF"</f>
        <v>MYOF</v>
      </c>
      <c r="H760" s="1">
        <v>26509</v>
      </c>
      <c r="I760" s="1" t="str">
        <f>"myoferlin"</f>
        <v>myoferlin</v>
      </c>
    </row>
    <row r="761" spans="1:9" x14ac:dyDescent="0.35">
      <c r="A761" s="1" t="str">
        <f>"205610_at"</f>
        <v>205610_at</v>
      </c>
      <c r="B761" s="2">
        <v>5.6010048303504799E-5</v>
      </c>
      <c r="C761" s="2">
        <v>1.34979113849042E-6</v>
      </c>
      <c r="D761" s="1">
        <v>5.1308297208787099</v>
      </c>
      <c r="E761" s="1">
        <v>5.0301852551678801</v>
      </c>
      <c r="F761" s="1">
        <v>0.59710959088372195</v>
      </c>
      <c r="G761" s="3" t="str">
        <f>"MYOM1"</f>
        <v>MYOM1</v>
      </c>
      <c r="H761" s="1">
        <v>8736</v>
      </c>
      <c r="I761" s="1" t="str">
        <f>"myomesin 1"</f>
        <v>myomesin 1</v>
      </c>
    </row>
    <row r="762" spans="1:9" x14ac:dyDescent="0.35">
      <c r="A762" s="1" t="str">
        <f>"205826_at"</f>
        <v>205826_at</v>
      </c>
      <c r="B762" s="2">
        <v>1.77979260026566E-6</v>
      </c>
      <c r="C762" s="2">
        <v>1.9408948609458101E-8</v>
      </c>
      <c r="D762" s="1">
        <v>6.0890569605156797</v>
      </c>
      <c r="E762" s="1">
        <v>9.0806627010612999</v>
      </c>
      <c r="F762" s="1">
        <v>0.65840105607848498</v>
      </c>
      <c r="G762" s="3" t="str">
        <f>"MYOM2"</f>
        <v>MYOM2</v>
      </c>
      <c r="H762" s="1">
        <v>9172</v>
      </c>
      <c r="I762" s="1" t="str">
        <f>"myomesin 2"</f>
        <v>myomesin 2</v>
      </c>
    </row>
    <row r="763" spans="1:9" x14ac:dyDescent="0.35">
      <c r="A763" s="1" t="str">
        <f>"219728_at"</f>
        <v>219728_at</v>
      </c>
      <c r="B763" s="2">
        <v>1.2461125568689501E-14</v>
      </c>
      <c r="C763" s="2">
        <v>4.47376944529535E-18</v>
      </c>
      <c r="D763" s="1">
        <v>-10.5316376004372</v>
      </c>
      <c r="E763" s="1">
        <v>30.4181365223941</v>
      </c>
      <c r="F763" s="1">
        <v>-2.26105337809302</v>
      </c>
      <c r="G763" s="3" t="str">
        <f>"MYOT"</f>
        <v>MYOT</v>
      </c>
      <c r="H763" s="1">
        <v>9499</v>
      </c>
      <c r="I763" s="1" t="str">
        <f>"myotilin"</f>
        <v>myotilin</v>
      </c>
    </row>
    <row r="764" spans="1:9" x14ac:dyDescent="0.35">
      <c r="A764" s="1" t="str">
        <f>"219509_at"</f>
        <v>219509_at</v>
      </c>
      <c r="B764" s="1">
        <v>2.4972408337418098E-4</v>
      </c>
      <c r="C764" s="2">
        <v>8.4925508842665307E-6</v>
      </c>
      <c r="D764" s="1">
        <v>4.6859072487051101</v>
      </c>
      <c r="E764" s="1">
        <v>3.2856404469617502</v>
      </c>
      <c r="F764" s="1">
        <v>0.32886879142296799</v>
      </c>
      <c r="G764" s="3" t="str">
        <f>"MYOZ1"</f>
        <v>MYOZ1</v>
      </c>
      <c r="H764" s="1">
        <v>58529</v>
      </c>
      <c r="I764" s="1" t="str">
        <f>"myozenin 1"</f>
        <v>myozenin 1</v>
      </c>
    </row>
    <row r="765" spans="1:9" x14ac:dyDescent="0.35">
      <c r="A765" s="1" t="str">
        <f>"211476_at"</f>
        <v>211476_at</v>
      </c>
      <c r="B765" s="1">
        <v>6.0181683690211101E-4</v>
      </c>
      <c r="C765" s="2">
        <v>2.4874267683294201E-5</v>
      </c>
      <c r="D765" s="1">
        <v>4.4144654200094502</v>
      </c>
      <c r="E765" s="1">
        <v>2.27128074303692</v>
      </c>
      <c r="F765" s="1">
        <v>0.42014322613517802</v>
      </c>
      <c r="G765" s="3" t="str">
        <f>"MYOZ2"</f>
        <v>MYOZ2</v>
      </c>
      <c r="H765" s="1">
        <v>51778</v>
      </c>
      <c r="I765" s="1" t="str">
        <f>"myozenin 2"</f>
        <v>myozenin 2</v>
      </c>
    </row>
    <row r="766" spans="1:9" x14ac:dyDescent="0.35">
      <c r="A766" s="1" t="str">
        <f>"219158_s_at"</f>
        <v>219158_s_at</v>
      </c>
      <c r="B766" s="1">
        <v>6.5899014078115298E-3</v>
      </c>
      <c r="C766" s="1">
        <v>5.2611563095169905E-4</v>
      </c>
      <c r="D766" s="1">
        <v>-3.5789971163693699</v>
      </c>
      <c r="E766" s="1">
        <v>-0.57884874575152401</v>
      </c>
      <c r="F766" s="1">
        <v>-0.43176312383575399</v>
      </c>
      <c r="G766" s="3" t="str">
        <f>"NAA15"</f>
        <v>NAA15</v>
      </c>
      <c r="H766" s="1">
        <v>80155</v>
      </c>
      <c r="I766" s="1" t="str">
        <f>"N(alpha)-acetyltransferase 15, NatA auxiliary subunit"</f>
        <v>N(alpha)-acetyltransferase 15, NatA auxiliary subunit</v>
      </c>
    </row>
    <row r="767" spans="1:9" x14ac:dyDescent="0.35">
      <c r="A767" s="1" t="str">
        <f>"217745_s_at"</f>
        <v>217745_s_at</v>
      </c>
      <c r="B767" s="1">
        <v>4.1159824458230999E-2</v>
      </c>
      <c r="C767" s="1">
        <v>5.7704658981067997E-3</v>
      </c>
      <c r="D767" s="1">
        <v>-2.8190034341164898</v>
      </c>
      <c r="E767" s="1">
        <v>-2.7611269711619899</v>
      </c>
      <c r="F767" s="1">
        <v>-0.31005424484011601</v>
      </c>
      <c r="G767" s="3" t="str">
        <f>"NAA50"</f>
        <v>NAA50</v>
      </c>
      <c r="H767" s="1">
        <v>80218</v>
      </c>
      <c r="I767" s="1" t="str">
        <f>"N(alpha)-acetyltransferase 50, NatE catalytic subunit"</f>
        <v>N(alpha)-acetyltransferase 50, NatE catalytic subunit</v>
      </c>
    </row>
    <row r="768" spans="1:9" x14ac:dyDescent="0.35">
      <c r="A768" s="1" t="str">
        <f>"209272_at"</f>
        <v>209272_at</v>
      </c>
      <c r="B768" s="1">
        <v>1.07219307629174E-3</v>
      </c>
      <c r="C768" s="2">
        <v>5.1966455252662598E-5</v>
      </c>
      <c r="D768" s="1">
        <v>4.2224489331531903</v>
      </c>
      <c r="E768" s="1">
        <v>1.5785235236741</v>
      </c>
      <c r="F768" s="1">
        <v>0.43952674345058101</v>
      </c>
      <c r="G768" s="3" t="str">
        <f>"NAB1"</f>
        <v>NAB1</v>
      </c>
      <c r="H768" s="1">
        <v>4664</v>
      </c>
      <c r="I768" s="1" t="str">
        <f>"NGFI-A binding protein 1"</f>
        <v>NGFI-A binding protein 1</v>
      </c>
    </row>
    <row r="769" spans="1:9" x14ac:dyDescent="0.35">
      <c r="A769" s="1" t="str">
        <f>"217738_at"</f>
        <v>217738_at</v>
      </c>
      <c r="B769" s="2">
        <v>3.6086575689652097E-5</v>
      </c>
      <c r="C769" s="2">
        <v>7.9673658857435397E-7</v>
      </c>
      <c r="D769" s="1">
        <v>-5.2545092524665096</v>
      </c>
      <c r="E769" s="1">
        <v>5.5318121868411598</v>
      </c>
      <c r="F769" s="1">
        <v>-0.73274117783139503</v>
      </c>
      <c r="G769" s="3" t="str">
        <f>"NAMPT"</f>
        <v>NAMPT</v>
      </c>
      <c r="H769" s="1">
        <v>10135</v>
      </c>
      <c r="I769" s="1" t="str">
        <f>"nicotinamide phosphoribosyltransferase"</f>
        <v>nicotinamide phosphoribosyltransferase</v>
      </c>
    </row>
    <row r="770" spans="1:9" x14ac:dyDescent="0.35">
      <c r="A770" s="1" t="str">
        <f>"218189_s_at"</f>
        <v>218189_s_at</v>
      </c>
      <c r="B770" s="1">
        <v>6.7830511281374698E-4</v>
      </c>
      <c r="C770" s="2">
        <v>2.8735808755381999E-5</v>
      </c>
      <c r="D770" s="1">
        <v>-4.3772601954431902</v>
      </c>
      <c r="E770" s="1">
        <v>2.1354042212775499</v>
      </c>
      <c r="F770" s="1">
        <v>-0.32948977446366401</v>
      </c>
      <c r="G770" s="3" t="s">
        <v>2</v>
      </c>
      <c r="H770" s="1">
        <v>54187</v>
      </c>
      <c r="I770" s="1" t="str">
        <f>"N-acetylneuraminate synthase"</f>
        <v>N-acetylneuraminate synthase</v>
      </c>
    </row>
    <row r="771" spans="1:9" x14ac:dyDescent="0.35">
      <c r="A771" s="1" t="str">
        <f>"204749_at"</f>
        <v>204749_at</v>
      </c>
      <c r="B771" s="1">
        <v>3.4949216039658801E-3</v>
      </c>
      <c r="C771" s="1">
        <v>2.35106919371039E-4</v>
      </c>
      <c r="D771" s="1">
        <v>3.8108138406251602</v>
      </c>
      <c r="E771" s="1">
        <v>0.16788418262982099</v>
      </c>
      <c r="F771" s="1">
        <v>0.47183944920349102</v>
      </c>
      <c r="G771" s="3" t="str">
        <f>"NAP1L3"</f>
        <v>NAP1L3</v>
      </c>
      <c r="H771" s="1">
        <v>4675</v>
      </c>
      <c r="I771" s="1" t="str">
        <f>"nucleosome assembly protein 1 like 3"</f>
        <v>nucleosome assembly protein 1 like 3</v>
      </c>
    </row>
    <row r="772" spans="1:9" x14ac:dyDescent="0.35">
      <c r="A772" s="1" t="str">
        <f>"221207_s_at"</f>
        <v>221207_s_at</v>
      </c>
      <c r="B772" s="1">
        <v>5.0128504235439904E-4</v>
      </c>
      <c r="C772" s="2">
        <v>1.9616773187319301E-5</v>
      </c>
      <c r="D772" s="1">
        <v>4.4752766509447897</v>
      </c>
      <c r="E772" s="1">
        <v>2.4950370243107001</v>
      </c>
      <c r="F772" s="1">
        <v>0.52404262957848502</v>
      </c>
      <c r="G772" s="3" t="str">
        <f>"NBEA"</f>
        <v>NBEA</v>
      </c>
      <c r="H772" s="1">
        <v>26960</v>
      </c>
      <c r="I772" s="1" t="str">
        <f>"neurobeachin"</f>
        <v>neurobeachin</v>
      </c>
    </row>
    <row r="773" spans="1:9" x14ac:dyDescent="0.35">
      <c r="A773" s="1" t="str">
        <f>"202907_s_at"</f>
        <v>202907_s_at</v>
      </c>
      <c r="B773" s="1">
        <v>6.9982764164525898E-3</v>
      </c>
      <c r="C773" s="1">
        <v>5.6908301694619603E-4</v>
      </c>
      <c r="D773" s="1">
        <v>3.5558736751446198</v>
      </c>
      <c r="E773" s="1">
        <v>-0.651356391435986</v>
      </c>
      <c r="F773" s="1">
        <v>0.32777630404941999</v>
      </c>
      <c r="G773" s="3" t="str">
        <f>"NBN"</f>
        <v>NBN</v>
      </c>
      <c r="H773" s="1">
        <v>4683</v>
      </c>
      <c r="I773" s="1" t="str">
        <f>"nibrin"</f>
        <v>nibrin</v>
      </c>
    </row>
    <row r="774" spans="1:9" x14ac:dyDescent="0.35">
      <c r="A774" s="1" t="str">
        <f>"212854_x_at"</f>
        <v>212854_x_at</v>
      </c>
      <c r="B774" s="1">
        <v>2.0234581735599399E-4</v>
      </c>
      <c r="C774" s="2">
        <v>6.5108805387177699E-6</v>
      </c>
      <c r="D774" s="1">
        <v>4.7516129003433702</v>
      </c>
      <c r="E774" s="1">
        <v>3.53706964286157</v>
      </c>
      <c r="F774" s="1">
        <v>0.314894696149711</v>
      </c>
      <c r="G774" s="3" t="str">
        <f>"NBPF1"</f>
        <v>NBPF1</v>
      </c>
      <c r="H774" s="1">
        <v>55672</v>
      </c>
      <c r="I774" s="1" t="str">
        <f>"neuroblastoma breakpoint family member 1"</f>
        <v>neuroblastoma breakpoint family member 1</v>
      </c>
    </row>
    <row r="775" spans="1:9" x14ac:dyDescent="0.35">
      <c r="A775" s="1" t="str">
        <f>"212843_at"</f>
        <v>212843_at</v>
      </c>
      <c r="B775" s="1">
        <v>9.1876927404921501E-4</v>
      </c>
      <c r="C775" s="2">
        <v>4.2345108129450403E-5</v>
      </c>
      <c r="D775" s="1">
        <v>-4.2763375745785304</v>
      </c>
      <c r="E775" s="1">
        <v>1.77079585649625</v>
      </c>
      <c r="F775" s="1">
        <v>-0.389590492664245</v>
      </c>
      <c r="G775" s="3" t="str">
        <f>"NCAM1"</f>
        <v>NCAM1</v>
      </c>
      <c r="H775" s="1">
        <v>4684</v>
      </c>
      <c r="I775" s="1" t="str">
        <f>"neural cell adhesion molecule 1"</f>
        <v>neural cell adhesion molecule 1</v>
      </c>
    </row>
    <row r="776" spans="1:9" x14ac:dyDescent="0.35">
      <c r="A776" s="1" t="str">
        <f>"212867_at"</f>
        <v>212867_at</v>
      </c>
      <c r="B776" s="1">
        <v>4.4761374034610101E-3</v>
      </c>
      <c r="C776" s="1">
        <v>3.20398472311642E-4</v>
      </c>
      <c r="D776" s="1">
        <v>3.7228577194841002</v>
      </c>
      <c r="E776" s="1">
        <v>-0.119637722539361</v>
      </c>
      <c r="F776" s="1">
        <v>0.40132274410465102</v>
      </c>
      <c r="G776" s="3" t="str">
        <f>"NCOA2"</f>
        <v>NCOA2</v>
      </c>
      <c r="H776" s="1">
        <v>10499</v>
      </c>
      <c r="I776" s="1" t="str">
        <f>"nuclear receptor coactivator 2"</f>
        <v>nuclear receptor coactivator 2</v>
      </c>
    </row>
    <row r="777" spans="1:9" x14ac:dyDescent="0.35">
      <c r="A777" s="1" t="str">
        <f>"209060_x_at"</f>
        <v>209060_x_at</v>
      </c>
      <c r="B777" s="1">
        <v>1.26498007252149E-4</v>
      </c>
      <c r="C777" s="2">
        <v>3.6445595591204E-6</v>
      </c>
      <c r="D777" s="1">
        <v>-4.8933352769095597</v>
      </c>
      <c r="E777" s="1">
        <v>4.0868677474831996</v>
      </c>
      <c r="F777" s="1">
        <v>-0.300907443972383</v>
      </c>
      <c r="G777" s="3" t="str">
        <f>"NCOA3"</f>
        <v>NCOA3</v>
      </c>
      <c r="H777" s="1">
        <v>8202</v>
      </c>
      <c r="I777" s="1" t="str">
        <f>"nuclear receptor coactivator 3"</f>
        <v>nuclear receptor coactivator 3</v>
      </c>
    </row>
    <row r="778" spans="1:9" x14ac:dyDescent="0.35">
      <c r="A778" s="1" t="str">
        <f>"217800_s_at"</f>
        <v>217800_s_at</v>
      </c>
      <c r="B778" s="1">
        <v>2.0705173916614001E-4</v>
      </c>
      <c r="C778" s="2">
        <v>6.6901787102105004E-6</v>
      </c>
      <c r="D778" s="1">
        <v>4.7449192876633903</v>
      </c>
      <c r="E778" s="1">
        <v>3.5113539270872001</v>
      </c>
      <c r="F778" s="1">
        <v>0.488113161175879</v>
      </c>
      <c r="G778" s="3" t="str">
        <f>"NDFIP1"</f>
        <v>NDFIP1</v>
      </c>
      <c r="H778" s="1">
        <v>80762</v>
      </c>
      <c r="I778" s="1" t="str">
        <f>"Nedd4 family interacting protein 1"</f>
        <v>Nedd4 family interacting protein 1</v>
      </c>
    </row>
    <row r="779" spans="1:9" x14ac:dyDescent="0.35">
      <c r="A779" s="1" t="str">
        <f>"209550_at"</f>
        <v>209550_at</v>
      </c>
      <c r="B779" s="2">
        <v>2.2123182592406999E-6</v>
      </c>
      <c r="C779" s="2">
        <v>2.6012089212451801E-8</v>
      </c>
      <c r="D779" s="1">
        <v>6.0252477576808001</v>
      </c>
      <c r="E779" s="1">
        <v>8.8002018961685593</v>
      </c>
      <c r="F779" s="1">
        <v>0.43219497297964898</v>
      </c>
      <c r="G779" s="3" t="str">
        <f>"NDN"</f>
        <v>NDN</v>
      </c>
      <c r="H779" s="1">
        <v>4692</v>
      </c>
      <c r="I779" s="1" t="str">
        <f>"necdin, MAGE family member"</f>
        <v>necdin, MAGE family member</v>
      </c>
    </row>
    <row r="780" spans="1:9" x14ac:dyDescent="0.35">
      <c r="A780" s="1" t="str">
        <f>"214279_s_at"</f>
        <v>214279_s_at</v>
      </c>
      <c r="B780" s="1">
        <v>0.15458738154982499</v>
      </c>
      <c r="C780" s="1">
        <v>3.61568474262393E-2</v>
      </c>
      <c r="D780" s="1">
        <v>-2.1227104008122799</v>
      </c>
      <c r="E780" s="1">
        <v>-4.3648707947701002</v>
      </c>
      <c r="F780" s="1">
        <v>-0.370019691372096</v>
      </c>
      <c r="G780" s="3" t="str">
        <f>"NDRG2"</f>
        <v>NDRG2</v>
      </c>
      <c r="H780" s="1">
        <v>57447</v>
      </c>
      <c r="I780" s="1" t="str">
        <f>"NDRG family member 2"</f>
        <v>NDRG family member 2</v>
      </c>
    </row>
    <row r="781" spans="1:9" x14ac:dyDescent="0.35">
      <c r="A781" s="1" t="str">
        <f>"203039_s_at"</f>
        <v>203039_s_at</v>
      </c>
      <c r="B781" s="1">
        <v>1.9927855116370601E-4</v>
      </c>
      <c r="C781" s="2">
        <v>6.3853559005020097E-6</v>
      </c>
      <c r="D781" s="1">
        <v>4.7564063392731502</v>
      </c>
      <c r="E781" s="1">
        <v>3.5554993342104999</v>
      </c>
      <c r="F781" s="1">
        <v>0.40622003154214997</v>
      </c>
      <c r="G781" s="3" t="str">
        <f>"NDUFS1"</f>
        <v>NDUFS1</v>
      </c>
      <c r="H781" s="1">
        <v>4719</v>
      </c>
      <c r="I781" s="1" t="str">
        <f>"NADH:ubiquinone oxidoreductase core subunit S1"</f>
        <v>NADH:ubiquinone oxidoreductase core subunit S1</v>
      </c>
    </row>
    <row r="782" spans="1:9" x14ac:dyDescent="0.35">
      <c r="A782" s="1" t="str">
        <f>"205054_at"</f>
        <v>205054_at</v>
      </c>
      <c r="B782" s="1">
        <v>0.149809025164545</v>
      </c>
      <c r="C782" s="1">
        <v>3.45131189739157E-2</v>
      </c>
      <c r="D782" s="1">
        <v>2.1422388577035001</v>
      </c>
      <c r="E782" s="1">
        <v>-4.3254403048283603</v>
      </c>
      <c r="F782" s="1">
        <v>0.32213433079650899</v>
      </c>
      <c r="G782" s="3" t="str">
        <f>"NEB"</f>
        <v>NEB</v>
      </c>
      <c r="H782" s="1">
        <v>4703</v>
      </c>
      <c r="I782" s="1" t="str">
        <f>"nebulin"</f>
        <v>nebulin</v>
      </c>
    </row>
    <row r="783" spans="1:9" x14ac:dyDescent="0.35">
      <c r="A783" s="1" t="str">
        <f>"203961_at"</f>
        <v>203961_at</v>
      </c>
      <c r="B783" s="2">
        <v>1.3174731322057001E-6</v>
      </c>
      <c r="C783" s="2">
        <v>1.3539530012794701E-8</v>
      </c>
      <c r="D783" s="1">
        <v>6.16714174949779</v>
      </c>
      <c r="E783" s="1">
        <v>9.4257064599614502</v>
      </c>
      <c r="F783" s="1">
        <v>0.55542913854069198</v>
      </c>
      <c r="G783" s="3" t="str">
        <f>"NEBL"</f>
        <v>NEBL</v>
      </c>
      <c r="H783" s="1">
        <v>10529</v>
      </c>
      <c r="I783" s="1" t="str">
        <f>"nebulette"</f>
        <v>nebulette</v>
      </c>
    </row>
    <row r="784" spans="1:9" x14ac:dyDescent="0.35">
      <c r="A784" s="1" t="str">
        <f>"210720_s_at"</f>
        <v>210720_s_at</v>
      </c>
      <c r="B784" s="1">
        <v>4.0298136803957902E-4</v>
      </c>
      <c r="C784" s="2">
        <v>1.4984783322334799E-5</v>
      </c>
      <c r="D784" s="1">
        <v>4.5436671743140398</v>
      </c>
      <c r="E784" s="1">
        <v>2.7491199735778902</v>
      </c>
      <c r="F784" s="1">
        <v>0.30347781330522799</v>
      </c>
      <c r="G784" s="3" t="str">
        <f>"NECAB3"</f>
        <v>NECAB3</v>
      </c>
      <c r="H784" s="1">
        <v>63941</v>
      </c>
      <c r="I784" s="1" t="str">
        <f>"N-terminal EF-hand calcium binding protein 3"</f>
        <v>N-terminal EF-hand calcium binding protein 3</v>
      </c>
    </row>
    <row r="785" spans="1:9" x14ac:dyDescent="0.35">
      <c r="A785" s="1" t="str">
        <f>"202150_s_at"</f>
        <v>202150_s_at</v>
      </c>
      <c r="B785" s="1">
        <v>6.12487521562822E-4</v>
      </c>
      <c r="C785" s="2">
        <v>2.5507715299120301E-5</v>
      </c>
      <c r="D785" s="1">
        <v>-4.4079957662501696</v>
      </c>
      <c r="E785" s="1">
        <v>2.2475970480556202</v>
      </c>
      <c r="F785" s="1">
        <v>-0.40053892084593001</v>
      </c>
      <c r="G785" s="3" t="str">
        <f>"NEDD9"</f>
        <v>NEDD9</v>
      </c>
      <c r="H785" s="1">
        <v>4739</v>
      </c>
      <c r="I785" s="1" t="str">
        <f>"neural precursor cell expressed, developmentally down-regulated 9"</f>
        <v>neural precursor cell expressed, developmentally down-regulated 9</v>
      </c>
    </row>
    <row r="786" spans="1:9" x14ac:dyDescent="0.35">
      <c r="A786" s="1" t="str">
        <f>"213438_at"</f>
        <v>213438_at</v>
      </c>
      <c r="B786" s="2">
        <v>1.3304842870673E-12</v>
      </c>
      <c r="C786" s="2">
        <v>7.7621037256540197E-16</v>
      </c>
      <c r="D786" s="1">
        <v>9.5283983792398192</v>
      </c>
      <c r="E786" s="1">
        <v>25.463259885411698</v>
      </c>
      <c r="F786" s="1">
        <v>0.60514212973401005</v>
      </c>
      <c r="G786" s="3" t="str">
        <f>"NFASC"</f>
        <v>NFASC</v>
      </c>
      <c r="H786" s="1">
        <v>23114</v>
      </c>
      <c r="I786" s="1" t="str">
        <f>"neurofascin"</f>
        <v>neurofascin</v>
      </c>
    </row>
    <row r="787" spans="1:9" x14ac:dyDescent="0.35">
      <c r="A787" s="1" t="str">
        <f>"200759_x_at"</f>
        <v>200759_x_at</v>
      </c>
      <c r="B787" s="2">
        <v>4.0007305828548397E-5</v>
      </c>
      <c r="C787" s="2">
        <v>8.9950456491956804E-7</v>
      </c>
      <c r="D787" s="1">
        <v>5.2261830537917202</v>
      </c>
      <c r="E787" s="1">
        <v>5.4163184424061601</v>
      </c>
      <c r="F787" s="1">
        <v>0.432352011473839</v>
      </c>
      <c r="G787" s="3" t="str">
        <f>"NFE2L1"</f>
        <v>NFE2L1</v>
      </c>
      <c r="H787" s="1">
        <v>4779</v>
      </c>
      <c r="I787" s="1" t="str">
        <f>"nuclear factor, erythroid 2 like 1"</f>
        <v>nuclear factor, erythroid 2 like 1</v>
      </c>
    </row>
    <row r="788" spans="1:9" x14ac:dyDescent="0.35">
      <c r="A788" s="1" t="str">
        <f>"213029_at"</f>
        <v>213029_at</v>
      </c>
      <c r="B788" s="2">
        <v>5.0765259601020903E-5</v>
      </c>
      <c r="C788" s="2">
        <v>1.18694521617968E-6</v>
      </c>
      <c r="D788" s="1">
        <v>5.1611357461356002</v>
      </c>
      <c r="E788" s="1">
        <v>5.15246246624279</v>
      </c>
      <c r="F788" s="1">
        <v>0.43888077042151102</v>
      </c>
      <c r="G788" s="3" t="str">
        <f>"NFIB"</f>
        <v>NFIB</v>
      </c>
      <c r="H788" s="1">
        <v>4781</v>
      </c>
      <c r="I788" s="1" t="str">
        <f>"nuclear factor I B"</f>
        <v>nuclear factor I B</v>
      </c>
    </row>
    <row r="789" spans="1:9" x14ac:dyDescent="0.35">
      <c r="A789" s="1" t="str">
        <f>"203574_at"</f>
        <v>203574_at</v>
      </c>
      <c r="B789" s="1">
        <v>4.3671691658013799E-4</v>
      </c>
      <c r="C789" s="2">
        <v>1.6521669464482199E-5</v>
      </c>
      <c r="D789" s="1">
        <v>-4.5189469708227499</v>
      </c>
      <c r="E789" s="1">
        <v>2.6569848104091802</v>
      </c>
      <c r="F789" s="1">
        <v>-0.61362419530087398</v>
      </c>
      <c r="G789" s="3" t="str">
        <f>"NFIL3"</f>
        <v>NFIL3</v>
      </c>
      <c r="H789" s="1">
        <v>4783</v>
      </c>
      <c r="I789" s="1" t="str">
        <f>"nuclear factor, interleukin 3 regulated"</f>
        <v>nuclear factor, interleukin 3 regulated</v>
      </c>
    </row>
    <row r="790" spans="1:9" x14ac:dyDescent="0.35">
      <c r="A790" s="1" t="str">
        <f>"214062_x_at"</f>
        <v>214062_x_at</v>
      </c>
      <c r="B790" s="2">
        <v>6.6617654650523504E-5</v>
      </c>
      <c r="C790" s="2">
        <v>1.68315485205065E-6</v>
      </c>
      <c r="D790" s="1">
        <v>-5.0785775824332502</v>
      </c>
      <c r="E790" s="1">
        <v>4.8203538723008901</v>
      </c>
      <c r="F790" s="1">
        <v>-0.32271934553924497</v>
      </c>
      <c r="G790" s="3" t="str">
        <f>"NFKBIB"</f>
        <v>NFKBIB</v>
      </c>
      <c r="H790" s="1">
        <v>4793</v>
      </c>
      <c r="I790" s="1" t="str">
        <f>"NFKB inhibitor beta"</f>
        <v>NFKB inhibitor beta</v>
      </c>
    </row>
    <row r="791" spans="1:9" x14ac:dyDescent="0.35">
      <c r="A791" s="1" t="str">
        <f>"202215_s_at"</f>
        <v>202215_s_at</v>
      </c>
      <c r="B791" s="1">
        <v>4.3676133911321697E-4</v>
      </c>
      <c r="C791" s="2">
        <v>1.65429506893845E-5</v>
      </c>
      <c r="D791" s="1">
        <v>4.5186205266797099</v>
      </c>
      <c r="E791" s="1">
        <v>2.6557703413701601</v>
      </c>
      <c r="F791" s="1">
        <v>0.32347231040843299</v>
      </c>
      <c r="G791" s="3" t="str">
        <f>"NFYC"</f>
        <v>NFYC</v>
      </c>
      <c r="H791" s="1">
        <v>4802</v>
      </c>
      <c r="I791" s="1" t="str">
        <f>"nuclear transcription factor Y subunit gamma"</f>
        <v>nuclear transcription factor Y subunit gamma</v>
      </c>
    </row>
    <row r="792" spans="1:9" x14ac:dyDescent="0.35">
      <c r="A792" s="1" t="str">
        <f>"202008_s_at"</f>
        <v>202008_s_at</v>
      </c>
      <c r="B792" s="1">
        <v>3.04002460066039E-3</v>
      </c>
      <c r="C792" s="1">
        <v>1.9850270582779999E-4</v>
      </c>
      <c r="D792" s="1">
        <v>-3.8583500026057602</v>
      </c>
      <c r="E792" s="1">
        <v>0.32536925735195799</v>
      </c>
      <c r="F792" s="1">
        <v>-0.38620074918168401</v>
      </c>
      <c r="G792" s="3" t="str">
        <f>"NID1"</f>
        <v>NID1</v>
      </c>
      <c r="H792" s="1">
        <v>4811</v>
      </c>
      <c r="I792" s="1" t="str">
        <f>"nidogen 1"</f>
        <v>nidogen 1</v>
      </c>
    </row>
    <row r="793" spans="1:9" x14ac:dyDescent="0.35">
      <c r="A793" s="1" t="str">
        <f>"218557_at"</f>
        <v>218557_at</v>
      </c>
      <c r="B793" s="2">
        <v>2.2498983711449599E-6</v>
      </c>
      <c r="C793" s="2">
        <v>2.6554919517619901E-8</v>
      </c>
      <c r="D793" s="1">
        <v>6.0207361914677602</v>
      </c>
      <c r="E793" s="1">
        <v>8.7804242526894392</v>
      </c>
      <c r="F793" s="1">
        <v>0.31936730467151397</v>
      </c>
      <c r="G793" s="3" t="str">
        <f>"NIT2"</f>
        <v>NIT2</v>
      </c>
      <c r="H793" s="1">
        <v>56954</v>
      </c>
      <c r="I793" s="1" t="str">
        <f>"nitrilase family member 2"</f>
        <v>nitrilase family member 2</v>
      </c>
    </row>
    <row r="794" spans="1:9" x14ac:dyDescent="0.35">
      <c r="A794" s="1" t="str">
        <f>"201577_at"</f>
        <v>201577_at</v>
      </c>
      <c r="B794" s="2">
        <v>5.0140676417674798E-7</v>
      </c>
      <c r="C794" s="2">
        <v>4.0769789036216604E-9</v>
      </c>
      <c r="D794" s="1">
        <v>-6.4245260089098997</v>
      </c>
      <c r="E794" s="1">
        <v>10.576654129871701</v>
      </c>
      <c r="F794" s="1">
        <v>-0.59770144006104398</v>
      </c>
      <c r="G794" s="3" t="str">
        <f>"NME1"</f>
        <v>NME1</v>
      </c>
      <c r="H794" s="1">
        <v>4830</v>
      </c>
      <c r="I794" s="1" t="str">
        <f>"NME/NM23 nucleoside diphosphate kinase 1"</f>
        <v>NME/NM23 nucleoside diphosphate kinase 1</v>
      </c>
    </row>
    <row r="795" spans="1:9" x14ac:dyDescent="0.35">
      <c r="A795" s="1" t="str">
        <f>"201268_at"</f>
        <v>201268_at</v>
      </c>
      <c r="B795" s="2">
        <v>4.8139959969209102E-7</v>
      </c>
      <c r="C795" s="2">
        <v>3.7590777878393299E-9</v>
      </c>
      <c r="D795" s="1">
        <v>-6.44178598172783</v>
      </c>
      <c r="E795" s="1">
        <v>10.6545489702849</v>
      </c>
      <c r="F795" s="1">
        <v>-0.38745106703634002</v>
      </c>
      <c r="G795" s="3" t="str">
        <f>"NME1-NME2"</f>
        <v>NME1-NME2</v>
      </c>
      <c r="H795" s="1">
        <v>654364</v>
      </c>
      <c r="I795" s="1" t="str">
        <f>"NME1-NME2 readthrough///NME/NM23 nucleoside diphosphate kinase 2"</f>
        <v>NME1-NME2 readthrough///NME/NM23 nucleoside diphosphate kinase 2</v>
      </c>
    </row>
    <row r="796" spans="1:9" x14ac:dyDescent="0.35">
      <c r="A796" s="1" t="str">
        <f>"212739_s_at"</f>
        <v>212739_s_at</v>
      </c>
      <c r="B796" s="2">
        <v>9.7339397656977697E-5</v>
      </c>
      <c r="C796" s="2">
        <v>2.67841251370884E-6</v>
      </c>
      <c r="D796" s="1">
        <v>4.96764145067967</v>
      </c>
      <c r="E796" s="1">
        <v>4.3791106237103401</v>
      </c>
      <c r="F796" s="1">
        <v>0.31237710993749901</v>
      </c>
      <c r="G796" s="3" t="str">
        <f>"NME4"</f>
        <v>NME4</v>
      </c>
      <c r="H796" s="1">
        <v>4833</v>
      </c>
      <c r="I796" s="1" t="str">
        <f>"NME/NM23 nucleoside diphosphate kinase 4"</f>
        <v>NME/NM23 nucleoside diphosphate kinase 4</v>
      </c>
    </row>
    <row r="797" spans="1:9" x14ac:dyDescent="0.35">
      <c r="A797" s="1" t="str">
        <f>"205895_s_at"</f>
        <v>205895_s_at</v>
      </c>
      <c r="B797" s="1">
        <v>3.3716867361962503E-4</v>
      </c>
      <c r="C797" s="2">
        <v>1.20898339641018E-5</v>
      </c>
      <c r="D797" s="1">
        <v>-4.59774176504986</v>
      </c>
      <c r="E797" s="1">
        <v>2.9518151365994898</v>
      </c>
      <c r="F797" s="1">
        <v>-0.32654720593895997</v>
      </c>
      <c r="G797" s="3" t="str">
        <f>"NOLC1"</f>
        <v>NOLC1</v>
      </c>
      <c r="H797" s="1">
        <v>9221</v>
      </c>
      <c r="I797" s="1" t="str">
        <f>"nucleolar and coiled-body phosphoprotein 1"</f>
        <v>nucleolar and coiled-body phosphoprotein 1</v>
      </c>
    </row>
    <row r="798" spans="1:9" x14ac:dyDescent="0.35">
      <c r="A798" s="1" t="str">
        <f>"203023_at"</f>
        <v>203023_at</v>
      </c>
      <c r="B798" s="2">
        <v>2.8589129329120702E-7</v>
      </c>
      <c r="C798" s="2">
        <v>2.0528028957767399E-9</v>
      </c>
      <c r="D798" s="1">
        <v>-6.5698561634557802</v>
      </c>
      <c r="E798" s="1">
        <v>11.2351853533987</v>
      </c>
      <c r="F798" s="1">
        <v>-0.53596904268023104</v>
      </c>
      <c r="G798" s="3" t="str">
        <f>"NOP16"</f>
        <v>NOP16</v>
      </c>
      <c r="H798" s="1">
        <v>51491</v>
      </c>
      <c r="I798" s="1" t="str">
        <f>"NOP16 nucleolar protein"</f>
        <v>NOP16 nucleolar protein</v>
      </c>
    </row>
    <row r="799" spans="1:9" x14ac:dyDescent="0.35">
      <c r="A799" s="1" t="str">
        <f>"205581_s_at"</f>
        <v>205581_s_at</v>
      </c>
      <c r="B799" s="1">
        <v>2.6783257983010702E-4</v>
      </c>
      <c r="C799" s="2">
        <v>9.2070078602460303E-6</v>
      </c>
      <c r="D799" s="1">
        <v>-4.6658280667819199</v>
      </c>
      <c r="E799" s="1">
        <v>3.2092532448683402</v>
      </c>
      <c r="F799" s="1">
        <v>-0.40902682887645397</v>
      </c>
      <c r="G799" s="3" t="str">
        <f>"NOS3"</f>
        <v>NOS3</v>
      </c>
      <c r="H799" s="1">
        <v>4846</v>
      </c>
      <c r="I799" s="1" t="str">
        <f>"nitric oxide synthase 3"</f>
        <v>nitric oxide synthase 3</v>
      </c>
    </row>
    <row r="800" spans="1:9" x14ac:dyDescent="0.35">
      <c r="A800" s="1" t="str">
        <f>"202443_x_at"</f>
        <v>202443_x_at</v>
      </c>
      <c r="B800" s="1">
        <v>2.8041257487559199E-3</v>
      </c>
      <c r="C800" s="1">
        <v>1.78721398613754E-4</v>
      </c>
      <c r="D800" s="1">
        <v>3.8876459904604399</v>
      </c>
      <c r="E800" s="1">
        <v>0.42314807289251</v>
      </c>
      <c r="F800" s="1">
        <v>0.36193195008866602</v>
      </c>
      <c r="G800" s="3" t="str">
        <f>"NOTCH2"</f>
        <v>NOTCH2</v>
      </c>
      <c r="H800" s="1">
        <v>4853</v>
      </c>
      <c r="I800" s="1" t="str">
        <f>"notch 2"</f>
        <v>notch 2</v>
      </c>
    </row>
    <row r="801" spans="1:9" x14ac:dyDescent="0.35">
      <c r="A801" s="1" t="str">
        <f>"203238_s_at"</f>
        <v>203238_s_at</v>
      </c>
      <c r="B801" s="2">
        <v>3.67874350701641E-6</v>
      </c>
      <c r="C801" s="2">
        <v>5.0187947140555098E-8</v>
      </c>
      <c r="D801" s="1">
        <v>5.8809475586531601</v>
      </c>
      <c r="E801" s="1">
        <v>8.1711192045658301</v>
      </c>
      <c r="F801" s="1">
        <v>0.43407645776598502</v>
      </c>
      <c r="G801" s="3" t="str">
        <f>"NOTCH3"</f>
        <v>NOTCH3</v>
      </c>
      <c r="H801" s="1">
        <v>4854</v>
      </c>
      <c r="I801" s="1" t="str">
        <f>"notch 3"</f>
        <v>notch 3</v>
      </c>
    </row>
    <row r="802" spans="1:9" x14ac:dyDescent="0.35">
      <c r="A802" s="1" t="str">
        <f>"205460_at"</f>
        <v>205460_at</v>
      </c>
      <c r="B802" s="1">
        <v>1.06744914123324E-3</v>
      </c>
      <c r="C802" s="2">
        <v>5.1688624664123403E-5</v>
      </c>
      <c r="D802" s="1">
        <v>-4.2238652545376798</v>
      </c>
      <c r="E802" s="1">
        <v>1.5835551187110899</v>
      </c>
      <c r="F802" s="1">
        <v>-0.31553403137063801</v>
      </c>
      <c r="G802" s="3" t="str">
        <f>"NPAS2"</f>
        <v>NPAS2</v>
      </c>
      <c r="H802" s="1">
        <v>4862</v>
      </c>
      <c r="I802" s="1" t="str">
        <f>"neuronal PAS domain protein 2"</f>
        <v>neuronal PAS domain protein 2</v>
      </c>
    </row>
    <row r="803" spans="1:9" x14ac:dyDescent="0.35">
      <c r="A803" s="1" t="str">
        <f>"202679_at"</f>
        <v>202679_at</v>
      </c>
      <c r="B803" s="1">
        <v>3.11972918537104E-4</v>
      </c>
      <c r="C803" s="2">
        <v>1.10743875852825E-5</v>
      </c>
      <c r="D803" s="1">
        <v>-4.6197335367795702</v>
      </c>
      <c r="E803" s="1">
        <v>3.03469841606461</v>
      </c>
      <c r="F803" s="1">
        <v>-0.37890995322528898</v>
      </c>
      <c r="G803" s="3" t="str">
        <f>"NPC1"</f>
        <v>NPC1</v>
      </c>
      <c r="H803" s="1">
        <v>4864</v>
      </c>
      <c r="I803" s="1" t="str">
        <f>"NPC intracellular cholesterol transporter 1"</f>
        <v>NPC intracellular cholesterol transporter 1</v>
      </c>
    </row>
    <row r="804" spans="1:9" x14ac:dyDescent="0.35">
      <c r="A804" s="1" t="str">
        <f>"209957_s_at"</f>
        <v>209957_s_at</v>
      </c>
      <c r="B804" s="2">
        <v>4.0741281691708698E-8</v>
      </c>
      <c r="C804" s="2">
        <v>1.6455214074647799E-10</v>
      </c>
      <c r="D804" s="1">
        <v>7.0949059590292602</v>
      </c>
      <c r="E804" s="1">
        <v>13.6600655750611</v>
      </c>
      <c r="F804" s="1">
        <v>1.9979950453343001</v>
      </c>
      <c r="G804" s="3" t="str">
        <f>"NPPA"</f>
        <v>NPPA</v>
      </c>
      <c r="H804" s="1">
        <v>4878</v>
      </c>
      <c r="I804" s="1" t="str">
        <f>"natriuretic peptide A"</f>
        <v>natriuretic peptide A</v>
      </c>
    </row>
    <row r="805" spans="1:9" x14ac:dyDescent="0.35">
      <c r="A805" s="1" t="str">
        <f>"219054_at"</f>
        <v>219054_at</v>
      </c>
      <c r="B805" s="2">
        <v>6.4767367550039095E-5</v>
      </c>
      <c r="C805" s="2">
        <v>1.6220396377013901E-6</v>
      </c>
      <c r="D805" s="1">
        <v>5.0873533496621102</v>
      </c>
      <c r="E805" s="1">
        <v>4.8555066661329001</v>
      </c>
      <c r="F805" s="1">
        <v>0.68654866225727296</v>
      </c>
      <c r="G805" s="3" t="str">
        <f>"NPR3"</f>
        <v>NPR3</v>
      </c>
      <c r="H805" s="1">
        <v>4883</v>
      </c>
      <c r="I805" s="1" t="str">
        <f>"natriuretic peptide receptor 3"</f>
        <v>natriuretic peptide receptor 3</v>
      </c>
    </row>
    <row r="806" spans="1:9" x14ac:dyDescent="0.35">
      <c r="A806" s="1" t="str">
        <f>"213479_at"</f>
        <v>213479_at</v>
      </c>
      <c r="B806" s="2">
        <v>2.89624266769613E-8</v>
      </c>
      <c r="C806" s="2">
        <v>1.1047912164168699E-10</v>
      </c>
      <c r="D806" s="1">
        <v>-7.1766131954941201</v>
      </c>
      <c r="E806" s="1">
        <v>14.0431701722383</v>
      </c>
      <c r="F806" s="1">
        <v>-0.96768483392732296</v>
      </c>
      <c r="G806" s="3" t="str">
        <f>"NPTX2"</f>
        <v>NPTX2</v>
      </c>
      <c r="H806" s="1">
        <v>4885</v>
      </c>
      <c r="I806" s="1" t="str">
        <f>"neuronal pentraxin 2"</f>
        <v>neuronal pentraxin 2</v>
      </c>
    </row>
    <row r="807" spans="1:9" x14ac:dyDescent="0.35">
      <c r="A807" s="1" t="str">
        <f>"210444_at"</f>
        <v>210444_at</v>
      </c>
      <c r="B807" s="1">
        <v>0.15643476977456799</v>
      </c>
      <c r="C807" s="1">
        <v>3.6758625613231503E-2</v>
      </c>
      <c r="D807" s="1">
        <v>-2.1157527063203299</v>
      </c>
      <c r="E807" s="1">
        <v>-4.3788394639107198</v>
      </c>
      <c r="F807" s="1">
        <v>-0.31802732076889501</v>
      </c>
      <c r="G807" s="3" t="str">
        <f>"NPY6R"</f>
        <v>NPY6R</v>
      </c>
      <c r="H807" s="1">
        <v>4888</v>
      </c>
      <c r="I807" s="1" t="str">
        <f>"neuropeptide Y receptor Y6 (pseudogene)"</f>
        <v>neuropeptide Y receptor Y6 (pseudogene)</v>
      </c>
    </row>
    <row r="808" spans="1:9" x14ac:dyDescent="0.35">
      <c r="A808" s="1" t="str">
        <f>"210519_s_at"</f>
        <v>210519_s_at</v>
      </c>
      <c r="B808" s="2">
        <v>8.7576479565224005E-6</v>
      </c>
      <c r="C808" s="2">
        <v>1.40307872390544E-7</v>
      </c>
      <c r="D808" s="1">
        <v>-5.6519374905981197</v>
      </c>
      <c r="E808" s="1">
        <v>7.1882292509983499</v>
      </c>
      <c r="F808" s="1">
        <v>-0.43003059101744201</v>
      </c>
      <c r="G808" s="3" t="str">
        <f>"NQO1"</f>
        <v>NQO1</v>
      </c>
      <c r="H808" s="1">
        <v>1728</v>
      </c>
      <c r="I808" s="1" t="str">
        <f>"NAD(P)H quinone dehydrogenase 1"</f>
        <v>NAD(P)H quinone dehydrogenase 1</v>
      </c>
    </row>
    <row r="809" spans="1:9" x14ac:dyDescent="0.35">
      <c r="A809" s="1" t="str">
        <f>"216321_s_at"</f>
        <v>216321_s_at</v>
      </c>
      <c r="B809" s="1">
        <v>3.14902894680593E-3</v>
      </c>
      <c r="C809" s="1">
        <v>2.06185577946859E-4</v>
      </c>
      <c r="D809" s="1">
        <v>3.8477168988725898</v>
      </c>
      <c r="E809" s="1">
        <v>0.29001594175651801</v>
      </c>
      <c r="F809" s="1">
        <v>0.498657120722381</v>
      </c>
      <c r="G809" s="3" t="str">
        <f>"NR3C1"</f>
        <v>NR3C1</v>
      </c>
      <c r="H809" s="1">
        <v>2908</v>
      </c>
      <c r="I809" s="1" t="str">
        <f>"nuclear receptor subfamily 3 group C member 1"</f>
        <v>nuclear receptor subfamily 3 group C member 1</v>
      </c>
    </row>
    <row r="810" spans="1:9" x14ac:dyDescent="0.35">
      <c r="A810" s="1" t="str">
        <f>"202340_x_at"</f>
        <v>202340_x_at</v>
      </c>
      <c r="B810" s="1">
        <v>5.0905952386798799E-2</v>
      </c>
      <c r="C810" s="1">
        <v>7.6508564620288598E-3</v>
      </c>
      <c r="D810" s="1">
        <v>-2.7202004769071002</v>
      </c>
      <c r="E810" s="1">
        <v>-3.0128077946971699</v>
      </c>
      <c r="F810" s="1">
        <v>-0.32866085835755898</v>
      </c>
      <c r="G810" s="3" t="str">
        <f>"NR4A1"</f>
        <v>NR4A1</v>
      </c>
      <c r="H810" s="1">
        <v>3164</v>
      </c>
      <c r="I810" s="1" t="str">
        <f>"nuclear receptor subfamily 4 group A member 1"</f>
        <v>nuclear receptor subfamily 4 group A member 1</v>
      </c>
    </row>
    <row r="811" spans="1:9" x14ac:dyDescent="0.35">
      <c r="A811" s="1" t="str">
        <f>"207089_at"</f>
        <v>207089_at</v>
      </c>
      <c r="B811" s="1">
        <v>1.44306584964869E-3</v>
      </c>
      <c r="C811" s="2">
        <v>7.5705424684257997E-5</v>
      </c>
      <c r="D811" s="1">
        <v>-4.1222908903546296</v>
      </c>
      <c r="E811" s="1">
        <v>1.2257230125238401</v>
      </c>
      <c r="F811" s="1">
        <v>-1.3483195887325601</v>
      </c>
      <c r="G811" s="3" t="str">
        <f>"NRAP"</f>
        <v>NRAP</v>
      </c>
      <c r="H811" s="1">
        <v>4892</v>
      </c>
      <c r="I811" s="1" t="str">
        <f>"nebulin related anchoring protein"</f>
        <v>nebulin related anchoring protein</v>
      </c>
    </row>
    <row r="812" spans="1:9" x14ac:dyDescent="0.35">
      <c r="A812" s="1" t="str">
        <f>"201310_s_at"</f>
        <v>201310_s_at</v>
      </c>
      <c r="B812" s="2">
        <v>5.49443575307787E-5</v>
      </c>
      <c r="C812" s="2">
        <v>1.3139069597014701E-6</v>
      </c>
      <c r="D812" s="1">
        <v>5.1371890375052303</v>
      </c>
      <c r="E812" s="1">
        <v>5.0558086592500402</v>
      </c>
      <c r="F812" s="1">
        <v>0.84336570205668304</v>
      </c>
      <c r="G812" s="3" t="str">
        <f>"NREP"</f>
        <v>NREP</v>
      </c>
      <c r="H812" s="1">
        <v>9315</v>
      </c>
      <c r="I812" s="1" t="str">
        <f>"neuronal regeneration related protein"</f>
        <v>neuronal regeneration related protein</v>
      </c>
    </row>
    <row r="813" spans="1:9" x14ac:dyDescent="0.35">
      <c r="A813" s="1" t="str">
        <f>"202600_s_at"</f>
        <v>202600_s_at</v>
      </c>
      <c r="B813" s="1">
        <v>0.123722378773522</v>
      </c>
      <c r="C813" s="1">
        <v>2.61818332673921E-2</v>
      </c>
      <c r="D813" s="1">
        <v>-2.2557879097313802</v>
      </c>
      <c r="E813" s="1">
        <v>-4.08966334253439</v>
      </c>
      <c r="F813" s="1">
        <v>-0.33451025938953599</v>
      </c>
      <c r="G813" s="3" t="str">
        <f>"NRIP1"</f>
        <v>NRIP1</v>
      </c>
      <c r="H813" s="1">
        <v>8204</v>
      </c>
      <c r="I813" s="1" t="str">
        <f>"nuclear receptor interacting protein 1"</f>
        <v>nuclear receptor interacting protein 1</v>
      </c>
    </row>
    <row r="814" spans="1:9" x14ac:dyDescent="0.35">
      <c r="A814" s="1" t="str">
        <f>"218625_at"</f>
        <v>218625_at</v>
      </c>
      <c r="B814" s="1">
        <v>2.7514114931355199E-3</v>
      </c>
      <c r="C814" s="1">
        <v>1.7385394167458701E-4</v>
      </c>
      <c r="D814" s="1">
        <v>3.8953283882953502</v>
      </c>
      <c r="E814" s="1">
        <v>0.44887960527467002</v>
      </c>
      <c r="F814" s="1">
        <v>0.43603253603779002</v>
      </c>
      <c r="G814" s="3" t="str">
        <f>"NRN1"</f>
        <v>NRN1</v>
      </c>
      <c r="H814" s="1">
        <v>51299</v>
      </c>
      <c r="I814" s="1" t="str">
        <f>"neuritin 1"</f>
        <v>neuritin 1</v>
      </c>
    </row>
    <row r="815" spans="1:9" x14ac:dyDescent="0.35">
      <c r="A815" s="1" t="str">
        <f>"212298_at"</f>
        <v>212298_at</v>
      </c>
      <c r="B815" s="1">
        <v>0.16253535160754601</v>
      </c>
      <c r="C815" s="1">
        <v>3.9060126906538997E-2</v>
      </c>
      <c r="D815" s="1">
        <v>2.0900193342801798</v>
      </c>
      <c r="E815" s="1">
        <v>-4.4301381056970097</v>
      </c>
      <c r="F815" s="1">
        <v>0.31990120809592898</v>
      </c>
      <c r="G815" s="3" t="str">
        <f>"NRP1"</f>
        <v>NRP1</v>
      </c>
      <c r="H815" s="1">
        <v>8829</v>
      </c>
      <c r="I815" s="1" t="str">
        <f>"neuropilin 1"</f>
        <v>neuropilin 1</v>
      </c>
    </row>
    <row r="816" spans="1:9" x14ac:dyDescent="0.35">
      <c r="A816" s="1" t="str">
        <f>"209279_s_at"</f>
        <v>209279_s_at</v>
      </c>
      <c r="B816" s="2">
        <v>1.24479839370161E-5</v>
      </c>
      <c r="C816" s="2">
        <v>2.15073096789085E-7</v>
      </c>
      <c r="D816" s="1">
        <v>-5.5554994990520203</v>
      </c>
      <c r="E816" s="1">
        <v>6.7803326625426896</v>
      </c>
      <c r="F816" s="1">
        <v>-0.32578467296511499</v>
      </c>
      <c r="G816" s="3" t="str">
        <f>"NSDHL"</f>
        <v>NSDHL</v>
      </c>
      <c r="H816" s="1">
        <v>50814</v>
      </c>
      <c r="I816" s="1" t="str">
        <f>"NAD(P) dependent steroid dehydrogenase-like"</f>
        <v>NAD(P) dependent steroid dehydrogenase-like</v>
      </c>
    </row>
    <row r="817" spans="1:9" x14ac:dyDescent="0.35">
      <c r="A817" s="1" t="str">
        <f>"218051_s_at"</f>
        <v>218051_s_at</v>
      </c>
      <c r="B817" s="1">
        <v>2.7194900030657601E-3</v>
      </c>
      <c r="C817" s="1">
        <v>1.7098260980546301E-4</v>
      </c>
      <c r="D817" s="1">
        <v>-3.8999570650412001</v>
      </c>
      <c r="E817" s="1">
        <v>0.46440108225993498</v>
      </c>
      <c r="F817" s="1">
        <v>-0.40980886413953299</v>
      </c>
      <c r="G817" s="3" t="str">
        <f>"NT5DC2"</f>
        <v>NT5DC2</v>
      </c>
      <c r="H817" s="1">
        <v>64943</v>
      </c>
      <c r="I817" s="1" t="str">
        <f>"5'-nucleotidase domain containing 2"</f>
        <v>5'-nucleotidase domain containing 2</v>
      </c>
    </row>
    <row r="818" spans="1:9" x14ac:dyDescent="0.35">
      <c r="A818" s="1" t="str">
        <f>"221796_at"</f>
        <v>221796_at</v>
      </c>
      <c r="B818" s="1">
        <v>7.1542852306337196E-2</v>
      </c>
      <c r="C818" s="1">
        <v>1.2020663242603201E-2</v>
      </c>
      <c r="D818" s="1">
        <v>2.5564987456449502</v>
      </c>
      <c r="E818" s="1">
        <v>-3.4126306535179598</v>
      </c>
      <c r="F818" s="1">
        <v>0.32127611639098902</v>
      </c>
      <c r="G818" s="3" t="str">
        <f>"NTRK2"</f>
        <v>NTRK2</v>
      </c>
      <c r="H818" s="1">
        <v>4915</v>
      </c>
      <c r="I818" s="1" t="str">
        <f>"neurotrophic receptor tyrosine kinase 2"</f>
        <v>neurotrophic receptor tyrosine kinase 2</v>
      </c>
    </row>
    <row r="819" spans="1:9" x14ac:dyDescent="0.35">
      <c r="A819" s="1" t="str">
        <f>"212605_s_at"</f>
        <v>212605_s_at</v>
      </c>
      <c r="B819" s="1">
        <v>0.124890314661914</v>
      </c>
      <c r="C819" s="1">
        <v>2.6544025949774501E-2</v>
      </c>
      <c r="D819" s="1">
        <v>2.2502345483865498</v>
      </c>
      <c r="E819" s="1">
        <v>-4.1014513680777096</v>
      </c>
      <c r="F819" s="1">
        <v>0.31025061500435802</v>
      </c>
      <c r="G819" s="3" t="str">
        <f>"NUDT3"</f>
        <v>NUDT3</v>
      </c>
      <c r="H819" s="1">
        <v>11165</v>
      </c>
      <c r="I819" s="1" t="str">
        <f>"nudix hydrolase 3"</f>
        <v>nudix hydrolase 3</v>
      </c>
    </row>
    <row r="820" spans="1:9" x14ac:dyDescent="0.35">
      <c r="A820" s="1" t="str">
        <f>"212183_at"</f>
        <v>212183_at</v>
      </c>
      <c r="B820" s="1">
        <v>3.1083565810326098E-2</v>
      </c>
      <c r="C820" s="1">
        <v>3.9560648313999398E-3</v>
      </c>
      <c r="D820" s="1">
        <v>-2.9475942418899299</v>
      </c>
      <c r="E820" s="1">
        <v>-2.4221230629602402</v>
      </c>
      <c r="F820" s="1">
        <v>-0.37654178657994802</v>
      </c>
      <c r="G820" s="3" t="str">
        <f>"NUDT4P1"</f>
        <v>NUDT4P1</v>
      </c>
      <c r="H820" s="1">
        <v>440672</v>
      </c>
      <c r="I820" s="1" t="str">
        <f>"nudix hydrolase 4 pseudogene 1///nudix hydrolase 4"</f>
        <v>nudix hydrolase 4 pseudogene 1///nudix hydrolase 4</v>
      </c>
    </row>
    <row r="821" spans="1:9" x14ac:dyDescent="0.35">
      <c r="A821" s="1" t="str">
        <f>"202900_s_at"</f>
        <v>202900_s_at</v>
      </c>
      <c r="B821" s="1">
        <v>1.0525187462140399E-3</v>
      </c>
      <c r="C821" s="2">
        <v>5.0614637243987403E-5</v>
      </c>
      <c r="D821" s="1">
        <v>-4.2294099258843501</v>
      </c>
      <c r="E821" s="1">
        <v>1.6032643612137401</v>
      </c>
      <c r="F821" s="1">
        <v>-0.30577797269912399</v>
      </c>
      <c r="G821" s="3" t="str">
        <f>"NUP88"</f>
        <v>NUP88</v>
      </c>
      <c r="H821" s="1">
        <v>4927</v>
      </c>
      <c r="I821" s="1" t="str">
        <f>"nucleoporin 88"</f>
        <v>nucleoporin 88</v>
      </c>
    </row>
    <row r="822" spans="1:9" x14ac:dyDescent="0.35">
      <c r="A822" s="1" t="str">
        <f>"201365_at"</f>
        <v>201365_at</v>
      </c>
      <c r="B822" s="2">
        <v>1.32993931421643E-5</v>
      </c>
      <c r="C822" s="2">
        <v>2.3336457023678301E-7</v>
      </c>
      <c r="D822" s="1">
        <v>5.5369787216480999</v>
      </c>
      <c r="E822" s="1">
        <v>6.7024202953012599</v>
      </c>
      <c r="F822" s="1">
        <v>0.32788617382267299</v>
      </c>
      <c r="G822" s="3" t="str">
        <f>"OAZ2"</f>
        <v>OAZ2</v>
      </c>
      <c r="H822" s="1">
        <v>4947</v>
      </c>
      <c r="I822" s="1" t="str">
        <f>"ornithine decarboxylase antizyme 2"</f>
        <v>ornithine decarboxylase antizyme 2</v>
      </c>
    </row>
    <row r="823" spans="1:9" x14ac:dyDescent="0.35">
      <c r="A823" s="1" t="str">
        <f>"214928_at"</f>
        <v>214928_at</v>
      </c>
      <c r="B823" s="1">
        <v>2.4740556153908999E-3</v>
      </c>
      <c r="C823" s="1">
        <v>1.5044407659896199E-4</v>
      </c>
      <c r="D823" s="1">
        <v>3.9354077146186301</v>
      </c>
      <c r="E823" s="1">
        <v>0.58372899553564495</v>
      </c>
      <c r="F823" s="1">
        <v>0.33695678187063999</v>
      </c>
      <c r="G823" s="3" t="str">
        <f>"OBSL1"</f>
        <v>OBSL1</v>
      </c>
      <c r="H823" s="1">
        <v>23363</v>
      </c>
      <c r="I823" s="1" t="str">
        <f>"obscurin like 1"</f>
        <v>obscurin like 1</v>
      </c>
    </row>
    <row r="824" spans="1:9" x14ac:dyDescent="0.35">
      <c r="A824" s="1" t="str">
        <f>"201282_at"</f>
        <v>201282_at</v>
      </c>
      <c r="B824" s="1">
        <v>7.3483780787231195E-2</v>
      </c>
      <c r="C824" s="1">
        <v>1.2491879981242701E-2</v>
      </c>
      <c r="D824" s="1">
        <v>-2.5422307139865699</v>
      </c>
      <c r="E824" s="1">
        <v>-3.4464492622932501</v>
      </c>
      <c r="F824" s="1">
        <v>-0.37108733247965198</v>
      </c>
      <c r="G824" s="3" t="str">
        <f>"OGDH"</f>
        <v>OGDH</v>
      </c>
      <c r="H824" s="1">
        <v>4967</v>
      </c>
      <c r="I824" s="1" t="str">
        <f>"oxoglutarate dehydrogenase"</f>
        <v>oxoglutarate dehydrogenase</v>
      </c>
    </row>
    <row r="825" spans="1:9" x14ac:dyDescent="0.35">
      <c r="A825" s="1" t="str">
        <f>"219277_s_at"</f>
        <v>219277_s_at</v>
      </c>
      <c r="B825" s="1">
        <v>4.6729633975051699E-3</v>
      </c>
      <c r="C825" s="1">
        <v>3.3784248231301102E-4</v>
      </c>
      <c r="D825" s="1">
        <v>3.7076563982547599</v>
      </c>
      <c r="E825" s="1">
        <v>-0.16881449593022901</v>
      </c>
      <c r="F825" s="1">
        <v>0.33182159494767199</v>
      </c>
      <c r="G825" s="3" t="str">
        <f>"OGDHL"</f>
        <v>OGDHL</v>
      </c>
      <c r="H825" s="1">
        <v>55753</v>
      </c>
      <c r="I825" s="1" t="str">
        <f>"oxoglutarate dehydrogenase-like"</f>
        <v>oxoglutarate dehydrogenase-like</v>
      </c>
    </row>
    <row r="826" spans="1:9" x14ac:dyDescent="0.35">
      <c r="A826" s="1" t="str">
        <f>"53071_s_at"</f>
        <v>53071_s_at</v>
      </c>
      <c r="B826" s="1">
        <v>4.1126266713145801E-2</v>
      </c>
      <c r="C826" s="1">
        <v>5.7620699492187399E-3</v>
      </c>
      <c r="D826" s="1">
        <v>2.81950719830269</v>
      </c>
      <c r="E826" s="1">
        <v>-2.7598240149993898</v>
      </c>
      <c r="F826" s="1">
        <v>0.45412450348982403</v>
      </c>
      <c r="G826" s="3" t="str">
        <f>"OGFOD3"</f>
        <v>OGFOD3</v>
      </c>
      <c r="H826" s="1">
        <v>79701</v>
      </c>
      <c r="I826" s="1" t="str">
        <f>"2-oxoglutarate and iron dependent oxygenase domain containing 3"</f>
        <v>2-oxoglutarate and iron dependent oxygenase domain containing 3</v>
      </c>
    </row>
    <row r="827" spans="1:9" x14ac:dyDescent="0.35">
      <c r="A827" s="1" t="str">
        <f>"218730_s_at"</f>
        <v>218730_s_at</v>
      </c>
      <c r="B827" s="2">
        <v>1.0745397947568599E-6</v>
      </c>
      <c r="C827" s="2">
        <v>1.0271371731059999E-8</v>
      </c>
      <c r="D827" s="1">
        <v>6.2267622500706201</v>
      </c>
      <c r="E827" s="1">
        <v>9.6904868004302998</v>
      </c>
      <c r="F827" s="1">
        <v>0.97177663509883905</v>
      </c>
      <c r="G827" s="3" t="str">
        <f>"OGN"</f>
        <v>OGN</v>
      </c>
      <c r="H827" s="1">
        <v>4969</v>
      </c>
      <c r="I827" s="1" t="str">
        <f>"osteoglycin"</f>
        <v>osteoglycin</v>
      </c>
    </row>
    <row r="828" spans="1:9" x14ac:dyDescent="0.35">
      <c r="A828" s="1" t="str">
        <f>"217525_at"</f>
        <v>217525_at</v>
      </c>
      <c r="B828" s="2">
        <v>3.62544943764899E-6</v>
      </c>
      <c r="C828" s="2">
        <v>4.92981725803367E-8</v>
      </c>
      <c r="D828" s="1">
        <v>5.8848958154647297</v>
      </c>
      <c r="E828" s="1">
        <v>8.1882341708702295</v>
      </c>
      <c r="F828" s="1">
        <v>0.39024988009738498</v>
      </c>
      <c r="G828" s="3" t="str">
        <f>"OLFML1"</f>
        <v>OLFML1</v>
      </c>
      <c r="H828" s="1">
        <v>283298</v>
      </c>
      <c r="I828" s="1" t="str">
        <f>"olfactomedin like 1"</f>
        <v>olfactomedin like 1</v>
      </c>
    </row>
    <row r="829" spans="1:9" x14ac:dyDescent="0.35">
      <c r="A829" s="1" t="str">
        <f>"213075_at"</f>
        <v>213075_at</v>
      </c>
      <c r="B829" s="2">
        <v>2.8457553673934001E-8</v>
      </c>
      <c r="C829" s="2">
        <v>1.0599905555519999E-10</v>
      </c>
      <c r="D829" s="1">
        <v>7.1850868175797302</v>
      </c>
      <c r="E829" s="1">
        <v>14.0829810344644</v>
      </c>
      <c r="F829" s="1">
        <v>0.48082521582122201</v>
      </c>
      <c r="G829" s="3" t="str">
        <f>"OLFML2A"</f>
        <v>OLFML2A</v>
      </c>
      <c r="H829" s="1">
        <v>169611</v>
      </c>
      <c r="I829" s="1" t="str">
        <f>"olfactomedin like 2A"</f>
        <v>olfactomedin like 2A</v>
      </c>
    </row>
    <row r="830" spans="1:9" x14ac:dyDescent="0.35">
      <c r="A830" s="1" t="str">
        <f>"218162_at"</f>
        <v>218162_at</v>
      </c>
      <c r="B830" s="2">
        <v>2.8893135892109799E-6</v>
      </c>
      <c r="C830" s="2">
        <v>3.60467252075866E-8</v>
      </c>
      <c r="D830" s="1">
        <v>5.9538072364646402</v>
      </c>
      <c r="E830" s="1">
        <v>8.4878446424871203</v>
      </c>
      <c r="F830" s="1">
        <v>0.50601803223837105</v>
      </c>
      <c r="G830" s="3" t="str">
        <f>"OLFML3"</f>
        <v>OLFML3</v>
      </c>
      <c r="H830" s="1">
        <v>56944</v>
      </c>
      <c r="I830" s="1" t="str">
        <f>"olfactomedin like 3"</f>
        <v>olfactomedin like 3</v>
      </c>
    </row>
    <row r="831" spans="1:9" x14ac:dyDescent="0.35">
      <c r="A831" s="1" t="str">
        <f>"205907_s_at"</f>
        <v>205907_s_at</v>
      </c>
      <c r="B831" s="2">
        <v>2.6999623637883399E-6</v>
      </c>
      <c r="C831" s="2">
        <v>3.2472733182034501E-8</v>
      </c>
      <c r="D831" s="1">
        <v>5.9767119013116101</v>
      </c>
      <c r="E831" s="1">
        <v>8.5877980673352496</v>
      </c>
      <c r="F831" s="1">
        <v>0.66852295772093095</v>
      </c>
      <c r="G831" s="3" t="str">
        <f>"OMD"</f>
        <v>OMD</v>
      </c>
      <c r="H831" s="1">
        <v>4958</v>
      </c>
      <c r="I831" s="1" t="str">
        <f>"osteomodulin"</f>
        <v>osteomodulin</v>
      </c>
    </row>
    <row r="832" spans="1:9" x14ac:dyDescent="0.35">
      <c r="A832" s="1" t="str">
        <f>"212213_x_at"</f>
        <v>212213_x_at</v>
      </c>
      <c r="B832" s="1">
        <v>2.3187517947624299E-3</v>
      </c>
      <c r="C832" s="1">
        <v>1.3725412275239599E-4</v>
      </c>
      <c r="D832" s="1">
        <v>3.9607008932993701</v>
      </c>
      <c r="E832" s="1">
        <v>0.66935099561956002</v>
      </c>
      <c r="F832" s="1">
        <v>0.35019207207703601</v>
      </c>
      <c r="G832" s="3" t="str">
        <f>"OPA1"</f>
        <v>OPA1</v>
      </c>
      <c r="H832" s="1">
        <v>4976</v>
      </c>
      <c r="I832" s="1" t="str">
        <f>"OPA1, mitochondrial dynamin like GTPase"</f>
        <v>OPA1, mitochondrial dynamin like GTPase</v>
      </c>
    </row>
    <row r="833" spans="1:9" x14ac:dyDescent="0.35">
      <c r="A833" s="1" t="str">
        <f>"219032_x_at"</f>
        <v>219032_x_at</v>
      </c>
      <c r="B833" s="1">
        <v>1.19979158887986E-3</v>
      </c>
      <c r="C833" s="2">
        <v>5.9389225980993897E-5</v>
      </c>
      <c r="D833" s="1">
        <v>-4.1870782157515896</v>
      </c>
      <c r="E833" s="1">
        <v>1.45325031464364</v>
      </c>
      <c r="F833" s="1">
        <v>-0.32296939902907201</v>
      </c>
      <c r="G833" s="3" t="str">
        <f>"OPN3"</f>
        <v>OPN3</v>
      </c>
      <c r="H833" s="1">
        <v>23596</v>
      </c>
      <c r="I833" s="1" t="str">
        <f>"opsin 3"</f>
        <v>opsin 3</v>
      </c>
    </row>
    <row r="834" spans="1:9" x14ac:dyDescent="0.35">
      <c r="A834" s="1" t="str">
        <f>"210028_s_at"</f>
        <v>210028_s_at</v>
      </c>
      <c r="B834" s="2">
        <v>1.0485478735140799E-5</v>
      </c>
      <c r="C834" s="2">
        <v>1.7645983600402901E-7</v>
      </c>
      <c r="D834" s="1">
        <v>5.6002765122892999</v>
      </c>
      <c r="E834" s="1">
        <v>6.9692656990164403</v>
      </c>
      <c r="F834" s="1">
        <v>0.31533743809592701</v>
      </c>
      <c r="G834" s="3" t="str">
        <f>"ORC3"</f>
        <v>ORC3</v>
      </c>
      <c r="H834" s="1">
        <v>23595</v>
      </c>
      <c r="I834" s="1" t="str">
        <f>"origin recognition complex subunit 3"</f>
        <v>origin recognition complex subunit 3</v>
      </c>
    </row>
    <row r="835" spans="1:9" x14ac:dyDescent="0.35">
      <c r="A835" s="1" t="str">
        <f>"218556_at"</f>
        <v>218556_at</v>
      </c>
      <c r="B835" s="2">
        <v>1.9736614747386501E-7</v>
      </c>
      <c r="C835" s="2">
        <v>1.26658704343054E-9</v>
      </c>
      <c r="D835" s="1">
        <v>-6.67141670092838</v>
      </c>
      <c r="E835" s="1">
        <v>11.6988438093978</v>
      </c>
      <c r="F835" s="1">
        <v>-0.430733827058146</v>
      </c>
      <c r="G835" s="3" t="str">
        <f>"ORMDL2"</f>
        <v>ORMDL2</v>
      </c>
      <c r="H835" s="1">
        <v>29095</v>
      </c>
      <c r="I835" s="1" t="str">
        <f>"ORMDL sphingolipid biosynthesis regulator 2"</f>
        <v>ORMDL sphingolipid biosynthesis regulator 2</v>
      </c>
    </row>
    <row r="836" spans="1:9" x14ac:dyDescent="0.35">
      <c r="A836" s="1" t="str">
        <f>"209485_s_at"</f>
        <v>209485_s_at</v>
      </c>
      <c r="B836" s="1">
        <v>0.15397099832373601</v>
      </c>
      <c r="C836" s="1">
        <v>3.5865068013324702E-2</v>
      </c>
      <c r="D836" s="1">
        <v>-2.1261200365937301</v>
      </c>
      <c r="E836" s="1">
        <v>-4.3580100920702298</v>
      </c>
      <c r="F836" s="1">
        <v>-0.32329716244040402</v>
      </c>
      <c r="G836" s="3" t="str">
        <f>"OSBPL1A"</f>
        <v>OSBPL1A</v>
      </c>
      <c r="H836" s="1">
        <v>114876</v>
      </c>
      <c r="I836" s="1" t="str">
        <f>"oxysterol binding protein like 1A"</f>
        <v>oxysterol binding protein like 1A</v>
      </c>
    </row>
    <row r="837" spans="1:9" x14ac:dyDescent="0.35">
      <c r="A837" s="1" t="str">
        <f>"205729_at"</f>
        <v>205729_at</v>
      </c>
      <c r="B837" s="1">
        <v>1.3774507787348201E-4</v>
      </c>
      <c r="C837" s="2">
        <v>4.0608228458164804E-6</v>
      </c>
      <c r="D837" s="1">
        <v>-4.8670960055985599</v>
      </c>
      <c r="E837" s="1">
        <v>3.9843166917189299</v>
      </c>
      <c r="F837" s="1">
        <v>-0.38539392492441898</v>
      </c>
      <c r="G837" s="3" t="str">
        <f>"OSMR"</f>
        <v>OSMR</v>
      </c>
      <c r="H837" s="1">
        <v>9180</v>
      </c>
      <c r="I837" s="1" t="str">
        <f>"oncostatin M receptor"</f>
        <v>oncostatin M receptor</v>
      </c>
    </row>
    <row r="838" spans="1:9" x14ac:dyDescent="0.35">
      <c r="A838" s="1" t="str">
        <f>"202780_at"</f>
        <v>202780_at</v>
      </c>
      <c r="B838" s="1">
        <v>2.08072486367106E-3</v>
      </c>
      <c r="C838" s="1">
        <v>1.1905597097251699E-4</v>
      </c>
      <c r="D838" s="1">
        <v>3.9997072166351701</v>
      </c>
      <c r="E838" s="1">
        <v>0.80217928316272902</v>
      </c>
      <c r="F838" s="1">
        <v>0.32360589687645602</v>
      </c>
      <c r="G838" s="3" t="str">
        <f>"OXCT1"</f>
        <v>OXCT1</v>
      </c>
      <c r="H838" s="1">
        <v>5019</v>
      </c>
      <c r="I838" s="1" t="str">
        <f>"3-oxoacid CoA-transferase 1"</f>
        <v>3-oxoacid CoA-transferase 1</v>
      </c>
    </row>
    <row r="839" spans="1:9" x14ac:dyDescent="0.35">
      <c r="A839" s="1" t="str">
        <f>"210448_s_at"</f>
        <v>210448_s_at</v>
      </c>
      <c r="B839" s="2">
        <v>1.6589160661872399E-7</v>
      </c>
      <c r="C839" s="2">
        <v>1.03913543455495E-9</v>
      </c>
      <c r="D839" s="1">
        <v>-6.7128855670968104</v>
      </c>
      <c r="E839" s="1">
        <v>11.8889486567102</v>
      </c>
      <c r="F839" s="1">
        <v>-0.58422061161046301</v>
      </c>
      <c r="G839" s="3" t="str">
        <f>"P2RX5"</f>
        <v>P2RX5</v>
      </c>
      <c r="H839" s="1">
        <v>5026</v>
      </c>
      <c r="I839" s="1" t="str">
        <f>"purinergic receptor P2X 5"</f>
        <v>purinergic receptor P2X 5</v>
      </c>
    </row>
    <row r="840" spans="1:9" x14ac:dyDescent="0.35">
      <c r="A840" s="1" t="str">
        <f>"209154_at"</f>
        <v>209154_at</v>
      </c>
      <c r="B840" s="1">
        <v>1.3947542789227699E-4</v>
      </c>
      <c r="C840" s="2">
        <v>4.1311215908496603E-6</v>
      </c>
      <c r="D840" s="1">
        <v>4.8629246041307503</v>
      </c>
      <c r="E840" s="1">
        <v>3.9680450001591701</v>
      </c>
      <c r="F840" s="1">
        <v>0.48278748902325402</v>
      </c>
      <c r="G840" s="3" t="str">
        <f>"P2RX5-TAX1BP3"</f>
        <v>P2RX5-TAX1BP3</v>
      </c>
      <c r="H840" s="1">
        <v>100533970</v>
      </c>
      <c r="I840" s="1" t="str">
        <f>"P2RX5-TAX1BP3 readthrough (NMD candidate)///Tax1 binding protein 3"</f>
        <v>P2RX5-TAX1BP3 readthrough (NMD candidate)///Tax1 binding protein 3</v>
      </c>
    </row>
    <row r="841" spans="1:9" x14ac:dyDescent="0.35">
      <c r="A841" s="1" t="str">
        <f>"200656_s_at"</f>
        <v>200656_s_at</v>
      </c>
      <c r="B841" s="1">
        <v>8.4451722932971401E-2</v>
      </c>
      <c r="C841" s="1">
        <v>1.52204873355838E-2</v>
      </c>
      <c r="D841" s="1">
        <v>-2.4680242910935299</v>
      </c>
      <c r="E841" s="1">
        <v>-3.6196407325826998</v>
      </c>
      <c r="F841" s="1">
        <v>-0.39458895253198301</v>
      </c>
      <c r="G841" s="3" t="str">
        <f>"P4HB"</f>
        <v>P4HB</v>
      </c>
      <c r="H841" s="1">
        <v>5034</v>
      </c>
      <c r="I841" s="1" t="str">
        <f>"prolyl 4-hydroxylase subunit beta"</f>
        <v>prolyl 4-hydroxylase subunit beta</v>
      </c>
    </row>
    <row r="842" spans="1:9" x14ac:dyDescent="0.35">
      <c r="A842" s="1" t="str">
        <f>"218744_s_at"</f>
        <v>218744_s_at</v>
      </c>
      <c r="B842" s="1">
        <v>7.9190031577137492E-3</v>
      </c>
      <c r="C842" s="1">
        <v>6.6598805894877604E-4</v>
      </c>
      <c r="D842" s="1">
        <v>3.5092530126586698</v>
      </c>
      <c r="E842" s="1">
        <v>-0.79642957791295499</v>
      </c>
      <c r="F842" s="1">
        <v>0.30331827968313702</v>
      </c>
      <c r="G842" s="3" t="str">
        <f>"PACSIN3"</f>
        <v>PACSIN3</v>
      </c>
      <c r="H842" s="1">
        <v>29763</v>
      </c>
      <c r="I842" s="1" t="str">
        <f>"protein kinase C and casein kinase substrate in neurons 3"</f>
        <v>protein kinase C and casein kinase substrate in neurons 3</v>
      </c>
    </row>
    <row r="843" spans="1:9" x14ac:dyDescent="0.35">
      <c r="A843" s="1" t="str">
        <f>"211547_s_at"</f>
        <v>211547_s_at</v>
      </c>
      <c r="B843" s="1">
        <v>0.10104920124641301</v>
      </c>
      <c r="C843" s="1">
        <v>1.9581315396580899E-2</v>
      </c>
      <c r="D843" s="1">
        <v>-2.37108534202744</v>
      </c>
      <c r="E843" s="1">
        <v>-3.83901573420638</v>
      </c>
      <c r="F843" s="1">
        <v>-0.342232968356107</v>
      </c>
      <c r="G843" s="3" t="str">
        <f>"PAFAH1B1"</f>
        <v>PAFAH1B1</v>
      </c>
      <c r="H843" s="1">
        <v>5048</v>
      </c>
      <c r="I843" s="1" t="str">
        <f>"platelet activating factor acetylhydrolase 1b regulatory subunit 1"</f>
        <v>platelet activating factor acetylhydrolase 1b regulatory subunit 1</v>
      </c>
    </row>
    <row r="844" spans="1:9" x14ac:dyDescent="0.35">
      <c r="A844" s="1" t="str">
        <f>"201014_s_at"</f>
        <v>201014_s_at</v>
      </c>
      <c r="B844" s="2">
        <v>1.0528418596125101E-6</v>
      </c>
      <c r="C844" s="2">
        <v>9.9222183062705398E-9</v>
      </c>
      <c r="D844" s="1">
        <v>-6.2342095182108404</v>
      </c>
      <c r="E844" s="1">
        <v>9.7236400810517694</v>
      </c>
      <c r="F844" s="1">
        <v>-0.46970607772383699</v>
      </c>
      <c r="G844" s="3" t="str">
        <f>"PAICS"</f>
        <v>PAICS</v>
      </c>
      <c r="H844" s="1">
        <v>10606</v>
      </c>
      <c r="I844" s="1" t="str">
        <f>"phosphoribosylaminoimidazole carboxylase; phosphoribosylaminoimidazolesuccinocarboxamide synthase"</f>
        <v>phosphoribosylaminoimidazole carboxylase; phosphoribosylaminoimidazolesuccinocarboxamide synthase</v>
      </c>
    </row>
    <row r="845" spans="1:9" x14ac:dyDescent="0.35">
      <c r="A845" s="1" t="str">
        <f>"221868_at"</f>
        <v>221868_at</v>
      </c>
      <c r="B845" s="1">
        <v>3.15680292701247E-3</v>
      </c>
      <c r="C845" s="1">
        <v>2.0683625514689199E-4</v>
      </c>
      <c r="D845" s="1">
        <v>3.8468337816726201</v>
      </c>
      <c r="E845" s="1">
        <v>0.28708298858057701</v>
      </c>
      <c r="F845" s="1">
        <v>0.39844176208720899</v>
      </c>
      <c r="G845" s="3" t="str">
        <f>"PAIP2B"</f>
        <v>PAIP2B</v>
      </c>
      <c r="H845" s="1">
        <v>400961</v>
      </c>
      <c r="I845" s="1" t="str">
        <f>"poly(A) binding protein interacting protein 2B"</f>
        <v>poly(A) binding protein interacting protein 2B</v>
      </c>
    </row>
    <row r="846" spans="1:9" x14ac:dyDescent="0.35">
      <c r="A846" s="1" t="str">
        <f>"200897_s_at"</f>
        <v>200897_s_at</v>
      </c>
      <c r="B846" s="2">
        <v>1.46575419959349E-7</v>
      </c>
      <c r="C846" s="2">
        <v>8.3539372323462999E-10</v>
      </c>
      <c r="D846" s="1">
        <v>-6.7585032172897197</v>
      </c>
      <c r="E846" s="1">
        <v>12.098584446072101</v>
      </c>
      <c r="F846" s="1">
        <v>-0.46198059754070198</v>
      </c>
      <c r="G846" s="3" t="str">
        <f>"PALLD"</f>
        <v>PALLD</v>
      </c>
      <c r="H846" s="1">
        <v>23022</v>
      </c>
      <c r="I846" s="1" t="str">
        <f>"palladin, cytoskeletal associated protein"</f>
        <v>palladin, cytoskeletal associated protein</v>
      </c>
    </row>
    <row r="847" spans="1:9" x14ac:dyDescent="0.35">
      <c r="A847" s="1" t="str">
        <f>"202759_s_at"</f>
        <v>202759_s_at</v>
      </c>
      <c r="B847" s="1">
        <v>3.07772752403658E-2</v>
      </c>
      <c r="C847" s="1">
        <v>3.9087954463149204E-3</v>
      </c>
      <c r="D847" s="1">
        <v>-2.9516247572281</v>
      </c>
      <c r="E847" s="1">
        <v>-2.4112908745350601</v>
      </c>
      <c r="F847" s="1">
        <v>-0.31443537428343199</v>
      </c>
      <c r="G847" s="3" t="str">
        <f>"PALM2-AKAP2"</f>
        <v>PALM2-AKAP2</v>
      </c>
      <c r="H847" s="1">
        <v>445815</v>
      </c>
      <c r="I847" s="1" t="str">
        <f>"PALM2-AKAP2 readthrough///A-kinase anchoring protein 2"</f>
        <v>PALM2-AKAP2 readthrough///A-kinase anchoring protein 2</v>
      </c>
    </row>
    <row r="848" spans="1:9" x14ac:dyDescent="0.35">
      <c r="A848" s="1" t="str">
        <f>"213661_at"</f>
        <v>213661_at</v>
      </c>
      <c r="B848" s="2">
        <v>6.3952882801057303E-7</v>
      </c>
      <c r="C848" s="2">
        <v>5.4530573675900397E-9</v>
      </c>
      <c r="D848" s="1">
        <v>6.3625465248746904</v>
      </c>
      <c r="E848" s="1">
        <v>10.2976583324447</v>
      </c>
      <c r="F848" s="1">
        <v>0.45450033862063499</v>
      </c>
      <c r="G848" s="3" t="str">
        <f>"PAMR1"</f>
        <v>PAMR1</v>
      </c>
      <c r="H848" s="1">
        <v>25891</v>
      </c>
      <c r="I848" s="1" t="str">
        <f>"peptidase domain containing associated with muscle regeneration 1"</f>
        <v>peptidase domain containing associated with muscle regeneration 1</v>
      </c>
    </row>
    <row r="849" spans="1:9" x14ac:dyDescent="0.35">
      <c r="A849" s="1" t="str">
        <f>"212720_at"</f>
        <v>212720_at</v>
      </c>
      <c r="B849" s="1">
        <v>1.8761114632510201E-4</v>
      </c>
      <c r="C849" s="2">
        <v>5.8936320256505698E-6</v>
      </c>
      <c r="D849" s="1">
        <v>-4.7761089012764097</v>
      </c>
      <c r="E849" s="1">
        <v>3.6313746333058701</v>
      </c>
      <c r="F849" s="1">
        <v>-0.51428558206395403</v>
      </c>
      <c r="G849" s="3" t="str">
        <f>"PAPOLA"</f>
        <v>PAPOLA</v>
      </c>
      <c r="H849" s="1">
        <v>10914</v>
      </c>
      <c r="I849" s="1" t="str">
        <f>"poly(A) polymerase alpha"</f>
        <v>poly(A) polymerase alpha</v>
      </c>
    </row>
    <row r="850" spans="1:9" x14ac:dyDescent="0.35">
      <c r="A850" s="1" t="str">
        <f>"221526_x_at"</f>
        <v>221526_x_at</v>
      </c>
      <c r="B850" s="2">
        <v>1.6295951886476899E-7</v>
      </c>
      <c r="C850" s="2">
        <v>9.8330120728542207E-10</v>
      </c>
      <c r="D850" s="1">
        <v>-6.7244400316582196</v>
      </c>
      <c r="E850" s="1">
        <v>11.9419968609419</v>
      </c>
      <c r="F850" s="1">
        <v>-0.43197839652616099</v>
      </c>
      <c r="G850" s="3" t="str">
        <f>"PARD3"</f>
        <v>PARD3</v>
      </c>
      <c r="H850" s="1">
        <v>56288</v>
      </c>
      <c r="I850" s="1" t="str">
        <f>"par-3 family cell polarity regulator"</f>
        <v>par-3 family cell polarity regulator</v>
      </c>
    </row>
    <row r="851" spans="1:9" x14ac:dyDescent="0.35">
      <c r="A851" s="1" t="str">
        <f>"212148_at"</f>
        <v>212148_at</v>
      </c>
      <c r="B851" s="1">
        <v>2.8915629276632798E-3</v>
      </c>
      <c r="C851" s="1">
        <v>1.8584651290006599E-4</v>
      </c>
      <c r="D851" s="1">
        <v>3.8767527524143501</v>
      </c>
      <c r="E851" s="1">
        <v>0.38672656762122398</v>
      </c>
      <c r="F851" s="1">
        <v>0.36142174213372202</v>
      </c>
      <c r="G851" s="3" t="str">
        <f>"PBX1"</f>
        <v>PBX1</v>
      </c>
      <c r="H851" s="1">
        <v>5087</v>
      </c>
      <c r="I851" s="1" t="str">
        <f>"PBX homeobox 1"</f>
        <v>PBX homeobox 1</v>
      </c>
    </row>
    <row r="852" spans="1:9" x14ac:dyDescent="0.35">
      <c r="A852" s="1" t="str">
        <f>"212694_s_at"</f>
        <v>212694_s_at</v>
      </c>
      <c r="B852" s="2">
        <v>2.03371815234091E-7</v>
      </c>
      <c r="C852" s="2">
        <v>1.3154601432481299E-9</v>
      </c>
      <c r="D852" s="1">
        <v>6.6634741747042803</v>
      </c>
      <c r="E852" s="1">
        <v>11.6624843160638</v>
      </c>
      <c r="F852" s="1">
        <v>0.50407083293895205</v>
      </c>
      <c r="G852" s="3" t="str">
        <f>"PCCB"</f>
        <v>PCCB</v>
      </c>
      <c r="H852" s="1">
        <v>5096</v>
      </c>
      <c r="I852" s="1" t="str">
        <f>"propionyl-CoA carboxylase beta subunit"</f>
        <v>propionyl-CoA carboxylase beta subunit</v>
      </c>
    </row>
    <row r="853" spans="1:9" x14ac:dyDescent="0.35">
      <c r="A853" s="1" t="str">
        <f>"210273_at"</f>
        <v>210273_at</v>
      </c>
      <c r="B853" s="1">
        <v>6.1514800986104301E-4</v>
      </c>
      <c r="C853" s="2">
        <v>2.5664488807492099E-5</v>
      </c>
      <c r="D853" s="1">
        <v>4.4064185137424703</v>
      </c>
      <c r="E853" s="1">
        <v>2.24182670773309</v>
      </c>
      <c r="F853" s="1">
        <v>0.42432612755087401</v>
      </c>
      <c r="G853" s="3" t="str">
        <f>"PCDH7"</f>
        <v>PCDH7</v>
      </c>
      <c r="H853" s="1">
        <v>5099</v>
      </c>
      <c r="I853" s="1" t="str">
        <f>"protocadherin 7"</f>
        <v>protocadherin 7</v>
      </c>
    </row>
    <row r="854" spans="1:9" x14ac:dyDescent="0.35">
      <c r="A854" s="1" t="str">
        <f>"212406_s_at"</f>
        <v>212406_s_at</v>
      </c>
      <c r="B854" s="1">
        <v>4.36844024467231E-2</v>
      </c>
      <c r="C854" s="1">
        <v>6.2369130880494802E-3</v>
      </c>
      <c r="D854" s="1">
        <v>2.7920179510801102</v>
      </c>
      <c r="E854" s="1">
        <v>-2.83063208236273</v>
      </c>
      <c r="F854" s="1">
        <v>0.38934806010755502</v>
      </c>
      <c r="G854" s="3" t="str">
        <f>"PCMTD2"</f>
        <v>PCMTD2</v>
      </c>
      <c r="H854" s="1">
        <v>55251</v>
      </c>
      <c r="I854" s="1" t="str">
        <f>"protein-L-isoaspartate (D-aspartate) O-methyltransferase domain containing 2"</f>
        <v>protein-L-isoaspartate (D-aspartate) O-methyltransferase domain containing 2</v>
      </c>
    </row>
    <row r="855" spans="1:9" x14ac:dyDescent="0.35">
      <c r="A855" s="1" t="str">
        <f>"203660_s_at"</f>
        <v>203660_s_at</v>
      </c>
      <c r="B855" s="2">
        <v>2.7091869177118502E-5</v>
      </c>
      <c r="C855" s="2">
        <v>5.5805627394414505E-7</v>
      </c>
      <c r="D855" s="1">
        <v>-5.3371931789067801</v>
      </c>
      <c r="E855" s="1">
        <v>5.8709554191754902</v>
      </c>
      <c r="F855" s="1">
        <v>-0.55498603798255797</v>
      </c>
      <c r="G855" s="3" t="str">
        <f>"PCNT"</f>
        <v>PCNT</v>
      </c>
      <c r="H855" s="1">
        <v>5116</v>
      </c>
      <c r="I855" s="1" t="str">
        <f>"pericentrin"</f>
        <v>pericentrin</v>
      </c>
    </row>
    <row r="856" spans="1:9" x14ac:dyDescent="0.35">
      <c r="A856" s="1" t="str">
        <f>"202465_at"</f>
        <v>202465_at</v>
      </c>
      <c r="B856" s="2">
        <v>1.7856094549140501E-6</v>
      </c>
      <c r="C856" s="2">
        <v>1.9552515684558999E-8</v>
      </c>
      <c r="D856" s="1">
        <v>6.0874545676863097</v>
      </c>
      <c r="E856" s="1">
        <v>9.0736030024450507</v>
      </c>
      <c r="F856" s="1">
        <v>0.45047230185029602</v>
      </c>
      <c r="G856" s="3" t="str">
        <f>"PCOLCE"</f>
        <v>PCOLCE</v>
      </c>
      <c r="H856" s="1">
        <v>5118</v>
      </c>
      <c r="I856" s="1" t="str">
        <f>"procollagen C-endopeptidase enhancer"</f>
        <v>procollagen C-endopeptidase enhancer</v>
      </c>
    </row>
    <row r="857" spans="1:9" x14ac:dyDescent="0.35">
      <c r="A857" s="1" t="str">
        <f>"219295_s_at"</f>
        <v>219295_s_at</v>
      </c>
      <c r="B857" s="2">
        <v>3.6247657544555301E-7</v>
      </c>
      <c r="C857" s="2">
        <v>2.6677807464466499E-9</v>
      </c>
      <c r="D857" s="1">
        <v>6.5144997875475301</v>
      </c>
      <c r="E857" s="1">
        <v>10.9836478913061</v>
      </c>
      <c r="F857" s="1">
        <v>0.74712770237935999</v>
      </c>
      <c r="G857" s="3" t="str">
        <f>"PCOLCE2"</f>
        <v>PCOLCE2</v>
      </c>
      <c r="H857" s="1">
        <v>26577</v>
      </c>
      <c r="I857" s="1" t="str">
        <f>"procollagen C-endopeptidase enhancer 2"</f>
        <v>procollagen C-endopeptidase enhancer 2</v>
      </c>
    </row>
    <row r="858" spans="1:9" x14ac:dyDescent="0.35">
      <c r="A858" s="1" t="str">
        <f>"202290_at"</f>
        <v>202290_at</v>
      </c>
      <c r="B858" s="1">
        <v>4.1947099972009502E-2</v>
      </c>
      <c r="C858" s="1">
        <v>5.9203711085567398E-3</v>
      </c>
      <c r="D858" s="1">
        <v>-2.8101200193568898</v>
      </c>
      <c r="E858" s="1">
        <v>-2.7840706889234998</v>
      </c>
      <c r="F858" s="1">
        <v>-0.36031576873255799</v>
      </c>
      <c r="G858" s="3" t="str">
        <f>"PDAP1"</f>
        <v>PDAP1</v>
      </c>
      <c r="H858" s="1">
        <v>11333</v>
      </c>
      <c r="I858" s="1" t="str">
        <f>"PDGFA associated protein 1"</f>
        <v>PDGFA associated protein 1</v>
      </c>
    </row>
    <row r="859" spans="1:9" x14ac:dyDescent="0.35">
      <c r="A859" s="1" t="str">
        <f>"208396_s_at"</f>
        <v>208396_s_at</v>
      </c>
      <c r="B859" s="2">
        <v>2.5561101151917701E-5</v>
      </c>
      <c r="C859" s="2">
        <v>5.1964182658613004E-7</v>
      </c>
      <c r="D859" s="1">
        <v>5.35367595420266</v>
      </c>
      <c r="E859" s="1">
        <v>5.9389171337570099</v>
      </c>
      <c r="F859" s="1">
        <v>0.77826752075000005</v>
      </c>
      <c r="G859" s="3" t="str">
        <f>"PDE1A"</f>
        <v>PDE1A</v>
      </c>
      <c r="H859" s="1">
        <v>5136</v>
      </c>
      <c r="I859" s="1" t="str">
        <f>"phosphodiesterase 1A"</f>
        <v>phosphodiesterase 1A</v>
      </c>
    </row>
    <row r="860" spans="1:9" x14ac:dyDescent="0.35">
      <c r="A860" s="1" t="str">
        <f>"207303_at"</f>
        <v>207303_at</v>
      </c>
      <c r="B860" s="1">
        <v>9.2097926414126902E-4</v>
      </c>
      <c r="C860" s="2">
        <v>4.2612288351193703E-5</v>
      </c>
      <c r="D860" s="1">
        <v>4.2746883534971003</v>
      </c>
      <c r="E860" s="1">
        <v>1.76488636578841</v>
      </c>
      <c r="F860" s="1">
        <v>0.383810104510176</v>
      </c>
      <c r="G860" s="3" t="str">
        <f>"PDE1C"</f>
        <v>PDE1C</v>
      </c>
      <c r="H860" s="1">
        <v>5137</v>
      </c>
      <c r="I860" s="1" t="str">
        <f>"phosphodiesterase 1C"</f>
        <v>phosphodiesterase 1C</v>
      </c>
    </row>
    <row r="861" spans="1:9" x14ac:dyDescent="0.35">
      <c r="A861" s="1" t="str">
        <f>"218718_at"</f>
        <v>218718_at</v>
      </c>
      <c r="B861" s="1">
        <v>1.9524721664654601E-4</v>
      </c>
      <c r="C861" s="2">
        <v>6.2036094505118099E-6</v>
      </c>
      <c r="D861" s="1">
        <v>4.7635113423003599</v>
      </c>
      <c r="E861" s="1">
        <v>3.5828381068855699</v>
      </c>
      <c r="F861" s="1">
        <v>0.44944916530668799</v>
      </c>
      <c r="G861" s="3" t="str">
        <f>"PDGFC"</f>
        <v>PDGFC</v>
      </c>
      <c r="H861" s="1">
        <v>56034</v>
      </c>
      <c r="I861" s="1" t="str">
        <f>"platelet derived growth factor C"</f>
        <v>platelet derived growth factor C</v>
      </c>
    </row>
    <row r="862" spans="1:9" x14ac:dyDescent="0.35">
      <c r="A862" s="1" t="str">
        <f>"219304_s_at"</f>
        <v>219304_s_at</v>
      </c>
      <c r="B862" s="2">
        <v>1.0964459458725099E-6</v>
      </c>
      <c r="C862" s="2">
        <v>1.0628385958284899E-8</v>
      </c>
      <c r="D862" s="1">
        <v>6.2194010340599597</v>
      </c>
      <c r="E862" s="1">
        <v>9.6577337809505703</v>
      </c>
      <c r="F862" s="1">
        <v>0.65759153555087202</v>
      </c>
      <c r="G862" s="3" t="str">
        <f>"PDGFD"</f>
        <v>PDGFD</v>
      </c>
      <c r="H862" s="1">
        <v>80310</v>
      </c>
      <c r="I862" s="1" t="str">
        <f>"platelet derived growth factor D"</f>
        <v>platelet derived growth factor D</v>
      </c>
    </row>
    <row r="863" spans="1:9" x14ac:dyDescent="0.35">
      <c r="A863" s="1" t="str">
        <f>"205960_at"</f>
        <v>205960_at</v>
      </c>
      <c r="B863" s="1">
        <v>2.9464940338723499E-2</v>
      </c>
      <c r="C863" s="1">
        <v>3.67997706604441E-3</v>
      </c>
      <c r="D863" s="1">
        <v>-2.9717938825152799</v>
      </c>
      <c r="E863" s="1">
        <v>-2.3568984878947199</v>
      </c>
      <c r="F863" s="1">
        <v>-1.2221959333241299</v>
      </c>
      <c r="G863" s="3" t="str">
        <f>"PDK4"</f>
        <v>PDK4</v>
      </c>
      <c r="H863" s="1">
        <v>5166</v>
      </c>
      <c r="I863" s="1" t="str">
        <f>"pyruvate dehydrogenase kinase 4"</f>
        <v>pyruvate dehydrogenase kinase 4</v>
      </c>
    </row>
    <row r="864" spans="1:9" x14ac:dyDescent="0.35">
      <c r="A864" s="1" t="str">
        <f>"209621_s_at"</f>
        <v>209621_s_at</v>
      </c>
      <c r="B864" s="1">
        <v>2.0207946435298199E-3</v>
      </c>
      <c r="C864" s="1">
        <v>1.14447912764647E-4</v>
      </c>
      <c r="D864" s="1">
        <v>4.0104891505596001</v>
      </c>
      <c r="E864" s="1">
        <v>0.83906202537859698</v>
      </c>
      <c r="F864" s="1">
        <v>0.53287076938081102</v>
      </c>
      <c r="G864" s="3" t="str">
        <f>"PDLIM3"</f>
        <v>PDLIM3</v>
      </c>
      <c r="H864" s="1">
        <v>27295</v>
      </c>
      <c r="I864" s="1" t="str">
        <f>"PDZ and LIM domain 3"</f>
        <v>PDZ and LIM domain 3</v>
      </c>
    </row>
    <row r="865" spans="1:9" x14ac:dyDescent="0.35">
      <c r="A865" s="1" t="str">
        <f>"213684_s_at"</f>
        <v>213684_s_at</v>
      </c>
      <c r="B865" s="1">
        <v>2.4972408337418098E-4</v>
      </c>
      <c r="C865" s="2">
        <v>8.4948550553170104E-6</v>
      </c>
      <c r="D865" s="1">
        <v>4.6858398970609203</v>
      </c>
      <c r="E865" s="1">
        <v>3.2853838687088501</v>
      </c>
      <c r="F865" s="1">
        <v>0.454351695827036</v>
      </c>
      <c r="G865" s="3" t="str">
        <f>"PDLIM5"</f>
        <v>PDLIM5</v>
      </c>
      <c r="H865" s="1">
        <v>10611</v>
      </c>
      <c r="I865" s="1" t="str">
        <f>"PDZ and LIM domain 5"</f>
        <v>PDZ and LIM domain 5</v>
      </c>
    </row>
    <row r="866" spans="1:9" x14ac:dyDescent="0.35">
      <c r="A866" s="1" t="str">
        <f>"204879_at"</f>
        <v>204879_at</v>
      </c>
      <c r="B866" s="1">
        <v>1.6226697704662999E-3</v>
      </c>
      <c r="C866" s="2">
        <v>8.7749274039038399E-5</v>
      </c>
      <c r="D866" s="1">
        <v>-4.0825735415179798</v>
      </c>
      <c r="E866" s="1">
        <v>1.0874885543735799</v>
      </c>
      <c r="F866" s="1">
        <v>-0.34994024683284902</v>
      </c>
      <c r="G866" s="3" t="str">
        <f>"PDPN"</f>
        <v>PDPN</v>
      </c>
      <c r="H866" s="1">
        <v>10630</v>
      </c>
      <c r="I866" s="1" t="str">
        <f>"podoplanin"</f>
        <v>podoplanin</v>
      </c>
    </row>
    <row r="867" spans="1:9" x14ac:dyDescent="0.35">
      <c r="A867" s="1" t="str">
        <f>"212915_at"</f>
        <v>212915_at</v>
      </c>
      <c r="B867" s="1">
        <v>3.1116849517625299E-2</v>
      </c>
      <c r="C867" s="1">
        <v>3.9653536744681398E-3</v>
      </c>
      <c r="D867" s="1">
        <v>2.9468074300251499</v>
      </c>
      <c r="E867" s="1">
        <v>-2.4242362006579201</v>
      </c>
      <c r="F867" s="1">
        <v>0.49046790717296201</v>
      </c>
      <c r="G867" s="3" t="str">
        <f>"PDZRN3"</f>
        <v>PDZRN3</v>
      </c>
      <c r="H867" s="1">
        <v>23024</v>
      </c>
      <c r="I867" s="1" t="str">
        <f>"PDZ domain containing ring finger 3"</f>
        <v>PDZ domain containing ring finger 3</v>
      </c>
    </row>
    <row r="868" spans="1:9" x14ac:dyDescent="0.35">
      <c r="A868" s="1" t="str">
        <f>"200787_s_at"</f>
        <v>200787_s_at</v>
      </c>
      <c r="B868" s="1">
        <v>7.0687645544649704E-3</v>
      </c>
      <c r="C868" s="1">
        <v>5.7735275721968501E-4</v>
      </c>
      <c r="D868" s="1">
        <v>-3.5516133193828501</v>
      </c>
      <c r="E868" s="1">
        <v>-0.66467563147604303</v>
      </c>
      <c r="F868" s="1">
        <v>-0.60340712680813802</v>
      </c>
      <c r="G868" s="3" t="str">
        <f>"PEA15"</f>
        <v>PEA15</v>
      </c>
      <c r="H868" s="1">
        <v>8682</v>
      </c>
      <c r="I868" s="1" t="str">
        <f>"phosphoprotein enriched in astrocytes 15"</f>
        <v>phosphoprotein enriched in astrocytes 15</v>
      </c>
    </row>
    <row r="869" spans="1:9" x14ac:dyDescent="0.35">
      <c r="A869" s="1" t="str">
        <f>"205353_s_at"</f>
        <v>205353_s_at</v>
      </c>
      <c r="B869" s="2">
        <v>2.71442477385996E-5</v>
      </c>
      <c r="C869" s="2">
        <v>5.6114160034982105E-7</v>
      </c>
      <c r="D869" s="1">
        <v>5.3359178806002596</v>
      </c>
      <c r="E869" s="1">
        <v>5.8657019851890198</v>
      </c>
      <c r="F869" s="1">
        <v>0.320139667781975</v>
      </c>
      <c r="G869" s="3" t="str">
        <f>"PEBP1"</f>
        <v>PEBP1</v>
      </c>
      <c r="H869" s="1">
        <v>5037</v>
      </c>
      <c r="I869" s="1" t="str">
        <f>"phosphatidylethanolamine binding protein 1"</f>
        <v>phosphatidylethanolamine binding protein 1</v>
      </c>
    </row>
    <row r="870" spans="1:9" x14ac:dyDescent="0.35">
      <c r="A870" s="1" t="str">
        <f>"208983_s_at"</f>
        <v>208983_s_at</v>
      </c>
      <c r="B870" s="1">
        <v>2.7018958507425101E-2</v>
      </c>
      <c r="C870" s="1">
        <v>3.28354977507997E-3</v>
      </c>
      <c r="D870" s="1">
        <v>-3.0096479551753301</v>
      </c>
      <c r="E870" s="1">
        <v>-2.25397470212308</v>
      </c>
      <c r="F870" s="1">
        <v>-0.40272119784011701</v>
      </c>
      <c r="G870" s="3" t="str">
        <f>"PECAM1"</f>
        <v>PECAM1</v>
      </c>
      <c r="H870" s="1">
        <v>5175</v>
      </c>
      <c r="I870" s="1" t="str">
        <f>"platelet and endothelial cell adhesion molecule 1"</f>
        <v>platelet and endothelial cell adhesion molecule 1</v>
      </c>
    </row>
    <row r="871" spans="1:9" x14ac:dyDescent="0.35">
      <c r="A871" s="1" t="str">
        <f>"209242_at"</f>
        <v>209242_at</v>
      </c>
      <c r="B871" s="1">
        <v>2.1403447898749898E-3</v>
      </c>
      <c r="C871" s="1">
        <v>1.2333180946010299E-4</v>
      </c>
      <c r="D871" s="1">
        <v>3.9900538668787302</v>
      </c>
      <c r="E871" s="1">
        <v>0.76921842468796198</v>
      </c>
      <c r="F871" s="1">
        <v>0.325571835172968</v>
      </c>
      <c r="G871" s="3" t="str">
        <f>"PEG3"</f>
        <v>PEG3</v>
      </c>
      <c r="H871" s="1">
        <v>5178</v>
      </c>
      <c r="I871" s="1" t="str">
        <f>"paternally expressed 3"</f>
        <v>paternally expressed 3</v>
      </c>
    </row>
    <row r="872" spans="1:9" x14ac:dyDescent="0.35">
      <c r="A872" s="1" t="str">
        <f>"218319_at"</f>
        <v>218319_at</v>
      </c>
      <c r="B872" s="1">
        <v>2.7061079084069298E-2</v>
      </c>
      <c r="C872" s="1">
        <v>3.2898830156955399E-3</v>
      </c>
      <c r="D872" s="1">
        <v>-3.0090107490222602</v>
      </c>
      <c r="E872" s="1">
        <v>-2.2557162635083801</v>
      </c>
      <c r="F872" s="1">
        <v>-0.31009801532994402</v>
      </c>
      <c r="G872" s="3" t="str">
        <f>"PELI1"</f>
        <v>PELI1</v>
      </c>
      <c r="H872" s="1">
        <v>57162</v>
      </c>
      <c r="I872" s="1" t="str">
        <f>"pellino E3 ubiquitin protein ligase 1"</f>
        <v>pellino E3 ubiquitin protein ligase 1</v>
      </c>
    </row>
    <row r="873" spans="1:9" x14ac:dyDescent="0.35">
      <c r="A873" s="1" t="str">
        <f>"213791_at"</f>
        <v>213791_at</v>
      </c>
      <c r="B873" s="2">
        <v>2.40525760407452E-5</v>
      </c>
      <c r="C873" s="2">
        <v>4.8249793520679903E-7</v>
      </c>
      <c r="D873" s="1">
        <v>5.3707885055233797</v>
      </c>
      <c r="E873" s="1">
        <v>6.0095987353122702</v>
      </c>
      <c r="F873" s="1">
        <v>0.68950455803052302</v>
      </c>
      <c r="G873" s="3" t="str">
        <f>"PENK"</f>
        <v>PENK</v>
      </c>
      <c r="H873" s="1">
        <v>5179</v>
      </c>
      <c r="I873" s="1" t="str">
        <f>"proenkephalin"</f>
        <v>proenkephalin</v>
      </c>
    </row>
    <row r="874" spans="1:9" x14ac:dyDescent="0.35">
      <c r="A874" s="1" t="str">
        <f>"205251_at"</f>
        <v>205251_at</v>
      </c>
      <c r="B874" s="1">
        <v>5.8160245138857104E-3</v>
      </c>
      <c r="C874" s="1">
        <v>4.4867145982899702E-4</v>
      </c>
      <c r="D874" s="1">
        <v>3.6255955192092801</v>
      </c>
      <c r="E874" s="1">
        <v>-0.43162681681857101</v>
      </c>
      <c r="F874" s="1">
        <v>0.30011238207848701</v>
      </c>
      <c r="G874" s="3" t="str">
        <f>"PER2"</f>
        <v>PER2</v>
      </c>
      <c r="H874" s="1">
        <v>8864</v>
      </c>
      <c r="I874" s="1" t="str">
        <f>"period circadian clock 2"</f>
        <v>period circadian clock 2</v>
      </c>
    </row>
    <row r="875" spans="1:9" x14ac:dyDescent="0.35">
      <c r="A875" s="1" t="str">
        <f>"211033_s_at"</f>
        <v>211033_s_at</v>
      </c>
      <c r="B875" s="1">
        <v>1.6444061302361499E-4</v>
      </c>
      <c r="C875" s="2">
        <v>4.9812598748346298E-6</v>
      </c>
      <c r="D875" s="1">
        <v>4.8173122947290903</v>
      </c>
      <c r="E875" s="1">
        <v>3.7906881258107101</v>
      </c>
      <c r="F875" s="1">
        <v>0.32859547807558398</v>
      </c>
      <c r="G875" s="3" t="str">
        <f>"PEX7"</f>
        <v>PEX7</v>
      </c>
      <c r="H875" s="1">
        <v>5191</v>
      </c>
      <c r="I875" s="1" t="str">
        <f>"peroxisomal biogenesis factor 7"</f>
        <v>peroxisomal biogenesis factor 7</v>
      </c>
    </row>
    <row r="876" spans="1:9" x14ac:dyDescent="0.35">
      <c r="A876" s="1" t="str">
        <f>"202464_s_at"</f>
        <v>202464_s_at</v>
      </c>
      <c r="B876" s="1">
        <v>0.113605671478683</v>
      </c>
      <c r="C876" s="1">
        <v>2.31623721839453E-2</v>
      </c>
      <c r="D876" s="1">
        <v>-2.30490857519611</v>
      </c>
      <c r="E876" s="1">
        <v>-3.9842537172253998</v>
      </c>
      <c r="F876" s="1">
        <v>-0.32706492328488102</v>
      </c>
      <c r="G876" s="3" t="str">
        <f>"PFKFB3"</f>
        <v>PFKFB3</v>
      </c>
      <c r="H876" s="1">
        <v>5209</v>
      </c>
      <c r="I876" s="1" t="str">
        <f>"6-phosphofructo-2-kinase/fructose-2,6-biphosphatase 3"</f>
        <v>6-phosphofructo-2-kinase/fructose-2,6-biphosphatase 3</v>
      </c>
    </row>
    <row r="877" spans="1:9" x14ac:dyDescent="0.35">
      <c r="A877" s="1" t="str">
        <f>"210976_s_at"</f>
        <v>210976_s_at</v>
      </c>
      <c r="B877" s="1">
        <v>4.6659910546432499E-4</v>
      </c>
      <c r="C877" s="2">
        <v>1.78824949991713E-5</v>
      </c>
      <c r="D877" s="1">
        <v>4.4988487442017604</v>
      </c>
      <c r="E877" s="1">
        <v>2.58232212798768</v>
      </c>
      <c r="F877" s="1">
        <v>0.44531266260755098</v>
      </c>
      <c r="G877" s="3" t="str">
        <f>"PFKM"</f>
        <v>PFKM</v>
      </c>
      <c r="H877" s="1">
        <v>5213</v>
      </c>
      <c r="I877" s="1" t="str">
        <f>"phosphofructokinase, muscle"</f>
        <v>phosphofructokinase, muscle</v>
      </c>
    </row>
    <row r="878" spans="1:9" x14ac:dyDescent="0.35">
      <c r="A878" s="1" t="str">
        <f>"201118_at"</f>
        <v>201118_at</v>
      </c>
      <c r="B878" s="1">
        <v>3.0924396253570599E-4</v>
      </c>
      <c r="C878" s="2">
        <v>1.09220032543015E-5</v>
      </c>
      <c r="D878" s="1">
        <v>-4.6232012207059201</v>
      </c>
      <c r="E878" s="1">
        <v>3.0477910354978102</v>
      </c>
      <c r="F878" s="1">
        <v>-0.40049320176453401</v>
      </c>
      <c r="G878" s="3" t="str">
        <f>"PGD"</f>
        <v>PGD</v>
      </c>
      <c r="H878" s="1">
        <v>5226</v>
      </c>
      <c r="I878" s="1" t="str">
        <f>"phosphogluconate dehydrogenase"</f>
        <v>phosphogluconate dehydrogenase</v>
      </c>
    </row>
    <row r="879" spans="1:9" x14ac:dyDescent="0.35">
      <c r="A879" s="1" t="str">
        <f>"221816_s_at"</f>
        <v>221816_s_at</v>
      </c>
      <c r="B879" s="1">
        <v>7.4051406881537598E-4</v>
      </c>
      <c r="C879" s="2">
        <v>3.2368204596606203E-5</v>
      </c>
      <c r="D879" s="1">
        <v>4.3464273724104299</v>
      </c>
      <c r="E879" s="1">
        <v>2.0233940202430598</v>
      </c>
      <c r="F879" s="1">
        <v>0.30640964214535199</v>
      </c>
      <c r="G879" s="3" t="str">
        <f>"PHF11"</f>
        <v>PHF11</v>
      </c>
      <c r="H879" s="1">
        <v>51131</v>
      </c>
      <c r="I879" s="1" t="str">
        <f>"PHD finger protein 11"</f>
        <v>PHD finger protein 11</v>
      </c>
    </row>
    <row r="880" spans="1:9" x14ac:dyDescent="0.35">
      <c r="A880" s="1" t="str">
        <f>"217997_at"</f>
        <v>217997_at</v>
      </c>
      <c r="B880" s="1">
        <v>4.0156242348822003E-4</v>
      </c>
      <c r="C880" s="2">
        <v>1.4903384832597E-5</v>
      </c>
      <c r="D880" s="1">
        <v>4.5450438939102504</v>
      </c>
      <c r="E880" s="1">
        <v>2.75426093760758</v>
      </c>
      <c r="F880" s="1">
        <v>0.92443168841715095</v>
      </c>
      <c r="G880" s="3" t="str">
        <f>"PHLDA1"</f>
        <v>PHLDA1</v>
      </c>
      <c r="H880" s="1">
        <v>22822</v>
      </c>
      <c r="I880" s="1" t="str">
        <f>"pleckstrin homology like domain family A member 1"</f>
        <v>pleckstrin homology like domain family A member 1</v>
      </c>
    </row>
    <row r="881" spans="1:9" x14ac:dyDescent="0.35">
      <c r="A881" s="1" t="str">
        <f>"203335_at"</f>
        <v>203335_at</v>
      </c>
      <c r="B881" s="1">
        <v>2.5265987134739701E-3</v>
      </c>
      <c r="C881" s="1">
        <v>1.5429798495495401E-4</v>
      </c>
      <c r="D881" s="1">
        <v>3.9284169457118501</v>
      </c>
      <c r="E881" s="1">
        <v>0.56013498013935803</v>
      </c>
      <c r="F881" s="1">
        <v>0.336094358331399</v>
      </c>
      <c r="G881" s="3" t="str">
        <f>"PHYH"</f>
        <v>PHYH</v>
      </c>
      <c r="H881" s="1">
        <v>5264</v>
      </c>
      <c r="I881" s="1" t="str">
        <f>"phytanoyl-CoA 2-hydroxylase"</f>
        <v>phytanoyl-CoA 2-hydroxylase</v>
      </c>
    </row>
    <row r="882" spans="1:9" x14ac:dyDescent="0.35">
      <c r="A882" s="1" t="str">
        <f>"212506_at"</f>
        <v>212506_at</v>
      </c>
      <c r="B882" s="1">
        <v>2.8216367088064999E-2</v>
      </c>
      <c r="C882" s="1">
        <v>3.4735253900688599E-3</v>
      </c>
      <c r="D882" s="1">
        <v>-2.9910099840684699</v>
      </c>
      <c r="E882" s="1">
        <v>-2.3047870340053001</v>
      </c>
      <c r="F882" s="1">
        <v>-0.31691088550145102</v>
      </c>
      <c r="G882" s="3" t="str">
        <f>"PICALM"</f>
        <v>PICALM</v>
      </c>
      <c r="H882" s="1">
        <v>8301</v>
      </c>
      <c r="I882" s="1" t="str">
        <f>"phosphatidylinositol binding clathrin assembly protein"</f>
        <v>phosphatidylinositol binding clathrin assembly protein</v>
      </c>
    </row>
    <row r="883" spans="1:9" x14ac:dyDescent="0.35">
      <c r="A883" s="1" t="str">
        <f>"209707_at"</f>
        <v>209707_at</v>
      </c>
      <c r="B883" s="1">
        <v>2.9002056914899299E-3</v>
      </c>
      <c r="C883" s="1">
        <v>1.8688737965774101E-4</v>
      </c>
      <c r="D883" s="1">
        <v>3.8751948670926302</v>
      </c>
      <c r="E883" s="1">
        <v>0.38152397186181602</v>
      </c>
      <c r="F883" s="1">
        <v>0.34414435282994199</v>
      </c>
      <c r="G883" s="3" t="str">
        <f>"PIGK"</f>
        <v>PIGK</v>
      </c>
      <c r="H883" s="1">
        <v>10026</v>
      </c>
      <c r="I883" s="1" t="str">
        <f>"phosphatidylinositol glycan anchor biosynthesis class K"</f>
        <v>phosphatidylinositol glycan anchor biosynthesis class K</v>
      </c>
    </row>
    <row r="884" spans="1:9" x14ac:dyDescent="0.35">
      <c r="A884" s="1" t="str">
        <f>"221689_s_at"</f>
        <v>221689_s_at</v>
      </c>
      <c r="B884" s="1">
        <v>1.0265521969666899E-3</v>
      </c>
      <c r="C884" s="2">
        <v>4.8733289236573198E-5</v>
      </c>
      <c r="D884" s="1">
        <v>4.2394011758894203</v>
      </c>
      <c r="E884" s="1">
        <v>1.63882513428837</v>
      </c>
      <c r="F884" s="1">
        <v>0.31542058410901302</v>
      </c>
      <c r="G884" s="3" t="str">
        <f>"PIGP"</f>
        <v>PIGP</v>
      </c>
      <c r="H884" s="1">
        <v>51227</v>
      </c>
      <c r="I884" s="1" t="str">
        <f>"phosphatidylinositol glycan anchor biosynthesis class P"</f>
        <v>phosphatidylinositol glycan anchor biosynthesis class P</v>
      </c>
    </row>
    <row r="885" spans="1:9" x14ac:dyDescent="0.35">
      <c r="A885" s="1" t="str">
        <f>"211580_s_at"</f>
        <v>211580_s_at</v>
      </c>
      <c r="B885" s="2">
        <v>2.9185397236921901E-6</v>
      </c>
      <c r="C885" s="2">
        <v>3.6744165455690799E-8</v>
      </c>
      <c r="D885" s="1">
        <v>-5.9495993025303298</v>
      </c>
      <c r="E885" s="1">
        <v>8.4695015662830304</v>
      </c>
      <c r="F885" s="1">
        <v>-0.34407062965116197</v>
      </c>
      <c r="G885" s="3" t="str">
        <f>"PIK3R3"</f>
        <v>PIK3R3</v>
      </c>
      <c r="H885" s="1">
        <v>8503</v>
      </c>
      <c r="I885" s="1" t="str">
        <f>"phosphoinositide-3-kinase regulatory subunit 3"</f>
        <v>phosphoinositide-3-kinase regulatory subunit 3</v>
      </c>
    </row>
    <row r="886" spans="1:9" x14ac:dyDescent="0.35">
      <c r="A886" s="1" t="str">
        <f>"209193_at"</f>
        <v>209193_at</v>
      </c>
      <c r="B886" s="1">
        <v>1.0587922923388799E-3</v>
      </c>
      <c r="C886" s="2">
        <v>5.1126890748850403E-5</v>
      </c>
      <c r="D886" s="1">
        <v>-4.2267513512339203</v>
      </c>
      <c r="E886" s="1">
        <v>1.59381186170237</v>
      </c>
      <c r="F886" s="1">
        <v>-0.30985413986627702</v>
      </c>
      <c r="G886" s="3" t="str">
        <f>"PIM1"</f>
        <v>PIM1</v>
      </c>
      <c r="H886" s="1">
        <v>5292</v>
      </c>
      <c r="I886" s="1" t="str">
        <f>"Pim-1 proto-oncogene, serine/threonine kinase"</f>
        <v>Pim-1 proto-oncogene, serine/threonine kinase</v>
      </c>
    </row>
    <row r="887" spans="1:9" x14ac:dyDescent="0.35">
      <c r="A887" s="1" t="str">
        <f>"202927_at"</f>
        <v>202927_at</v>
      </c>
      <c r="B887" s="1">
        <v>2.3116723523765701E-3</v>
      </c>
      <c r="C887" s="1">
        <v>1.3636649184538101E-4</v>
      </c>
      <c r="D887" s="1">
        <v>3.9624854328108001</v>
      </c>
      <c r="E887" s="1">
        <v>0.67540714902399002</v>
      </c>
      <c r="F887" s="1">
        <v>0.30702270082703098</v>
      </c>
      <c r="G887" s="3" t="str">
        <f>"PIN1"</f>
        <v>PIN1</v>
      </c>
      <c r="H887" s="1">
        <v>5300</v>
      </c>
      <c r="I887" s="1" t="str">
        <f>"peptidylprolyl cis/trans isomerase, NIMA-interacting 1"</f>
        <v>peptidylprolyl cis/trans isomerase, NIMA-interacting 1</v>
      </c>
    </row>
    <row r="888" spans="1:9" x14ac:dyDescent="0.35">
      <c r="A888" s="1" t="str">
        <f>"201192_s_at"</f>
        <v>201192_s_at</v>
      </c>
      <c r="B888" s="2">
        <v>3.5489572800662898E-5</v>
      </c>
      <c r="C888" s="2">
        <v>7.8041065710742801E-7</v>
      </c>
      <c r="D888" s="1">
        <v>-5.2593353327092096</v>
      </c>
      <c r="E888" s="1">
        <v>5.5515249117295502</v>
      </c>
      <c r="F888" s="1">
        <v>-0.36740774758720901</v>
      </c>
      <c r="G888" s="3" t="str">
        <f>"PITPNA"</f>
        <v>PITPNA</v>
      </c>
      <c r="H888" s="1">
        <v>5306</v>
      </c>
      <c r="I888" s="1" t="str">
        <f>"phosphatidylinositol transfer protein alpha"</f>
        <v>phosphatidylinositol transfer protein alpha</v>
      </c>
    </row>
    <row r="889" spans="1:9" x14ac:dyDescent="0.35">
      <c r="A889" s="1" t="str">
        <f>"214154_s_at"</f>
        <v>214154_s_at</v>
      </c>
      <c r="B889" s="1">
        <v>0.16963343046123</v>
      </c>
      <c r="C889" s="1">
        <v>4.1709893887586003E-2</v>
      </c>
      <c r="D889" s="1">
        <v>-2.0619623288623998</v>
      </c>
      <c r="E889" s="1">
        <v>-4.4854121111054104</v>
      </c>
      <c r="F889" s="1">
        <v>-0.38966099568895501</v>
      </c>
      <c r="G889" s="3" t="str">
        <f>"PKP2"</f>
        <v>PKP2</v>
      </c>
      <c r="H889" s="1">
        <v>5318</v>
      </c>
      <c r="I889" s="1" t="str">
        <f>"plakophilin 2"</f>
        <v>plakophilin 2</v>
      </c>
    </row>
    <row r="890" spans="1:9" x14ac:dyDescent="0.35">
      <c r="A890" s="1" t="str">
        <f>"203649_s_at"</f>
        <v>203649_s_at</v>
      </c>
      <c r="B890" s="2">
        <v>4.6148034340376699E-6</v>
      </c>
      <c r="C890" s="2">
        <v>6.6479015497289097E-8</v>
      </c>
      <c r="D890" s="1">
        <v>-5.8187415357666596</v>
      </c>
      <c r="E890" s="1">
        <v>7.9022106811650001</v>
      </c>
      <c r="F890" s="1">
        <v>-1.4338920744593</v>
      </c>
      <c r="G890" s="3" t="str">
        <f>"PLA2G2A"</f>
        <v>PLA2G2A</v>
      </c>
      <c r="H890" s="1">
        <v>5320</v>
      </c>
      <c r="I890" s="1" t="str">
        <f>"phospholipase A2 group IIA"</f>
        <v>phospholipase A2 group IIA</v>
      </c>
    </row>
    <row r="891" spans="1:9" x14ac:dyDescent="0.35">
      <c r="A891" s="1" t="str">
        <f>"209785_s_at"</f>
        <v>209785_s_at</v>
      </c>
      <c r="B891" s="2">
        <v>3.8532126974170998E-6</v>
      </c>
      <c r="C891" s="2">
        <v>5.3605705524359398E-8</v>
      </c>
      <c r="D891" s="1">
        <v>5.86639592702016</v>
      </c>
      <c r="E891" s="1">
        <v>8.1080888985689903</v>
      </c>
      <c r="F891" s="1">
        <v>0.65738869381540599</v>
      </c>
      <c r="G891" s="3" t="str">
        <f>"PLA2G4C"</f>
        <v>PLA2G4C</v>
      </c>
      <c r="H891" s="1">
        <v>8605</v>
      </c>
      <c r="I891" s="1" t="str">
        <f>"phospholipase A2 group IVC"</f>
        <v>phospholipase A2 group IVC</v>
      </c>
    </row>
    <row r="892" spans="1:9" x14ac:dyDescent="0.35">
      <c r="A892" s="1" t="str">
        <f>"215870_s_at"</f>
        <v>215870_s_at</v>
      </c>
      <c r="B892" s="1">
        <v>1.3100247598480301E-2</v>
      </c>
      <c r="C892" s="1">
        <v>1.2661808370226901E-3</v>
      </c>
      <c r="D892" s="1">
        <v>3.31425244604445</v>
      </c>
      <c r="E892" s="1">
        <v>-1.3867919154010699</v>
      </c>
      <c r="F892" s="1">
        <v>0.30968322865116299</v>
      </c>
      <c r="G892" s="3" t="str">
        <f>"PLA2G5"</f>
        <v>PLA2G5</v>
      </c>
      <c r="H892" s="1">
        <v>5322</v>
      </c>
      <c r="I892" s="1" t="str">
        <f>"phospholipase A2 group V"</f>
        <v>phospholipase A2 group V</v>
      </c>
    </row>
    <row r="893" spans="1:9" x14ac:dyDescent="0.35">
      <c r="A893" s="1" t="str">
        <f>"209318_x_at"</f>
        <v>209318_x_at</v>
      </c>
      <c r="B893" s="1">
        <v>2.0702551632186999E-3</v>
      </c>
      <c r="C893" s="1">
        <v>1.17893923380178E-4</v>
      </c>
      <c r="D893" s="1">
        <v>4.0023880313544202</v>
      </c>
      <c r="E893" s="1">
        <v>0.81134305513077798</v>
      </c>
      <c r="F893" s="1">
        <v>0.43809450161918401</v>
      </c>
      <c r="G893" s="3" t="str">
        <f>"PLAGL1"</f>
        <v>PLAGL1</v>
      </c>
      <c r="H893" s="1">
        <v>5325</v>
      </c>
      <c r="I893" s="1" t="str">
        <f>"PLAG1 like zinc finger 1"</f>
        <v>PLAG1 like zinc finger 1</v>
      </c>
    </row>
    <row r="894" spans="1:9" x14ac:dyDescent="0.35">
      <c r="A894" s="1" t="str">
        <f>"218454_at"</f>
        <v>218454_at</v>
      </c>
      <c r="B894" s="2">
        <v>2.1012281977227101E-6</v>
      </c>
      <c r="C894" s="2">
        <v>2.4045828228662699E-8</v>
      </c>
      <c r="D894" s="1">
        <v>6.0424037137318702</v>
      </c>
      <c r="E894" s="1">
        <v>8.8754727122045693</v>
      </c>
      <c r="F894" s="1">
        <v>0.37558028751307598</v>
      </c>
      <c r="G894" s="3" t="str">
        <f>"PLBD1"</f>
        <v>PLBD1</v>
      </c>
      <c r="H894" s="1">
        <v>79887</v>
      </c>
      <c r="I894" s="1" t="str">
        <f>"phospholipase B domain containing 1"</f>
        <v>phospholipase B domain containing 1</v>
      </c>
    </row>
    <row r="895" spans="1:9" x14ac:dyDescent="0.35">
      <c r="A895" s="1" t="str">
        <f>"203895_at"</f>
        <v>203895_at</v>
      </c>
      <c r="B895" s="2">
        <v>5.7851471882052299E-5</v>
      </c>
      <c r="C895" s="2">
        <v>1.4149374938616201E-6</v>
      </c>
      <c r="D895" s="1">
        <v>5.1196950340540299</v>
      </c>
      <c r="E895" s="1">
        <v>4.9853653509503104</v>
      </c>
      <c r="F895" s="1">
        <v>0.38456672241860801</v>
      </c>
      <c r="G895" s="3" t="str">
        <f>"PLCB4"</f>
        <v>PLCB4</v>
      </c>
      <c r="H895" s="1">
        <v>5332</v>
      </c>
      <c r="I895" s="1" t="str">
        <f>"phospholipase C beta 4"</f>
        <v>phospholipase C beta 4</v>
      </c>
    </row>
    <row r="896" spans="1:9" x14ac:dyDescent="0.35">
      <c r="A896" s="1" t="str">
        <f>"205111_s_at"</f>
        <v>205111_s_at</v>
      </c>
      <c r="B896" s="1">
        <v>2.9784803175481002E-3</v>
      </c>
      <c r="C896" s="1">
        <v>1.9341475651806799E-4</v>
      </c>
      <c r="D896" s="1">
        <v>3.86560982058647</v>
      </c>
      <c r="E896" s="1">
        <v>0.34954860894388501</v>
      </c>
      <c r="F896" s="1">
        <v>0.37676834029796302</v>
      </c>
      <c r="G896" s="3" t="str">
        <f>"PLCE1"</f>
        <v>PLCE1</v>
      </c>
      <c r="H896" s="1">
        <v>51196</v>
      </c>
      <c r="I896" s="1" t="str">
        <f>"phospholipase C epsilon 1"</f>
        <v>phospholipase C epsilon 1</v>
      </c>
    </row>
    <row r="897" spans="1:9" x14ac:dyDescent="0.35">
      <c r="A897" s="1" t="str">
        <f>"220952_s_at"</f>
        <v>220952_s_at</v>
      </c>
      <c r="B897" s="1">
        <v>5.4778342706526999E-3</v>
      </c>
      <c r="C897" s="1">
        <v>4.1622973571080901E-4</v>
      </c>
      <c r="D897" s="1">
        <v>3.6474225425720701</v>
      </c>
      <c r="E897" s="1">
        <v>-0.36216255879499099</v>
      </c>
      <c r="F897" s="1">
        <v>0.52014933801162899</v>
      </c>
      <c r="G897" s="3" t="str">
        <f>"PLEKHA5"</f>
        <v>PLEKHA5</v>
      </c>
      <c r="H897" s="1">
        <v>54477</v>
      </c>
      <c r="I897" s="1" t="str">
        <f>"pleckstrin homology domain containing A5"</f>
        <v>pleckstrin homology domain containing A5</v>
      </c>
    </row>
    <row r="898" spans="1:9" x14ac:dyDescent="0.35">
      <c r="A898" s="1" t="str">
        <f>"218223_s_at"</f>
        <v>218223_s_at</v>
      </c>
      <c r="B898" s="2">
        <v>1.0049885369268799E-7</v>
      </c>
      <c r="C898" s="2">
        <v>5.2317313774409896E-10</v>
      </c>
      <c r="D898" s="1">
        <v>-6.8559659425940396</v>
      </c>
      <c r="E898" s="1">
        <v>12.5482221805945</v>
      </c>
      <c r="F898" s="1">
        <v>-0.60690996379651296</v>
      </c>
      <c r="G898" s="3" t="str">
        <f>"PLEKHO1"</f>
        <v>PLEKHO1</v>
      </c>
      <c r="H898" s="1">
        <v>51177</v>
      </c>
      <c r="I898" s="1" t="str">
        <f>"pleckstrin homology domain containing O1"</f>
        <v>pleckstrin homology domain containing O1</v>
      </c>
    </row>
    <row r="899" spans="1:9" x14ac:dyDescent="0.35">
      <c r="A899" s="1" t="str">
        <f>"209122_at"</f>
        <v>209122_at</v>
      </c>
      <c r="B899" s="2">
        <v>2.07839454577883E-9</v>
      </c>
      <c r="C899" s="2">
        <v>4.2905420771810798E-12</v>
      </c>
      <c r="D899" s="1">
        <v>-7.8335141160114201</v>
      </c>
      <c r="E899" s="1">
        <v>17.1688183221328</v>
      </c>
      <c r="F899" s="1">
        <v>-1.2100455618808199</v>
      </c>
      <c r="G899" s="3" t="str">
        <f>"PLIN2"</f>
        <v>PLIN2</v>
      </c>
      <c r="H899" s="1">
        <v>123</v>
      </c>
      <c r="I899" s="1" t="str">
        <f>"perilipin 2"</f>
        <v>perilipin 2</v>
      </c>
    </row>
    <row r="900" spans="1:9" x14ac:dyDescent="0.35">
      <c r="A900" s="1" t="str">
        <f>"202122_s_at"</f>
        <v>202122_s_at</v>
      </c>
      <c r="B900" s="2">
        <v>4.5770027145384697E-6</v>
      </c>
      <c r="C900" s="2">
        <v>6.5729070082677796E-8</v>
      </c>
      <c r="D900" s="1">
        <v>-5.82125787547574</v>
      </c>
      <c r="E900" s="1">
        <v>7.9130611604503001</v>
      </c>
      <c r="F900" s="1">
        <v>-0.33138004953488198</v>
      </c>
      <c r="G900" s="3" t="str">
        <f>"PLIN3"</f>
        <v>PLIN3</v>
      </c>
      <c r="H900" s="1">
        <v>10226</v>
      </c>
      <c r="I900" s="1" t="str">
        <f>"perilipin 3"</f>
        <v>perilipin 3</v>
      </c>
    </row>
    <row r="901" spans="1:9" x14ac:dyDescent="0.35">
      <c r="A901" s="1" t="str">
        <f>"201136_at"</f>
        <v>201136_at</v>
      </c>
      <c r="B901" s="2">
        <v>1.1583631868250201E-7</v>
      </c>
      <c r="C901" s="2">
        <v>6.3420683387628495E-10</v>
      </c>
      <c r="D901" s="1">
        <v>-6.8159421139083003</v>
      </c>
      <c r="E901" s="1">
        <v>12.3632911830378</v>
      </c>
      <c r="F901" s="1">
        <v>-0.53606120567151205</v>
      </c>
      <c r="G901" s="3" t="str">
        <f>"PLP2"</f>
        <v>PLP2</v>
      </c>
      <c r="H901" s="1">
        <v>5355</v>
      </c>
      <c r="I901" s="1" t="str">
        <f>"proteolipid protein 2"</f>
        <v>proteolipid protein 2</v>
      </c>
    </row>
    <row r="902" spans="1:9" x14ac:dyDescent="0.35">
      <c r="A902" s="1" t="str">
        <f>"201215_at"</f>
        <v>201215_at</v>
      </c>
      <c r="B902" s="1">
        <v>1.8199546994299199E-2</v>
      </c>
      <c r="C902" s="1">
        <v>1.9356875814068599E-3</v>
      </c>
      <c r="D902" s="1">
        <v>3.1810468246627401</v>
      </c>
      <c r="E902" s="1">
        <v>-1.7744400073069999</v>
      </c>
      <c r="F902" s="1">
        <v>0.36699284468604698</v>
      </c>
      <c r="G902" s="3" t="str">
        <f>"PLS3"</f>
        <v>PLS3</v>
      </c>
      <c r="H902" s="1">
        <v>5358</v>
      </c>
      <c r="I902" s="1" t="str">
        <f>"plastin 3"</f>
        <v>plastin 3</v>
      </c>
    </row>
    <row r="903" spans="1:9" x14ac:dyDescent="0.35">
      <c r="A903" s="1" t="str">
        <f>"218901_at"</f>
        <v>218901_at</v>
      </c>
      <c r="B903" s="1">
        <v>2.07144278684634E-3</v>
      </c>
      <c r="C903" s="1">
        <v>1.1808956822997899E-4</v>
      </c>
      <c r="D903" s="1">
        <v>4.0019349190063798</v>
      </c>
      <c r="E903" s="1">
        <v>0.80979387759258503</v>
      </c>
      <c r="F903" s="1">
        <v>0.47052352477907</v>
      </c>
      <c r="G903" s="3" t="str">
        <f>"PLSCR4"</f>
        <v>PLSCR4</v>
      </c>
      <c r="H903" s="1">
        <v>57088</v>
      </c>
      <c r="I903" s="1" t="str">
        <f>"phospholipid scramblase 4"</f>
        <v>phospholipid scramblase 4</v>
      </c>
    </row>
    <row r="904" spans="1:9" x14ac:dyDescent="0.35">
      <c r="A904" s="1" t="str">
        <f>"219700_at"</f>
        <v>219700_at</v>
      </c>
      <c r="B904" s="2">
        <v>7.5812563171275894E-9</v>
      </c>
      <c r="C904" s="2">
        <v>1.8031978854183099E-11</v>
      </c>
      <c r="D904" s="1">
        <v>7.5450368525895302</v>
      </c>
      <c r="E904" s="1">
        <v>15.7869964284251</v>
      </c>
      <c r="F904" s="1">
        <v>0.80657434361336899</v>
      </c>
      <c r="G904" s="3" t="str">
        <f>"PLXDC1"</f>
        <v>PLXDC1</v>
      </c>
      <c r="H904" s="1">
        <v>57125</v>
      </c>
      <c r="I904" s="1" t="str">
        <f>"plexin domain containing 1"</f>
        <v>plexin domain containing 1</v>
      </c>
    </row>
    <row r="905" spans="1:9" x14ac:dyDescent="0.35">
      <c r="A905" s="1" t="str">
        <f>"213030_s_at"</f>
        <v>213030_s_at</v>
      </c>
      <c r="B905" s="1">
        <v>4.6827455155221701E-4</v>
      </c>
      <c r="C905" s="2">
        <v>1.79677216522526E-5</v>
      </c>
      <c r="D905" s="1">
        <v>-4.4976397235585202</v>
      </c>
      <c r="E905" s="1">
        <v>2.5778378089124701</v>
      </c>
      <c r="F905" s="1">
        <v>-0.34161644945348602</v>
      </c>
      <c r="G905" s="3" t="str">
        <f>"PLXNA2"</f>
        <v>PLXNA2</v>
      </c>
      <c r="H905" s="1">
        <v>5362</v>
      </c>
      <c r="I905" s="1" t="str">
        <f>"plexin A2"</f>
        <v>plexin A2</v>
      </c>
    </row>
    <row r="906" spans="1:9" x14ac:dyDescent="0.35">
      <c r="A906" s="1" t="str">
        <f>"215807_s_at"</f>
        <v>215807_s_at</v>
      </c>
      <c r="B906" s="1">
        <v>8.7445770573426295E-4</v>
      </c>
      <c r="C906" s="2">
        <v>3.9792672154312401E-5</v>
      </c>
      <c r="D906" s="1">
        <v>-4.2926180896482897</v>
      </c>
      <c r="E906" s="1">
        <v>1.82921690614657</v>
      </c>
      <c r="F906" s="1">
        <v>-0.30420666724855</v>
      </c>
      <c r="G906" s="3" t="str">
        <f>"PLXNB1"</f>
        <v>PLXNB1</v>
      </c>
      <c r="H906" s="1">
        <v>5364</v>
      </c>
      <c r="I906" s="1" t="str">
        <f>"plexin B1"</f>
        <v>plexin B1</v>
      </c>
    </row>
    <row r="907" spans="1:9" x14ac:dyDescent="0.35">
      <c r="A907" s="1" t="str">
        <f>"212176_at"</f>
        <v>212176_at</v>
      </c>
      <c r="B907" s="1">
        <v>1.2162503610918401E-2</v>
      </c>
      <c r="C907" s="1">
        <v>1.1571380718550901E-3</v>
      </c>
      <c r="D907" s="1">
        <v>3.3420463564082299</v>
      </c>
      <c r="E907" s="1">
        <v>-1.30429042074182</v>
      </c>
      <c r="F907" s="1">
        <v>0.30890550762790697</v>
      </c>
      <c r="G907" s="3" t="str">
        <f>"PNISR"</f>
        <v>PNISR</v>
      </c>
      <c r="H907" s="1">
        <v>25957</v>
      </c>
      <c r="I907" s="1" t="str">
        <f>"PNN interacting serine and arginine rich protein"</f>
        <v>PNN interacting serine and arginine rich protein</v>
      </c>
    </row>
    <row r="908" spans="1:9" x14ac:dyDescent="0.35">
      <c r="A908" s="1" t="str">
        <f>"218824_at"</f>
        <v>218824_at</v>
      </c>
      <c r="B908" s="1">
        <v>3.1907228645797397E-2</v>
      </c>
      <c r="C908" s="1">
        <v>4.1097302164136203E-3</v>
      </c>
      <c r="D908" s="1">
        <v>2.9347913756675501</v>
      </c>
      <c r="E908" s="1">
        <v>-2.4564486012408802</v>
      </c>
      <c r="F908" s="1">
        <v>0.32689102837935702</v>
      </c>
      <c r="G908" s="3" t="str">
        <f>"PNMAL1"</f>
        <v>PNMAL1</v>
      </c>
      <c r="H908" s="1">
        <v>55228</v>
      </c>
      <c r="I908" s="1" t="str">
        <f>"paraneoplastic Ma antigen family like 1"</f>
        <v>paraneoplastic Ma antigen family like 1</v>
      </c>
    </row>
    <row r="909" spans="1:9" x14ac:dyDescent="0.35">
      <c r="A909" s="1" t="str">
        <f>"203622_s_at"</f>
        <v>203622_s_at</v>
      </c>
      <c r="B909" s="1">
        <v>2.5265987134739701E-3</v>
      </c>
      <c r="C909" s="1">
        <v>1.54432861273237E-4</v>
      </c>
      <c r="D909" s="1">
        <v>-3.9281753190175701</v>
      </c>
      <c r="E909" s="1">
        <v>0.55932003532818397</v>
      </c>
      <c r="F909" s="1">
        <v>-0.34641248027035099</v>
      </c>
      <c r="G909" s="3" t="str">
        <f>"PNO1"</f>
        <v>PNO1</v>
      </c>
      <c r="H909" s="1">
        <v>56902</v>
      </c>
      <c r="I909" s="1" t="str">
        <f>"partner of NOB1 homolog"</f>
        <v>partner of NOB1 homolog</v>
      </c>
    </row>
    <row r="910" spans="1:9" x14ac:dyDescent="0.35">
      <c r="A910" s="1" t="str">
        <f>"201695_s_at"</f>
        <v>201695_s_at</v>
      </c>
      <c r="B910" s="2">
        <v>6.4243184498482196E-6</v>
      </c>
      <c r="C910" s="2">
        <v>9.7159059264858897E-8</v>
      </c>
      <c r="D910" s="1">
        <v>-5.73428531880315</v>
      </c>
      <c r="E910" s="1">
        <v>7.53939451250457</v>
      </c>
      <c r="F910" s="1">
        <v>-0.75904450483285202</v>
      </c>
      <c r="G910" s="3" t="str">
        <f>"PNP"</f>
        <v>PNP</v>
      </c>
      <c r="H910" s="1">
        <v>4860</v>
      </c>
      <c r="I910" s="1" t="str">
        <f>"purine nucleoside phosphorylase"</f>
        <v>purine nucleoside phosphorylase</v>
      </c>
    </row>
    <row r="911" spans="1:9" x14ac:dyDescent="0.35">
      <c r="A911" s="1" t="str">
        <f>"209740_s_at"</f>
        <v>209740_s_at</v>
      </c>
      <c r="B911" s="2">
        <v>3.39341115326882E-5</v>
      </c>
      <c r="C911" s="2">
        <v>7.4011480522759303E-7</v>
      </c>
      <c r="D911" s="1">
        <v>5.2716827076364803</v>
      </c>
      <c r="E911" s="1">
        <v>5.6020060766736002</v>
      </c>
      <c r="F911" s="1">
        <v>0.34593194610900901</v>
      </c>
      <c r="G911" s="3" t="str">
        <f>"PNPLA4"</f>
        <v>PNPLA4</v>
      </c>
      <c r="H911" s="1">
        <v>8228</v>
      </c>
      <c r="I911" s="1" t="str">
        <f>"patatin like phospholipase domain containing 4"</f>
        <v>patatin like phospholipase domain containing 4</v>
      </c>
    </row>
    <row r="912" spans="1:9" x14ac:dyDescent="0.35">
      <c r="A912" s="1" t="str">
        <f>"217779_s_at"</f>
        <v>217779_s_at</v>
      </c>
      <c r="B912" s="2">
        <v>1.48621247242622E-5</v>
      </c>
      <c r="C912" s="2">
        <v>2.6612160682944998E-7</v>
      </c>
      <c r="D912" s="1">
        <v>5.5071108604890702</v>
      </c>
      <c r="E912" s="1">
        <v>6.5770657212741304</v>
      </c>
      <c r="F912" s="1">
        <v>0.30729651484447901</v>
      </c>
      <c r="G912" s="3" t="str">
        <f>"PNRC2"</f>
        <v>PNRC2</v>
      </c>
      <c r="H912" s="1">
        <v>55629</v>
      </c>
      <c r="I912" s="1" t="str">
        <f>"proline rich nuclear receptor coactivator 2"</f>
        <v>proline rich nuclear receptor coactivator 2</v>
      </c>
    </row>
    <row r="913" spans="1:9" x14ac:dyDescent="0.35">
      <c r="A913" s="1" t="str">
        <f>"208828_at"</f>
        <v>208828_at</v>
      </c>
      <c r="B913" s="1">
        <v>1.9613111851870299E-2</v>
      </c>
      <c r="C913" s="1">
        <v>2.1412633956705901E-3</v>
      </c>
      <c r="D913" s="1">
        <v>-3.14880799606021</v>
      </c>
      <c r="E913" s="1">
        <v>-1.8663087630712301</v>
      </c>
      <c r="F913" s="1">
        <v>-0.31652248251162701</v>
      </c>
      <c r="G913" s="3" t="str">
        <f>"POLE3"</f>
        <v>POLE3</v>
      </c>
      <c r="H913" s="1">
        <v>54107</v>
      </c>
      <c r="I913" s="1" t="str">
        <f>"DNA polymerase epsilon 3, accessory subunit"</f>
        <v>DNA polymerase epsilon 3, accessory subunit</v>
      </c>
    </row>
    <row r="914" spans="1:9" x14ac:dyDescent="0.35">
      <c r="A914" s="1" t="str">
        <f>"213887_s_at"</f>
        <v>213887_s_at</v>
      </c>
      <c r="B914" s="1">
        <v>0.170560575650018</v>
      </c>
      <c r="C914" s="1">
        <v>4.21445285432391E-2</v>
      </c>
      <c r="D914" s="1">
        <v>-2.0575073503033798</v>
      </c>
      <c r="E914" s="1">
        <v>-4.4941255136901397</v>
      </c>
      <c r="F914" s="1">
        <v>-0.34236376972093202</v>
      </c>
      <c r="G914" s="3" t="str">
        <f>"POLR2E"</f>
        <v>POLR2E</v>
      </c>
      <c r="H914" s="1">
        <v>5434</v>
      </c>
      <c r="I914" s="1" t="str">
        <f>"RNA polymerase II subunit E"</f>
        <v>RNA polymerase II subunit E</v>
      </c>
    </row>
    <row r="915" spans="1:9" x14ac:dyDescent="0.35">
      <c r="A915" s="1" t="str">
        <f>"204839_at"</f>
        <v>204839_at</v>
      </c>
      <c r="B915" s="1">
        <v>2.1147866288079601E-3</v>
      </c>
      <c r="C915" s="1">
        <v>1.21508771599458E-4</v>
      </c>
      <c r="D915" s="1">
        <v>3.9941298824456002</v>
      </c>
      <c r="E915" s="1">
        <v>0.78312870147220603</v>
      </c>
      <c r="F915" s="1">
        <v>0.31933889349854699</v>
      </c>
      <c r="G915" s="3" t="str">
        <f>"POP5"</f>
        <v>POP5</v>
      </c>
      <c r="H915" s="1">
        <v>51367</v>
      </c>
      <c r="I915" s="1" t="str">
        <f>"POP5 homolog, ribonuclease P/MRP subunit"</f>
        <v>POP5 homolog, ribonuclease P/MRP subunit</v>
      </c>
    </row>
    <row r="916" spans="1:9" x14ac:dyDescent="0.35">
      <c r="A916" s="1" t="str">
        <f>"208928_at"</f>
        <v>208928_at</v>
      </c>
      <c r="B916" s="2">
        <v>1.6589160661872399E-7</v>
      </c>
      <c r="C916" s="2">
        <v>1.03120753843863E-9</v>
      </c>
      <c r="D916" s="1">
        <v>-6.7144882429010497</v>
      </c>
      <c r="E916" s="1">
        <v>11.896304719356699</v>
      </c>
      <c r="F916" s="1">
        <v>-0.61247517947965002</v>
      </c>
      <c r="G916" s="3" t="str">
        <f>"POR"</f>
        <v>POR</v>
      </c>
      <c r="H916" s="1">
        <v>5447</v>
      </c>
      <c r="I916" s="1" t="str">
        <f>"cytochrome p450 oxidoreductase"</f>
        <v>cytochrome p450 oxidoreductase</v>
      </c>
    </row>
    <row r="917" spans="1:9" x14ac:dyDescent="0.35">
      <c r="A917" s="1" t="str">
        <f>"210809_s_at"</f>
        <v>210809_s_at</v>
      </c>
      <c r="B917" s="1">
        <v>3.6480208618922899E-2</v>
      </c>
      <c r="C917" s="1">
        <v>4.94086386985188E-3</v>
      </c>
      <c r="D917" s="1">
        <v>2.8723574314125901</v>
      </c>
      <c r="E917" s="1">
        <v>-2.62202782324671</v>
      </c>
      <c r="F917" s="1">
        <v>0.63813021776744205</v>
      </c>
      <c r="G917" s="3" t="str">
        <f>"POSTN"</f>
        <v>POSTN</v>
      </c>
      <c r="H917" s="1">
        <v>10631</v>
      </c>
      <c r="I917" s="1" t="str">
        <f>"periostin"</f>
        <v>periostin</v>
      </c>
    </row>
    <row r="918" spans="1:9" x14ac:dyDescent="0.35">
      <c r="A918" s="1" t="str">
        <f>"218010_x_at"</f>
        <v>218010_x_at</v>
      </c>
      <c r="B918" s="2">
        <v>7.6926624689128701E-5</v>
      </c>
      <c r="C918" s="2">
        <v>1.9850473094398901E-6</v>
      </c>
      <c r="D918" s="1">
        <v>5.0393336554124097</v>
      </c>
      <c r="E918" s="1">
        <v>4.6635967770114499</v>
      </c>
      <c r="F918" s="1">
        <v>0.48957632668895101</v>
      </c>
      <c r="G918" s="3" t="str">
        <f>"PPDPF"</f>
        <v>PPDPF</v>
      </c>
      <c r="H918" s="1">
        <v>79144</v>
      </c>
      <c r="I918" s="1" t="str">
        <f>"pancreatic progenitor cell differentiation and proliferation factor"</f>
        <v>pancreatic progenitor cell differentiation and proliferation factor</v>
      </c>
    </row>
    <row r="919" spans="1:9" x14ac:dyDescent="0.35">
      <c r="A919" s="1" t="str">
        <f>"211765_x_at"</f>
        <v>211765_x_at</v>
      </c>
      <c r="B919" s="2">
        <v>4.2929081007985498E-5</v>
      </c>
      <c r="C919" s="2">
        <v>9.7290247763015103E-7</v>
      </c>
      <c r="D919" s="1">
        <v>-5.2078260245568799</v>
      </c>
      <c r="E919" s="1">
        <v>5.3416627094434803</v>
      </c>
      <c r="F919" s="1">
        <v>-0.30048262840116302</v>
      </c>
      <c r="G919" s="3" t="str">
        <f>"PPIA"</f>
        <v>PPIA</v>
      </c>
      <c r="H919" s="1">
        <v>5478</v>
      </c>
      <c r="I919" s="1" t="str">
        <f>"peptidylprolyl isomerase A"</f>
        <v>peptidylprolyl isomerase A</v>
      </c>
    </row>
    <row r="920" spans="1:9" x14ac:dyDescent="0.35">
      <c r="A920" s="1" t="str">
        <f>"204517_at"</f>
        <v>204517_at</v>
      </c>
      <c r="B920" s="2">
        <v>3.6995145756952502E-5</v>
      </c>
      <c r="C920" s="2">
        <v>8.1849871463346796E-7</v>
      </c>
      <c r="D920" s="1">
        <v>5.2482242815791702</v>
      </c>
      <c r="E920" s="1">
        <v>5.5061558840190896</v>
      </c>
      <c r="F920" s="1">
        <v>0.465147535040699</v>
      </c>
      <c r="G920" s="3" t="str">
        <f>"PPIC"</f>
        <v>PPIC</v>
      </c>
      <c r="H920" s="1">
        <v>5480</v>
      </c>
      <c r="I920" s="1" t="str">
        <f>"peptidylprolyl isomerase C"</f>
        <v>peptidylprolyl isomerase C</v>
      </c>
    </row>
    <row r="921" spans="1:9" x14ac:dyDescent="0.35">
      <c r="A921" s="1" t="str">
        <f>"201490_s_at"</f>
        <v>201490_s_at</v>
      </c>
      <c r="B921" s="1">
        <v>0.14171819657061799</v>
      </c>
      <c r="C921" s="1">
        <v>3.1837781808217502E-2</v>
      </c>
      <c r="D921" s="1">
        <v>-2.1758197179552998</v>
      </c>
      <c r="E921" s="1">
        <v>-4.2568656380235801</v>
      </c>
      <c r="F921" s="1">
        <v>-0.339998161640994</v>
      </c>
      <c r="G921" s="3" t="str">
        <f>"PPIF"</f>
        <v>PPIF</v>
      </c>
      <c r="H921" s="1">
        <v>10105</v>
      </c>
      <c r="I921" s="1" t="str">
        <f>"peptidylprolyl isomerase F"</f>
        <v>peptidylprolyl isomerase F</v>
      </c>
    </row>
    <row r="922" spans="1:9" x14ac:dyDescent="0.35">
      <c r="A922" s="1" t="str">
        <f>"201957_at"</f>
        <v>201957_at</v>
      </c>
      <c r="B922" s="2">
        <v>1.7741499130823301E-7</v>
      </c>
      <c r="C922" s="2">
        <v>1.1226277330009799E-9</v>
      </c>
      <c r="D922" s="1">
        <v>6.6967052536717402</v>
      </c>
      <c r="E922" s="1">
        <v>11.814720399336201</v>
      </c>
      <c r="F922" s="1">
        <v>0.77248722594331398</v>
      </c>
      <c r="G922" s="3" t="str">
        <f>"PPP1R12B"</f>
        <v>PPP1R12B</v>
      </c>
      <c r="H922" s="1">
        <v>4660</v>
      </c>
      <c r="I922" s="1" t="str">
        <f>"protein phosphatase 1 regulatory subunit 12B"</f>
        <v>protein phosphatase 1 regulatory subunit 12B</v>
      </c>
    </row>
    <row r="923" spans="1:9" x14ac:dyDescent="0.35">
      <c r="A923" s="1" t="str">
        <f>"212680_x_at"</f>
        <v>212680_x_at</v>
      </c>
      <c r="B923" s="1">
        <v>3.7278899335908299E-3</v>
      </c>
      <c r="C923" s="1">
        <v>2.5496137229243999E-4</v>
      </c>
      <c r="D923" s="1">
        <v>-3.78790518305235</v>
      </c>
      <c r="E923" s="1">
        <v>9.2510782729597493E-2</v>
      </c>
      <c r="F923" s="1">
        <v>-0.33248246572964701</v>
      </c>
      <c r="G923" s="3" t="str">
        <f>"PPP1R14B"</f>
        <v>PPP1R14B</v>
      </c>
      <c r="H923" s="1">
        <v>26472</v>
      </c>
      <c r="I923" s="1" t="str">
        <f>"protein phosphatase 1 regulatory inhibitor subunit 14B"</f>
        <v>protein phosphatase 1 regulatory inhibitor subunit 14B</v>
      </c>
    </row>
    <row r="924" spans="1:9" x14ac:dyDescent="0.35">
      <c r="A924" s="1" t="str">
        <f>"206895_at"</f>
        <v>206895_at</v>
      </c>
      <c r="B924" s="1">
        <v>1.0265521969666899E-3</v>
      </c>
      <c r="C924" s="2">
        <v>4.8870403344406998E-5</v>
      </c>
      <c r="D924" s="1">
        <v>4.2386605804139501</v>
      </c>
      <c r="E924" s="1">
        <v>1.63618720296718</v>
      </c>
      <c r="F924" s="1">
        <v>0.55656734941279196</v>
      </c>
      <c r="G924" s="3" t="str">
        <f>"PPP1R3A"</f>
        <v>PPP1R3A</v>
      </c>
      <c r="H924" s="1">
        <v>5506</v>
      </c>
      <c r="I924" s="1" t="str">
        <f>"protein phosphatase 1 regulatory subunit 3A"</f>
        <v>protein phosphatase 1 regulatory subunit 3A</v>
      </c>
    </row>
    <row r="925" spans="1:9" x14ac:dyDescent="0.35">
      <c r="A925" s="1" t="str">
        <f>"204284_at"</f>
        <v>204284_at</v>
      </c>
      <c r="B925" s="2">
        <v>1.40071524848908E-8</v>
      </c>
      <c r="C925" s="2">
        <v>4.0859171185114201E-11</v>
      </c>
      <c r="D925" s="1">
        <v>7.3794215172185504</v>
      </c>
      <c r="E925" s="1">
        <v>14.999948729841201</v>
      </c>
      <c r="F925" s="1">
        <v>0.98089070468895301</v>
      </c>
      <c r="G925" s="3" t="str">
        <f>"PPP1R3C"</f>
        <v>PPP1R3C</v>
      </c>
      <c r="H925" s="1">
        <v>5507</v>
      </c>
      <c r="I925" s="1" t="str">
        <f>"protein phosphatase 1 regulatory subunit 3C"</f>
        <v>protein phosphatase 1 regulatory subunit 3C</v>
      </c>
    </row>
    <row r="926" spans="1:9" x14ac:dyDescent="0.35">
      <c r="A926" s="1" t="str">
        <f>"201375_s_at"</f>
        <v>201375_s_at</v>
      </c>
      <c r="B926" s="2">
        <v>2.2157356037165999E-7</v>
      </c>
      <c r="C926" s="2">
        <v>1.50148577911954E-9</v>
      </c>
      <c r="D926" s="1">
        <v>-6.6356995047215399</v>
      </c>
      <c r="E926" s="1">
        <v>11.5354677809813</v>
      </c>
      <c r="F926" s="1">
        <v>-0.52960727421801901</v>
      </c>
      <c r="G926" s="3" t="str">
        <f>"PPP2CB"</f>
        <v>PPP2CB</v>
      </c>
      <c r="H926" s="1">
        <v>5516</v>
      </c>
      <c r="I926" s="1" t="str">
        <f>"protein phosphatase 2 catalytic subunit beta"</f>
        <v>protein phosphatase 2 catalytic subunit beta</v>
      </c>
    </row>
    <row r="927" spans="1:9" x14ac:dyDescent="0.35">
      <c r="A927" s="1" t="str">
        <f>"32541_at"</f>
        <v>32541_at</v>
      </c>
      <c r="B927" s="1">
        <v>1.2169678688428601E-3</v>
      </c>
      <c r="C927" s="2">
        <v>6.0949429683105403E-5</v>
      </c>
      <c r="D927" s="1">
        <v>-4.1801868737276999</v>
      </c>
      <c r="E927" s="1">
        <v>1.4289293819203499</v>
      </c>
      <c r="F927" s="1">
        <v>-0.31550803732267502</v>
      </c>
      <c r="G927" s="3" t="str">
        <f>"PPP3CC"</f>
        <v>PPP3CC</v>
      </c>
      <c r="H927" s="1">
        <v>5533</v>
      </c>
      <c r="I927" s="1" t="str">
        <f>"protein phosphatase 3 catalytic subunit gamma"</f>
        <v>protein phosphatase 3 catalytic subunit gamma</v>
      </c>
    </row>
    <row r="928" spans="1:9" x14ac:dyDescent="0.35">
      <c r="A928" s="1" t="str">
        <f>"203737_s_at"</f>
        <v>203737_s_at</v>
      </c>
      <c r="B928" s="1">
        <v>5.9614042788863298E-3</v>
      </c>
      <c r="C928" s="1">
        <v>4.6309701596518598E-4</v>
      </c>
      <c r="D928" s="1">
        <v>-3.6163662307478299</v>
      </c>
      <c r="E928" s="1">
        <v>-0.46090236431111797</v>
      </c>
      <c r="F928" s="1">
        <v>-0.32021184475290898</v>
      </c>
      <c r="G928" s="3" t="str">
        <f>"PPRC1"</f>
        <v>PPRC1</v>
      </c>
      <c r="H928" s="1">
        <v>23082</v>
      </c>
      <c r="I928" s="1" t="str">
        <f>"peroxisome proliferator-activated receptor gamma, coactivator-related 1"</f>
        <v>peroxisome proliferator-activated receptor gamma, coactivator-related 1</v>
      </c>
    </row>
    <row r="929" spans="1:9" x14ac:dyDescent="0.35">
      <c r="A929" s="1" t="str">
        <f>"208680_at"</f>
        <v>208680_at</v>
      </c>
      <c r="B929" s="2">
        <v>2.1944824990919501E-6</v>
      </c>
      <c r="C929" s="2">
        <v>2.5475025581913901E-8</v>
      </c>
      <c r="D929" s="1">
        <v>-6.0298035331382902</v>
      </c>
      <c r="E929" s="1">
        <v>8.8201803707223405</v>
      </c>
      <c r="F929" s="1">
        <v>-0.37689127422965502</v>
      </c>
      <c r="G929" s="3" t="str">
        <f>"PRDX1"</f>
        <v>PRDX1</v>
      </c>
      <c r="H929" s="1">
        <v>5052</v>
      </c>
      <c r="I929" s="1" t="str">
        <f>"peroxiredoxin 1"</f>
        <v>peroxiredoxin 1</v>
      </c>
    </row>
    <row r="930" spans="1:9" x14ac:dyDescent="0.35">
      <c r="A930" s="1" t="str">
        <f>"39729_at"</f>
        <v>39729_at</v>
      </c>
      <c r="B930" s="1">
        <v>1.47121611873703E-3</v>
      </c>
      <c r="C930" s="2">
        <v>7.7578375421442802E-5</v>
      </c>
      <c r="D930" s="1">
        <v>4.1157328225699503</v>
      </c>
      <c r="E930" s="1">
        <v>1.2028321229548</v>
      </c>
      <c r="F930" s="1">
        <v>0.32541741256831502</v>
      </c>
      <c r="G930" s="3" t="str">
        <f>"PRDX2"</f>
        <v>PRDX2</v>
      </c>
      <c r="H930" s="1">
        <v>7001</v>
      </c>
      <c r="I930" s="1" t="str">
        <f>"peroxiredoxin 2"</f>
        <v>peroxiredoxin 2</v>
      </c>
    </row>
    <row r="931" spans="1:9" x14ac:dyDescent="0.35">
      <c r="A931" s="1" t="str">
        <f>"200844_s_at"</f>
        <v>200844_s_at</v>
      </c>
      <c r="B931" s="1">
        <v>2.8151272960423899E-4</v>
      </c>
      <c r="C931" s="2">
        <v>9.7657110794810694E-6</v>
      </c>
      <c r="D931" s="1">
        <v>-4.6511520445731804</v>
      </c>
      <c r="E931" s="1">
        <v>3.1535550928452101</v>
      </c>
      <c r="F931" s="1">
        <v>-0.36607937777035499</v>
      </c>
      <c r="G931" s="3" t="str">
        <f>"PRDX6"</f>
        <v>PRDX6</v>
      </c>
      <c r="H931" s="1">
        <v>9588</v>
      </c>
      <c r="I931" s="1" t="str">
        <f>"peroxiredoxin 6"</f>
        <v>peroxiredoxin 6</v>
      </c>
    </row>
    <row r="932" spans="1:9" x14ac:dyDescent="0.35">
      <c r="A932" s="1" t="str">
        <f>"204223_at"</f>
        <v>204223_at</v>
      </c>
      <c r="B932" s="1">
        <v>1.76493516854885E-2</v>
      </c>
      <c r="C932" s="1">
        <v>1.85974409897801E-3</v>
      </c>
      <c r="D932" s="1">
        <v>3.1937687961276202</v>
      </c>
      <c r="E932" s="1">
        <v>-1.73797629479163</v>
      </c>
      <c r="F932" s="1">
        <v>0.52034987758429796</v>
      </c>
      <c r="G932" s="3" t="str">
        <f>"PRELP"</f>
        <v>PRELP</v>
      </c>
      <c r="H932" s="1">
        <v>5549</v>
      </c>
      <c r="I932" s="1" t="str">
        <f>"proline and arginine rich end leucine rich repeat protein"</f>
        <v>proline and arginine rich end leucine rich repeat protein</v>
      </c>
    </row>
    <row r="933" spans="1:9" x14ac:dyDescent="0.35">
      <c r="A933" s="1" t="str">
        <f>"202741_at"</f>
        <v>202741_at</v>
      </c>
      <c r="B933" s="2">
        <v>1.2855676106635099E-5</v>
      </c>
      <c r="C933" s="2">
        <v>2.24424808395685E-7</v>
      </c>
      <c r="D933" s="1">
        <v>5.5458456088406098</v>
      </c>
      <c r="E933" s="1">
        <v>6.7397038827576701</v>
      </c>
      <c r="F933" s="1">
        <v>0.38656882789534402</v>
      </c>
      <c r="G933" s="3" t="str">
        <f>"PRKACB"</f>
        <v>PRKACB</v>
      </c>
      <c r="H933" s="1">
        <v>5567</v>
      </c>
      <c r="I933" s="1" t="str">
        <f>"protein kinase cAMP-activated catalytic subunit beta"</f>
        <v>protein kinase cAMP-activated catalytic subunit beta</v>
      </c>
    </row>
    <row r="934" spans="1:9" x14ac:dyDescent="0.35">
      <c r="A934" s="1" t="str">
        <f>"200603_at"</f>
        <v>200603_at</v>
      </c>
      <c r="B934" s="1">
        <v>9.9313882495261994E-3</v>
      </c>
      <c r="C934" s="1">
        <v>8.9361546651259001E-4</v>
      </c>
      <c r="D934" s="1">
        <v>3.4209516074744699</v>
      </c>
      <c r="E934" s="1">
        <v>-1.0670775486283399</v>
      </c>
      <c r="F934" s="1">
        <v>0.35905454890116001</v>
      </c>
      <c r="G934" s="3" t="str">
        <f>"PRKAR1A"</f>
        <v>PRKAR1A</v>
      </c>
      <c r="H934" s="1">
        <v>5573</v>
      </c>
      <c r="I934" s="1" t="str">
        <f>"protein kinase cAMP-dependent type I regulatory subunit alpha"</f>
        <v>protein kinase cAMP-dependent type I regulatory subunit alpha</v>
      </c>
    </row>
    <row r="935" spans="1:9" x14ac:dyDescent="0.35">
      <c r="A935" s="1" t="str">
        <f>"221564_at"</f>
        <v>221564_at</v>
      </c>
      <c r="B935" s="2">
        <v>2.8830915416206098E-7</v>
      </c>
      <c r="C935" s="2">
        <v>2.08310253646689E-9</v>
      </c>
      <c r="D935" s="1">
        <v>6.5667654685660404</v>
      </c>
      <c r="E935" s="1">
        <v>11.221119011010099</v>
      </c>
      <c r="F935" s="1">
        <v>0.37143808962791097</v>
      </c>
      <c r="G935" s="3" t="str">
        <f>"PRMT2"</f>
        <v>PRMT2</v>
      </c>
      <c r="H935" s="1">
        <v>3275</v>
      </c>
      <c r="I935" s="1" t="str">
        <f>"protein arginine methyltransferase 2"</f>
        <v>protein arginine methyltransferase 2</v>
      </c>
    </row>
    <row r="936" spans="1:9" x14ac:dyDescent="0.35">
      <c r="A936" s="1" t="str">
        <f>"204304_s_at"</f>
        <v>204304_s_at</v>
      </c>
      <c r="B936" s="1">
        <v>4.6388970461750002E-4</v>
      </c>
      <c r="C936" s="2">
        <v>1.77578386231085E-5</v>
      </c>
      <c r="D936" s="1">
        <v>4.5006271796544803</v>
      </c>
      <c r="E936" s="1">
        <v>2.58891989365629</v>
      </c>
      <c r="F936" s="1">
        <v>0.438086668863374</v>
      </c>
      <c r="G936" s="3" t="str">
        <f>"PROM1"</f>
        <v>PROM1</v>
      </c>
      <c r="H936" s="1">
        <v>8842</v>
      </c>
      <c r="I936" s="1" t="str">
        <f>"prominin 1"</f>
        <v>prominin 1</v>
      </c>
    </row>
    <row r="937" spans="1:9" x14ac:dyDescent="0.35">
      <c r="A937" s="1" t="str">
        <f>"214545_s_at"</f>
        <v>214545_s_at</v>
      </c>
      <c r="B937" s="1">
        <v>0.13085599279058099</v>
      </c>
      <c r="C937" s="1">
        <v>2.8399209313613401E-2</v>
      </c>
      <c r="D937" s="1">
        <v>-2.2227893712568401</v>
      </c>
      <c r="E937" s="1">
        <v>-4.1593222712675004</v>
      </c>
      <c r="F937" s="1">
        <v>-0.30173676158139601</v>
      </c>
      <c r="G937" s="3" t="str">
        <f>"PROSC"</f>
        <v>PROSC</v>
      </c>
      <c r="H937" s="1">
        <v>11212</v>
      </c>
      <c r="I937" s="1" t="str">
        <f>"proline synthetase cotranscribed homolog (bacterial)"</f>
        <v>proline synthetase cotranscribed homolog (bacterial)</v>
      </c>
    </row>
    <row r="938" spans="1:9" x14ac:dyDescent="0.35">
      <c r="A938" s="1" t="str">
        <f>"211090_s_at"</f>
        <v>211090_s_at</v>
      </c>
      <c r="B938" s="1">
        <v>7.4775134891395404E-3</v>
      </c>
      <c r="C938" s="1">
        <v>6.16442681844874E-4</v>
      </c>
      <c r="D938" s="1">
        <v>-3.53222445328002</v>
      </c>
      <c r="E938" s="1">
        <v>-0.72513428506146405</v>
      </c>
      <c r="F938" s="1">
        <v>-0.52238146244622097</v>
      </c>
      <c r="G938" s="3" t="str">
        <f>"PRPF4B"</f>
        <v>PRPF4B</v>
      </c>
      <c r="H938" s="1">
        <v>8899</v>
      </c>
      <c r="I938" s="1" t="str">
        <f>"pre-mRNA processing factor 4B"</f>
        <v>pre-mRNA processing factor 4B</v>
      </c>
    </row>
    <row r="939" spans="1:9" x14ac:dyDescent="0.35">
      <c r="A939" s="1" t="str">
        <f>"218613_at"</f>
        <v>218613_at</v>
      </c>
      <c r="B939" s="1">
        <v>2.6203899524767899E-2</v>
      </c>
      <c r="C939" s="1">
        <v>3.1508421824718198E-3</v>
      </c>
      <c r="D939" s="1">
        <v>3.0232682426259698</v>
      </c>
      <c r="E939" s="1">
        <v>-2.2166751540361598</v>
      </c>
      <c r="F939" s="1">
        <v>0.34072504426453998</v>
      </c>
      <c r="G939" s="3" t="str">
        <f>"PSD3"</f>
        <v>PSD3</v>
      </c>
      <c r="H939" s="1">
        <v>23362</v>
      </c>
      <c r="I939" s="1" t="str">
        <f>"pleckstrin and Sec7 domain containing 3"</f>
        <v>pleckstrin and Sec7 domain containing 3</v>
      </c>
    </row>
    <row r="940" spans="1:9" x14ac:dyDescent="0.35">
      <c r="A940" s="1" t="str">
        <f>"209337_at"</f>
        <v>209337_at</v>
      </c>
      <c r="B940" s="1">
        <v>2.3635123853810701E-4</v>
      </c>
      <c r="C940" s="2">
        <v>7.9020631293312997E-6</v>
      </c>
      <c r="D940" s="1">
        <v>4.7037795291245699</v>
      </c>
      <c r="E940" s="1">
        <v>3.3538090348976399</v>
      </c>
      <c r="F940" s="1">
        <v>0.42378962021511501</v>
      </c>
      <c r="G940" s="3" t="str">
        <f>"PSIP1"</f>
        <v>PSIP1</v>
      </c>
      <c r="H940" s="1">
        <v>11168</v>
      </c>
      <c r="I940" s="1" t="str">
        <f>"PC4 and SFRS1 interacting protein 1"</f>
        <v>PC4 and SFRS1 interacting protein 1</v>
      </c>
    </row>
    <row r="941" spans="1:9" x14ac:dyDescent="0.35">
      <c r="A941" s="1" t="str">
        <f>"201532_at"</f>
        <v>201532_at</v>
      </c>
      <c r="B941" s="1">
        <v>1.2266098255561499E-3</v>
      </c>
      <c r="C941" s="2">
        <v>6.1542421800106495E-5</v>
      </c>
      <c r="D941" s="1">
        <v>-4.1776120107218597</v>
      </c>
      <c r="E941" s="1">
        <v>1.4198494191115101</v>
      </c>
      <c r="F941" s="1">
        <v>-0.39491447352762199</v>
      </c>
      <c r="G941" s="3" t="str">
        <f>"PSMA3"</f>
        <v>PSMA3</v>
      </c>
      <c r="H941" s="1">
        <v>5684</v>
      </c>
      <c r="I941" s="1" t="str">
        <f>"proteasome subunit alpha 3"</f>
        <v>proteasome subunit alpha 3</v>
      </c>
    </row>
    <row r="942" spans="1:9" x14ac:dyDescent="0.35">
      <c r="A942" s="1" t="str">
        <f>"202659_at"</f>
        <v>202659_at</v>
      </c>
      <c r="B942" s="1">
        <v>4.2867784743465498E-4</v>
      </c>
      <c r="C942" s="2">
        <v>1.6102111847722801E-5</v>
      </c>
      <c r="D942" s="1">
        <v>4.5254671917698701</v>
      </c>
      <c r="E942" s="1">
        <v>2.6812541472692999</v>
      </c>
      <c r="F942" s="1">
        <v>0.38604599793023098</v>
      </c>
      <c r="G942" s="3" t="str">
        <f>"PSMB10"</f>
        <v>PSMB10</v>
      </c>
      <c r="H942" s="1">
        <v>5699</v>
      </c>
      <c r="I942" s="1" t="str">
        <f>"proteasome subunit beta 10"</f>
        <v>proteasome subunit beta 10</v>
      </c>
    </row>
    <row r="943" spans="1:9" x14ac:dyDescent="0.35">
      <c r="A943" s="1" t="str">
        <f>"208777_s_at"</f>
        <v>208777_s_at</v>
      </c>
      <c r="B943" s="2">
        <v>1.75015771796985E-5</v>
      </c>
      <c r="C943" s="2">
        <v>3.2987759347813802E-7</v>
      </c>
      <c r="D943" s="1">
        <v>-5.4581023685481203</v>
      </c>
      <c r="E943" s="1">
        <v>6.3721683958920297</v>
      </c>
      <c r="F943" s="1">
        <v>-0.34013582958866501</v>
      </c>
      <c r="G943" s="3" t="str">
        <f>"PSMD11"</f>
        <v>PSMD11</v>
      </c>
      <c r="H943" s="1">
        <v>5717</v>
      </c>
      <c r="I943" s="1" t="str">
        <f>"proteasome 26S subunit, non-ATPase 11"</f>
        <v>proteasome 26S subunit, non-ATPase 11</v>
      </c>
    </row>
    <row r="944" spans="1:9" x14ac:dyDescent="0.35">
      <c r="A944" s="1" t="str">
        <f>"200820_at"</f>
        <v>200820_at</v>
      </c>
      <c r="B944" s="2">
        <v>8.1992625766983394E-5</v>
      </c>
      <c r="C944" s="2">
        <v>2.14141693272984E-6</v>
      </c>
      <c r="D944" s="1">
        <v>-5.0212408523220402</v>
      </c>
      <c r="E944" s="1">
        <v>4.5915707018324703</v>
      </c>
      <c r="F944" s="1">
        <v>-0.34761557117296599</v>
      </c>
      <c r="G944" s="3" t="str">
        <f>"PSMD8"</f>
        <v>PSMD8</v>
      </c>
      <c r="H944" s="1">
        <v>5714</v>
      </c>
      <c r="I944" s="1" t="str">
        <f>"proteasome 26S subunit, non-ATPase 8"</f>
        <v>proteasome 26S subunit, non-ATPase 8</v>
      </c>
    </row>
    <row r="945" spans="1:9" x14ac:dyDescent="0.35">
      <c r="A945" s="1" t="str">
        <f>"212220_at"</f>
        <v>212220_at</v>
      </c>
      <c r="B945" s="2">
        <v>5.06300801942203E-6</v>
      </c>
      <c r="C945" s="2">
        <v>7.33900996397843E-8</v>
      </c>
      <c r="D945" s="1">
        <v>-5.7967837007147303</v>
      </c>
      <c r="E945" s="1">
        <v>7.80762705719604</v>
      </c>
      <c r="F945" s="1">
        <v>-0.41582582864244499</v>
      </c>
      <c r="G945" s="3" t="str">
        <f>"PSME4"</f>
        <v>PSME4</v>
      </c>
      <c r="H945" s="1">
        <v>23198</v>
      </c>
      <c r="I945" s="1" t="str">
        <f>"proteasome activator subunit 4"</f>
        <v>proteasome activator subunit 4</v>
      </c>
    </row>
    <row r="946" spans="1:9" x14ac:dyDescent="0.35">
      <c r="A946" s="1" t="str">
        <f>"217492_s_at"</f>
        <v>217492_s_at</v>
      </c>
      <c r="B946" s="1">
        <v>4.5059577838764096E-3</v>
      </c>
      <c r="C946" s="1">
        <v>3.2334185237258798E-4</v>
      </c>
      <c r="D946" s="1">
        <v>-3.7202384856272301</v>
      </c>
      <c r="E946" s="1">
        <v>-0.128121928250746</v>
      </c>
      <c r="F946" s="1">
        <v>-0.34903531636627999</v>
      </c>
      <c r="G946" s="3" t="str">
        <f>"PTENP1"</f>
        <v>PTENP1</v>
      </c>
      <c r="H946" s="1">
        <v>11191</v>
      </c>
      <c r="I946" s="1" t="str">
        <f>"phosphatase and tensin homolog pseudogene 1///phosphatase and tensin homolog"</f>
        <v>phosphatase and tensin homolog pseudogene 1///phosphatase and tensin homolog</v>
      </c>
    </row>
    <row r="947" spans="1:9" x14ac:dyDescent="0.35">
      <c r="A947" s="1" t="str">
        <f>"208131_s_at"</f>
        <v>208131_s_at</v>
      </c>
      <c r="B947" s="2">
        <v>6.5993658961845705E-5</v>
      </c>
      <c r="C947" s="2">
        <v>1.6614658114973501E-6</v>
      </c>
      <c r="D947" s="1">
        <v>5.0816559003990101</v>
      </c>
      <c r="E947" s="1">
        <v>4.8326804996038399</v>
      </c>
      <c r="F947" s="1">
        <v>0.53733390087354704</v>
      </c>
      <c r="G947" s="3" t="str">
        <f>"PTGIS"</f>
        <v>PTGIS</v>
      </c>
      <c r="H947" s="1">
        <v>5740</v>
      </c>
      <c r="I947" s="1" t="str">
        <f>"prostaglandin I2 (prostacyclin) synthase"</f>
        <v>prostaglandin I2 (prostacyclin) synthase</v>
      </c>
    </row>
    <row r="948" spans="1:9" x14ac:dyDescent="0.35">
      <c r="A948" s="1" t="str">
        <f>"211737_x_at"</f>
        <v>211737_x_at</v>
      </c>
      <c r="B948" s="2">
        <v>2.0972771611878001E-9</v>
      </c>
      <c r="C948" s="2">
        <v>4.4236425335828399E-12</v>
      </c>
      <c r="D948" s="1">
        <v>7.82740233900528</v>
      </c>
      <c r="E948" s="1">
        <v>17.139411153134301</v>
      </c>
      <c r="F948" s="1">
        <v>1.2380223830494199</v>
      </c>
      <c r="G948" s="3" t="str">
        <f>"PTN"</f>
        <v>PTN</v>
      </c>
      <c r="H948" s="1">
        <v>5764</v>
      </c>
      <c r="I948" s="1" t="str">
        <f>"pleiotrophin"</f>
        <v>pleiotrophin</v>
      </c>
    </row>
    <row r="949" spans="1:9" x14ac:dyDescent="0.35">
      <c r="A949" s="1" t="str">
        <f>"208617_s_at"</f>
        <v>208617_s_at</v>
      </c>
      <c r="B949" s="2">
        <v>2.2123182592406999E-6</v>
      </c>
      <c r="C949" s="2">
        <v>2.6009947876375799E-8</v>
      </c>
      <c r="D949" s="1">
        <v>-6.02526573759953</v>
      </c>
      <c r="E949" s="1">
        <v>8.8002807297605905</v>
      </c>
      <c r="F949" s="1">
        <v>-0.34913611354215501</v>
      </c>
      <c r="G949" s="3" t="str">
        <f>"PTP4A2"</f>
        <v>PTP4A2</v>
      </c>
      <c r="H949" s="1">
        <v>8073</v>
      </c>
      <c r="I949" s="1" t="str">
        <f>"protein tyrosine phosphatase type IVA, member 2"</f>
        <v>protein tyrosine phosphatase type IVA, member 2</v>
      </c>
    </row>
    <row r="950" spans="1:9" x14ac:dyDescent="0.35">
      <c r="A950" s="1" t="str">
        <f>"209896_s_at"</f>
        <v>209896_s_at</v>
      </c>
      <c r="B950" s="1">
        <v>0.138108550806018</v>
      </c>
      <c r="C950" s="1">
        <v>3.0704562253422399E-2</v>
      </c>
      <c r="D950" s="1">
        <v>-2.19078860344902</v>
      </c>
      <c r="E950" s="1">
        <v>-4.2259849443922501</v>
      </c>
      <c r="F950" s="1">
        <v>-0.44720327610465299</v>
      </c>
      <c r="G950" s="3" t="str">
        <f>"PTPN11"</f>
        <v>PTPN11</v>
      </c>
      <c r="H950" s="1">
        <v>5781</v>
      </c>
      <c r="I950" s="1" t="str">
        <f>"protein tyrosine phosphatase, non-receptor type 11"</f>
        <v>protein tyrosine phosphatase, non-receptor type 11</v>
      </c>
    </row>
    <row r="951" spans="1:9" x14ac:dyDescent="0.35">
      <c r="A951" s="1" t="str">
        <f>"216915_s_at"</f>
        <v>216915_s_at</v>
      </c>
      <c r="B951" s="1">
        <v>1.1196194781513101E-3</v>
      </c>
      <c r="C951" s="2">
        <v>5.46670552541681E-5</v>
      </c>
      <c r="D951" s="1">
        <v>-4.2090490015692996</v>
      </c>
      <c r="E951" s="1">
        <v>1.5309776954582199</v>
      </c>
      <c r="F951" s="1">
        <v>-0.31974968168168899</v>
      </c>
      <c r="G951" s="3" t="str">
        <f>"PTPN12"</f>
        <v>PTPN12</v>
      </c>
      <c r="H951" s="1">
        <v>5782</v>
      </c>
      <c r="I951" s="1" t="str">
        <f>"protein tyrosine phosphatase, non-receptor type 12"</f>
        <v>protein tyrosine phosphatase, non-receptor type 12</v>
      </c>
    </row>
    <row r="952" spans="1:9" x14ac:dyDescent="0.35">
      <c r="A952" s="1" t="str">
        <f>"221840_at"</f>
        <v>221840_at</v>
      </c>
      <c r="B952" s="1">
        <v>3.7278899335908299E-3</v>
      </c>
      <c r="C952" s="1">
        <v>2.5448119132227202E-4</v>
      </c>
      <c r="D952" s="1">
        <v>-3.7884388919454901</v>
      </c>
      <c r="E952" s="1">
        <v>9.4262894327221694E-2</v>
      </c>
      <c r="F952" s="1">
        <v>-0.41868674805087702</v>
      </c>
      <c r="G952" s="3" t="str">
        <f>"PTPRE"</f>
        <v>PTPRE</v>
      </c>
      <c r="H952" s="1">
        <v>5791</v>
      </c>
      <c r="I952" s="1" t="str">
        <f>"protein tyrosine phosphatase, receptor type E"</f>
        <v>protein tyrosine phosphatase, receptor type E</v>
      </c>
    </row>
    <row r="953" spans="1:9" x14ac:dyDescent="0.35">
      <c r="A953" s="1" t="str">
        <f>"218732_at"</f>
        <v>218732_at</v>
      </c>
      <c r="B953" s="2">
        <v>6.7267675847005806E-5</v>
      </c>
      <c r="C953" s="2">
        <v>1.7056157991993101E-6</v>
      </c>
      <c r="D953" s="1">
        <v>-5.0754302028103204</v>
      </c>
      <c r="E953" s="1">
        <v>4.8077552700865702</v>
      </c>
      <c r="F953" s="1">
        <v>-0.35523818367587101</v>
      </c>
      <c r="G953" s="3" t="str">
        <f>"PTRH2"</f>
        <v>PTRH2</v>
      </c>
      <c r="H953" s="1">
        <v>51651</v>
      </c>
      <c r="I953" s="1" t="str">
        <f>"peptidyl-tRNA hydrolase 2"</f>
        <v>peptidyl-tRNA hydrolase 2</v>
      </c>
    </row>
    <row r="954" spans="1:9" x14ac:dyDescent="0.35">
      <c r="A954" s="1" t="str">
        <f>"209694_at"</f>
        <v>209694_at</v>
      </c>
      <c r="B954" s="1">
        <v>2.4975820193930798E-4</v>
      </c>
      <c r="C954" s="2">
        <v>8.50722412924359E-6</v>
      </c>
      <c r="D954" s="1">
        <v>-4.6854786475858496</v>
      </c>
      <c r="E954" s="1">
        <v>3.2840077176447702</v>
      </c>
      <c r="F954" s="1">
        <v>-0.30988490698110699</v>
      </c>
      <c r="G954" s="3" t="str">
        <f>"PTS"</f>
        <v>PTS</v>
      </c>
      <c r="H954" s="1">
        <v>5805</v>
      </c>
      <c r="I954" s="1" t="str">
        <f>"6-pyruvoyltetrahydropterin synthase"</f>
        <v>6-pyruvoyltetrahydropterin synthase</v>
      </c>
    </row>
    <row r="955" spans="1:9" x14ac:dyDescent="0.35">
      <c r="A955" s="1" t="str">
        <f>"206157_at"</f>
        <v>206157_at</v>
      </c>
      <c r="B955" s="2">
        <v>3.2297566745489703E-5</v>
      </c>
      <c r="C955" s="2">
        <v>6.9282578218121803E-7</v>
      </c>
      <c r="D955" s="1">
        <v>-5.2870397179758797</v>
      </c>
      <c r="E955" s="1">
        <v>5.6648854100773196</v>
      </c>
      <c r="F955" s="1">
        <v>-1.4682454971162799</v>
      </c>
      <c r="G955" s="3" t="str">
        <f>"PTX3"</f>
        <v>PTX3</v>
      </c>
      <c r="H955" s="1">
        <v>5806</v>
      </c>
      <c r="I955" s="1" t="str">
        <f>"pentraxin 3"</f>
        <v>pentraxin 3</v>
      </c>
    </row>
    <row r="956" spans="1:9" x14ac:dyDescent="0.35">
      <c r="A956" s="1" t="str">
        <f>"214443_at"</f>
        <v>214443_at</v>
      </c>
      <c r="B956" s="2">
        <v>2.6165915030268001E-5</v>
      </c>
      <c r="C956" s="2">
        <v>5.3546009306656099E-7</v>
      </c>
      <c r="D956" s="1">
        <v>-5.3467489033064304</v>
      </c>
      <c r="E956" s="1">
        <v>5.9103413238007203</v>
      </c>
      <c r="F956" s="1">
        <v>-0.35729827177906998</v>
      </c>
      <c r="G956" s="3" t="str">
        <f>"PVR"</f>
        <v>PVR</v>
      </c>
      <c r="H956" s="1">
        <v>5817</v>
      </c>
      <c r="I956" s="1" t="str">
        <f>"poliovirus receptor"</f>
        <v>poliovirus receptor</v>
      </c>
    </row>
    <row r="957" spans="1:9" x14ac:dyDescent="0.35">
      <c r="A957" s="1" t="str">
        <f>"212923_s_at"</f>
        <v>212923_s_at</v>
      </c>
      <c r="B957" s="1">
        <v>5.3794273224426099E-3</v>
      </c>
      <c r="C957" s="1">
        <v>4.0678252651419402E-4</v>
      </c>
      <c r="D957" s="1">
        <v>-3.6540821161582002</v>
      </c>
      <c r="E957" s="1">
        <v>-0.340904799717619</v>
      </c>
      <c r="F957" s="1">
        <v>-0.35871610126598902</v>
      </c>
      <c r="G957" s="3" t="str">
        <f>"PXDC1"</f>
        <v>PXDC1</v>
      </c>
      <c r="H957" s="1">
        <v>221749</v>
      </c>
      <c r="I957" s="1" t="str">
        <f>"PX domain containing 1"</f>
        <v>PX domain containing 1</v>
      </c>
    </row>
    <row r="958" spans="1:9" x14ac:dyDescent="0.35">
      <c r="A958" s="1" t="str">
        <f>"201481_s_at"</f>
        <v>201481_s_at</v>
      </c>
      <c r="B958" s="1">
        <v>3.0081707191479102E-3</v>
      </c>
      <c r="C958" s="1">
        <v>1.9615276466014101E-4</v>
      </c>
      <c r="D958" s="1">
        <v>3.8616807374328102</v>
      </c>
      <c r="E958" s="1">
        <v>0.33645831971456502</v>
      </c>
      <c r="F958" s="1">
        <v>0.35790075162499402</v>
      </c>
      <c r="G958" s="3" t="str">
        <f>"PYGB"</f>
        <v>PYGB</v>
      </c>
      <c r="H958" s="1">
        <v>5834</v>
      </c>
      <c r="I958" s="1" t="str">
        <f>"phosphorylase, glycogen; brain"</f>
        <v>phosphorylase, glycogen; brain</v>
      </c>
    </row>
    <row r="959" spans="1:9" x14ac:dyDescent="0.35">
      <c r="A959" s="1" t="str">
        <f>"209123_at"</f>
        <v>209123_at</v>
      </c>
      <c r="B959" s="1">
        <v>4.75881041130983E-4</v>
      </c>
      <c r="C959" s="2">
        <v>1.8338812499025799E-5</v>
      </c>
      <c r="D959" s="1">
        <v>4.4924392396096602</v>
      </c>
      <c r="E959" s="1">
        <v>2.5585581036671501</v>
      </c>
      <c r="F959" s="1">
        <v>0.32820961179069702</v>
      </c>
      <c r="G959" s="3" t="str">
        <f>"QDPR"</f>
        <v>QDPR</v>
      </c>
      <c r="H959" s="1">
        <v>5860</v>
      </c>
      <c r="I959" s="1" t="str">
        <f>"quinoid dihydropteridine reductase"</f>
        <v>quinoid dihydropteridine reductase</v>
      </c>
    </row>
    <row r="960" spans="1:9" x14ac:dyDescent="0.35">
      <c r="A960" s="1" t="str">
        <f>"201482_at"</f>
        <v>201482_at</v>
      </c>
      <c r="B960" s="2">
        <v>5.4114592774740898E-5</v>
      </c>
      <c r="C960" s="2">
        <v>1.28711278421275E-6</v>
      </c>
      <c r="D960" s="1">
        <v>-5.1420489274213699</v>
      </c>
      <c r="E960" s="1">
        <v>5.0754029676873804</v>
      </c>
      <c r="F960" s="1">
        <v>-0.37213324525581298</v>
      </c>
      <c r="G960" s="3" t="str">
        <f>"QSOX1"</f>
        <v>QSOX1</v>
      </c>
      <c r="H960" s="1">
        <v>5768</v>
      </c>
      <c r="I960" s="1" t="str">
        <f>"quiescin sulfhydryl oxidase 1"</f>
        <v>quiescin sulfhydryl oxidase 1</v>
      </c>
    </row>
    <row r="961" spans="1:9" x14ac:dyDescent="0.35">
      <c r="A961" s="1" t="str">
        <f>"203831_at"</f>
        <v>203831_at</v>
      </c>
      <c r="B961" s="2">
        <v>1.3834004109913199E-7</v>
      </c>
      <c r="C961" s="2">
        <v>7.8224858315714103E-10</v>
      </c>
      <c r="D961" s="1">
        <v>6.7722213050599098</v>
      </c>
      <c r="E961" s="1">
        <v>12.1617291902138</v>
      </c>
      <c r="F961" s="1">
        <v>0.34122592537063501</v>
      </c>
      <c r="G961" s="3" t="str">
        <f>"R3HDM2"</f>
        <v>R3HDM2</v>
      </c>
      <c r="H961" s="1">
        <v>22864</v>
      </c>
      <c r="I961" s="1" t="str">
        <f>"R3H domain containing 2"</f>
        <v>R3H domain containing 2</v>
      </c>
    </row>
    <row r="962" spans="1:9" x14ac:dyDescent="0.35">
      <c r="A962" s="1" t="str">
        <f>"221810_at"</f>
        <v>221810_at</v>
      </c>
      <c r="B962" s="1">
        <v>2.6785125701175301E-3</v>
      </c>
      <c r="C962" s="1">
        <v>1.67805212398873E-4</v>
      </c>
      <c r="D962" s="1">
        <v>-3.9051663785304802</v>
      </c>
      <c r="E962" s="1">
        <v>0.48188590157904299</v>
      </c>
      <c r="F962" s="1">
        <v>-0.43492468574127802</v>
      </c>
      <c r="G962" s="3" t="str">
        <f>"RAB15"</f>
        <v>RAB15</v>
      </c>
      <c r="H962" s="1">
        <v>376267</v>
      </c>
      <c r="I962" s="1" t="str">
        <f>"RAB15, member RAS oncogene family"</f>
        <v>RAB15, member RAS oncogene family</v>
      </c>
    </row>
    <row r="963" spans="1:9" x14ac:dyDescent="0.35">
      <c r="A963" s="1" t="str">
        <f>"207791_s_at"</f>
        <v>207791_s_at</v>
      </c>
      <c r="B963" s="1">
        <v>1.52174542320714E-2</v>
      </c>
      <c r="C963" s="1">
        <v>1.53656473644306E-3</v>
      </c>
      <c r="D963" s="1">
        <v>-3.2539750685291402</v>
      </c>
      <c r="E963" s="1">
        <v>-1.56380546493634</v>
      </c>
      <c r="F963" s="1">
        <v>-0.53283367208139698</v>
      </c>
      <c r="G963" s="3" t="str">
        <f>"RAB1A"</f>
        <v>RAB1A</v>
      </c>
      <c r="H963" s="1">
        <v>5861</v>
      </c>
      <c r="I963" s="1" t="str">
        <f>"RAB1A, member RAS oncogene family"</f>
        <v>RAB1A, member RAS oncogene family</v>
      </c>
    </row>
    <row r="964" spans="1:9" x14ac:dyDescent="0.35">
      <c r="A964" s="1" t="str">
        <f>"208734_x_at"</f>
        <v>208734_x_at</v>
      </c>
      <c r="B964" s="1">
        <v>5.0564689280229301E-2</v>
      </c>
      <c r="C964" s="1">
        <v>7.5836822499002103E-3</v>
      </c>
      <c r="D964" s="1">
        <v>-2.7233271625270601</v>
      </c>
      <c r="E964" s="1">
        <v>-3.0049617020822401</v>
      </c>
      <c r="F964" s="1">
        <v>-0.416309898763081</v>
      </c>
      <c r="G964" s="3" t="str">
        <f>"RAB2A"</f>
        <v>RAB2A</v>
      </c>
      <c r="H964" s="1">
        <v>5862</v>
      </c>
      <c r="I964" s="1" t="str">
        <f>"RAB2A, member RAS oncogene family"</f>
        <v>RAB2A, member RAS oncogene family</v>
      </c>
    </row>
    <row r="965" spans="1:9" x14ac:dyDescent="0.35">
      <c r="A965" s="1" t="str">
        <f>"212932_at"</f>
        <v>212932_at</v>
      </c>
      <c r="B965" s="1">
        <v>6.9813551896677505E-4</v>
      </c>
      <c r="C965" s="2">
        <v>2.9826550018236799E-5</v>
      </c>
      <c r="D965" s="1">
        <v>-4.3676243064985796</v>
      </c>
      <c r="E965" s="1">
        <v>2.10034069471092</v>
      </c>
      <c r="F965" s="1">
        <v>-0.39997743292587201</v>
      </c>
      <c r="G965" s="3" t="str">
        <f>"RAB3GAP1"</f>
        <v>RAB3GAP1</v>
      </c>
      <c r="H965" s="1">
        <v>22930</v>
      </c>
      <c r="I965" s="1" t="str">
        <f>"RAB3 GTPase activating protein catalytic subunit 1"</f>
        <v>RAB3 GTPase activating protein catalytic subunit 1</v>
      </c>
    </row>
    <row r="966" spans="1:9" x14ac:dyDescent="0.35">
      <c r="A966" s="1" t="str">
        <f>"204547_at"</f>
        <v>204547_at</v>
      </c>
      <c r="B966" s="1">
        <v>4.75881041130983E-4</v>
      </c>
      <c r="C966" s="2">
        <v>1.8345008047907099E-5</v>
      </c>
      <c r="D966" s="1">
        <v>4.4923532808251503</v>
      </c>
      <c r="E966" s="1">
        <v>2.55823955434317</v>
      </c>
      <c r="F966" s="1">
        <v>0.52890085836337197</v>
      </c>
      <c r="G966" s="3" t="str">
        <f>"RAB40B"</f>
        <v>RAB40B</v>
      </c>
      <c r="H966" s="1">
        <v>10966</v>
      </c>
      <c r="I966" s="1" t="str">
        <f>"RAB40B, member RAS oncogene family"</f>
        <v>RAB40B, member RAS oncogene family</v>
      </c>
    </row>
    <row r="967" spans="1:9" x14ac:dyDescent="0.35">
      <c r="A967" s="1" t="str">
        <f>"206113_s_at"</f>
        <v>206113_s_at</v>
      </c>
      <c r="B967" s="1">
        <v>6.92550422353784E-3</v>
      </c>
      <c r="C967" s="1">
        <v>5.6223296416011998E-4</v>
      </c>
      <c r="D967" s="1">
        <v>-3.5594471645752299</v>
      </c>
      <c r="E967" s="1">
        <v>-0.64017493864417296</v>
      </c>
      <c r="F967" s="1">
        <v>-0.425298567824132</v>
      </c>
      <c r="G967" s="3" t="str">
        <f>"RAB5A"</f>
        <v>RAB5A</v>
      </c>
      <c r="H967" s="1">
        <v>5868</v>
      </c>
      <c r="I967" s="1" t="str">
        <f>"RAB5A, member RAS oncogene family"</f>
        <v>RAB5A, member RAS oncogene family</v>
      </c>
    </row>
    <row r="968" spans="1:9" x14ac:dyDescent="0.35">
      <c r="A968" s="1" t="str">
        <f>"201156_s_at"</f>
        <v>201156_s_at</v>
      </c>
      <c r="B968" s="1">
        <v>2.3322537406047302E-3</v>
      </c>
      <c r="C968" s="1">
        <v>1.38576670670945E-4</v>
      </c>
      <c r="D968" s="1">
        <v>-3.9580623264207899</v>
      </c>
      <c r="E968" s="1">
        <v>0.66040020382313902</v>
      </c>
      <c r="F968" s="1">
        <v>-0.31868846614244001</v>
      </c>
      <c r="G968" s="3" t="str">
        <f>"RAB5C"</f>
        <v>RAB5C</v>
      </c>
      <c r="H968" s="1">
        <v>5878</v>
      </c>
      <c r="I968" s="1" t="str">
        <f>"RAB5C, member RAS oncogene family"</f>
        <v>RAB5C, member RAS oncogene family</v>
      </c>
    </row>
    <row r="969" spans="1:9" x14ac:dyDescent="0.35">
      <c r="A969" s="1" t="str">
        <f>"221808_at"</f>
        <v>221808_at</v>
      </c>
      <c r="B969" s="1">
        <v>4.2082767052469E-4</v>
      </c>
      <c r="C969" s="2">
        <v>1.5734014221542E-5</v>
      </c>
      <c r="D969" s="1">
        <v>-4.5313244160151296</v>
      </c>
      <c r="E969" s="1">
        <v>2.7030754607758301</v>
      </c>
      <c r="F969" s="1">
        <v>-0.377721177257267</v>
      </c>
      <c r="G969" s="3" t="str">
        <f>"RAB9A"</f>
        <v>RAB9A</v>
      </c>
      <c r="H969" s="1">
        <v>9367</v>
      </c>
      <c r="I969" s="1" t="str">
        <f>"RAB9A, member RAS oncogene family"</f>
        <v>RAB9A, member RAS oncogene family</v>
      </c>
    </row>
    <row r="970" spans="1:9" x14ac:dyDescent="0.35">
      <c r="A970" s="1" t="str">
        <f>"203136_at"</f>
        <v>203136_at</v>
      </c>
      <c r="B970" s="1">
        <v>2.7243137471806402E-3</v>
      </c>
      <c r="C970" s="1">
        <v>1.7140815301114101E-4</v>
      </c>
      <c r="D970" s="1">
        <v>-3.89926641619991</v>
      </c>
      <c r="E970" s="1">
        <v>0.46208424515832403</v>
      </c>
      <c r="F970" s="1">
        <v>-0.30304060585029402</v>
      </c>
      <c r="G970" s="3" t="str">
        <f>"RABAC1"</f>
        <v>RABAC1</v>
      </c>
      <c r="H970" s="1">
        <v>10567</v>
      </c>
      <c r="I970" s="1" t="str">
        <f>"Rab acceptor 1"</f>
        <v>Rab acceptor 1</v>
      </c>
    </row>
    <row r="971" spans="1:9" x14ac:dyDescent="0.35">
      <c r="A971" s="1" t="str">
        <f>"213313_at"</f>
        <v>213313_at</v>
      </c>
      <c r="B971" s="1">
        <v>7.7057875829377497E-3</v>
      </c>
      <c r="C971" s="1">
        <v>6.4114033921673804E-4</v>
      </c>
      <c r="D971" s="1">
        <v>3.52056410787785</v>
      </c>
      <c r="E971" s="1">
        <v>-0.76136935412304296</v>
      </c>
      <c r="F971" s="1">
        <v>0.36394789185320098</v>
      </c>
      <c r="G971" s="3" t="str">
        <f>"RABGAP1"</f>
        <v>RABGAP1</v>
      </c>
      <c r="H971" s="1">
        <v>23637</v>
      </c>
      <c r="I971" s="1" t="str">
        <f>"RAB GTPase activating protein 1"</f>
        <v>RAB GTPase activating protein 1</v>
      </c>
    </row>
    <row r="972" spans="1:9" x14ac:dyDescent="0.35">
      <c r="A972" s="1" t="str">
        <f>"213982_s_at"</f>
        <v>213982_s_at</v>
      </c>
      <c r="B972" s="2">
        <v>2.7185051452817299E-5</v>
      </c>
      <c r="C972" s="2">
        <v>5.64855666770831E-7</v>
      </c>
      <c r="D972" s="1">
        <v>5.3343917613101501</v>
      </c>
      <c r="E972" s="1">
        <v>5.8594162465443604</v>
      </c>
      <c r="F972" s="1">
        <v>0.70618049040115605</v>
      </c>
      <c r="G972" s="3" t="str">
        <f>"RABGAP1L"</f>
        <v>RABGAP1L</v>
      </c>
      <c r="H972" s="1">
        <v>9910</v>
      </c>
      <c r="I972" s="1" t="str">
        <f>"RAB GTPase activating protein 1 like"</f>
        <v>RAB GTPase activating protein 1 like</v>
      </c>
    </row>
    <row r="973" spans="1:9" x14ac:dyDescent="0.35">
      <c r="A973" s="1" t="str">
        <f>"204916_at"</f>
        <v>204916_at</v>
      </c>
      <c r="B973" s="1">
        <v>4.9941677092218495E-4</v>
      </c>
      <c r="C973" s="2">
        <v>1.9521249718315401E-5</v>
      </c>
      <c r="D973" s="1">
        <v>-4.4765215907468399</v>
      </c>
      <c r="E973" s="1">
        <v>2.4996392526165101</v>
      </c>
      <c r="F973" s="1">
        <v>-0.46500995845639898</v>
      </c>
      <c r="G973" s="3" t="str">
        <f>"RAMP1"</f>
        <v>RAMP1</v>
      </c>
      <c r="H973" s="1">
        <v>10267</v>
      </c>
      <c r="I973" s="1" t="str">
        <f>"receptor activity modifying protein 1"</f>
        <v>receptor activity modifying protein 1</v>
      </c>
    </row>
    <row r="974" spans="1:9" x14ac:dyDescent="0.35">
      <c r="A974" s="1" t="str">
        <f>"205779_at"</f>
        <v>205779_at</v>
      </c>
      <c r="B974" s="1">
        <v>2.3187517947624299E-3</v>
      </c>
      <c r="C974" s="1">
        <v>1.37179968206559E-4</v>
      </c>
      <c r="D974" s="1">
        <v>3.9608495546612899</v>
      </c>
      <c r="E974" s="1">
        <v>0.66985542832419798</v>
      </c>
      <c r="F974" s="1">
        <v>0.36786933479506001</v>
      </c>
      <c r="G974" s="3" t="str">
        <f>"RAMP2"</f>
        <v>RAMP2</v>
      </c>
      <c r="H974" s="1">
        <v>10266</v>
      </c>
      <c r="I974" s="1" t="str">
        <f>"receptor activity modifying protein 2"</f>
        <v>receptor activity modifying protein 2</v>
      </c>
    </row>
    <row r="975" spans="1:9" x14ac:dyDescent="0.35">
      <c r="A975" s="1" t="str">
        <f>"200750_s_at"</f>
        <v>200750_s_at</v>
      </c>
      <c r="B975" s="2">
        <v>9.4830629441230808E-6</v>
      </c>
      <c r="C975" s="2">
        <v>1.56611190747982E-7</v>
      </c>
      <c r="D975" s="1">
        <v>-5.6271944146958601</v>
      </c>
      <c r="E975" s="1">
        <v>7.0832259321366404</v>
      </c>
      <c r="F975" s="1">
        <v>-0.47705815529650603</v>
      </c>
      <c r="G975" s="3" t="str">
        <f>"RAN"</f>
        <v>RAN</v>
      </c>
      <c r="H975" s="1">
        <v>5901</v>
      </c>
      <c r="I975" s="1" t="str">
        <f>"RAN, member RAS oncogene family"</f>
        <v>RAN, member RAS oncogene family</v>
      </c>
    </row>
    <row r="976" spans="1:9" x14ac:dyDescent="0.35">
      <c r="A976" s="1" t="str">
        <f>"201711_x_at"</f>
        <v>201711_x_at</v>
      </c>
      <c r="B976" s="1">
        <v>0.10107878883983</v>
      </c>
      <c r="C976" s="1">
        <v>1.9600657298250002E-2</v>
      </c>
      <c r="D976" s="1">
        <v>-2.3707000748423699</v>
      </c>
      <c r="E976" s="1">
        <v>-3.8398719442070899</v>
      </c>
      <c r="F976" s="1">
        <v>-0.42117638742005897</v>
      </c>
      <c r="G976" s="3" t="str">
        <f>"RANBP2"</f>
        <v>RANBP2</v>
      </c>
      <c r="H976" s="1">
        <v>5903</v>
      </c>
      <c r="I976" s="1" t="str">
        <f>"RAN binding protein 2"</f>
        <v>RAN binding protein 2</v>
      </c>
    </row>
    <row r="977" spans="1:9" x14ac:dyDescent="0.35">
      <c r="A977" s="1" t="str">
        <f>"212125_at"</f>
        <v>212125_at</v>
      </c>
      <c r="B977" s="2">
        <v>1.0948520307090601E-8</v>
      </c>
      <c r="C977" s="2">
        <v>2.9971715600795602E-11</v>
      </c>
      <c r="D977" s="1">
        <v>-7.4422784462124696</v>
      </c>
      <c r="E977" s="1">
        <v>15.2980831615829</v>
      </c>
      <c r="F977" s="1">
        <v>-0.46198315917878202</v>
      </c>
      <c r="G977" s="3" t="str">
        <f>"RANGAP1"</f>
        <v>RANGAP1</v>
      </c>
      <c r="H977" s="1">
        <v>5905</v>
      </c>
      <c r="I977" s="1" t="str">
        <f>"Ran GTPase activating protein 1"</f>
        <v>Ran GTPase activating protein 1</v>
      </c>
    </row>
    <row r="978" spans="1:9" x14ac:dyDescent="0.35">
      <c r="A978" s="1" t="str">
        <f>"206391_at"</f>
        <v>206391_at</v>
      </c>
      <c r="B978" s="2">
        <v>2.8633806010614101E-6</v>
      </c>
      <c r="C978" s="2">
        <v>3.5594687721312603E-8</v>
      </c>
      <c r="D978" s="1">
        <v>-5.9565775522600104</v>
      </c>
      <c r="E978" s="1">
        <v>8.4999242819983891</v>
      </c>
      <c r="F978" s="1">
        <v>-0.523831462193313</v>
      </c>
      <c r="G978" s="3" t="str">
        <f>"RARRES1"</f>
        <v>RARRES1</v>
      </c>
      <c r="H978" s="1">
        <v>5918</v>
      </c>
      <c r="I978" s="1" t="str">
        <f>"retinoic acid receptor responder 1"</f>
        <v>retinoic acid receptor responder 1</v>
      </c>
    </row>
    <row r="979" spans="1:9" x14ac:dyDescent="0.35">
      <c r="A979" s="1" t="str">
        <f>"219142_at"</f>
        <v>219142_at</v>
      </c>
      <c r="B979" s="2">
        <v>7.2159547687613697E-5</v>
      </c>
      <c r="C979" s="2">
        <v>1.8393673691408099E-6</v>
      </c>
      <c r="D979" s="1">
        <v>5.0574856103061396</v>
      </c>
      <c r="E979" s="1">
        <v>4.7360136220592901</v>
      </c>
      <c r="F979" s="1">
        <v>0.39936411559592999</v>
      </c>
      <c r="G979" s="3" t="str">
        <f>"RASL11B"</f>
        <v>RASL11B</v>
      </c>
      <c r="H979" s="1">
        <v>65997</v>
      </c>
      <c r="I979" s="1" t="str">
        <f>"RAS like family 11 member B"</f>
        <v>RAS like family 11 member B</v>
      </c>
    </row>
    <row r="980" spans="1:9" x14ac:dyDescent="0.35">
      <c r="A980" s="1" t="str">
        <f>"215253_s_at"</f>
        <v>215253_s_at</v>
      </c>
      <c r="B980" s="1">
        <v>3.8382082596306898E-4</v>
      </c>
      <c r="C980" s="2">
        <v>1.4130976985001401E-5</v>
      </c>
      <c r="D980" s="1">
        <v>-4.5584822889276202</v>
      </c>
      <c r="E980" s="1">
        <v>2.8044966882389599</v>
      </c>
      <c r="F980" s="1">
        <v>-0.467725518061051</v>
      </c>
      <c r="G980" s="3" t="str">
        <f>"RCAN1"</f>
        <v>RCAN1</v>
      </c>
      <c r="H980" s="1">
        <v>1827</v>
      </c>
      <c r="I980" s="1" t="str">
        <f>"regulator of calcineurin 1"</f>
        <v>regulator of calcineurin 1</v>
      </c>
    </row>
    <row r="981" spans="1:9" x14ac:dyDescent="0.35">
      <c r="A981" s="1" t="str">
        <f>"204759_at"</f>
        <v>204759_at</v>
      </c>
      <c r="B981" s="1">
        <v>1.2803570328799899E-3</v>
      </c>
      <c r="C981" s="2">
        <v>6.4698739802668802E-5</v>
      </c>
      <c r="D981" s="1">
        <v>4.1642953956068096</v>
      </c>
      <c r="E981" s="1">
        <v>1.37295291838528</v>
      </c>
      <c r="F981" s="1">
        <v>0.33935783646511802</v>
      </c>
      <c r="G981" s="3" t="str">
        <f>"RCBTB2"</f>
        <v>RCBTB2</v>
      </c>
      <c r="H981" s="1">
        <v>1102</v>
      </c>
      <c r="I981" s="1" t="str">
        <f>"RCC1 and BTB domain containing protein 2"</f>
        <v>RCC1 and BTB domain containing protein 2</v>
      </c>
    </row>
    <row r="982" spans="1:9" x14ac:dyDescent="0.35">
      <c r="A982" s="1" t="str">
        <f>"214281_s_at"</f>
        <v>214281_s_at</v>
      </c>
      <c r="B982" s="1">
        <v>1.0292341206194201E-2</v>
      </c>
      <c r="C982" s="1">
        <v>9.3579335294840702E-4</v>
      </c>
      <c r="D982" s="1">
        <v>3.40696092279993</v>
      </c>
      <c r="E982" s="1">
        <v>-1.1094589946715401</v>
      </c>
      <c r="F982" s="1">
        <v>0.31007279729360299</v>
      </c>
      <c r="G982" s="3" t="str">
        <f>"RCHY1"</f>
        <v>RCHY1</v>
      </c>
      <c r="H982" s="1">
        <v>25898</v>
      </c>
      <c r="I982" s="1" t="str">
        <f>"ring finger and CHY zinc finger domain containing 1"</f>
        <v>ring finger and CHY zinc finger domain containing 1</v>
      </c>
    </row>
    <row r="983" spans="1:9" x14ac:dyDescent="0.35">
      <c r="A983" s="1" t="str">
        <f>"212398_at"</f>
        <v>212398_at</v>
      </c>
      <c r="B983" s="1">
        <v>8.0649929671243903E-2</v>
      </c>
      <c r="C983" s="1">
        <v>1.4270618187655199E-2</v>
      </c>
      <c r="D983" s="1">
        <v>-2.49239681485076</v>
      </c>
      <c r="E983" s="1">
        <v>-3.56325752368768</v>
      </c>
      <c r="F983" s="1">
        <v>-0.33680138886046801</v>
      </c>
      <c r="G983" s="3" t="str">
        <f>"RDX"</f>
        <v>RDX</v>
      </c>
      <c r="H983" s="1">
        <v>5962</v>
      </c>
      <c r="I983" s="1" t="str">
        <f>"radixin"</f>
        <v>radixin</v>
      </c>
    </row>
    <row r="984" spans="1:9" x14ac:dyDescent="0.35">
      <c r="A984" s="1" t="str">
        <f>"221643_s_at"</f>
        <v>221643_s_at</v>
      </c>
      <c r="B984" s="1">
        <v>9.97174568572636E-3</v>
      </c>
      <c r="C984" s="1">
        <v>8.9875476521817505E-4</v>
      </c>
      <c r="D984" s="1">
        <v>-3.4192140467282601</v>
      </c>
      <c r="E984" s="1">
        <v>-1.0723485677458</v>
      </c>
      <c r="F984" s="1">
        <v>-0.50142300170058296</v>
      </c>
      <c r="G984" s="3" t="str">
        <f>"RERE"</f>
        <v>RERE</v>
      </c>
      <c r="H984" s="1">
        <v>473</v>
      </c>
      <c r="I984" s="1" t="str">
        <f>"arginine-glutamic acid dipeptide repeats"</f>
        <v>arginine-glutamic acid dipeptide repeats</v>
      </c>
    </row>
    <row r="985" spans="1:9" x14ac:dyDescent="0.35">
      <c r="A985" s="1" t="str">
        <f>"218428_s_at"</f>
        <v>218428_s_at</v>
      </c>
      <c r="B985" s="1">
        <v>1.0891845881862899E-4</v>
      </c>
      <c r="C985" s="2">
        <v>3.0696401803212799E-6</v>
      </c>
      <c r="D985" s="1">
        <v>-4.9348272710897003</v>
      </c>
      <c r="E985" s="1">
        <v>4.2497222716462204</v>
      </c>
      <c r="F985" s="1">
        <v>-0.58736020036773695</v>
      </c>
      <c r="G985" s="3" t="str">
        <f>"REV1"</f>
        <v>REV1</v>
      </c>
      <c r="H985" s="1">
        <v>51455</v>
      </c>
      <c r="I985" s="1" t="str">
        <f>"REV1, DNA directed polymerase"</f>
        <v>REV1, DNA directed polymerase</v>
      </c>
    </row>
    <row r="986" spans="1:9" x14ac:dyDescent="0.35">
      <c r="A986" s="1" t="str">
        <f>"210751_s_at"</f>
        <v>210751_s_at</v>
      </c>
      <c r="B986" s="2">
        <v>1.38168866282472E-7</v>
      </c>
      <c r="C986" s="2">
        <v>7.75080028959699E-10</v>
      </c>
      <c r="D986" s="1">
        <v>6.7741418995810099</v>
      </c>
      <c r="E986" s="1">
        <v>12.170573518399101</v>
      </c>
      <c r="F986" s="1">
        <v>0.42571884376017399</v>
      </c>
      <c r="G986" s="3" t="str">
        <f>"RGN"</f>
        <v>RGN</v>
      </c>
      <c r="H986" s="1">
        <v>9104</v>
      </c>
      <c r="I986" s="1" t="str">
        <f>"regucalcin"</f>
        <v>regucalcin</v>
      </c>
    </row>
    <row r="987" spans="1:9" x14ac:dyDescent="0.35">
      <c r="A987" s="1" t="str">
        <f>"204337_at"</f>
        <v>204337_at</v>
      </c>
      <c r="B987" s="1">
        <v>1.55389407475877E-3</v>
      </c>
      <c r="C987" s="2">
        <v>8.2984066282050598E-5</v>
      </c>
      <c r="D987" s="1">
        <v>4.0976230497501804</v>
      </c>
      <c r="E987" s="1">
        <v>1.1397551559410899</v>
      </c>
      <c r="F987" s="1">
        <v>0.49649447707849098</v>
      </c>
      <c r="G987" s="3" t="str">
        <f>"RGS4"</f>
        <v>RGS4</v>
      </c>
      <c r="H987" s="1">
        <v>5999</v>
      </c>
      <c r="I987" s="1" t="str">
        <f>"regulator of G-protein signaling 4"</f>
        <v>regulator of G-protein signaling 4</v>
      </c>
    </row>
    <row r="988" spans="1:9" x14ac:dyDescent="0.35">
      <c r="A988" s="1" t="str">
        <f>"218353_at"</f>
        <v>218353_at</v>
      </c>
      <c r="B988" s="2">
        <v>7.6185595342264502E-10</v>
      </c>
      <c r="C988" s="2">
        <v>1.43598034572325E-12</v>
      </c>
      <c r="D988" s="1">
        <v>8.0518074690600194</v>
      </c>
      <c r="E988" s="1">
        <v>18.222502087389099</v>
      </c>
      <c r="F988" s="1">
        <v>0.86238975237645099</v>
      </c>
      <c r="G988" s="3" t="str">
        <f>"RGS5"</f>
        <v>RGS5</v>
      </c>
      <c r="H988" s="1">
        <v>8490</v>
      </c>
      <c r="I988" s="1" t="str">
        <f>"regulator of G-protein signaling 5"</f>
        <v>regulator of G-protein signaling 5</v>
      </c>
    </row>
    <row r="989" spans="1:9" x14ac:dyDescent="0.35">
      <c r="A989" s="1" t="str">
        <f>"212651_at"</f>
        <v>212651_at</v>
      </c>
      <c r="B989" s="1">
        <v>1.82465170004864E-3</v>
      </c>
      <c r="C989" s="1">
        <v>1.01609963186365E-4</v>
      </c>
      <c r="D989" s="1">
        <v>4.0428762326082603</v>
      </c>
      <c r="E989" s="1">
        <v>0.95028367331025898</v>
      </c>
      <c r="F989" s="1">
        <v>0.31686571909884098</v>
      </c>
      <c r="G989" s="3" t="str">
        <f>"RHOBTB1"</f>
        <v>RHOBTB1</v>
      </c>
      <c r="H989" s="1">
        <v>9886</v>
      </c>
      <c r="I989" s="1" t="str">
        <f>"Rho related BTB domain containing 1"</f>
        <v>Rho related BTB domain containing 1</v>
      </c>
    </row>
    <row r="990" spans="1:9" x14ac:dyDescent="0.35">
      <c r="A990" s="1" t="str">
        <f>"200885_at"</f>
        <v>200885_at</v>
      </c>
      <c r="B990" s="1">
        <v>3.4814231655793601E-2</v>
      </c>
      <c r="C990" s="1">
        <v>4.6496052330315396E-3</v>
      </c>
      <c r="D990" s="1">
        <v>-2.8930562038118999</v>
      </c>
      <c r="E990" s="1">
        <v>-2.5674673576057101</v>
      </c>
      <c r="F990" s="1">
        <v>-0.33647811633866498</v>
      </c>
      <c r="G990" s="3" t="str">
        <f>"RHOC"</f>
        <v>RHOC</v>
      </c>
      <c r="H990" s="1">
        <v>389</v>
      </c>
      <c r="I990" s="1" t="str">
        <f>"ras homolog family member C"</f>
        <v>ras homolog family member C</v>
      </c>
    </row>
    <row r="991" spans="1:9" x14ac:dyDescent="0.35">
      <c r="A991" s="1" t="str">
        <f>"209684_at"</f>
        <v>209684_at</v>
      </c>
      <c r="B991" s="1">
        <v>1.2491622105079601E-3</v>
      </c>
      <c r="C991" s="2">
        <v>6.2729996569510605E-5</v>
      </c>
      <c r="D991" s="1">
        <v>4.1725262460662798</v>
      </c>
      <c r="E991" s="1">
        <v>1.4019266431412201</v>
      </c>
      <c r="F991" s="1">
        <v>0.38224018860610398</v>
      </c>
      <c r="G991" s="3" t="str">
        <f>"RIN2"</f>
        <v>RIN2</v>
      </c>
      <c r="H991" s="1">
        <v>54453</v>
      </c>
      <c r="I991" s="1" t="str">
        <f>"Ras and Rab interactor 2"</f>
        <v>Ras and Rab interactor 2</v>
      </c>
    </row>
    <row r="992" spans="1:9" x14ac:dyDescent="0.35">
      <c r="A992" s="1" t="str">
        <f>"202129_s_at"</f>
        <v>202129_s_at</v>
      </c>
      <c r="B992" s="1">
        <v>7.4969498730541899E-3</v>
      </c>
      <c r="C992" s="1">
        <v>6.2040010617564598E-4</v>
      </c>
      <c r="D992" s="1">
        <v>-3.5303267229467798</v>
      </c>
      <c r="E992" s="1">
        <v>-0.73103794578024806</v>
      </c>
      <c r="F992" s="1">
        <v>-0.40920803334738498</v>
      </c>
      <c r="G992" s="3" t="str">
        <f>"RIOK3"</f>
        <v>RIOK3</v>
      </c>
      <c r="H992" s="1">
        <v>8780</v>
      </c>
      <c r="I992" s="1" t="str">
        <f>"RIO kinase 3"</f>
        <v>RIO kinase 3</v>
      </c>
    </row>
    <row r="993" spans="1:9" x14ac:dyDescent="0.35">
      <c r="A993" s="1" t="str">
        <f>"201785_at"</f>
        <v>201785_at</v>
      </c>
      <c r="B993" s="1">
        <v>9.3198562821514605E-2</v>
      </c>
      <c r="C993" s="1">
        <v>1.7457739138222E-2</v>
      </c>
      <c r="D993" s="1">
        <v>2.4155896201442699</v>
      </c>
      <c r="E993" s="1">
        <v>-3.73927401275607</v>
      </c>
      <c r="F993" s="1">
        <v>0.334661512084304</v>
      </c>
      <c r="G993" s="3" t="str">
        <f>"RNASE1"</f>
        <v>RNASE1</v>
      </c>
      <c r="H993" s="1">
        <v>6035</v>
      </c>
      <c r="I993" s="1" t="str">
        <f>"ribonuclease A family member 1, pancreatic"</f>
        <v>ribonuclease A family member 1, pancreatic</v>
      </c>
    </row>
    <row r="994" spans="1:9" x14ac:dyDescent="0.35">
      <c r="A994" s="1" t="str">
        <f>"213397_x_at"</f>
        <v>213397_x_at</v>
      </c>
      <c r="B994" s="1">
        <v>2.66145972690927E-2</v>
      </c>
      <c r="C994" s="1">
        <v>3.2212704229566502E-3</v>
      </c>
      <c r="D994" s="1">
        <v>3.0159752957658799</v>
      </c>
      <c r="E994" s="1">
        <v>-2.23666459412817</v>
      </c>
      <c r="F994" s="1">
        <v>0.34231456762208801</v>
      </c>
      <c r="G994" s="3" t="str">
        <f>"RNASE4"</f>
        <v>RNASE4</v>
      </c>
      <c r="H994" s="1">
        <v>6038</v>
      </c>
      <c r="I994" s="1" t="str">
        <f>"ribonuclease A family member 4"</f>
        <v>ribonuclease A family member 4</v>
      </c>
    </row>
    <row r="995" spans="1:9" x14ac:dyDescent="0.35">
      <c r="A995" s="1" t="str">
        <f>"217983_s_at"</f>
        <v>217983_s_at</v>
      </c>
      <c r="B995" s="1">
        <v>2.3116723523765701E-3</v>
      </c>
      <c r="C995" s="1">
        <v>1.3643653568943799E-4</v>
      </c>
      <c r="D995" s="1">
        <v>3.9623442101928501</v>
      </c>
      <c r="E995" s="1">
        <v>0.67492781218393605</v>
      </c>
      <c r="F995" s="1">
        <v>0.34772227196220301</v>
      </c>
      <c r="G995" s="3" t="str">
        <f>"RNASET2"</f>
        <v>RNASET2</v>
      </c>
      <c r="H995" s="1">
        <v>8635</v>
      </c>
      <c r="I995" s="1" t="str">
        <f>"ribonuclease T2"</f>
        <v>ribonuclease T2</v>
      </c>
    </row>
    <row r="996" spans="1:9" x14ac:dyDescent="0.35">
      <c r="A996" s="1" t="str">
        <f>"201779_s_at"</f>
        <v>201779_s_at</v>
      </c>
      <c r="B996" s="1">
        <v>4.6815950400850098E-2</v>
      </c>
      <c r="C996" s="1">
        <v>6.8344606495519197E-3</v>
      </c>
      <c r="D996" s="1">
        <v>-2.7600215317599401</v>
      </c>
      <c r="E996" s="1">
        <v>-2.9123002804986902</v>
      </c>
      <c r="F996" s="1">
        <v>-0.33919616592005802</v>
      </c>
      <c r="G996" s="3" t="str">
        <f>"RNF13"</f>
        <v>RNF13</v>
      </c>
      <c r="H996" s="1">
        <v>11342</v>
      </c>
      <c r="I996" s="1" t="str">
        <f>"ring finger protein 13"</f>
        <v>ring finger protein 13</v>
      </c>
    </row>
    <row r="997" spans="1:9" x14ac:dyDescent="0.35">
      <c r="A997" s="1" t="str">
        <f>"201823_s_at"</f>
        <v>201823_s_at</v>
      </c>
      <c r="B997" s="1">
        <v>5.6501427354959097E-2</v>
      </c>
      <c r="C997" s="1">
        <v>8.7631348085418798E-3</v>
      </c>
      <c r="D997" s="1">
        <v>-2.67175526763724</v>
      </c>
      <c r="E997" s="1">
        <v>-3.1333784602001402</v>
      </c>
      <c r="F997" s="1">
        <v>-0.3615544315625</v>
      </c>
      <c r="G997" s="3" t="str">
        <f>"RNF14"</f>
        <v>RNF14</v>
      </c>
      <c r="H997" s="1">
        <v>9604</v>
      </c>
      <c r="I997" s="1" t="str">
        <f>"ring finger protein 14"</f>
        <v>ring finger protein 14</v>
      </c>
    </row>
    <row r="998" spans="1:9" x14ac:dyDescent="0.35">
      <c r="A998" s="1" t="str">
        <f>"201528_at"</f>
        <v>201528_at</v>
      </c>
      <c r="B998" s="1">
        <v>2.0338850346002899E-2</v>
      </c>
      <c r="C998" s="1">
        <v>2.2455821438587399E-3</v>
      </c>
      <c r="D998" s="1">
        <v>3.1335354685663601</v>
      </c>
      <c r="E998" s="1">
        <v>-1.9095614311771201</v>
      </c>
      <c r="F998" s="1">
        <v>0.36319485114389699</v>
      </c>
      <c r="G998" s="3" t="str">
        <f>"RPA1"</f>
        <v>RPA1</v>
      </c>
      <c r="H998" s="1">
        <v>6117</v>
      </c>
      <c r="I998" s="1" t="str">
        <f>"replication protein A1"</f>
        <v>replication protein A1</v>
      </c>
    </row>
    <row r="999" spans="1:9" x14ac:dyDescent="0.35">
      <c r="A999" s="1" t="str">
        <f>"201033_x_at"</f>
        <v>201033_x_at</v>
      </c>
      <c r="B999" s="2">
        <v>3.8727127710123998E-6</v>
      </c>
      <c r="C999" s="2">
        <v>5.4050786329706698E-8</v>
      </c>
      <c r="D999" s="1">
        <v>-5.8645684222779799</v>
      </c>
      <c r="E999" s="1">
        <v>8.1001784604041802</v>
      </c>
      <c r="F999" s="1">
        <v>-0.30999508966570699</v>
      </c>
      <c r="G999" s="3" t="str">
        <f>"RPLP0"</f>
        <v>RPLP0</v>
      </c>
      <c r="H999" s="1">
        <v>6175</v>
      </c>
      <c r="I999" s="1" t="str">
        <f>"ribosomal protein lateral stalk subunit P0"</f>
        <v>ribosomal protein lateral stalk subunit P0</v>
      </c>
    </row>
    <row r="1000" spans="1:9" x14ac:dyDescent="0.35">
      <c r="A1000" s="1" t="str">
        <f>"208689_s_at"</f>
        <v>208689_s_at</v>
      </c>
      <c r="B1000" s="1">
        <v>1.94425874290427E-4</v>
      </c>
      <c r="C1000" s="2">
        <v>6.1629625490291402E-6</v>
      </c>
      <c r="D1000" s="1">
        <v>-4.76512797575446</v>
      </c>
      <c r="E1000" s="1">
        <v>3.5890622259020701</v>
      </c>
      <c r="F1000" s="1">
        <v>-0.35431763947383599</v>
      </c>
      <c r="G1000" s="3" t="str">
        <f>"RPN2"</f>
        <v>RPN2</v>
      </c>
      <c r="H1000" s="1">
        <v>6185</v>
      </c>
      <c r="I1000" s="1" t="str">
        <f>"ribophorin II"</f>
        <v>ribophorin II</v>
      </c>
    </row>
    <row r="1001" spans="1:9" x14ac:dyDescent="0.35">
      <c r="A1001" s="1" t="str">
        <f>"201258_at"</f>
        <v>201258_at</v>
      </c>
      <c r="B1001" s="1">
        <v>1.85323057829712E-3</v>
      </c>
      <c r="C1001" s="1">
        <v>1.0371038599544501E-4</v>
      </c>
      <c r="D1001" s="1">
        <v>-4.0373183656064198</v>
      </c>
      <c r="E1001" s="1">
        <v>0.93115123978021297</v>
      </c>
      <c r="F1001" s="1">
        <v>-0.35937821861337799</v>
      </c>
      <c r="G1001" s="3" t="str">
        <f>"RPS16"</f>
        <v>RPS16</v>
      </c>
      <c r="H1001" s="1">
        <v>6217</v>
      </c>
      <c r="I1001" s="1" t="str">
        <f>"ribosomal protein S16"</f>
        <v>ribosomal protein S16</v>
      </c>
    </row>
    <row r="1002" spans="1:9" x14ac:dyDescent="0.35">
      <c r="A1002" s="1" t="str">
        <f>"204906_at"</f>
        <v>204906_at</v>
      </c>
      <c r="B1002" s="1">
        <v>6.5807635005724595E-4</v>
      </c>
      <c r="C1002" s="2">
        <v>2.7701638753924399E-5</v>
      </c>
      <c r="D1002" s="1">
        <v>-4.3867277582969599</v>
      </c>
      <c r="E1002" s="1">
        <v>2.1699064571311499</v>
      </c>
      <c r="F1002" s="1">
        <v>-0.31171982268895199</v>
      </c>
      <c r="G1002" s="3" t="str">
        <f>"RPS6KA2"</f>
        <v>RPS6KA2</v>
      </c>
      <c r="H1002" s="1">
        <v>6196</v>
      </c>
      <c r="I1002" s="1" t="str">
        <f>"ribosomal protein S6 kinase A2"</f>
        <v>ribosomal protein S6 kinase A2</v>
      </c>
    </row>
    <row r="1003" spans="1:9" x14ac:dyDescent="0.35">
      <c r="A1003" s="1" t="str">
        <f>"200082_s_at"</f>
        <v>200082_s_at</v>
      </c>
      <c r="B1003" s="1">
        <v>3.2380011009557198E-3</v>
      </c>
      <c r="C1003" s="1">
        <v>2.14190801185151E-4</v>
      </c>
      <c r="D1003" s="1">
        <v>-3.8370319660112799</v>
      </c>
      <c r="E1003" s="1">
        <v>0.25456350070490502</v>
      </c>
      <c r="F1003" s="1">
        <v>-0.31967678663371901</v>
      </c>
      <c r="G1003" s="3" t="str">
        <f>"RPS7"</f>
        <v>RPS7</v>
      </c>
      <c r="H1003" s="1">
        <v>6201</v>
      </c>
      <c r="I1003" s="1" t="str">
        <f>"ribosomal protein S7"</f>
        <v>ribosomal protein S7</v>
      </c>
    </row>
    <row r="1004" spans="1:9" x14ac:dyDescent="0.35">
      <c r="A1004" s="1" t="str">
        <f>"212590_at"</f>
        <v>212590_at</v>
      </c>
      <c r="B1004" s="1">
        <v>4.2220406883111397E-3</v>
      </c>
      <c r="C1004" s="1">
        <v>2.97663057996536E-4</v>
      </c>
      <c r="D1004" s="1">
        <v>-3.7438954541602101</v>
      </c>
      <c r="E1004" s="1">
        <v>-5.1328271114834401E-2</v>
      </c>
      <c r="F1004" s="1">
        <v>-0.60947274532703799</v>
      </c>
      <c r="G1004" s="3" t="str">
        <f>"RRAS2"</f>
        <v>RRAS2</v>
      </c>
      <c r="H1004" s="1">
        <v>22800</v>
      </c>
      <c r="I1004" s="1" t="str">
        <f>"related RAS viral (r-ras) oncogene homolog 2"</f>
        <v>related RAS viral (r-ras) oncogene homolog 2</v>
      </c>
    </row>
    <row r="1005" spans="1:9" x14ac:dyDescent="0.35">
      <c r="A1005" s="1" t="str">
        <f>"209567_at"</f>
        <v>209567_at</v>
      </c>
      <c r="B1005" s="2">
        <v>1.4876481911020701E-7</v>
      </c>
      <c r="C1005" s="2">
        <v>8.5454816883303502E-10</v>
      </c>
      <c r="D1005" s="1">
        <v>-6.7537697472196303</v>
      </c>
      <c r="E1005" s="1">
        <v>12.0768071680953</v>
      </c>
      <c r="F1005" s="1">
        <v>-0.42255803570058698</v>
      </c>
      <c r="G1005" s="3" t="str">
        <f>"RRS1"</f>
        <v>RRS1</v>
      </c>
      <c r="H1005" s="1">
        <v>23212</v>
      </c>
      <c r="I1005" s="1" t="str">
        <f>"ribosome biogenesis regulator homolog"</f>
        <v>ribosome biogenesis regulator homolog</v>
      </c>
    </row>
    <row r="1006" spans="1:9" x14ac:dyDescent="0.35">
      <c r="A1006" s="1" t="str">
        <f>"213797_at"</f>
        <v>213797_at</v>
      </c>
      <c r="B1006" s="1">
        <v>2.3303000396026299E-2</v>
      </c>
      <c r="C1006" s="1">
        <v>2.69496172061929E-3</v>
      </c>
      <c r="D1006" s="1">
        <v>3.0744863162768699</v>
      </c>
      <c r="E1006" s="1">
        <v>-2.07515818458507</v>
      </c>
      <c r="F1006" s="1">
        <v>0.34721341005232498</v>
      </c>
      <c r="G1006" s="3" t="str">
        <f>"RSAD2"</f>
        <v>RSAD2</v>
      </c>
      <c r="H1006" s="1">
        <v>91543</v>
      </c>
      <c r="I1006" s="1" t="str">
        <f>"radical S-adenosyl methionine domain containing 2"</f>
        <v>radical S-adenosyl methionine domain containing 2</v>
      </c>
    </row>
    <row r="1007" spans="1:9" x14ac:dyDescent="0.35">
      <c r="A1007" s="1" t="str">
        <f>"214629_x_at"</f>
        <v>214629_x_at</v>
      </c>
      <c r="B1007" s="1">
        <v>3.7374669082473201E-2</v>
      </c>
      <c r="C1007" s="1">
        <v>5.0989092137826396E-3</v>
      </c>
      <c r="D1007" s="1">
        <v>-2.8615899371448799</v>
      </c>
      <c r="E1007" s="1">
        <v>-2.6502785702829401</v>
      </c>
      <c r="F1007" s="1">
        <v>-0.36892681346802503</v>
      </c>
      <c r="G1007" s="3" t="str">
        <f>"RTN4"</f>
        <v>RTN4</v>
      </c>
      <c r="H1007" s="1">
        <v>57142</v>
      </c>
      <c r="I1007" s="1" t="str">
        <f>"reticulon 4"</f>
        <v>reticulon 4</v>
      </c>
    </row>
    <row r="1008" spans="1:9" x14ac:dyDescent="0.35">
      <c r="A1008" s="1" t="str">
        <f>"205334_at"</f>
        <v>205334_at</v>
      </c>
      <c r="B1008" s="1">
        <v>2.1990655057736699E-2</v>
      </c>
      <c r="C1008" s="1">
        <v>2.4916642203550101E-3</v>
      </c>
      <c r="D1008" s="1">
        <v>3.0999699544441599</v>
      </c>
      <c r="E1008" s="1">
        <v>-2.0040115443554201</v>
      </c>
      <c r="F1008" s="1">
        <v>0.34815180055521999</v>
      </c>
      <c r="G1008" s="3" t="str">
        <f>"S100A1"</f>
        <v>S100A1</v>
      </c>
      <c r="H1008" s="1">
        <v>6271</v>
      </c>
      <c r="I1008" s="1" t="str">
        <f>"S100 calcium binding protein A1"</f>
        <v>S100 calcium binding protein A1</v>
      </c>
    </row>
    <row r="1009" spans="1:9" x14ac:dyDescent="0.35">
      <c r="A1009" s="1" t="str">
        <f>"200660_at"</f>
        <v>200660_at</v>
      </c>
      <c r="B1009" s="1">
        <v>3.1643875696492699E-2</v>
      </c>
      <c r="C1009" s="1">
        <v>4.0490419341942E-3</v>
      </c>
      <c r="D1009" s="1">
        <v>-2.9397941722442198</v>
      </c>
      <c r="E1009" s="1">
        <v>-2.4430506816123998</v>
      </c>
      <c r="F1009" s="1">
        <v>-0.35713203818459799</v>
      </c>
      <c r="G1009" s="3" t="str">
        <f>"S100A11"</f>
        <v>S100A11</v>
      </c>
      <c r="H1009" s="1">
        <v>6282</v>
      </c>
      <c r="I1009" s="1" t="str">
        <f>"S100 calcium binding protein A11"</f>
        <v>S100 calcium binding protein A11</v>
      </c>
    </row>
    <row r="1010" spans="1:9" x14ac:dyDescent="0.35">
      <c r="A1010" s="1" t="str">
        <f>"202917_s_at"</f>
        <v>202917_s_at</v>
      </c>
      <c r="B1010" s="1">
        <v>7.7651102479215604E-3</v>
      </c>
      <c r="C1010" s="1">
        <v>6.4886394478436203E-4</v>
      </c>
      <c r="D1010" s="1">
        <v>-3.5170045349131098</v>
      </c>
      <c r="E1010" s="1">
        <v>-0.772412235224469</v>
      </c>
      <c r="F1010" s="1">
        <v>-1.2193778738939001</v>
      </c>
      <c r="G1010" s="3" t="str">
        <f>"S100A8"</f>
        <v>S100A8</v>
      </c>
      <c r="H1010" s="1">
        <v>6279</v>
      </c>
      <c r="I1010" s="1" t="str">
        <f>"S100 calcium binding protein A8"</f>
        <v>S100 calcium binding protein A8</v>
      </c>
    </row>
    <row r="1011" spans="1:9" x14ac:dyDescent="0.35">
      <c r="A1011" s="1" t="str">
        <f>"203535_at"</f>
        <v>203535_at</v>
      </c>
      <c r="B1011" s="2">
        <v>2.71442477385996E-5</v>
      </c>
      <c r="C1011" s="2">
        <v>5.62624305906872E-7</v>
      </c>
      <c r="D1011" s="1">
        <v>-5.3353074519823096</v>
      </c>
      <c r="E1011" s="1">
        <v>5.8631876478977203</v>
      </c>
      <c r="F1011" s="1">
        <v>-1.07684818077762</v>
      </c>
      <c r="G1011" s="3" t="str">
        <f>"S100A9"</f>
        <v>S100A9</v>
      </c>
      <c r="H1011" s="1">
        <v>6280</v>
      </c>
      <c r="I1011" s="1" t="str">
        <f>"S100 calcium binding protein A9"</f>
        <v>S100 calcium binding protein A9</v>
      </c>
    </row>
    <row r="1012" spans="1:9" x14ac:dyDescent="0.35">
      <c r="A1012" s="1" t="str">
        <f>"214456_x_at"</f>
        <v>214456_x_at</v>
      </c>
      <c r="B1012" s="1">
        <v>2.3140375018622199E-2</v>
      </c>
      <c r="C1012" s="1">
        <v>2.6668080172248701E-3</v>
      </c>
      <c r="D1012" s="1">
        <v>-3.0779068457593399</v>
      </c>
      <c r="E1012" s="1">
        <v>-2.0656368318029998</v>
      </c>
      <c r="F1012" s="1">
        <v>-0.379883759348838</v>
      </c>
      <c r="G1012" s="3" t="str">
        <f>"SAA2"</f>
        <v>SAA2</v>
      </c>
      <c r="H1012" s="1">
        <v>6289</v>
      </c>
      <c r="I1012" s="1" t="str">
        <f>"serum amyloid A2///serum amyloid A1"</f>
        <v>serum amyloid A2///serum amyloid A1</v>
      </c>
    </row>
    <row r="1013" spans="1:9" x14ac:dyDescent="0.35">
      <c r="A1013" s="1" t="str">
        <f>"208607_s_at"</f>
        <v>208607_s_at</v>
      </c>
      <c r="B1013" s="1">
        <v>8.7347945726019394E-2</v>
      </c>
      <c r="C1013" s="1">
        <v>1.5933646805647701E-2</v>
      </c>
      <c r="D1013" s="1">
        <v>-2.4506032085404401</v>
      </c>
      <c r="E1013" s="1">
        <v>-3.6596413604048799</v>
      </c>
      <c r="F1013" s="1">
        <v>-0.32732299277906701</v>
      </c>
      <c r="G1013" s="3" t="str">
        <f>"SAA2-SAA4"</f>
        <v>SAA2-SAA4</v>
      </c>
      <c r="H1013" s="1">
        <v>100528017</v>
      </c>
      <c r="I1013" s="1" t="str">
        <f>"SAA2-SAA4 readthrough///serum amyloid A2///serum amyloid A1"</f>
        <v>SAA2-SAA4 readthrough///serum amyloid A2///serum amyloid A1</v>
      </c>
    </row>
    <row r="1014" spans="1:9" x14ac:dyDescent="0.35">
      <c r="A1014" s="1" t="str">
        <f>"201569_s_at"</f>
        <v>201569_s_at</v>
      </c>
      <c r="B1014" s="1">
        <v>5.8675404120157697E-2</v>
      </c>
      <c r="C1014" s="1">
        <v>9.1841306902892498E-3</v>
      </c>
      <c r="D1014" s="1">
        <v>2.6548653543438201</v>
      </c>
      <c r="E1014" s="1">
        <v>-3.1749719770012299</v>
      </c>
      <c r="F1014" s="1">
        <v>0.31461069202471198</v>
      </c>
      <c r="G1014" s="3" t="str">
        <f>"SAMM50"</f>
        <v>SAMM50</v>
      </c>
      <c r="H1014" s="1">
        <v>25813</v>
      </c>
      <c r="I1014" s="1" t="str">
        <f>"SAMM50 sorting and assembly machinery component"</f>
        <v>SAMM50 sorting and assembly machinery component</v>
      </c>
    </row>
    <row r="1015" spans="1:9" x14ac:dyDescent="0.35">
      <c r="A1015" s="1" t="str">
        <f>"204899_s_at"</f>
        <v>204899_s_at</v>
      </c>
      <c r="B1015" s="1">
        <v>4.4944133659083601E-4</v>
      </c>
      <c r="C1015" s="2">
        <v>1.7063562839646701E-5</v>
      </c>
      <c r="D1015" s="1">
        <v>-4.5107584992496896</v>
      </c>
      <c r="E1015" s="1">
        <v>2.6265388562416301</v>
      </c>
      <c r="F1015" s="1">
        <v>-0.324201931120641</v>
      </c>
      <c r="G1015" s="3" t="str">
        <f>"SAP30"</f>
        <v>SAP30</v>
      </c>
      <c r="H1015" s="1">
        <v>8819</v>
      </c>
      <c r="I1015" s="1" t="str">
        <f>"Sin3A associated protein 30"</f>
        <v>Sin3A associated protein 30</v>
      </c>
    </row>
    <row r="1016" spans="1:9" x14ac:dyDescent="0.35">
      <c r="A1016" s="1" t="str">
        <f>"201543_s_at"</f>
        <v>201543_s_at</v>
      </c>
      <c r="B1016" s="1">
        <v>2.3772675003950498E-3</v>
      </c>
      <c r="C1016" s="1">
        <v>1.4229423144991601E-4</v>
      </c>
      <c r="D1016" s="1">
        <v>-3.9507724298555398</v>
      </c>
      <c r="E1016" s="1">
        <v>0.63569343236596398</v>
      </c>
      <c r="F1016" s="1">
        <v>-0.33679075742005599</v>
      </c>
      <c r="G1016" s="3" t="str">
        <f>"SAR1A"</f>
        <v>SAR1A</v>
      </c>
      <c r="H1016" s="1">
        <v>56681</v>
      </c>
      <c r="I1016" s="1" t="str">
        <f>"secretion associated Ras related GTPase 1A"</f>
        <v>secretion associated Ras related GTPase 1A</v>
      </c>
    </row>
    <row r="1017" spans="1:9" x14ac:dyDescent="0.35">
      <c r="A1017" s="1" t="str">
        <f>"203455_s_at"</f>
        <v>203455_s_at</v>
      </c>
      <c r="B1017" s="1">
        <v>4.1670958213409798E-2</v>
      </c>
      <c r="C1017" s="1">
        <v>5.8636836654628504E-3</v>
      </c>
      <c r="D1017" s="1">
        <v>-2.8134548824391499</v>
      </c>
      <c r="E1017" s="1">
        <v>-2.7754648017778001</v>
      </c>
      <c r="F1017" s="1">
        <v>-0.472536282475295</v>
      </c>
      <c r="G1017" s="3" t="str">
        <f>"SAT1"</f>
        <v>SAT1</v>
      </c>
      <c r="H1017" s="1">
        <v>6303</v>
      </c>
      <c r="I1017" s="1" t="str">
        <f>"spermidine/spermine N1-acetyltransferase 1"</f>
        <v>spermidine/spermine N1-acetyltransferase 1</v>
      </c>
    </row>
    <row r="1018" spans="1:9" x14ac:dyDescent="0.35">
      <c r="A1018" s="1" t="str">
        <f>"209741_x_at"</f>
        <v>209741_x_at</v>
      </c>
      <c r="B1018" s="1">
        <v>5.1063483124273003E-3</v>
      </c>
      <c r="C1018" s="1">
        <v>3.81197561273713E-4</v>
      </c>
      <c r="D1018" s="1">
        <v>3.6728819496349501</v>
      </c>
      <c r="E1018" s="1">
        <v>-0.280734320050538</v>
      </c>
      <c r="F1018" s="1">
        <v>0.35764728372238302</v>
      </c>
      <c r="G1018" s="3" t="str">
        <f>"SCAPER"</f>
        <v>SCAPER</v>
      </c>
      <c r="H1018" s="1">
        <v>49855</v>
      </c>
      <c r="I1018" s="1" t="str">
        <f>"S-phase cyclin A associated protein in the ER"</f>
        <v>S-phase cyclin A associated protein in the ER</v>
      </c>
    </row>
    <row r="1019" spans="1:9" x14ac:dyDescent="0.35">
      <c r="A1019" s="1" t="str">
        <f>"201646_at"</f>
        <v>201646_at</v>
      </c>
      <c r="B1019" s="1">
        <v>4.2578563829944197E-2</v>
      </c>
      <c r="C1019" s="1">
        <v>6.0381574160850698E-3</v>
      </c>
      <c r="D1019" s="1">
        <v>-2.8032831074748401</v>
      </c>
      <c r="E1019" s="1">
        <v>-2.8016865910192701</v>
      </c>
      <c r="F1019" s="1">
        <v>-0.36283415672529301</v>
      </c>
      <c r="G1019" s="3" t="str">
        <f>"SCARB2"</f>
        <v>SCARB2</v>
      </c>
      <c r="H1019" s="1">
        <v>950</v>
      </c>
      <c r="I1019" s="1" t="str">
        <f>"scavenger receptor class B member 2"</f>
        <v>scavenger receptor class B member 2</v>
      </c>
    </row>
    <row r="1020" spans="1:9" x14ac:dyDescent="0.35">
      <c r="A1020" s="1" t="str">
        <f>"211162_x_at"</f>
        <v>211162_x_at</v>
      </c>
      <c r="B1020" s="1">
        <v>1.46991515125E-2</v>
      </c>
      <c r="C1020" s="1">
        <v>1.47169622691682E-3</v>
      </c>
      <c r="D1020" s="1">
        <v>-3.2674741155362099</v>
      </c>
      <c r="E1020" s="1">
        <v>-1.52439171439351</v>
      </c>
      <c r="F1020" s="1">
        <v>-0.38265416646220801</v>
      </c>
      <c r="G1020" s="3" t="str">
        <f>"SCD"</f>
        <v>SCD</v>
      </c>
      <c r="H1020" s="1">
        <v>6319</v>
      </c>
      <c r="I1020" s="1" t="str">
        <f>"stearoyl-CoA desaturase"</f>
        <v>stearoyl-CoA desaturase</v>
      </c>
    </row>
    <row r="1021" spans="1:9" x14ac:dyDescent="0.35">
      <c r="A1021" s="1" t="str">
        <f>"201462_at"</f>
        <v>201462_at</v>
      </c>
      <c r="B1021" s="1">
        <v>7.3567493891772196E-4</v>
      </c>
      <c r="C1021" s="2">
        <v>3.2024623737835602E-5</v>
      </c>
      <c r="D1021" s="1">
        <v>4.3491970033535301</v>
      </c>
      <c r="E1021" s="1">
        <v>2.0334334782873098</v>
      </c>
      <c r="F1021" s="1">
        <v>0.380219375215119</v>
      </c>
      <c r="G1021" s="3" t="str">
        <f>"SCRN1"</f>
        <v>SCRN1</v>
      </c>
      <c r="H1021" s="1">
        <v>9805</v>
      </c>
      <c r="I1021" s="1" t="str">
        <f>"secernin 1"</f>
        <v>secernin 1</v>
      </c>
    </row>
    <row r="1022" spans="1:9" x14ac:dyDescent="0.35">
      <c r="A1022" s="1" t="str">
        <f>"212158_at"</f>
        <v>212158_at</v>
      </c>
      <c r="B1022" s="1">
        <v>4.62912693590725E-3</v>
      </c>
      <c r="C1022" s="1">
        <v>3.3425774087307699E-4</v>
      </c>
      <c r="D1022" s="1">
        <v>3.7107184499913202</v>
      </c>
      <c r="E1022" s="1">
        <v>-0.15892095866012701</v>
      </c>
      <c r="F1022" s="1">
        <v>0.32806559755668602</v>
      </c>
      <c r="G1022" s="3" t="str">
        <f>"SDC2"</f>
        <v>SDC2</v>
      </c>
      <c r="H1022" s="1">
        <v>6383</v>
      </c>
      <c r="I1022" s="1" t="str">
        <f>"syndecan 2"</f>
        <v>syndecan 2</v>
      </c>
    </row>
    <row r="1023" spans="1:9" x14ac:dyDescent="0.35">
      <c r="A1023" s="1" t="str">
        <f>"218681_s_at"</f>
        <v>218681_s_at</v>
      </c>
      <c r="B1023" s="1">
        <v>1.0532781830451701E-4</v>
      </c>
      <c r="C1023" s="2">
        <v>2.9368050746155401E-6</v>
      </c>
      <c r="D1023" s="1">
        <v>-4.9454878802720703</v>
      </c>
      <c r="E1023" s="1">
        <v>4.2917004794764999</v>
      </c>
      <c r="F1023" s="1">
        <v>-0.48888248512063798</v>
      </c>
      <c r="G1023" s="3" t="str">
        <f>"SDF2L1"</f>
        <v>SDF2L1</v>
      </c>
      <c r="H1023" s="1">
        <v>23753</v>
      </c>
      <c r="I1023" s="1" t="str">
        <f>"stromal cell derived factor 2 like 1"</f>
        <v>stromal cell derived factor 2 like 1</v>
      </c>
    </row>
    <row r="1024" spans="1:9" x14ac:dyDescent="0.35">
      <c r="A1024" s="1" t="str">
        <f>"204534_at"</f>
        <v>204534_at</v>
      </c>
      <c r="B1024" s="1">
        <v>1.11014127015522E-2</v>
      </c>
      <c r="C1024" s="1">
        <v>1.0265194985655799E-3</v>
      </c>
      <c r="D1024" s="1">
        <v>3.3787719526300601</v>
      </c>
      <c r="E1024" s="1">
        <v>-1.19443120228118</v>
      </c>
      <c r="F1024" s="1">
        <v>0.39273452501308498</v>
      </c>
      <c r="G1024" s="3" t="str">
        <f>"SEBOX"</f>
        <v>SEBOX</v>
      </c>
      <c r="H1024" s="1">
        <v>645832</v>
      </c>
      <c r="I1024" s="1" t="str">
        <f>"SEBOX homeobox///vitronectin"</f>
        <v>SEBOX homeobox///vitronectin</v>
      </c>
    </row>
    <row r="1025" spans="1:9" x14ac:dyDescent="0.35">
      <c r="A1025" s="1" t="str">
        <f>"204344_s_at"</f>
        <v>204344_s_at</v>
      </c>
      <c r="B1025" s="1">
        <v>7.4051406881537598E-4</v>
      </c>
      <c r="C1025" s="2">
        <v>3.2345470052980097E-5</v>
      </c>
      <c r="D1025" s="1">
        <v>-4.3466097599006401</v>
      </c>
      <c r="E1025" s="1">
        <v>2.02405501033514</v>
      </c>
      <c r="F1025" s="1">
        <v>-0.40623026198837398</v>
      </c>
      <c r="G1025" s="3" t="str">
        <f>"SEC23A"</f>
        <v>SEC23A</v>
      </c>
      <c r="H1025" s="1">
        <v>10484</v>
      </c>
      <c r="I1025" s="1" t="str">
        <f>"Sec23 homolog A, coat complex II component"</f>
        <v>Sec23 homolog A, coat complex II component</v>
      </c>
    </row>
    <row r="1026" spans="1:9" x14ac:dyDescent="0.35">
      <c r="A1026" s="1" t="str">
        <f>"200945_s_at"</f>
        <v>200945_s_at</v>
      </c>
      <c r="B1026" s="1">
        <v>2.3836419814779598E-3</v>
      </c>
      <c r="C1026" s="1">
        <v>1.42996816032027E-4</v>
      </c>
      <c r="D1026" s="1">
        <v>3.9494151791629299</v>
      </c>
      <c r="E1026" s="1">
        <v>0.63109714848148202</v>
      </c>
      <c r="F1026" s="1">
        <v>0.332515629047963</v>
      </c>
      <c r="G1026" s="3" t="str">
        <f>"SEC31A"</f>
        <v>SEC31A</v>
      </c>
      <c r="H1026" s="1">
        <v>22872</v>
      </c>
      <c r="I1026" s="1" t="str">
        <f>"SEC31 homolog A, COPII coat complex component"</f>
        <v>SEC31 homolog A, COPII coat complex component</v>
      </c>
    </row>
    <row r="1027" spans="1:9" x14ac:dyDescent="0.35">
      <c r="A1027" s="1" t="str">
        <f>"217716_s_at"</f>
        <v>217716_s_at</v>
      </c>
      <c r="B1027" s="2">
        <v>5.2441650362834396E-6</v>
      </c>
      <c r="C1027" s="2">
        <v>7.6722066231136E-8</v>
      </c>
      <c r="D1027" s="1">
        <v>-5.7869137669471504</v>
      </c>
      <c r="E1027" s="1">
        <v>7.7651701672375397</v>
      </c>
      <c r="F1027" s="1">
        <v>-0.41876989970930201</v>
      </c>
      <c r="G1027" s="3" t="str">
        <f>"SEC61A1"</f>
        <v>SEC61A1</v>
      </c>
      <c r="H1027" s="1">
        <v>29927</v>
      </c>
      <c r="I1027" s="1" t="str">
        <f>"Sec61 translocon alpha 1 subunit"</f>
        <v>Sec61 translocon alpha 1 subunit</v>
      </c>
    </row>
    <row r="1028" spans="1:9" x14ac:dyDescent="0.35">
      <c r="A1028" s="1" t="str">
        <f>"221931_s_at"</f>
        <v>221931_s_at</v>
      </c>
      <c r="B1028" s="1">
        <v>3.4437407425030001E-2</v>
      </c>
      <c r="C1028" s="1">
        <v>4.5816656176130297E-3</v>
      </c>
      <c r="D1028" s="1">
        <v>-2.8980554167558901</v>
      </c>
      <c r="E1028" s="1">
        <v>-2.55424000044182</v>
      </c>
      <c r="F1028" s="1">
        <v>-0.31071379517877901</v>
      </c>
      <c r="G1028" s="3" t="str">
        <f>"SEH1L"</f>
        <v>SEH1L</v>
      </c>
      <c r="H1028" s="1">
        <v>81929</v>
      </c>
      <c r="I1028" s="1" t="str">
        <f>"SEH1 like nucleoporin"</f>
        <v>SEH1 like nucleoporin</v>
      </c>
    </row>
    <row r="1029" spans="1:9" x14ac:dyDescent="0.35">
      <c r="A1029" s="1" t="str">
        <f>"217811_at"</f>
        <v>217811_at</v>
      </c>
      <c r="B1029" s="1">
        <v>3.5134249940965001E-4</v>
      </c>
      <c r="C1029" s="2">
        <v>1.27399694620562E-5</v>
      </c>
      <c r="D1029" s="1">
        <v>-4.5845821780021501</v>
      </c>
      <c r="E1029" s="1">
        <v>2.9023424464448802</v>
      </c>
      <c r="F1029" s="1">
        <v>-0.562356089726746</v>
      </c>
      <c r="G1029" s="3" t="str">
        <f>"SELT"</f>
        <v>SELT</v>
      </c>
      <c r="H1029" s="1">
        <v>51714</v>
      </c>
      <c r="I1029" s="1" t="str">
        <f>"selenoprotein T"</f>
        <v>selenoprotein T</v>
      </c>
    </row>
    <row r="1030" spans="1:9" x14ac:dyDescent="0.35">
      <c r="A1030" s="1" t="str">
        <f>"213169_at"</f>
        <v>213169_at</v>
      </c>
      <c r="B1030" s="2">
        <v>3.9770942592699803E-5</v>
      </c>
      <c r="C1030" s="2">
        <v>8.8883585743232595E-7</v>
      </c>
      <c r="D1030" s="1">
        <v>5.2289724098559196</v>
      </c>
      <c r="E1030" s="1">
        <v>5.4276755810432</v>
      </c>
      <c r="F1030" s="1">
        <v>0.39028356285029298</v>
      </c>
      <c r="G1030" s="3" t="str">
        <f>"SEMA5A"</f>
        <v>SEMA5A</v>
      </c>
      <c r="H1030" s="1">
        <v>9037</v>
      </c>
      <c r="I1030" s="1" t="str">
        <f>"semaphorin 5A"</f>
        <v>semaphorin 5A</v>
      </c>
    </row>
    <row r="1031" spans="1:9" x14ac:dyDescent="0.35">
      <c r="A1031" s="1" t="str">
        <f>"201427_s_at"</f>
        <v>201427_s_at</v>
      </c>
      <c r="B1031" s="2">
        <v>9.2126915989875494E-5</v>
      </c>
      <c r="C1031" s="2">
        <v>2.4765077717513498E-6</v>
      </c>
      <c r="D1031" s="1">
        <v>4.9864514085004901</v>
      </c>
      <c r="E1031" s="1">
        <v>4.4535138648813399</v>
      </c>
      <c r="F1031" s="1">
        <v>0.72595185307413101</v>
      </c>
      <c r="G1031" s="3" t="str">
        <f>"SEPP1"</f>
        <v>SEPP1</v>
      </c>
      <c r="H1031" s="1">
        <v>6414</v>
      </c>
      <c r="I1031" s="1" t="str">
        <f>"selenoprotein P, plasma, 1"</f>
        <v>selenoprotein P, plasma, 1</v>
      </c>
    </row>
    <row r="1032" spans="1:9" x14ac:dyDescent="0.35">
      <c r="A1032" s="1" t="str">
        <f>"201307_at"</f>
        <v>201307_at</v>
      </c>
      <c r="B1032" s="2">
        <v>1.07613506448653E-5</v>
      </c>
      <c r="C1032" s="2">
        <v>1.8206835673447199E-7</v>
      </c>
      <c r="D1032" s="1">
        <v>5.59320804574942</v>
      </c>
      <c r="E1032" s="1">
        <v>6.9393878678119103</v>
      </c>
      <c r="F1032" s="1">
        <v>0.54594829275872203</v>
      </c>
      <c r="G1032" s="3" t="str">
        <f>"SEPT11"</f>
        <v>SEPT11</v>
      </c>
      <c r="H1032" s="1">
        <v>55752</v>
      </c>
      <c r="I1032" s="1" t="str">
        <f>"septin 11"</f>
        <v>septin 11</v>
      </c>
    </row>
    <row r="1033" spans="1:9" x14ac:dyDescent="0.35">
      <c r="A1033" s="1" t="str">
        <f>"206655_s_at"</f>
        <v>206655_s_at</v>
      </c>
      <c r="B1033" s="1">
        <v>7.6603460038114505E-4</v>
      </c>
      <c r="C1033" s="2">
        <v>3.3827493909035903E-5</v>
      </c>
      <c r="D1033" s="1">
        <v>4.3349711700287701</v>
      </c>
      <c r="E1033" s="1">
        <v>1.9819137164491301</v>
      </c>
      <c r="F1033" s="1">
        <v>0.35561503005523099</v>
      </c>
      <c r="G1033" s="3" t="str">
        <f>"SEPT5-GP1BB"</f>
        <v>SEPT5-GP1BB</v>
      </c>
      <c r="H1033" s="1">
        <v>100526833</v>
      </c>
      <c r="I1033" s="1" t="str">
        <f>"SEPT5-GP1BB readthrough///septin 5///glycoprotein Ib platelet beta subunit"</f>
        <v>SEPT5-GP1BB readthrough///septin 5///glycoprotein Ib platelet beta subunit</v>
      </c>
    </row>
    <row r="1034" spans="1:9" x14ac:dyDescent="0.35">
      <c r="A1034" s="1" t="str">
        <f>"213151_s_at"</f>
        <v>213151_s_at</v>
      </c>
      <c r="B1034" s="2">
        <v>9.4118586625463797E-7</v>
      </c>
      <c r="C1034" s="2">
        <v>8.6165200698265998E-9</v>
      </c>
      <c r="D1034" s="1">
        <v>6.2645550960355001</v>
      </c>
      <c r="E1034" s="1">
        <v>9.8589103040793393</v>
      </c>
      <c r="F1034" s="1">
        <v>0.31773797003052101</v>
      </c>
      <c r="G1034" s="3" t="str">
        <f>"SEPT7"</f>
        <v>SEPT7</v>
      </c>
      <c r="H1034" s="1">
        <v>989</v>
      </c>
      <c r="I1034" s="1" t="str">
        <f>"septin 7"</f>
        <v>septin 7</v>
      </c>
    </row>
    <row r="1035" spans="1:9" x14ac:dyDescent="0.35">
      <c r="A1035" s="1" t="str">
        <f>"217725_x_at"</f>
        <v>217725_x_at</v>
      </c>
      <c r="B1035" s="1">
        <v>0.13700547476358299</v>
      </c>
      <c r="C1035" s="1">
        <v>3.0342504059519802E-2</v>
      </c>
      <c r="D1035" s="1">
        <v>-2.1956725517395301</v>
      </c>
      <c r="E1035" s="1">
        <v>-4.2158677192698999</v>
      </c>
      <c r="F1035" s="1">
        <v>-0.333617078643896</v>
      </c>
      <c r="G1035" s="3" t="str">
        <f>"SERBP1"</f>
        <v>SERBP1</v>
      </c>
      <c r="H1035" s="1">
        <v>26135</v>
      </c>
      <c r="I1035" s="1" t="str">
        <f>"SERPINE1 mRNA binding protein 1"</f>
        <v>SERPINE1 mRNA binding protein 1</v>
      </c>
    </row>
    <row r="1036" spans="1:9" x14ac:dyDescent="0.35">
      <c r="A1036" s="1" t="str">
        <f>"200971_s_at"</f>
        <v>200971_s_at</v>
      </c>
      <c r="B1036" s="1">
        <v>1.0991786621479699E-2</v>
      </c>
      <c r="C1036" s="1">
        <v>1.0144590435652999E-3</v>
      </c>
      <c r="D1036" s="1">
        <v>-3.3823810653169502</v>
      </c>
      <c r="E1036" s="1">
        <v>-1.1835833557573701</v>
      </c>
      <c r="F1036" s="1">
        <v>-0.35524717241133902</v>
      </c>
      <c r="G1036" s="3" t="str">
        <f>"SERP1"</f>
        <v>SERP1</v>
      </c>
      <c r="H1036" s="1">
        <v>27230</v>
      </c>
      <c r="I1036" s="1" t="str">
        <f>"stress-associated endoplasmic reticulum protein 1"</f>
        <v>stress-associated endoplasmic reticulum protein 1</v>
      </c>
    </row>
    <row r="1037" spans="1:9" x14ac:dyDescent="0.35">
      <c r="A1037" s="1" t="str">
        <f>"202376_at"</f>
        <v>202376_at</v>
      </c>
      <c r="B1037" s="2">
        <v>2.8350589468725698E-16</v>
      </c>
      <c r="C1037" s="2">
        <v>6.3614839718004096E-20</v>
      </c>
      <c r="D1037" s="1">
        <v>-11.362299864819001</v>
      </c>
      <c r="E1037" s="1">
        <v>34.496435834707398</v>
      </c>
      <c r="F1037" s="1">
        <v>-1.3922217282659901</v>
      </c>
      <c r="G1037" s="3" t="str">
        <f>"SERPINA3"</f>
        <v>SERPINA3</v>
      </c>
      <c r="H1037" s="1">
        <v>12</v>
      </c>
      <c r="I1037" s="1" t="str">
        <f>"serpin family A member 3"</f>
        <v>serpin family A member 3</v>
      </c>
    </row>
    <row r="1038" spans="1:9" x14ac:dyDescent="0.35">
      <c r="A1038" s="1" t="str">
        <f>"212268_at"</f>
        <v>212268_at</v>
      </c>
      <c r="B1038" s="1">
        <v>1.03380992892841E-2</v>
      </c>
      <c r="C1038" s="1">
        <v>9.4088162988233603E-4</v>
      </c>
      <c r="D1038" s="1">
        <v>-3.4053133577868699</v>
      </c>
      <c r="E1038" s="1">
        <v>-1.1144408245361499</v>
      </c>
      <c r="F1038" s="1">
        <v>-0.38536495840988499</v>
      </c>
      <c r="G1038" s="3" t="str">
        <f>"SERPINB1"</f>
        <v>SERPINB1</v>
      </c>
      <c r="H1038" s="1">
        <v>1992</v>
      </c>
      <c r="I1038" s="1" t="str">
        <f>"serpin family B member 1"</f>
        <v>serpin family B member 1</v>
      </c>
    </row>
    <row r="1039" spans="1:9" x14ac:dyDescent="0.35">
      <c r="A1039" s="1" t="str">
        <f>"202627_s_at"</f>
        <v>202627_s_at</v>
      </c>
      <c r="B1039" s="2">
        <v>1.2210623311038201E-8</v>
      </c>
      <c r="C1039" s="2">
        <v>3.4767684424118797E-11</v>
      </c>
      <c r="D1039" s="1">
        <v>-7.4121876399805302</v>
      </c>
      <c r="E1039" s="1">
        <v>15.155270119654601</v>
      </c>
      <c r="F1039" s="1">
        <v>-1.4065405454316899</v>
      </c>
      <c r="G1039" s="3" t="str">
        <f>"SERPINE1"</f>
        <v>SERPINE1</v>
      </c>
      <c r="H1039" s="1">
        <v>5054</v>
      </c>
      <c r="I1039" s="1" t="str">
        <f>"serpin family E member 1"</f>
        <v>serpin family E member 1</v>
      </c>
    </row>
    <row r="1040" spans="1:9" x14ac:dyDescent="0.35">
      <c r="A1040" s="1" t="str">
        <f>"212190_at"</f>
        <v>212190_at</v>
      </c>
      <c r="B1040" s="1">
        <v>7.1503681060930803E-4</v>
      </c>
      <c r="C1040" s="2">
        <v>3.0743084921816297E-5</v>
      </c>
      <c r="D1040" s="1">
        <v>4.3597865491509502</v>
      </c>
      <c r="E1040" s="1">
        <v>2.0718591694992599</v>
      </c>
      <c r="F1040" s="1">
        <v>0.75521482916860305</v>
      </c>
      <c r="G1040" s="3" t="str">
        <f>"SERPINE2"</f>
        <v>SERPINE2</v>
      </c>
      <c r="H1040" s="1">
        <v>5270</v>
      </c>
      <c r="I1040" s="1" t="str">
        <f>"serpin family E member 2"</f>
        <v>serpin family E member 2</v>
      </c>
    </row>
    <row r="1041" spans="1:9" x14ac:dyDescent="0.35">
      <c r="A1041" s="1" t="str">
        <f>"202283_at"</f>
        <v>202283_at</v>
      </c>
      <c r="B1041" s="1">
        <v>8.1190759907485602E-2</v>
      </c>
      <c r="C1041" s="1">
        <v>1.4403225504388601E-2</v>
      </c>
      <c r="D1041" s="1">
        <v>2.4889086679577801</v>
      </c>
      <c r="E1041" s="1">
        <v>-3.5713570535271</v>
      </c>
      <c r="F1041" s="1">
        <v>0.302506720219476</v>
      </c>
      <c r="G1041" s="3" t="str">
        <f>"SERPINF1"</f>
        <v>SERPINF1</v>
      </c>
      <c r="H1041" s="1">
        <v>5176</v>
      </c>
      <c r="I1041" s="1" t="str">
        <f>"serpin family F member 1"</f>
        <v>serpin family F member 1</v>
      </c>
    </row>
    <row r="1042" spans="1:9" x14ac:dyDescent="0.35">
      <c r="A1042" s="1" t="str">
        <f>"205352_at"</f>
        <v>205352_at</v>
      </c>
      <c r="B1042" s="1">
        <v>1.81386967503954E-4</v>
      </c>
      <c r="C1042" s="2">
        <v>5.6492642574044698E-6</v>
      </c>
      <c r="D1042" s="1">
        <v>4.7865020743198299</v>
      </c>
      <c r="E1042" s="1">
        <v>3.6714788400775702</v>
      </c>
      <c r="F1042" s="1">
        <v>0.47398527282994302</v>
      </c>
      <c r="G1042" s="3" t="str">
        <f>"SERPINI1"</f>
        <v>SERPINI1</v>
      </c>
      <c r="H1042" s="1">
        <v>5274</v>
      </c>
      <c r="I1042" s="1" t="str">
        <f>"serpin family I member 1"</f>
        <v>serpin family I member 1</v>
      </c>
    </row>
    <row r="1043" spans="1:9" x14ac:dyDescent="0.35">
      <c r="A1043" s="1" t="str">
        <f>"37462_i_at"</f>
        <v>37462_i_at</v>
      </c>
      <c r="B1043" s="1">
        <v>2.49594414716806E-2</v>
      </c>
      <c r="C1043" s="1">
        <v>2.9458928811434701E-3</v>
      </c>
      <c r="D1043" s="1">
        <v>3.0453828241291698</v>
      </c>
      <c r="E1043" s="1">
        <v>-2.1558146259164799</v>
      </c>
      <c r="F1043" s="1">
        <v>0.30760696269767202</v>
      </c>
      <c r="G1043" s="3" t="str">
        <f>"SF3A2"</f>
        <v>SF3A2</v>
      </c>
      <c r="H1043" s="1">
        <v>8175</v>
      </c>
      <c r="I1043" s="1" t="str">
        <f>"splicing factor 3a subunit 2"</f>
        <v>splicing factor 3a subunit 2</v>
      </c>
    </row>
    <row r="1044" spans="1:9" x14ac:dyDescent="0.35">
      <c r="A1044" s="1" t="str">
        <f>"202037_s_at"</f>
        <v>202037_s_at</v>
      </c>
      <c r="B1044" s="2">
        <v>8.4382200374671505E-5</v>
      </c>
      <c r="C1044" s="2">
        <v>2.2228762563358699E-6</v>
      </c>
      <c r="D1044" s="1">
        <v>5.0123194218762297</v>
      </c>
      <c r="E1044" s="1">
        <v>4.5561123047146204</v>
      </c>
      <c r="F1044" s="1">
        <v>0.955150956263081</v>
      </c>
      <c r="G1044" s="3" t="str">
        <f>"SFRP1"</f>
        <v>SFRP1</v>
      </c>
      <c r="H1044" s="1">
        <v>6422</v>
      </c>
      <c r="I1044" s="1" t="str">
        <f>"secreted frizzled related protein 1"</f>
        <v>secreted frizzled related protein 1</v>
      </c>
    </row>
    <row r="1045" spans="1:9" x14ac:dyDescent="0.35">
      <c r="A1045" s="1" t="str">
        <f>"204051_s_at"</f>
        <v>204051_s_at</v>
      </c>
      <c r="B1045" s="2">
        <v>3.3714613751451898E-7</v>
      </c>
      <c r="C1045" s="2">
        <v>2.46622180204042E-9</v>
      </c>
      <c r="D1045" s="1">
        <v>6.5311140337898701</v>
      </c>
      <c r="E1045" s="1">
        <v>11.059053023431099</v>
      </c>
      <c r="F1045" s="1">
        <v>0.76093651171511401</v>
      </c>
      <c r="G1045" s="3" t="str">
        <f>"SFRP4"</f>
        <v>SFRP4</v>
      </c>
      <c r="H1045" s="1">
        <v>6424</v>
      </c>
      <c r="I1045" s="1" t="str">
        <f>"secreted frizzled related protein 4"</f>
        <v>secreted frizzled related protein 4</v>
      </c>
    </row>
    <row r="1046" spans="1:9" x14ac:dyDescent="0.35">
      <c r="A1046" s="1" t="str">
        <f>"204688_at"</f>
        <v>204688_at</v>
      </c>
      <c r="B1046" s="1">
        <v>1.04413536190617E-2</v>
      </c>
      <c r="C1046" s="1">
        <v>9.5355897387204005E-4</v>
      </c>
      <c r="D1046" s="1">
        <v>3.4012446199138999</v>
      </c>
      <c r="E1046" s="1">
        <v>-1.12673548001691</v>
      </c>
      <c r="F1046" s="1">
        <v>0.37518026281976402</v>
      </c>
      <c r="G1046" s="3" t="str">
        <f>"SGCE"</f>
        <v>SGCE</v>
      </c>
      <c r="H1046" s="1">
        <v>8910</v>
      </c>
      <c r="I1046" s="1" t="str">
        <f>"sarcoglycan epsilon"</f>
        <v>sarcoglycan epsilon</v>
      </c>
    </row>
    <row r="1047" spans="1:9" x14ac:dyDescent="0.35">
      <c r="A1047" s="1" t="str">
        <f>"207302_at"</f>
        <v>207302_at</v>
      </c>
      <c r="B1047" s="2">
        <v>3.3214330502218802E-6</v>
      </c>
      <c r="C1047" s="2">
        <v>4.3381347146029802E-8</v>
      </c>
      <c r="D1047" s="1">
        <v>5.9130823144084701</v>
      </c>
      <c r="E1047" s="1">
        <v>8.3105791861867502</v>
      </c>
      <c r="F1047" s="1">
        <v>0.59613103975000403</v>
      </c>
      <c r="G1047" s="3" t="str">
        <f>"SGCG"</f>
        <v>SGCG</v>
      </c>
      <c r="H1047" s="1">
        <v>6445</v>
      </c>
      <c r="I1047" s="1" t="str">
        <f>"sarcoglycan gamma"</f>
        <v>sarcoglycan gamma</v>
      </c>
    </row>
    <row r="1048" spans="1:9" x14ac:dyDescent="0.35">
      <c r="A1048" s="1" t="str">
        <f>"201739_at"</f>
        <v>201739_at</v>
      </c>
      <c r="B1048" s="1">
        <v>6.7266551929994504E-3</v>
      </c>
      <c r="C1048" s="1">
        <v>5.4167750732011296E-4</v>
      </c>
      <c r="D1048" s="1">
        <v>-3.5704227964895701</v>
      </c>
      <c r="E1048" s="1">
        <v>-0.60577761139905595</v>
      </c>
      <c r="F1048" s="1">
        <v>-0.49790088791715398</v>
      </c>
      <c r="G1048" s="3" t="str">
        <f>"SGK1"</f>
        <v>SGK1</v>
      </c>
      <c r="H1048" s="1">
        <v>6446</v>
      </c>
      <c r="I1048" s="1" t="str">
        <f>"serum/glucocorticoid regulated kinase 1"</f>
        <v>serum/glucocorticoid regulated kinase 1</v>
      </c>
    </row>
    <row r="1049" spans="1:9" x14ac:dyDescent="0.35">
      <c r="A1049" s="1" t="str">
        <f>"204979_s_at"</f>
        <v>204979_s_at</v>
      </c>
      <c r="B1049" s="1">
        <v>5.1864071822855997E-4</v>
      </c>
      <c r="C1049" s="2">
        <v>2.0458878576623599E-5</v>
      </c>
      <c r="D1049" s="1">
        <v>-4.4645483041741496</v>
      </c>
      <c r="E1049" s="1">
        <v>2.45541253485223</v>
      </c>
      <c r="F1049" s="1">
        <v>-0.52763243977470997</v>
      </c>
      <c r="G1049" s="3" t="str">
        <f>"SH3BGR"</f>
        <v>SH3BGR</v>
      </c>
      <c r="H1049" s="1">
        <v>6450</v>
      </c>
      <c r="I1049" s="1" t="str">
        <f>"SH3 domain binding glutamate rich protein"</f>
        <v>SH3 domain binding glutamate rich protein</v>
      </c>
    </row>
    <row r="1050" spans="1:9" x14ac:dyDescent="0.35">
      <c r="A1050" s="1" t="str">
        <f>"201312_s_at"</f>
        <v>201312_s_at</v>
      </c>
      <c r="B1050" s="1">
        <v>1.5066633279383101E-3</v>
      </c>
      <c r="C1050" s="2">
        <v>7.9671340216430701E-5</v>
      </c>
      <c r="D1050" s="1">
        <v>4.1085816771306396</v>
      </c>
      <c r="E1050" s="1">
        <v>1.17790071539344</v>
      </c>
      <c r="F1050" s="1">
        <v>0.59952194175145601</v>
      </c>
      <c r="G1050" s="3" t="str">
        <f>"SH3BGRL"</f>
        <v>SH3BGRL</v>
      </c>
      <c r="H1050" s="1">
        <v>6451</v>
      </c>
      <c r="I1050" s="1" t="str">
        <f>"SH3 domain binding glutamate rich protein like"</f>
        <v>SH3 domain binding glutamate rich protein like</v>
      </c>
    </row>
    <row r="1051" spans="1:9" x14ac:dyDescent="0.35">
      <c r="A1051" s="1" t="str">
        <f>"221269_s_at"</f>
        <v>221269_s_at</v>
      </c>
      <c r="B1051" s="1">
        <v>5.23153454429926E-2</v>
      </c>
      <c r="C1051" s="1">
        <v>7.9260694796725196E-3</v>
      </c>
      <c r="D1051" s="1">
        <v>-2.7076456073027799</v>
      </c>
      <c r="E1051" s="1">
        <v>-3.0442344739878</v>
      </c>
      <c r="F1051" s="1">
        <v>-0.370215218340117</v>
      </c>
      <c r="G1051" s="3" t="str">
        <f>"SH3BGRL3"</f>
        <v>SH3BGRL3</v>
      </c>
      <c r="H1051" s="1">
        <v>83442</v>
      </c>
      <c r="I1051" s="1" t="str">
        <f>"SH3 domain binding glutamate rich protein like 3"</f>
        <v>SH3 domain binding glutamate rich protein like 3</v>
      </c>
    </row>
    <row r="1052" spans="1:9" x14ac:dyDescent="0.35">
      <c r="A1052" s="1" t="str">
        <f>"210101_x_at"</f>
        <v>210101_x_at</v>
      </c>
      <c r="B1052" s="2">
        <v>8.1199925238487307E-6</v>
      </c>
      <c r="C1052" s="2">
        <v>1.2681225141584899E-7</v>
      </c>
      <c r="D1052" s="1">
        <v>-5.6746553663678396</v>
      </c>
      <c r="E1052" s="1">
        <v>7.2848476467946801</v>
      </c>
      <c r="F1052" s="1">
        <v>-0.44003612656249802</v>
      </c>
      <c r="G1052" s="3" t="str">
        <f>"SH3GLB1"</f>
        <v>SH3GLB1</v>
      </c>
      <c r="H1052" s="1">
        <v>51100</v>
      </c>
      <c r="I1052" s="1" t="str">
        <f>"SH3 domain containing GRB2 like endophilin B1"</f>
        <v>SH3 domain containing GRB2 like endophilin B1</v>
      </c>
    </row>
    <row r="1053" spans="1:9" x14ac:dyDescent="0.35">
      <c r="A1053" s="1" t="str">
        <f>"201469_s_at"</f>
        <v>201469_s_at</v>
      </c>
      <c r="B1053" s="1">
        <v>1.55749981566438E-3</v>
      </c>
      <c r="C1053" s="2">
        <v>8.3316419704345998E-5</v>
      </c>
      <c r="D1053" s="1">
        <v>-4.0965468650255801</v>
      </c>
      <c r="E1053" s="1">
        <v>1.13601302277062</v>
      </c>
      <c r="F1053" s="1">
        <v>-0.38207455744622398</v>
      </c>
      <c r="G1053" s="3" t="str">
        <f>"SHC1"</f>
        <v>SHC1</v>
      </c>
      <c r="H1053" s="1">
        <v>6464</v>
      </c>
      <c r="I1053" s="1" t="str">
        <f>"SHC adaptor protein 1"</f>
        <v>SHC adaptor protein 1</v>
      </c>
    </row>
    <row r="1054" spans="1:9" x14ac:dyDescent="0.35">
      <c r="A1054" s="1" t="str">
        <f>"214437_s_at"</f>
        <v>214437_s_at</v>
      </c>
      <c r="B1054" s="1">
        <v>1.2459028749121299E-4</v>
      </c>
      <c r="C1054" s="2">
        <v>3.5784133193186001E-6</v>
      </c>
      <c r="D1054" s="1">
        <v>-4.8977713365689404</v>
      </c>
      <c r="E1054" s="1">
        <v>4.1042388049742797</v>
      </c>
      <c r="F1054" s="1">
        <v>-0.36589148307848701</v>
      </c>
      <c r="G1054" s="3" t="str">
        <f>"SHMT2"</f>
        <v>SHMT2</v>
      </c>
      <c r="H1054" s="1">
        <v>6472</v>
      </c>
      <c r="I1054" s="1" t="str">
        <f>"serine hydroxymethyltransferase 2"</f>
        <v>serine hydroxymethyltransferase 2</v>
      </c>
    </row>
    <row r="1055" spans="1:9" x14ac:dyDescent="0.35">
      <c r="A1055" s="1" t="str">
        <f>"219083_at"</f>
        <v>219083_at</v>
      </c>
      <c r="B1055" s="1">
        <v>1.9861504209050598E-3</v>
      </c>
      <c r="C1055" s="1">
        <v>1.12040168697108E-4</v>
      </c>
      <c r="D1055" s="1">
        <v>-4.0162891346227596</v>
      </c>
      <c r="E1055" s="1">
        <v>0.85893235107386601</v>
      </c>
      <c r="F1055" s="1">
        <v>-0.31373841840842998</v>
      </c>
      <c r="G1055" s="3" t="str">
        <f>"SHQ1"</f>
        <v>SHQ1</v>
      </c>
      <c r="H1055" s="1">
        <v>55164</v>
      </c>
      <c r="I1055" s="1" t="str">
        <f>"SHQ1, H/ACA ribonucleoprotein assembly factor"</f>
        <v>SHQ1, H/ACA ribonucleoprotein assembly factor</v>
      </c>
    </row>
    <row r="1056" spans="1:9" x14ac:dyDescent="0.35">
      <c r="A1056" s="1" t="str">
        <f>"56256_at"</f>
        <v>56256_at</v>
      </c>
      <c r="B1056" s="1">
        <v>1.8655857163923099E-2</v>
      </c>
      <c r="C1056" s="1">
        <v>2.0043136943154799E-3</v>
      </c>
      <c r="D1056" s="1">
        <v>3.1699443921742598</v>
      </c>
      <c r="E1056" s="1">
        <v>-1.80616444606096</v>
      </c>
      <c r="F1056" s="1">
        <v>0.36976508435465</v>
      </c>
      <c r="G1056" s="3" t="str">
        <f>"SIDT2"</f>
        <v>SIDT2</v>
      </c>
      <c r="H1056" s="1">
        <v>51092</v>
      </c>
      <c r="I1056" s="1" t="str">
        <f>"SID1 transmembrane family member 2"</f>
        <v>SID1 transmembrane family member 2</v>
      </c>
    </row>
    <row r="1057" spans="1:9" x14ac:dyDescent="0.35">
      <c r="A1057" s="1" t="str">
        <f>"208078_s_at"</f>
        <v>208078_s_at</v>
      </c>
      <c r="B1057" s="1">
        <v>1.85172246582785E-2</v>
      </c>
      <c r="C1057" s="1">
        <v>1.9834141999418601E-3</v>
      </c>
      <c r="D1057" s="1">
        <v>-3.1732875682760202</v>
      </c>
      <c r="E1057" s="1">
        <v>-1.79662110917305</v>
      </c>
      <c r="F1057" s="1">
        <v>-0.58807528340843396</v>
      </c>
      <c r="G1057" s="3" t="str">
        <f>"SIK1"</f>
        <v>SIK1</v>
      </c>
      <c r="H1057" s="1">
        <v>150094</v>
      </c>
      <c r="I1057" s="1" t="str">
        <f>"salt inducible kinase 1"</f>
        <v>salt inducible kinase 1</v>
      </c>
    </row>
    <row r="1058" spans="1:9" x14ac:dyDescent="0.35">
      <c r="A1058" s="1" t="str">
        <f>"218066_at"</f>
        <v>218066_at</v>
      </c>
      <c r="B1058" s="1">
        <v>8.7135053022487498E-4</v>
      </c>
      <c r="C1058" s="2">
        <v>3.96121746227078E-5</v>
      </c>
      <c r="D1058" s="1">
        <v>4.2938071373059099</v>
      </c>
      <c r="E1058" s="1">
        <v>1.8334897054736401</v>
      </c>
      <c r="F1058" s="1">
        <v>0.30859739023110899</v>
      </c>
      <c r="G1058" s="3" t="str">
        <f>"SLC12A7"</f>
        <v>SLC12A7</v>
      </c>
      <c r="H1058" s="1">
        <v>10723</v>
      </c>
      <c r="I1058" s="1" t="str">
        <f>"solute carrier family 12 member 7"</f>
        <v>solute carrier family 12 member 7</v>
      </c>
    </row>
    <row r="1059" spans="1:9" x14ac:dyDescent="0.35">
      <c r="A1059" s="1" t="str">
        <f>"202234_s_at"</f>
        <v>202234_s_at</v>
      </c>
      <c r="B1059" s="1">
        <v>3.4088455488211197E-2</v>
      </c>
      <c r="C1059" s="1">
        <v>4.51289968542042E-3</v>
      </c>
      <c r="D1059" s="1">
        <v>2.9031852779124101</v>
      </c>
      <c r="E1059" s="1">
        <v>-2.5406468579561898</v>
      </c>
      <c r="F1059" s="1">
        <v>0.444678880604648</v>
      </c>
      <c r="G1059" s="3" t="str">
        <f>"SLC16A1"</f>
        <v>SLC16A1</v>
      </c>
      <c r="H1059" s="1">
        <v>6566</v>
      </c>
      <c r="I1059" s="1" t="str">
        <f>"solute carrier family 16 member 1"</f>
        <v>solute carrier family 16 member 1</v>
      </c>
    </row>
    <row r="1060" spans="1:9" x14ac:dyDescent="0.35">
      <c r="A1060" s="1" t="str">
        <f>"207057_at"</f>
        <v>207057_at</v>
      </c>
      <c r="B1060" s="1">
        <v>5.8885992358793E-2</v>
      </c>
      <c r="C1060" s="1">
        <v>9.2333912534947205E-3</v>
      </c>
      <c r="D1060" s="1">
        <v>2.6529351343032501</v>
      </c>
      <c r="E1060" s="1">
        <v>-3.1797107772223199</v>
      </c>
      <c r="F1060" s="1">
        <v>0.60621943571802095</v>
      </c>
      <c r="G1060" s="3" t="str">
        <f>"SLC16A7"</f>
        <v>SLC16A7</v>
      </c>
      <c r="H1060" s="1">
        <v>9194</v>
      </c>
      <c r="I1060" s="1" t="str">
        <f>"solute carrier family 16 member 7"</f>
        <v>solute carrier family 16 member 7</v>
      </c>
    </row>
    <row r="1061" spans="1:9" x14ac:dyDescent="0.35">
      <c r="A1061" s="1" t="str">
        <f>"209681_at"</f>
        <v>209681_at</v>
      </c>
      <c r="B1061" s="2">
        <v>2.8386848287774802E-6</v>
      </c>
      <c r="C1061" s="2">
        <v>3.4795573238233101E-8</v>
      </c>
      <c r="D1061" s="1">
        <v>-5.9615606977177702</v>
      </c>
      <c r="E1061" s="1">
        <v>8.5216594475731995</v>
      </c>
      <c r="F1061" s="1">
        <v>-1.09568163779651</v>
      </c>
      <c r="G1061" s="3" t="str">
        <f>"SLC19A2"</f>
        <v>SLC19A2</v>
      </c>
      <c r="H1061" s="1">
        <v>10560</v>
      </c>
      <c r="I1061" s="1" t="str">
        <f>"solute carrier family 19 member 2"</f>
        <v>solute carrier family 19 member 2</v>
      </c>
    </row>
    <row r="1062" spans="1:9" x14ac:dyDescent="0.35">
      <c r="A1062" s="1" t="str">
        <f>"202800_at"</f>
        <v>202800_at</v>
      </c>
      <c r="B1062" s="2">
        <v>1.1238310723363101E-5</v>
      </c>
      <c r="C1062" s="2">
        <v>1.9064225882651601E-7</v>
      </c>
      <c r="D1062" s="1">
        <v>-5.5828046482993399</v>
      </c>
      <c r="E1062" s="1">
        <v>6.8954495889130598</v>
      </c>
      <c r="F1062" s="1">
        <v>-0.61790981441860404</v>
      </c>
      <c r="G1062" s="3" t="str">
        <f>"SLC1A3"</f>
        <v>SLC1A3</v>
      </c>
      <c r="H1062" s="1">
        <v>6507</v>
      </c>
      <c r="I1062" s="1" t="str">
        <f>"solute carrier family 1 member 3"</f>
        <v>solute carrier family 1 member 3</v>
      </c>
    </row>
    <row r="1063" spans="1:9" x14ac:dyDescent="0.35">
      <c r="A1063" s="1" t="str">
        <f>"204981_at"</f>
        <v>204981_at</v>
      </c>
      <c r="B1063" s="1">
        <v>5.2957008179356502E-4</v>
      </c>
      <c r="C1063" s="2">
        <v>2.11356463152877E-5</v>
      </c>
      <c r="D1063" s="1">
        <v>4.4562310908291396</v>
      </c>
      <c r="E1063" s="1">
        <v>2.4247372751185798</v>
      </c>
      <c r="F1063" s="1">
        <v>0.32320458143459302</v>
      </c>
      <c r="G1063" s="3" t="str">
        <f>"SLC22A18"</f>
        <v>SLC22A18</v>
      </c>
      <c r="H1063" s="1">
        <v>5002</v>
      </c>
      <c r="I1063" s="1" t="str">
        <f>"solute carrier family 22 member 18"</f>
        <v>solute carrier family 22 member 18</v>
      </c>
    </row>
    <row r="1064" spans="1:9" x14ac:dyDescent="0.35">
      <c r="A1064" s="1" t="str">
        <f>"205074_at"</f>
        <v>205074_at</v>
      </c>
      <c r="B1064" s="2">
        <v>4.9848915529072999E-7</v>
      </c>
      <c r="C1064" s="2">
        <v>3.95663899363311E-9</v>
      </c>
      <c r="D1064" s="1">
        <v>-6.4308980786891299</v>
      </c>
      <c r="E1064" s="1">
        <v>10.605401423259501</v>
      </c>
      <c r="F1064" s="1">
        <v>-0.70252608044912701</v>
      </c>
      <c r="G1064" s="3" t="str">
        <f>"SLC22A5"</f>
        <v>SLC22A5</v>
      </c>
      <c r="H1064" s="1">
        <v>6584</v>
      </c>
      <c r="I1064" s="1" t="str">
        <f>"solute carrier family 22 member 5"</f>
        <v>solute carrier family 22 member 5</v>
      </c>
    </row>
    <row r="1065" spans="1:9" x14ac:dyDescent="0.35">
      <c r="A1065" s="1" t="str">
        <f>"209003_at"</f>
        <v>209003_at</v>
      </c>
      <c r="B1065" s="2">
        <v>7.0418366601382702E-6</v>
      </c>
      <c r="C1065" s="2">
        <v>1.0807827212526499E-7</v>
      </c>
      <c r="D1065" s="1">
        <v>5.7104767072388301</v>
      </c>
      <c r="E1065" s="1">
        <v>7.4375982823221003</v>
      </c>
      <c r="F1065" s="1">
        <v>0.55179605261628095</v>
      </c>
      <c r="G1065" s="3" t="str">
        <f>"SLC25A11"</f>
        <v>SLC25A11</v>
      </c>
      <c r="H1065" s="1">
        <v>8402</v>
      </c>
      <c r="I1065" s="1" t="str">
        <f>"solute carrier family 25 member 11"</f>
        <v>solute carrier family 25 member 11</v>
      </c>
    </row>
    <row r="1066" spans="1:9" x14ac:dyDescent="0.35">
      <c r="A1066" s="1" t="str">
        <f>"201917_s_at"</f>
        <v>201917_s_at</v>
      </c>
      <c r="B1066" s="1">
        <v>8.5688120505795301E-2</v>
      </c>
      <c r="C1066" s="1">
        <v>1.55565392878449E-2</v>
      </c>
      <c r="D1066" s="1">
        <v>-2.45972642107319</v>
      </c>
      <c r="E1066" s="1">
        <v>-3.6387248734010602</v>
      </c>
      <c r="F1066" s="1">
        <v>-0.36969370808285101</v>
      </c>
      <c r="G1066" s="3" t="str">
        <f>"SLC25A36"</f>
        <v>SLC25A36</v>
      </c>
      <c r="H1066" s="1">
        <v>55186</v>
      </c>
      <c r="I1066" s="1" t="str">
        <f>"solute carrier family 25 member 36"</f>
        <v>solute carrier family 25 member 36</v>
      </c>
    </row>
    <row r="1067" spans="1:9" x14ac:dyDescent="0.35">
      <c r="A1067" s="1" t="str">
        <f>"219932_at"</f>
        <v>219932_at</v>
      </c>
      <c r="B1067" s="1">
        <v>3.3995240351348201E-3</v>
      </c>
      <c r="C1067" s="1">
        <v>2.28079182898467E-4</v>
      </c>
      <c r="D1067" s="1">
        <v>3.81936620434342</v>
      </c>
      <c r="E1067" s="1">
        <v>0.196110188627732</v>
      </c>
      <c r="F1067" s="1">
        <v>0.81749661270349006</v>
      </c>
      <c r="G1067" s="3" t="str">
        <f>"SLC27A6"</f>
        <v>SLC27A6</v>
      </c>
      <c r="H1067" s="1">
        <v>28965</v>
      </c>
      <c r="I1067" s="1" t="str">
        <f>"solute carrier family 27 member 6"</f>
        <v>solute carrier family 27 member 6</v>
      </c>
    </row>
    <row r="1068" spans="1:9" x14ac:dyDescent="0.35">
      <c r="A1068" s="1" t="str">
        <f>"221024_s_at"</f>
        <v>221024_s_at</v>
      </c>
      <c r="B1068" s="2">
        <v>7.3380838029236898E-6</v>
      </c>
      <c r="C1068" s="2">
        <v>1.1328370633244E-7</v>
      </c>
      <c r="D1068" s="1">
        <v>5.6999465672949299</v>
      </c>
      <c r="E1068" s="1">
        <v>7.3926443043428796</v>
      </c>
      <c r="F1068" s="1">
        <v>0.34137298197529198</v>
      </c>
      <c r="G1068" s="3" t="str">
        <f>"SLC2A10"</f>
        <v>SLC2A10</v>
      </c>
      <c r="H1068" s="1">
        <v>81031</v>
      </c>
      <c r="I1068" s="1" t="str">
        <f>"solute carrier family 2 member 10"</f>
        <v>solute carrier family 2 member 10</v>
      </c>
    </row>
    <row r="1069" spans="1:9" x14ac:dyDescent="0.35">
      <c r="A1069" s="1" t="str">
        <f>"212907_at"</f>
        <v>212907_at</v>
      </c>
      <c r="B1069" s="2">
        <v>1.6026309801122498E-5</v>
      </c>
      <c r="C1069" s="2">
        <v>2.9559813886197302E-7</v>
      </c>
      <c r="D1069" s="1">
        <v>5.4831668525646302</v>
      </c>
      <c r="E1069" s="1">
        <v>6.4768359683790999</v>
      </c>
      <c r="F1069" s="1">
        <v>0.52492171022383904</v>
      </c>
      <c r="G1069" s="3" t="str">
        <f>"SLC30A1"</f>
        <v>SLC30A1</v>
      </c>
      <c r="H1069" s="1">
        <v>7779</v>
      </c>
      <c r="I1069" s="1" t="str">
        <f>"solute carrier family 30 member 1"</f>
        <v>solute carrier family 30 member 1</v>
      </c>
    </row>
    <row r="1070" spans="1:9" x14ac:dyDescent="0.35">
      <c r="A1070" s="1" t="str">
        <f>"202614_at"</f>
        <v>202614_at</v>
      </c>
      <c r="B1070" s="1">
        <v>1.62446158492736E-2</v>
      </c>
      <c r="C1070" s="1">
        <v>1.6636096292259701E-3</v>
      </c>
      <c r="D1070" s="1">
        <v>3.2290129029452199</v>
      </c>
      <c r="E1070" s="1">
        <v>-1.6363397159647599</v>
      </c>
      <c r="F1070" s="1">
        <v>0.32286114520784898</v>
      </c>
      <c r="G1070" s="3" t="str">
        <f>"SLC30A9"</f>
        <v>SLC30A9</v>
      </c>
      <c r="H1070" s="1">
        <v>10463</v>
      </c>
      <c r="I1070" s="1" t="str">
        <f>"solute carrier family 30 member 9"</f>
        <v>solute carrier family 30 member 9</v>
      </c>
    </row>
    <row r="1071" spans="1:9" x14ac:dyDescent="0.35">
      <c r="A1071" s="1" t="str">
        <f>"218237_s_at"</f>
        <v>218237_s_at</v>
      </c>
      <c r="B1071" s="1">
        <v>4.0657172576289403E-2</v>
      </c>
      <c r="C1071" s="1">
        <v>5.6657348121540397E-3</v>
      </c>
      <c r="D1071" s="1">
        <v>-2.8253359534920301</v>
      </c>
      <c r="E1071" s="1">
        <v>-2.7447338206823799</v>
      </c>
      <c r="F1071" s="1">
        <v>-0.53863554887645104</v>
      </c>
      <c r="G1071" s="3" t="str">
        <f>"SLC38A1"</f>
        <v>SLC38A1</v>
      </c>
      <c r="H1071" s="1">
        <v>81539</v>
      </c>
      <c r="I1071" s="1" t="str">
        <f>"solute carrier family 38 member 1"</f>
        <v>solute carrier family 38 member 1</v>
      </c>
    </row>
    <row r="1072" spans="1:9" x14ac:dyDescent="0.35">
      <c r="A1072" s="1" t="str">
        <f>"218041_x_at"</f>
        <v>218041_x_at</v>
      </c>
      <c r="B1072" s="2">
        <v>2.27395590379311E-8</v>
      </c>
      <c r="C1072" s="2">
        <v>8.1639129517321905E-11</v>
      </c>
      <c r="D1072" s="1">
        <v>-7.2384684196760798</v>
      </c>
      <c r="E1072" s="1">
        <v>14.334117307236999</v>
      </c>
      <c r="F1072" s="1">
        <v>-1.0870260056046599</v>
      </c>
      <c r="G1072" s="3" t="str">
        <f>"SLC38A2"</f>
        <v>SLC38A2</v>
      </c>
      <c r="H1072" s="1">
        <v>54407</v>
      </c>
      <c r="I1072" s="1" t="str">
        <f>"solute carrier family 38 member 2"</f>
        <v>solute carrier family 38 member 2</v>
      </c>
    </row>
    <row r="1073" spans="1:9" x14ac:dyDescent="0.35">
      <c r="A1073" s="1" t="str">
        <f>"212110_at"</f>
        <v>212110_at</v>
      </c>
      <c r="B1073" s="2">
        <v>5.6692359106343801E-5</v>
      </c>
      <c r="C1073" s="2">
        <v>1.37741577051643E-6</v>
      </c>
      <c r="D1073" s="1">
        <v>-5.12604551231904</v>
      </c>
      <c r="E1073" s="1">
        <v>5.0109206284754997</v>
      </c>
      <c r="F1073" s="1">
        <v>-0.44779998540552102</v>
      </c>
      <c r="G1073" s="3" t="str">
        <f>"SLC39A14"</f>
        <v>SLC39A14</v>
      </c>
      <c r="H1073" s="1">
        <v>23516</v>
      </c>
      <c r="I1073" s="1" t="str">
        <f>"solute carrier family 39 member 14"</f>
        <v>solute carrier family 39 member 14</v>
      </c>
    </row>
    <row r="1074" spans="1:9" x14ac:dyDescent="0.35">
      <c r="A1074" s="1" t="str">
        <f>"203908_at"</f>
        <v>203908_at</v>
      </c>
      <c r="B1074" s="1">
        <v>2.6464288697608E-3</v>
      </c>
      <c r="C1074" s="1">
        <v>1.64467119196543E-4</v>
      </c>
      <c r="D1074" s="1">
        <v>3.91074153429446</v>
      </c>
      <c r="E1074" s="1">
        <v>0.50061772643334301</v>
      </c>
      <c r="F1074" s="1">
        <v>0.36340331995930197</v>
      </c>
      <c r="G1074" s="3" t="str">
        <f>"SLC4A4"</f>
        <v>SLC4A4</v>
      </c>
      <c r="H1074" s="1">
        <v>8671</v>
      </c>
      <c r="I1074" s="1" t="str">
        <f>"solute carrier family 4 member 4"</f>
        <v>solute carrier family 4 member 4</v>
      </c>
    </row>
    <row r="1075" spans="1:9" x14ac:dyDescent="0.35">
      <c r="A1075" s="1" t="str">
        <f>"222155_s_at"</f>
        <v>222155_s_at</v>
      </c>
      <c r="B1075" s="1">
        <v>3.3003226608349602E-4</v>
      </c>
      <c r="C1075" s="2">
        <v>1.17895114572752E-5</v>
      </c>
      <c r="D1075" s="1">
        <v>-4.6040537001796702</v>
      </c>
      <c r="E1075" s="1">
        <v>2.9755773626209301</v>
      </c>
      <c r="F1075" s="1">
        <v>-0.36684195869185998</v>
      </c>
      <c r="G1075" s="3" t="str">
        <f>"SLC52A2"</f>
        <v>SLC52A2</v>
      </c>
      <c r="H1075" s="1">
        <v>79581</v>
      </c>
      <c r="I1075" s="1" t="str">
        <f>"solute carrier family 52 member 2"</f>
        <v>solute carrier family 52 member 2</v>
      </c>
    </row>
    <row r="1076" spans="1:9" x14ac:dyDescent="0.35">
      <c r="A1076" s="1" t="str">
        <f>"212290_at"</f>
        <v>212290_at</v>
      </c>
      <c r="B1076" s="2">
        <v>1.2903343545661199E-7</v>
      </c>
      <c r="C1076" s="2">
        <v>7.1804272300048595E-10</v>
      </c>
      <c r="D1076" s="1">
        <v>-6.7900807663768301</v>
      </c>
      <c r="E1076" s="1">
        <v>12.244007553649</v>
      </c>
      <c r="F1076" s="1">
        <v>-0.39242972448837099</v>
      </c>
      <c r="G1076" s="3" t="str">
        <f>"SLC7A1"</f>
        <v>SLC7A1</v>
      </c>
      <c r="H1076" s="1">
        <v>6541</v>
      </c>
      <c r="I1076" s="1" t="str">
        <f>"solute carrier family 7 member 1"</f>
        <v>solute carrier family 7 member 1</v>
      </c>
    </row>
    <row r="1077" spans="1:9" x14ac:dyDescent="0.35">
      <c r="A1077" s="1" t="str">
        <f>"203578_s_at"</f>
        <v>203578_s_at</v>
      </c>
      <c r="B1077" s="2">
        <v>3.0256274084709399E-6</v>
      </c>
      <c r="C1077" s="2">
        <v>3.8290487330646902E-8</v>
      </c>
      <c r="D1077" s="1">
        <v>-5.9405432408517802</v>
      </c>
      <c r="E1077" s="1">
        <v>8.43004572932694</v>
      </c>
      <c r="F1077" s="1">
        <v>-0.326679801770348</v>
      </c>
      <c r="G1077" s="3" t="str">
        <f>"SLC7A6"</f>
        <v>SLC7A6</v>
      </c>
      <c r="H1077" s="1">
        <v>9057</v>
      </c>
      <c r="I1077" s="1" t="str">
        <f>"solute carrier family 7 member 6"</f>
        <v>solute carrier family 7 member 6</v>
      </c>
    </row>
    <row r="1078" spans="1:9" x14ac:dyDescent="0.35">
      <c r="A1078" s="1" t="str">
        <f>"204368_at"</f>
        <v>204368_at</v>
      </c>
      <c r="B1078" s="1">
        <v>4.4761374034610101E-3</v>
      </c>
      <c r="C1078" s="1">
        <v>3.2039696206176101E-4</v>
      </c>
      <c r="D1078" s="1">
        <v>-3.7228590692693402</v>
      </c>
      <c r="E1078" s="1">
        <v>-0.119633349155105</v>
      </c>
      <c r="F1078" s="1">
        <v>-0.316594361065407</v>
      </c>
      <c r="G1078" s="3" t="str">
        <f>"SLCO2A1"</f>
        <v>SLCO2A1</v>
      </c>
      <c r="H1078" s="1">
        <v>6578</v>
      </c>
      <c r="I1078" s="1" t="str">
        <f>"solute carrier organic anion transporter family member 2A1"</f>
        <v>solute carrier organic anion transporter family member 2A1</v>
      </c>
    </row>
    <row r="1079" spans="1:9" x14ac:dyDescent="0.35">
      <c r="A1079" s="1" t="str">
        <f>"219911_s_at"</f>
        <v>219911_s_at</v>
      </c>
      <c r="B1079" s="2">
        <v>1.02870107070282E-10</v>
      </c>
      <c r="C1079" s="2">
        <v>1.20029743922601E-13</v>
      </c>
      <c r="D1079" s="1">
        <v>-8.54262943841014</v>
      </c>
      <c r="E1079" s="1">
        <v>20.611896602480599</v>
      </c>
      <c r="F1079" s="1">
        <v>-0.92823020780087595</v>
      </c>
      <c r="G1079" s="3" t="str">
        <f>"SLCO4A1"</f>
        <v>SLCO4A1</v>
      </c>
      <c r="H1079" s="1">
        <v>28231</v>
      </c>
      <c r="I1079" s="1" t="str">
        <f>"solute carrier organic anion transporter family member 4A1"</f>
        <v>solute carrier organic anion transporter family member 4A1</v>
      </c>
    </row>
    <row r="1080" spans="1:9" x14ac:dyDescent="0.35">
      <c r="A1080" s="1" t="str">
        <f>"203813_s_at"</f>
        <v>203813_s_at</v>
      </c>
      <c r="B1080" s="2">
        <v>1.26788292163799E-5</v>
      </c>
      <c r="C1080" s="2">
        <v>2.20199564993E-7</v>
      </c>
      <c r="D1080" s="1">
        <v>5.5501575790567497</v>
      </c>
      <c r="E1080" s="1">
        <v>6.7578463502351704</v>
      </c>
      <c r="F1080" s="1">
        <v>0.38757908951453501</v>
      </c>
      <c r="G1080" s="3" t="str">
        <f>"SLIT3"</f>
        <v>SLIT3</v>
      </c>
      <c r="H1080" s="1">
        <v>6586</v>
      </c>
      <c r="I1080" s="1" t="str">
        <f>"slit guidance ligand 3"</f>
        <v>slit guidance ligand 3</v>
      </c>
    </row>
    <row r="1081" spans="1:9" x14ac:dyDescent="0.35">
      <c r="A1081" s="1" t="str">
        <f>"217707_x_at"</f>
        <v>217707_x_at</v>
      </c>
      <c r="B1081" s="2">
        <v>2.54645663437645E-5</v>
      </c>
      <c r="C1081" s="2">
        <v>5.15393771980335E-7</v>
      </c>
      <c r="D1081" s="1">
        <v>5.3555713796470199</v>
      </c>
      <c r="E1081" s="1">
        <v>5.94673982134087</v>
      </c>
      <c r="F1081" s="1">
        <v>0.60504263356395205</v>
      </c>
      <c r="G1081" s="3" t="str">
        <f>"SMARCA2"</f>
        <v>SMARCA2</v>
      </c>
      <c r="H1081" s="1">
        <v>6595</v>
      </c>
      <c r="I1081" s="1" t="str">
        <f>"SWI/SNF related, matrix associated, actin dependent regulator of chromatin, subfamily a, member 2"</f>
        <v>SWI/SNF related, matrix associated, actin dependent regulator of chromatin, subfamily a, member 2</v>
      </c>
    </row>
    <row r="1082" spans="1:9" x14ac:dyDescent="0.35">
      <c r="A1082" s="1" t="str">
        <f>"207390_s_at"</f>
        <v>207390_s_at</v>
      </c>
      <c r="B1082" s="1">
        <v>1.91278190481491E-2</v>
      </c>
      <c r="C1082" s="1">
        <v>2.0721875502505102E-3</v>
      </c>
      <c r="D1082" s="1">
        <v>3.1593064608673598</v>
      </c>
      <c r="E1082" s="1">
        <v>-1.83647630534769</v>
      </c>
      <c r="F1082" s="1">
        <v>0.32207421070784398</v>
      </c>
      <c r="G1082" s="3" t="str">
        <f>"SMTN"</f>
        <v>SMTN</v>
      </c>
      <c r="H1082" s="1">
        <v>6525</v>
      </c>
      <c r="I1082" s="1" t="str">
        <f>"smoothelin"</f>
        <v>smoothelin</v>
      </c>
    </row>
    <row r="1083" spans="1:9" x14ac:dyDescent="0.35">
      <c r="A1083" s="1" t="str">
        <f>"204466_s_at"</f>
        <v>204466_s_at</v>
      </c>
      <c r="B1083" s="1">
        <v>3.1563303888268901E-4</v>
      </c>
      <c r="C1083" s="2">
        <v>1.1223679954827E-5</v>
      </c>
      <c r="D1083" s="1">
        <v>4.6163807390115998</v>
      </c>
      <c r="E1083" s="1">
        <v>3.0220456395590301</v>
      </c>
      <c r="F1083" s="1">
        <v>0.541682355603197</v>
      </c>
      <c r="G1083" s="3" t="str">
        <f>"SNCA"</f>
        <v>SNCA</v>
      </c>
      <c r="H1083" s="1">
        <v>6622</v>
      </c>
      <c r="I1083" s="1" t="str">
        <f>"synuclein alpha"</f>
        <v>synuclein alpha</v>
      </c>
    </row>
    <row r="1084" spans="1:9" x14ac:dyDescent="0.35">
      <c r="A1084" s="1" t="str">
        <f>"217466_x_at"</f>
        <v>217466_x_at</v>
      </c>
      <c r="B1084" s="1">
        <v>1.09453181216623E-3</v>
      </c>
      <c r="C1084" s="2">
        <v>5.3196515396312302E-5</v>
      </c>
      <c r="D1084" s="1">
        <v>-4.2162645488394004</v>
      </c>
      <c r="E1084" s="1">
        <v>1.5565668461309199</v>
      </c>
      <c r="F1084" s="1">
        <v>-0.338914139806684</v>
      </c>
      <c r="G1084" s="3" t="str">
        <f>"SNORA64"</f>
        <v>SNORA64</v>
      </c>
      <c r="H1084" s="1">
        <v>26784</v>
      </c>
      <c r="I1084" s="1" t="str">
        <f>"small nucleolar RNA, H/ACA box 64///ribosomal protein S2"</f>
        <v>small nucleolar RNA, H/ACA box 64///ribosomal protein S2</v>
      </c>
    </row>
    <row r="1085" spans="1:9" x14ac:dyDescent="0.35">
      <c r="A1085" s="1" t="str">
        <f>"200869_at"</f>
        <v>200869_at</v>
      </c>
      <c r="B1085" s="1">
        <v>5.9838596068362698E-3</v>
      </c>
      <c r="C1085" s="1">
        <v>4.65647020520311E-4</v>
      </c>
      <c r="D1085" s="1">
        <v>-3.61476312947587</v>
      </c>
      <c r="E1085" s="1">
        <v>-0.465981580512635</v>
      </c>
      <c r="F1085" s="1">
        <v>-0.39948130229215401</v>
      </c>
      <c r="G1085" s="3" t="str">
        <f>"SNORA68"</f>
        <v>SNORA68</v>
      </c>
      <c r="H1085" s="1">
        <v>26780</v>
      </c>
      <c r="I1085" s="1" t="str">
        <f>"small nucleolar RNA, H/ACA box 68///ribosomal protein L18a"</f>
        <v>small nucleolar RNA, H/ACA box 68///ribosomal protein L18a</v>
      </c>
    </row>
    <row r="1086" spans="1:9" x14ac:dyDescent="0.35">
      <c r="A1086" s="1" t="str">
        <f>"221989_at"</f>
        <v>221989_at</v>
      </c>
      <c r="B1086" s="1">
        <v>2.0986487464804398E-3</v>
      </c>
      <c r="C1086" s="1">
        <v>1.20269912007159E-4</v>
      </c>
      <c r="D1086" s="1">
        <v>-3.99693328316165</v>
      </c>
      <c r="E1086" s="1">
        <v>0.79270190254762296</v>
      </c>
      <c r="F1086" s="1">
        <v>-0.370988315704945</v>
      </c>
      <c r="G1086" s="3" t="str">
        <f>"SNORA70"</f>
        <v>SNORA70</v>
      </c>
      <c r="H1086" s="1">
        <v>26778</v>
      </c>
      <c r="I1086" s="1" t="str">
        <f>"small nucleolar RNA, H/ACA box 70///ribosomal protein L10"</f>
        <v>small nucleolar RNA, H/ACA box 70///ribosomal protein L10</v>
      </c>
    </row>
    <row r="1087" spans="1:9" x14ac:dyDescent="0.35">
      <c r="A1087" s="1" t="str">
        <f>"214805_at"</f>
        <v>214805_at</v>
      </c>
      <c r="B1087" s="2">
        <v>1.1526729292814601E-6</v>
      </c>
      <c r="C1087" s="2">
        <v>1.12251503681765E-8</v>
      </c>
      <c r="D1087" s="1">
        <v>-6.2076242314508896</v>
      </c>
      <c r="E1087" s="1">
        <v>9.6053696785473495</v>
      </c>
      <c r="F1087" s="1">
        <v>-0.494762494565406</v>
      </c>
      <c r="G1087" s="3" t="str">
        <f>"SNORD10"</f>
        <v>SNORD10</v>
      </c>
      <c r="H1087" s="1">
        <v>652966</v>
      </c>
      <c r="I1087" s="1" t="str">
        <f>"small nucleolar RNA, C/D box 10///small nucleolar RNA, H/ACA box 48///small nucleolar RNA, H/ACA box 67///eukaryotic translation initiation factor 4A1"</f>
        <v>small nucleolar RNA, C/D box 10///small nucleolar RNA, H/ACA box 48///small nucleolar RNA, H/ACA box 67///eukaryotic translation initiation factor 4A1</v>
      </c>
    </row>
    <row r="1088" spans="1:9" x14ac:dyDescent="0.35">
      <c r="A1088" s="1" t="str">
        <f>"210338_s_at"</f>
        <v>210338_s_at</v>
      </c>
      <c r="B1088" s="1">
        <v>3.8707546626366302E-3</v>
      </c>
      <c r="C1088" s="1">
        <v>2.6768536261378799E-4</v>
      </c>
      <c r="D1088" s="1">
        <v>-3.7741003189790199</v>
      </c>
      <c r="E1088" s="1">
        <v>4.72553471787691E-2</v>
      </c>
      <c r="F1088" s="1">
        <v>-0.580099889087204</v>
      </c>
      <c r="G1088" s="3" t="str">
        <f>"SNORD14D"</f>
        <v>SNORD14D</v>
      </c>
      <c r="H1088" s="1">
        <v>85390</v>
      </c>
      <c r="I1088" s="1" t="str">
        <f>"small nucleolar RNA, C/D box 14D///small nucleolar RNA, C/D box 14C///heat shock protein family A (Hsp70) member 8"</f>
        <v>small nucleolar RNA, C/D box 14D///small nucleolar RNA, C/D box 14C///heat shock protein family A (Hsp70) member 8</v>
      </c>
    </row>
    <row r="1089" spans="1:9" x14ac:dyDescent="0.35">
      <c r="A1089" s="1" t="str">
        <f>"217850_at"</f>
        <v>217850_at</v>
      </c>
      <c r="B1089" s="2">
        <v>2.10451735626892E-6</v>
      </c>
      <c r="C1089" s="2">
        <v>2.4177913351202401E-8</v>
      </c>
      <c r="D1089" s="1">
        <v>-6.0412087110508104</v>
      </c>
      <c r="E1089" s="1">
        <v>8.8702264716597803</v>
      </c>
      <c r="F1089" s="1">
        <v>-0.69064498128052298</v>
      </c>
      <c r="G1089" s="3" t="str">
        <f>"SNORD19B"</f>
        <v>SNORD19B</v>
      </c>
      <c r="H1089" s="1">
        <v>100113381</v>
      </c>
      <c r="I1089" s="1" t="str">
        <f>"small nucleolar RNA, C/D box 19B///G protein nucleolar 3"</f>
        <v>small nucleolar RNA, C/D box 19B///G protein nucleolar 3</v>
      </c>
    </row>
    <row r="1090" spans="1:9" x14ac:dyDescent="0.35">
      <c r="A1090" s="1" t="str">
        <f>"217807_s_at"</f>
        <v>217807_s_at</v>
      </c>
      <c r="B1090" s="1">
        <v>3.6045415588381501E-2</v>
      </c>
      <c r="C1090" s="1">
        <v>4.8641818729194099E-3</v>
      </c>
      <c r="D1090" s="1">
        <v>2.8776960421578202</v>
      </c>
      <c r="E1090" s="1">
        <v>-2.60798745119099</v>
      </c>
      <c r="F1090" s="1">
        <v>0.30786988477180099</v>
      </c>
      <c r="G1090" s="3" t="str">
        <f>"SNORD23"</f>
        <v>SNORD23</v>
      </c>
      <c r="H1090" s="1">
        <v>692091</v>
      </c>
      <c r="I1090" s="1" t="str">
        <f>"small nucleolar RNA, C/D box 23///glioma tumor suppressor candidate region gene 2"</f>
        <v>small nucleolar RNA, C/D box 23///glioma tumor suppressor candidate region gene 2</v>
      </c>
    </row>
    <row r="1091" spans="1:9" x14ac:dyDescent="0.35">
      <c r="A1091" s="1" t="str">
        <f>"216977_x_at"</f>
        <v>216977_x_at</v>
      </c>
      <c r="B1091" s="1">
        <v>1.1602487179366401E-4</v>
      </c>
      <c r="C1091" s="2">
        <v>3.31157467400126E-6</v>
      </c>
      <c r="D1091" s="1">
        <v>-4.9165158269858802</v>
      </c>
      <c r="E1091" s="1">
        <v>4.1777466356907498</v>
      </c>
      <c r="F1091" s="1">
        <v>-0.31044101943314001</v>
      </c>
      <c r="G1091" s="3" t="str">
        <f>"SNRPA1"</f>
        <v>SNRPA1</v>
      </c>
      <c r="H1091" s="1">
        <v>6627</v>
      </c>
      <c r="I1091" s="1" t="str">
        <f>"small nuclear ribonucleoprotein polypeptide A'"</f>
        <v>small nuclear ribonucleoprotein polypeptide A'</v>
      </c>
    </row>
    <row r="1092" spans="1:9" x14ac:dyDescent="0.35">
      <c r="A1092" s="1" t="str">
        <f>"213175_s_at"</f>
        <v>213175_s_at</v>
      </c>
      <c r="B1092" s="2">
        <v>1.02946923979027E-8</v>
      </c>
      <c r="C1092" s="2">
        <v>2.7719855669082399E-11</v>
      </c>
      <c r="D1092" s="1">
        <v>-7.4580987601710103</v>
      </c>
      <c r="E1092" s="1">
        <v>15.3732331312791</v>
      </c>
      <c r="F1092" s="1">
        <v>-0.44023014988226999</v>
      </c>
      <c r="G1092" s="3" t="str">
        <f>"SNRPB"</f>
        <v>SNRPB</v>
      </c>
      <c r="H1092" s="1">
        <v>6628</v>
      </c>
      <c r="I1092" s="1" t="str">
        <f>"small nuclear ribonucleoprotein polypeptides B and B1"</f>
        <v>small nuclear ribonucleoprotein polypeptides B and B1</v>
      </c>
    </row>
    <row r="1093" spans="1:9" x14ac:dyDescent="0.35">
      <c r="A1093" s="1" t="str">
        <f>"202690_s_at"</f>
        <v>202690_s_at</v>
      </c>
      <c r="B1093" s="1">
        <v>1.69616328184133E-2</v>
      </c>
      <c r="C1093" s="1">
        <v>1.75530787054082E-3</v>
      </c>
      <c r="D1093" s="1">
        <v>-3.21207848488829</v>
      </c>
      <c r="E1093" s="1">
        <v>-1.68528849399491</v>
      </c>
      <c r="F1093" s="1">
        <v>-0.3655885458343</v>
      </c>
      <c r="G1093" s="3" t="str">
        <f>"SNRPD1"</f>
        <v>SNRPD1</v>
      </c>
      <c r="H1093" s="1">
        <v>6632</v>
      </c>
      <c r="I1093" s="1" t="str">
        <f>"small nuclear ribonucleoprotein D1 polypeptide"</f>
        <v>small nuclear ribonucleoprotein D1 polypeptide</v>
      </c>
    </row>
    <row r="1094" spans="1:9" x14ac:dyDescent="0.35">
      <c r="A1094" s="1" t="str">
        <f>"205644_s_at"</f>
        <v>205644_s_at</v>
      </c>
      <c r="B1094" s="1">
        <v>7.4830190943826402E-3</v>
      </c>
      <c r="C1094" s="1">
        <v>6.1756819613919503E-4</v>
      </c>
      <c r="D1094" s="1">
        <v>-3.53168356035542</v>
      </c>
      <c r="E1094" s="1">
        <v>-0.72681720445466402</v>
      </c>
      <c r="F1094" s="1">
        <v>-0.35401727966715102</v>
      </c>
      <c r="G1094" s="3" t="str">
        <f>"SNRPG"</f>
        <v>SNRPG</v>
      </c>
      <c r="H1094" s="1">
        <v>6637</v>
      </c>
      <c r="I1094" s="1" t="str">
        <f>"small nuclear ribonucleoprotein polypeptide G"</f>
        <v>small nuclear ribonucleoprotein polypeptide G</v>
      </c>
    </row>
    <row r="1095" spans="1:9" x14ac:dyDescent="0.35">
      <c r="A1095" s="1" t="str">
        <f>"213364_s_at"</f>
        <v>213364_s_at</v>
      </c>
      <c r="B1095" s="1">
        <v>2.8890140746658001E-3</v>
      </c>
      <c r="C1095" s="1">
        <v>1.8552828708650099E-4</v>
      </c>
      <c r="D1095" s="1">
        <v>3.8772307080128798</v>
      </c>
      <c r="E1095" s="1">
        <v>0.388323022603351</v>
      </c>
      <c r="F1095" s="1">
        <v>0.337724877491278</v>
      </c>
      <c r="G1095" s="3" t="str">
        <f>"SNX1"</f>
        <v>SNX1</v>
      </c>
      <c r="H1095" s="1">
        <v>6642</v>
      </c>
      <c r="I1095" s="1" t="str">
        <f>"sorting nexin 1"</f>
        <v>sorting nexin 1</v>
      </c>
    </row>
    <row r="1096" spans="1:9" x14ac:dyDescent="0.35">
      <c r="A1096" s="1" t="str">
        <f>"205236_x_at"</f>
        <v>205236_x_at</v>
      </c>
      <c r="B1096" s="2">
        <v>5.0871548921738997E-5</v>
      </c>
      <c r="C1096" s="2">
        <v>1.19399632392719E-6</v>
      </c>
      <c r="D1096" s="1">
        <v>5.1597416447633497</v>
      </c>
      <c r="E1096" s="1">
        <v>5.1468284156187201</v>
      </c>
      <c r="F1096" s="1">
        <v>0.42474611730959699</v>
      </c>
      <c r="G1096" s="3" t="str">
        <f>"SOD3"</f>
        <v>SOD3</v>
      </c>
      <c r="H1096" s="1">
        <v>6649</v>
      </c>
      <c r="I1096" s="1" t="str">
        <f>"superoxide dismutase 3, extracellular"</f>
        <v>superoxide dismutase 3, extracellular</v>
      </c>
    </row>
    <row r="1097" spans="1:9" x14ac:dyDescent="0.35">
      <c r="A1097" s="1" t="str">
        <f>"218087_s_at"</f>
        <v>218087_s_at</v>
      </c>
      <c r="B1097" s="1">
        <v>4.0784838218393099E-2</v>
      </c>
      <c r="C1097" s="1">
        <v>5.6941000627124304E-3</v>
      </c>
      <c r="D1097" s="1">
        <v>2.8236103544017799</v>
      </c>
      <c r="E1097" s="1">
        <v>-2.7492040367144699</v>
      </c>
      <c r="F1097" s="1">
        <v>0.32857579566279499</v>
      </c>
      <c r="G1097" s="3" t="str">
        <f>"SORBS1"</f>
        <v>SORBS1</v>
      </c>
      <c r="H1097" s="1">
        <v>10580</v>
      </c>
      <c r="I1097" s="1" t="str">
        <f>"sorbin and SH3 domain containing 1"</f>
        <v>sorbin and SH3 domain containing 1</v>
      </c>
    </row>
    <row r="1098" spans="1:9" x14ac:dyDescent="0.35">
      <c r="A1098" s="1" t="str">
        <f>"204288_s_at"</f>
        <v>204288_s_at</v>
      </c>
      <c r="B1098" s="2">
        <v>1.67259641854543E-5</v>
      </c>
      <c r="C1098" s="2">
        <v>3.1287072703787001E-7</v>
      </c>
      <c r="D1098" s="1">
        <v>5.4702010960646401</v>
      </c>
      <c r="E1098" s="1">
        <v>6.4226594798049499</v>
      </c>
      <c r="F1098" s="1">
        <v>0.67715918280959597</v>
      </c>
      <c r="G1098" s="3" t="str">
        <f>"SORBS2"</f>
        <v>SORBS2</v>
      </c>
      <c r="H1098" s="1">
        <v>8470</v>
      </c>
      <c r="I1098" s="1" t="str">
        <f>"sorbin and SH3 domain containing 2"</f>
        <v>sorbin and SH3 domain containing 2</v>
      </c>
    </row>
    <row r="1099" spans="1:9" x14ac:dyDescent="0.35">
      <c r="A1099" s="1" t="str">
        <f>"212797_at"</f>
        <v>212797_at</v>
      </c>
      <c r="B1099" s="1">
        <v>3.2380011009557198E-3</v>
      </c>
      <c r="C1099" s="1">
        <v>2.1417758172727E-4</v>
      </c>
      <c r="D1099" s="1">
        <v>-3.8370492949279802</v>
      </c>
      <c r="E1099" s="1">
        <v>0.25462093828272298</v>
      </c>
      <c r="F1099" s="1">
        <v>-0.32676700709447798</v>
      </c>
      <c r="G1099" s="3" t="str">
        <f>"SORT1"</f>
        <v>SORT1</v>
      </c>
      <c r="H1099" s="1">
        <v>6272</v>
      </c>
      <c r="I1099" s="1" t="str">
        <f>"sortilin 1"</f>
        <v>sortilin 1</v>
      </c>
    </row>
    <row r="1100" spans="1:9" x14ac:dyDescent="0.35">
      <c r="A1100" s="1" t="str">
        <f>"219568_x_at"</f>
        <v>219568_x_at</v>
      </c>
      <c r="B1100" s="1">
        <v>6.3039354147556403E-2</v>
      </c>
      <c r="C1100" s="1">
        <v>1.01166239030499E-2</v>
      </c>
      <c r="D1100" s="1">
        <v>-2.6198192975801202</v>
      </c>
      <c r="E1100" s="1">
        <v>-3.2605441229558099</v>
      </c>
      <c r="F1100" s="1">
        <v>-0.34873278528197599</v>
      </c>
      <c r="G1100" s="3" t="str">
        <f>"SOX18"</f>
        <v>SOX18</v>
      </c>
      <c r="H1100" s="1">
        <v>54345</v>
      </c>
      <c r="I1100" s="1" t="str">
        <f>"SRY-box 18"</f>
        <v>SRY-box 18</v>
      </c>
    </row>
    <row r="1101" spans="1:9" x14ac:dyDescent="0.35">
      <c r="A1101" s="1" t="str">
        <f>"219109_at"</f>
        <v>219109_at</v>
      </c>
      <c r="B1101" s="1">
        <v>3.6404542098653298E-4</v>
      </c>
      <c r="C1101" s="2">
        <v>1.33312867892569E-5</v>
      </c>
      <c r="D1101" s="1">
        <v>4.5731658208183896</v>
      </c>
      <c r="E1101" s="1">
        <v>2.8594985899804701</v>
      </c>
      <c r="F1101" s="1">
        <v>0.38139705345639402</v>
      </c>
      <c r="G1101" s="3" t="str">
        <f>"SPAG16"</f>
        <v>SPAG16</v>
      </c>
      <c r="H1101" s="1">
        <v>79582</v>
      </c>
      <c r="I1101" s="1" t="str">
        <f>"sperm associated antigen 16"</f>
        <v>sperm associated antigen 16</v>
      </c>
    </row>
    <row r="1102" spans="1:9" x14ac:dyDescent="0.35">
      <c r="A1102" s="1" t="str">
        <f>"212667_at"</f>
        <v>212667_at</v>
      </c>
      <c r="B1102" s="2">
        <v>2.3351052471860301E-7</v>
      </c>
      <c r="C1102" s="2">
        <v>1.6242934672792501E-9</v>
      </c>
      <c r="D1102" s="1">
        <v>6.6191707723631898</v>
      </c>
      <c r="E1102" s="1">
        <v>11.459977578858</v>
      </c>
      <c r="F1102" s="1">
        <v>0.72361533073692097</v>
      </c>
      <c r="G1102" s="3" t="str">
        <f>"SPARC"</f>
        <v>SPARC</v>
      </c>
      <c r="H1102" s="1">
        <v>6678</v>
      </c>
      <c r="I1102" s="1" t="str">
        <f>"secreted protein acidic and cysteine rich"</f>
        <v>secreted protein acidic and cysteine rich</v>
      </c>
    </row>
    <row r="1103" spans="1:9" x14ac:dyDescent="0.35">
      <c r="A1103" s="1" t="str">
        <f>"218164_at"</f>
        <v>218164_at</v>
      </c>
      <c r="B1103" s="1">
        <v>6.2574553197015795E-4</v>
      </c>
      <c r="C1103" s="2">
        <v>2.6228350170988099E-5</v>
      </c>
      <c r="D1103" s="1">
        <v>4.4008214997953896</v>
      </c>
      <c r="E1103" s="1">
        <v>2.2213614584594299</v>
      </c>
      <c r="F1103" s="1">
        <v>0.37895196121221097</v>
      </c>
      <c r="G1103" s="3" t="str">
        <f>"SPATA20"</f>
        <v>SPATA20</v>
      </c>
      <c r="H1103" s="1">
        <v>64847</v>
      </c>
      <c r="I1103" s="1" t="str">
        <f>"spermatogenesis associated 20"</f>
        <v>spermatogenesis associated 20</v>
      </c>
    </row>
    <row r="1104" spans="1:9" x14ac:dyDescent="0.35">
      <c r="A1104" s="1" t="str">
        <f>"218817_at"</f>
        <v>218817_at</v>
      </c>
      <c r="B1104" s="2">
        <v>2.9185397236921901E-6</v>
      </c>
      <c r="C1104" s="2">
        <v>3.6804275113651898E-8</v>
      </c>
      <c r="D1104" s="1">
        <v>-5.9492403225733597</v>
      </c>
      <c r="E1104" s="1">
        <v>8.4679370002610792</v>
      </c>
      <c r="F1104" s="1">
        <v>-0.438728912555232</v>
      </c>
      <c r="G1104" s="3" t="str">
        <f>"SPCS3"</f>
        <v>SPCS3</v>
      </c>
      <c r="H1104" s="1">
        <v>60559</v>
      </c>
      <c r="I1104" s="1" t="str">
        <f>"signal peptidase complex subunit 3"</f>
        <v>signal peptidase complex subunit 3</v>
      </c>
    </row>
    <row r="1105" spans="1:9" x14ac:dyDescent="0.35">
      <c r="A1105" s="1" t="str">
        <f>"203513_at"</f>
        <v>203513_at</v>
      </c>
      <c r="B1105" s="1">
        <v>5.0379670996093199E-4</v>
      </c>
      <c r="C1105" s="2">
        <v>1.9815187502346399E-5</v>
      </c>
      <c r="D1105" s="1">
        <v>4.4727093612566096</v>
      </c>
      <c r="E1105" s="1">
        <v>2.4855491051495702</v>
      </c>
      <c r="F1105" s="1">
        <v>0.33274485467732401</v>
      </c>
      <c r="G1105" s="3" t="str">
        <f>"SPG11"</f>
        <v>SPG11</v>
      </c>
      <c r="H1105" s="1">
        <v>80208</v>
      </c>
      <c r="I1105" s="1" t="str">
        <f>"spastic paraplegia 11 (autosomal recessive)"</f>
        <v>spastic paraplegia 11 (autosomal recessive)</v>
      </c>
    </row>
    <row r="1106" spans="1:9" x14ac:dyDescent="0.35">
      <c r="A1106" s="1" t="str">
        <f>"203582_s_at"</f>
        <v>203582_s_at</v>
      </c>
      <c r="B1106" s="1">
        <v>3.8213047395714902E-3</v>
      </c>
      <c r="C1106" s="1">
        <v>2.63408162275358E-4</v>
      </c>
      <c r="D1106" s="1">
        <v>-3.7786698897642901</v>
      </c>
      <c r="E1106" s="1">
        <v>6.2221658246687503E-2</v>
      </c>
      <c r="F1106" s="1">
        <v>-0.44854455988953701</v>
      </c>
      <c r="G1106" s="3" t="str">
        <f>"SPHAR"</f>
        <v>SPHAR</v>
      </c>
      <c r="H1106" s="1">
        <v>10638</v>
      </c>
      <c r="I1106" s="1" t="str">
        <f>"S-phase response (cyclin related)///RAB4A, member RAS oncogene family"</f>
        <v>S-phase response (cyclin related)///RAB4A, member RAS oncogene family</v>
      </c>
    </row>
    <row r="1107" spans="1:9" x14ac:dyDescent="0.35">
      <c r="A1107" s="1" t="str">
        <f>"202363_at"</f>
        <v>202363_at</v>
      </c>
      <c r="B1107" s="1">
        <v>2.1334064883884798E-2</v>
      </c>
      <c r="C1107" s="1">
        <v>2.3964082217099898E-3</v>
      </c>
      <c r="D1107" s="1">
        <v>3.11258134296809</v>
      </c>
      <c r="E1107" s="1">
        <v>-1.96862275929986</v>
      </c>
      <c r="F1107" s="1">
        <v>0.41084568321657</v>
      </c>
      <c r="G1107" s="3" t="str">
        <f>"SPOCK1"</f>
        <v>SPOCK1</v>
      </c>
      <c r="H1107" s="1">
        <v>6695</v>
      </c>
      <c r="I1107" s="1" t="str">
        <f>"sparc/osteonectin, cwcv and kazal-like domains proteoglycan (testican) 1"</f>
        <v>sparc/osteonectin, cwcv and kazal-like domains proteoglycan (testican) 1</v>
      </c>
    </row>
    <row r="1108" spans="1:9" x14ac:dyDescent="0.35">
      <c r="A1108" s="1" t="str">
        <f>"209875_s_at"</f>
        <v>209875_s_at</v>
      </c>
      <c r="B1108" s="1">
        <v>0.10036989765160299</v>
      </c>
      <c r="C1108" s="1">
        <v>1.9376464992522401E-2</v>
      </c>
      <c r="D1108" s="1">
        <v>-2.3751865474670701</v>
      </c>
      <c r="E1108" s="1">
        <v>-3.8298935811354999</v>
      </c>
      <c r="F1108" s="1">
        <v>-0.60429365066569896</v>
      </c>
      <c r="G1108" s="3" t="str">
        <f>"SPP1"</f>
        <v>SPP1</v>
      </c>
      <c r="H1108" s="1">
        <v>6696</v>
      </c>
      <c r="I1108" s="1" t="str">
        <f>"secreted phosphoprotein 1"</f>
        <v>secreted phosphoprotein 1</v>
      </c>
    </row>
    <row r="1109" spans="1:9" x14ac:dyDescent="0.35">
      <c r="A1109" s="1" t="str">
        <f>"215235_at"</f>
        <v>215235_at</v>
      </c>
      <c r="B1109" s="2">
        <v>3.5637292493068999E-11</v>
      </c>
      <c r="C1109" s="2">
        <v>3.0386777245806701E-14</v>
      </c>
      <c r="D1109" s="1">
        <v>8.8123911471542797</v>
      </c>
      <c r="E1109" s="1">
        <v>21.934337250888699</v>
      </c>
      <c r="F1109" s="1">
        <v>0.74709061543458999</v>
      </c>
      <c r="G1109" s="3" t="str">
        <f>"SPTAN1"</f>
        <v>SPTAN1</v>
      </c>
      <c r="H1109" s="1">
        <v>6709</v>
      </c>
      <c r="I1109" s="1" t="str">
        <f>"spectrin alpha, non-erythrocytic 1"</f>
        <v>spectrin alpha, non-erythrocytic 1</v>
      </c>
    </row>
    <row r="1110" spans="1:9" x14ac:dyDescent="0.35">
      <c r="A1110" s="1" t="str">
        <f>"215918_s_at"</f>
        <v>215918_s_at</v>
      </c>
      <c r="B1110" s="2">
        <v>6.9216273421077199E-6</v>
      </c>
      <c r="C1110" s="2">
        <v>1.0592267305384099E-7</v>
      </c>
      <c r="D1110" s="1">
        <v>5.7149838233969001</v>
      </c>
      <c r="E1110" s="1">
        <v>7.4568524221259302</v>
      </c>
      <c r="F1110" s="1">
        <v>0.57709242251889503</v>
      </c>
      <c r="G1110" s="3" t="str">
        <f>"SPTBN1"</f>
        <v>SPTBN1</v>
      </c>
      <c r="H1110" s="1">
        <v>6711</v>
      </c>
      <c r="I1110" s="1" t="str">
        <f>"spectrin beta, non-erythrocytic 1"</f>
        <v>spectrin beta, non-erythrocytic 1</v>
      </c>
    </row>
    <row r="1111" spans="1:9" x14ac:dyDescent="0.35">
      <c r="A1111" s="1" t="str">
        <f>"201859_at"</f>
        <v>201859_at</v>
      </c>
      <c r="B1111" s="1">
        <v>1.0713035741112899E-2</v>
      </c>
      <c r="C1111" s="1">
        <v>9.826973502147251E-4</v>
      </c>
      <c r="D1111" s="1">
        <v>-3.3920821629508202</v>
      </c>
      <c r="E1111" s="1">
        <v>-1.1543792135214399</v>
      </c>
      <c r="F1111" s="1">
        <v>-0.57762772730523404</v>
      </c>
      <c r="G1111" s="3" t="str">
        <f>"SRGN"</f>
        <v>SRGN</v>
      </c>
      <c r="H1111" s="1">
        <v>5552</v>
      </c>
      <c r="I1111" s="1" t="str">
        <f>"serglycin"</f>
        <v>serglycin</v>
      </c>
    </row>
    <row r="1112" spans="1:9" x14ac:dyDescent="0.35">
      <c r="A1112" s="1" t="str">
        <f>"205335_s_at"</f>
        <v>205335_s_at</v>
      </c>
      <c r="B1112" s="1">
        <v>7.0386445941295599E-3</v>
      </c>
      <c r="C1112" s="1">
        <v>5.73945035566729E-4</v>
      </c>
      <c r="D1112" s="1">
        <v>-3.5533618622021499</v>
      </c>
      <c r="E1112" s="1">
        <v>-0.65921062843107503</v>
      </c>
      <c r="F1112" s="1">
        <v>-0.339066248824127</v>
      </c>
      <c r="G1112" s="3" t="str">
        <f>"SRP19"</f>
        <v>SRP19</v>
      </c>
      <c r="H1112" s="1">
        <v>6728</v>
      </c>
      <c r="I1112" s="1" t="str">
        <f>"signal recognition particle 19"</f>
        <v>signal recognition particle 19</v>
      </c>
    </row>
    <row r="1113" spans="1:9" x14ac:dyDescent="0.35">
      <c r="A1113" s="1" t="str">
        <f>"208095_s_at"</f>
        <v>208095_s_at</v>
      </c>
      <c r="B1113" s="1">
        <v>1.7119138068126399E-2</v>
      </c>
      <c r="C1113" s="1">
        <v>1.78005847075568E-3</v>
      </c>
      <c r="D1113" s="1">
        <v>-3.2076491494270698</v>
      </c>
      <c r="E1113" s="1">
        <v>-1.69805684304666</v>
      </c>
      <c r="F1113" s="1">
        <v>-0.34896793629360501</v>
      </c>
      <c r="G1113" s="3" t="str">
        <f>"SRP72"</f>
        <v>SRP72</v>
      </c>
      <c r="H1113" s="1">
        <v>6731</v>
      </c>
      <c r="I1113" s="1" t="str">
        <f>"signal recognition particle 72"</f>
        <v>signal recognition particle 72</v>
      </c>
    </row>
    <row r="1114" spans="1:9" x14ac:dyDescent="0.35">
      <c r="A1114" s="1" t="str">
        <f>"203182_s_at"</f>
        <v>203182_s_at</v>
      </c>
      <c r="B1114" s="1">
        <v>2.1615881164695999E-3</v>
      </c>
      <c r="C1114" s="1">
        <v>1.25137937900901E-4</v>
      </c>
      <c r="D1114" s="1">
        <v>-3.9860720829394398</v>
      </c>
      <c r="E1114" s="1">
        <v>0.755639715774162</v>
      </c>
      <c r="F1114" s="1">
        <v>-0.46320351556831701</v>
      </c>
      <c r="G1114" s="3" t="str">
        <f>"SRPK2"</f>
        <v>SRPK2</v>
      </c>
      <c r="H1114" s="1">
        <v>6733</v>
      </c>
      <c r="I1114" s="1" t="str">
        <f>"SRSF protein kinase 2"</f>
        <v>SRSF protein kinase 2</v>
      </c>
    </row>
    <row r="1115" spans="1:9" x14ac:dyDescent="0.35">
      <c r="A1115" s="1" t="str">
        <f>"200917_s_at"</f>
        <v>200917_s_at</v>
      </c>
      <c r="B1115" s="1">
        <v>1.40757737802062E-2</v>
      </c>
      <c r="C1115" s="1">
        <v>1.39033245479665E-3</v>
      </c>
      <c r="D1115" s="1">
        <v>-3.2852150739613402</v>
      </c>
      <c r="E1115" s="1">
        <v>-1.4723919942854999</v>
      </c>
      <c r="F1115" s="1">
        <v>-0.37959480034447701</v>
      </c>
      <c r="G1115" s="3" t="str">
        <f>"SRPRA"</f>
        <v>SRPRA</v>
      </c>
      <c r="H1115" s="1">
        <v>6734</v>
      </c>
      <c r="I1115" s="1" t="str">
        <f>"SRP receptor alpha subunit"</f>
        <v>SRP receptor alpha subunit</v>
      </c>
    </row>
    <row r="1116" spans="1:9" x14ac:dyDescent="0.35">
      <c r="A1116" s="1" t="str">
        <f>"204955_at"</f>
        <v>204955_at</v>
      </c>
      <c r="B1116" s="2">
        <v>8.7402187764191403E-5</v>
      </c>
      <c r="C1116" s="2">
        <v>2.3259658638498199E-6</v>
      </c>
      <c r="D1116" s="1">
        <v>-5.0014748750013096</v>
      </c>
      <c r="E1116" s="1">
        <v>4.5130614548840802</v>
      </c>
      <c r="F1116" s="1">
        <v>-0.481530159604658</v>
      </c>
      <c r="G1116" s="3" t="str">
        <f>"SRPX"</f>
        <v>SRPX</v>
      </c>
      <c r="H1116" s="1">
        <v>8406</v>
      </c>
      <c r="I1116" s="1" t="str">
        <f>"sushi repeat containing protein, X-linked"</f>
        <v>sushi repeat containing protein, X-linked</v>
      </c>
    </row>
    <row r="1117" spans="1:9" x14ac:dyDescent="0.35">
      <c r="A1117" s="1" t="str">
        <f>"201742_x_at"</f>
        <v>201742_x_at</v>
      </c>
      <c r="B1117" s="1">
        <v>1.87901210748708E-2</v>
      </c>
      <c r="C1117" s="1">
        <v>2.0237979885872502E-3</v>
      </c>
      <c r="D1117" s="1">
        <v>-3.1668567029877299</v>
      </c>
      <c r="E1117" s="1">
        <v>-1.8149711534681301</v>
      </c>
      <c r="F1117" s="1">
        <v>-0.49430764861773202</v>
      </c>
      <c r="G1117" s="3" t="str">
        <f>"SRSF1"</f>
        <v>SRSF1</v>
      </c>
      <c r="H1117" s="1">
        <v>6426</v>
      </c>
      <c r="I1117" s="1" t="str">
        <f>"serine and arginine rich splicing factor 1"</f>
        <v>serine and arginine rich splicing factor 1</v>
      </c>
    </row>
    <row r="1118" spans="1:9" x14ac:dyDescent="0.35">
      <c r="A1118" s="1" t="str">
        <f>"210178_x_at"</f>
        <v>210178_x_at</v>
      </c>
      <c r="B1118" s="1">
        <v>1.6810399375901501E-2</v>
      </c>
      <c r="C1118" s="1">
        <v>1.7358851574720299E-3</v>
      </c>
      <c r="D1118" s="1">
        <v>-3.2155953300978499</v>
      </c>
      <c r="E1118" s="1">
        <v>-1.6751403329327601</v>
      </c>
      <c r="F1118" s="1">
        <v>-0.39915142517732799</v>
      </c>
      <c r="G1118" s="3" t="str">
        <f>"SRSF10"</f>
        <v>SRSF10</v>
      </c>
      <c r="H1118" s="1">
        <v>10772</v>
      </c>
      <c r="I1118" s="1" t="str">
        <f>"serine and arginine rich splicing factor 10"</f>
        <v>serine and arginine rich splicing factor 10</v>
      </c>
    </row>
    <row r="1119" spans="1:9" x14ac:dyDescent="0.35">
      <c r="A1119" s="1" t="str">
        <f>"202899_s_at"</f>
        <v>202899_s_at</v>
      </c>
      <c r="B1119" s="1">
        <v>1.3433878896408101E-4</v>
      </c>
      <c r="C1119" s="2">
        <v>3.9247207115566304E-6</v>
      </c>
      <c r="D1119" s="1">
        <v>-4.8753754865932901</v>
      </c>
      <c r="E1119" s="1">
        <v>4.0166386425070799</v>
      </c>
      <c r="F1119" s="1">
        <v>-0.48490545407848801</v>
      </c>
      <c r="G1119" s="3" t="str">
        <f>"SRSF3"</f>
        <v>SRSF3</v>
      </c>
      <c r="H1119" s="1">
        <v>6428</v>
      </c>
      <c r="I1119" s="1" t="str">
        <f>"serine and arginine rich splicing factor 3"</f>
        <v>serine and arginine rich splicing factor 3</v>
      </c>
    </row>
    <row r="1120" spans="1:9" x14ac:dyDescent="0.35">
      <c r="A1120" s="1" t="str">
        <f>"218283_at"</f>
        <v>218283_at</v>
      </c>
      <c r="B1120" s="2">
        <v>4.9848915529072999E-7</v>
      </c>
      <c r="C1120" s="2">
        <v>3.9596365160193496E-9</v>
      </c>
      <c r="D1120" s="1">
        <v>-6.4307370475872103</v>
      </c>
      <c r="E1120" s="1">
        <v>10.604674793580299</v>
      </c>
      <c r="F1120" s="1">
        <v>-0.36133248098982601</v>
      </c>
      <c r="G1120" s="3" t="str">
        <f>"SS18L2"</f>
        <v>SS18L2</v>
      </c>
      <c r="H1120" s="1">
        <v>51188</v>
      </c>
      <c r="I1120" s="1" t="str">
        <f>"SS18 like 2"</f>
        <v>SS18 like 2</v>
      </c>
    </row>
    <row r="1121" spans="1:9" x14ac:dyDescent="0.35">
      <c r="A1121" s="1" t="str">
        <f>"200889_s_at"</f>
        <v>200889_s_at</v>
      </c>
      <c r="B1121" s="1">
        <v>1.85178966746489E-4</v>
      </c>
      <c r="C1121" s="2">
        <v>5.8006066862203902E-6</v>
      </c>
      <c r="D1121" s="1">
        <v>-4.7800151485367701</v>
      </c>
      <c r="E1121" s="1">
        <v>3.6464412526070098</v>
      </c>
      <c r="F1121" s="1">
        <v>-0.41860660364244401</v>
      </c>
      <c r="G1121" s="3" t="str">
        <f>"SSR1"</f>
        <v>SSR1</v>
      </c>
      <c r="H1121" s="1">
        <v>6745</v>
      </c>
      <c r="I1121" s="1" t="str">
        <f>"signal sequence receptor subunit 1"</f>
        <v>signal sequence receptor subunit 1</v>
      </c>
    </row>
    <row r="1122" spans="1:9" x14ac:dyDescent="0.35">
      <c r="A1122" s="1" t="str">
        <f>"217790_s_at"</f>
        <v>217790_s_at</v>
      </c>
      <c r="B1122" s="1">
        <v>8.8925774425305899E-4</v>
      </c>
      <c r="C1122" s="2">
        <v>4.0625785740233103E-5</v>
      </c>
      <c r="D1122" s="1">
        <v>-4.2871962936088499</v>
      </c>
      <c r="E1122" s="1">
        <v>1.80974425336181</v>
      </c>
      <c r="F1122" s="1">
        <v>-0.33592018147238401</v>
      </c>
      <c r="G1122" s="3" t="str">
        <f>"SSR3"</f>
        <v>SSR3</v>
      </c>
      <c r="H1122" s="1">
        <v>6747</v>
      </c>
      <c r="I1122" s="1" t="str">
        <f>"signal sequence receptor subunit 3"</f>
        <v>signal sequence receptor subunit 3</v>
      </c>
    </row>
    <row r="1123" spans="1:9" x14ac:dyDescent="0.35">
      <c r="A1123" s="1" t="str">
        <f>"200956_s_at"</f>
        <v>200956_s_at</v>
      </c>
      <c r="B1123" s="1">
        <v>4.8100950218574803E-4</v>
      </c>
      <c r="C1123" s="2">
        <v>1.85858807782583E-5</v>
      </c>
      <c r="D1123" s="1">
        <v>-4.4890329067971999</v>
      </c>
      <c r="E1123" s="1">
        <v>2.5459378966354702</v>
      </c>
      <c r="F1123" s="1">
        <v>-0.37963852234593198</v>
      </c>
      <c r="G1123" s="3" t="str">
        <f>"SSRP1"</f>
        <v>SSRP1</v>
      </c>
      <c r="H1123" s="1">
        <v>6749</v>
      </c>
      <c r="I1123" s="1" t="str">
        <f>"structure specific recognition protein 1"</f>
        <v>structure specific recognition protein 1</v>
      </c>
    </row>
    <row r="1124" spans="1:9" x14ac:dyDescent="0.35">
      <c r="A1124" s="1" t="str">
        <f>"200887_s_at"</f>
        <v>200887_s_at</v>
      </c>
      <c r="B1124" s="1">
        <v>3.9996864351137099E-2</v>
      </c>
      <c r="C1124" s="1">
        <v>5.5553693473396398E-3</v>
      </c>
      <c r="D1124" s="1">
        <v>2.8321261386334502</v>
      </c>
      <c r="E1124" s="1">
        <v>-2.72712100371632</v>
      </c>
      <c r="F1124" s="1">
        <v>0.33761539953633601</v>
      </c>
      <c r="G1124" s="3" t="str">
        <f>"STAT1"</f>
        <v>STAT1</v>
      </c>
      <c r="H1124" s="1">
        <v>6772</v>
      </c>
      <c r="I1124" s="1" t="str">
        <f>"signal transducer and activator of transcription 1"</f>
        <v>signal transducer and activator of transcription 1</v>
      </c>
    </row>
    <row r="1125" spans="1:9" x14ac:dyDescent="0.35">
      <c r="A1125" s="1" t="str">
        <f>"208991_at"</f>
        <v>208991_at</v>
      </c>
      <c r="B1125" s="2">
        <v>3.8532126974170998E-6</v>
      </c>
      <c r="C1125" s="2">
        <v>5.3551680900242299E-8</v>
      </c>
      <c r="D1125" s="1">
        <v>-5.8666187668390801</v>
      </c>
      <c r="E1125" s="1">
        <v>8.1090535533340908</v>
      </c>
      <c r="F1125" s="1">
        <v>-0.65419294389534799</v>
      </c>
      <c r="G1125" s="3" t="str">
        <f>"STAT3"</f>
        <v>STAT3</v>
      </c>
      <c r="H1125" s="1">
        <v>6774</v>
      </c>
      <c r="I1125" s="1" t="str">
        <f>"signal transducer and activator of transcription 3"</f>
        <v>signal transducer and activator of transcription 3</v>
      </c>
    </row>
    <row r="1126" spans="1:9" x14ac:dyDescent="0.35">
      <c r="A1126" s="1" t="str">
        <f>"206118_at"</f>
        <v>206118_at</v>
      </c>
      <c r="B1126" s="1">
        <v>2.49592053913304E-2</v>
      </c>
      <c r="C1126" s="1">
        <v>2.9434762730529899E-3</v>
      </c>
      <c r="D1126" s="1">
        <v>3.0456519775919202</v>
      </c>
      <c r="E1126" s="1">
        <v>-2.1550716254765399</v>
      </c>
      <c r="F1126" s="1">
        <v>0.393209791068312</v>
      </c>
      <c r="G1126" s="3" t="str">
        <f>"STAT4"</f>
        <v>STAT4</v>
      </c>
      <c r="H1126" s="1">
        <v>6775</v>
      </c>
      <c r="I1126" s="1" t="str">
        <f>"signal transducer and activator of transcription 4"</f>
        <v>signal transducer and activator of transcription 4</v>
      </c>
    </row>
    <row r="1127" spans="1:9" x14ac:dyDescent="0.35">
      <c r="A1127" s="1" t="str">
        <f>"204595_s_at"</f>
        <v>204595_s_at</v>
      </c>
      <c r="B1127" s="1">
        <v>3.17465894602106E-3</v>
      </c>
      <c r="C1127" s="1">
        <v>2.0829113580230599E-4</v>
      </c>
      <c r="D1127" s="1">
        <v>-3.8448687148641398</v>
      </c>
      <c r="E1127" s="1">
        <v>0.28055853161794198</v>
      </c>
      <c r="F1127" s="1">
        <v>-0.37089661889970299</v>
      </c>
      <c r="G1127" s="3" t="str">
        <f>"STC1"</f>
        <v>STC1</v>
      </c>
      <c r="H1127" s="1">
        <v>6781</v>
      </c>
      <c r="I1127" s="1" t="str">
        <f>"stanniocalcin 1"</f>
        <v>stanniocalcin 1</v>
      </c>
    </row>
    <row r="1128" spans="1:9" x14ac:dyDescent="0.35">
      <c r="A1128" s="1" t="str">
        <f>"213330_s_at"</f>
        <v>213330_s_at</v>
      </c>
      <c r="B1128" s="2">
        <v>2.7960906169101602E-5</v>
      </c>
      <c r="C1128" s="2">
        <v>5.8348612703102202E-7</v>
      </c>
      <c r="D1128" s="1">
        <v>-5.3268815377709098</v>
      </c>
      <c r="E1128" s="1">
        <v>5.8284979844636302</v>
      </c>
      <c r="F1128" s="1">
        <v>-0.494682128767442</v>
      </c>
      <c r="G1128" s="3" t="str">
        <f>"STIP1"</f>
        <v>STIP1</v>
      </c>
      <c r="H1128" s="1">
        <v>10963</v>
      </c>
      <c r="I1128" s="1" t="str">
        <f>"stress induced phosphoprotein 1"</f>
        <v>stress induced phosphoprotein 1</v>
      </c>
    </row>
    <row r="1129" spans="1:9" x14ac:dyDescent="0.35">
      <c r="A1129" s="1" t="str">
        <f>"202693_s_at"</f>
        <v>202693_s_at</v>
      </c>
      <c r="B1129" s="1">
        <v>3.7041318402401102E-2</v>
      </c>
      <c r="C1129" s="1">
        <v>5.0334834682255703E-3</v>
      </c>
      <c r="D1129" s="1">
        <v>-2.8660096846580401</v>
      </c>
      <c r="E1129" s="1">
        <v>-2.6386933616406298</v>
      </c>
      <c r="F1129" s="1">
        <v>-0.42010503898982599</v>
      </c>
      <c r="G1129" s="3" t="str">
        <f>"STK17A"</f>
        <v>STK17A</v>
      </c>
      <c r="H1129" s="1">
        <v>9263</v>
      </c>
      <c r="I1129" s="1" t="str">
        <f>"serine/threonine kinase 17a"</f>
        <v>serine/threonine kinase 17a</v>
      </c>
    </row>
    <row r="1130" spans="1:9" x14ac:dyDescent="0.35">
      <c r="A1130" s="1" t="str">
        <f>"212565_at"</f>
        <v>212565_at</v>
      </c>
      <c r="B1130" s="1">
        <v>5.6731584539167202E-4</v>
      </c>
      <c r="C1130" s="2">
        <v>2.3137758911987498E-5</v>
      </c>
      <c r="D1130" s="1">
        <v>4.4330519606508698</v>
      </c>
      <c r="E1130" s="1">
        <v>2.3394516704092201</v>
      </c>
      <c r="F1130" s="1">
        <v>0.47988032284883703</v>
      </c>
      <c r="G1130" s="3" t="str">
        <f>"STK38L"</f>
        <v>STK38L</v>
      </c>
      <c r="H1130" s="1">
        <v>23012</v>
      </c>
      <c r="I1130" s="1" t="str">
        <f>"serine/threonine kinase 38 like"</f>
        <v>serine/threonine kinase 38 like</v>
      </c>
    </row>
    <row r="1131" spans="1:9" x14ac:dyDescent="0.35">
      <c r="A1131" s="1" t="str">
        <f>"212112_s_at"</f>
        <v>212112_s_at</v>
      </c>
      <c r="B1131" s="1">
        <v>1.3308948853392999E-3</v>
      </c>
      <c r="C1131" s="2">
        <v>6.7941309583327702E-5</v>
      </c>
      <c r="D1131" s="1">
        <v>-4.1512492706795996</v>
      </c>
      <c r="E1131" s="1">
        <v>1.3271116749844301</v>
      </c>
      <c r="F1131" s="1">
        <v>-0.314420555388084</v>
      </c>
      <c r="G1131" s="3" t="str">
        <f>"STX12"</f>
        <v>STX12</v>
      </c>
      <c r="H1131" s="1">
        <v>23673</v>
      </c>
      <c r="I1131" s="1" t="str">
        <f>"syntaxin 12"</f>
        <v>syntaxin 12</v>
      </c>
    </row>
    <row r="1132" spans="1:9" x14ac:dyDescent="0.35">
      <c r="A1132" s="1" t="str">
        <f>"212631_at"</f>
        <v>212631_at</v>
      </c>
      <c r="B1132" s="2">
        <v>7.4299971340794095E-5</v>
      </c>
      <c r="C1132" s="2">
        <v>1.9039305136468801E-6</v>
      </c>
      <c r="D1132" s="1">
        <v>5.0492741402905903</v>
      </c>
      <c r="E1132" s="1">
        <v>4.70323492060652</v>
      </c>
      <c r="F1132" s="1">
        <v>0.35480846112935799</v>
      </c>
      <c r="G1132" s="3" t="str">
        <f>"STX7"</f>
        <v>STX7</v>
      </c>
      <c r="H1132" s="1">
        <v>8417</v>
      </c>
      <c r="I1132" s="1" t="str">
        <f>"syntaxin 7"</f>
        <v>syntaxin 7</v>
      </c>
    </row>
    <row r="1133" spans="1:9" x14ac:dyDescent="0.35">
      <c r="A1133" s="1" t="str">
        <f>"202930_s_at"</f>
        <v>202930_s_at</v>
      </c>
      <c r="B1133" s="1">
        <v>5.6901016987314802E-3</v>
      </c>
      <c r="C1133" s="1">
        <v>4.36914419356889E-4</v>
      </c>
      <c r="D1133" s="1">
        <v>3.6333277295436899</v>
      </c>
      <c r="E1133" s="1">
        <v>-0.40705581500748</v>
      </c>
      <c r="F1133" s="1">
        <v>0.38879651472819998</v>
      </c>
      <c r="G1133" s="3" t="str">
        <f>"SUCLA2"</f>
        <v>SUCLA2</v>
      </c>
      <c r="H1133" s="1">
        <v>8803</v>
      </c>
      <c r="I1133" s="1" t="str">
        <f>"succinate-CoA ligase ADP-forming beta subunit"</f>
        <v>succinate-CoA ligase ADP-forming beta subunit</v>
      </c>
    </row>
    <row r="1134" spans="1:9" x14ac:dyDescent="0.35">
      <c r="A1134" s="1" t="str">
        <f>"214835_s_at"</f>
        <v>214835_s_at</v>
      </c>
      <c r="B1134" s="1">
        <v>1.72611904853558E-2</v>
      </c>
      <c r="C1134" s="1">
        <v>1.8041247875238301E-3</v>
      </c>
      <c r="D1134" s="1">
        <v>3.20339700358122</v>
      </c>
      <c r="E1134" s="1">
        <v>-1.71030089065047</v>
      </c>
      <c r="F1134" s="1">
        <v>0.35151696136772997</v>
      </c>
      <c r="G1134" s="3" t="str">
        <f>"SUCLG2"</f>
        <v>SUCLG2</v>
      </c>
      <c r="H1134" s="1">
        <v>8801</v>
      </c>
      <c r="I1134" s="1" t="str">
        <f>"succinate-CoA ligase GDP-forming beta subunit"</f>
        <v>succinate-CoA ligase GDP-forming beta subunit</v>
      </c>
    </row>
    <row r="1135" spans="1:9" x14ac:dyDescent="0.35">
      <c r="A1135" s="1" t="str">
        <f>"212354_at"</f>
        <v>212354_at</v>
      </c>
      <c r="B1135" s="2">
        <v>1.7678475761688701E-5</v>
      </c>
      <c r="C1135" s="2">
        <v>3.3797202685811499E-7</v>
      </c>
      <c r="D1135" s="1">
        <v>5.4525569748351304</v>
      </c>
      <c r="E1135" s="1">
        <v>6.3490463106007002</v>
      </c>
      <c r="F1135" s="1">
        <v>0.55407327273546503</v>
      </c>
      <c r="G1135" s="3" t="str">
        <f>"SULF1"</f>
        <v>SULF1</v>
      </c>
      <c r="H1135" s="1">
        <v>23213</v>
      </c>
      <c r="I1135" s="1" t="str">
        <f>"sulfatase 1"</f>
        <v>sulfatase 1</v>
      </c>
    </row>
    <row r="1136" spans="1:9" x14ac:dyDescent="0.35">
      <c r="A1136" s="1" t="str">
        <f>"200739_s_at"</f>
        <v>200739_s_at</v>
      </c>
      <c r="B1136" s="1">
        <v>7.7928197989976002E-3</v>
      </c>
      <c r="C1136" s="1">
        <v>6.5187883612312196E-4</v>
      </c>
      <c r="D1136" s="1">
        <v>-3.5156259017465401</v>
      </c>
      <c r="E1136" s="1">
        <v>-0.77668682849695603</v>
      </c>
      <c r="F1136" s="1">
        <v>-0.33462700529941702</v>
      </c>
      <c r="G1136" s="3" t="str">
        <f>"SUMO3"</f>
        <v>SUMO3</v>
      </c>
      <c r="H1136" s="1">
        <v>6612</v>
      </c>
      <c r="I1136" s="1" t="str">
        <f>"small ubiquitin-like modifier 3"</f>
        <v>small ubiquitin-like modifier 3</v>
      </c>
    </row>
    <row r="1137" spans="1:9" x14ac:dyDescent="0.35">
      <c r="A1137" s="1" t="str">
        <f>"212074_at"</f>
        <v>212074_at</v>
      </c>
      <c r="B1137" s="1">
        <v>4.6450069744381199E-2</v>
      </c>
      <c r="C1137" s="1">
        <v>6.76853998384445E-3</v>
      </c>
      <c r="D1137" s="1">
        <v>2.7634232332668498</v>
      </c>
      <c r="E1137" s="1">
        <v>-2.90365614776778</v>
      </c>
      <c r="F1137" s="1">
        <v>0.33603984679651</v>
      </c>
      <c r="G1137" s="3" t="str">
        <f>"SUN1"</f>
        <v>SUN1</v>
      </c>
      <c r="H1137" s="1">
        <v>23353</v>
      </c>
      <c r="I1137" s="1" t="str">
        <f>"Sad1 and UNC84 domain containing 1"</f>
        <v>Sad1 and UNC84 domain containing 1</v>
      </c>
    </row>
    <row r="1138" spans="1:9" x14ac:dyDescent="0.35">
      <c r="A1138" s="1" t="str">
        <f>"213247_at"</f>
        <v>213247_at</v>
      </c>
      <c r="B1138" s="2">
        <v>7.9705344799387992E-6</v>
      </c>
      <c r="C1138" s="2">
        <v>1.24120426537664E-7</v>
      </c>
      <c r="D1138" s="1">
        <v>5.6794695022035198</v>
      </c>
      <c r="E1138" s="1">
        <v>7.3053476141078502</v>
      </c>
      <c r="F1138" s="1">
        <v>0.41798453299128002</v>
      </c>
      <c r="G1138" s="3" t="str">
        <f>"SVEP1"</f>
        <v>SVEP1</v>
      </c>
      <c r="H1138" s="1">
        <v>79987</v>
      </c>
      <c r="I1138" s="1" t="str">
        <f>"sushi, von Willebrand factor type A, EGF and pentraxin domain containing 1"</f>
        <v>sushi, von Willebrand factor type A, EGF and pentraxin domain containing 1</v>
      </c>
    </row>
    <row r="1139" spans="1:9" x14ac:dyDescent="0.35">
      <c r="A1139" s="1" t="str">
        <f>"202565_s_at"</f>
        <v>202565_s_at</v>
      </c>
      <c r="B1139" s="2">
        <v>5.4372731095227601E-6</v>
      </c>
      <c r="C1139" s="2">
        <v>8.0035254675019703E-8</v>
      </c>
      <c r="D1139" s="1">
        <v>5.7775084343239698</v>
      </c>
      <c r="E1139" s="1">
        <v>7.7247454355988099</v>
      </c>
      <c r="F1139" s="1">
        <v>0.50790199640842804</v>
      </c>
      <c r="G1139" s="3" t="str">
        <f>"SVIL"</f>
        <v>SVIL</v>
      </c>
      <c r="H1139" s="1">
        <v>6840</v>
      </c>
      <c r="I1139" s="1" t="str">
        <f>"supervillin"</f>
        <v>supervillin</v>
      </c>
    </row>
    <row r="1140" spans="1:9" x14ac:dyDescent="0.35">
      <c r="A1140" s="1" t="str">
        <f>"217832_at"</f>
        <v>217832_at</v>
      </c>
      <c r="B1140" s="1">
        <v>1.35406408055439E-2</v>
      </c>
      <c r="C1140" s="1">
        <v>1.32167543652371E-3</v>
      </c>
      <c r="D1140" s="1">
        <v>-3.3009578982223098</v>
      </c>
      <c r="E1140" s="1">
        <v>-1.42605861612304</v>
      </c>
      <c r="F1140" s="1">
        <v>-0.33669654903924501</v>
      </c>
      <c r="G1140" s="3" t="str">
        <f>"SYNCRIP"</f>
        <v>SYNCRIP</v>
      </c>
      <c r="H1140" s="1">
        <v>10492</v>
      </c>
      <c r="I1140" s="1" t="str">
        <f>"synaptotagmin binding cytoplasmic RNA interacting protein"</f>
        <v>synaptotagmin binding cytoplasmic RNA interacting protein</v>
      </c>
    </row>
    <row r="1141" spans="1:9" x14ac:dyDescent="0.35">
      <c r="A1141" s="1" t="str">
        <f>"219804_at"</f>
        <v>219804_at</v>
      </c>
      <c r="B1141" s="1">
        <v>3.7770342019057601E-2</v>
      </c>
      <c r="C1141" s="1">
        <v>5.1626743115746098E-3</v>
      </c>
      <c r="D1141" s="1">
        <v>2.8573321297349801</v>
      </c>
      <c r="E1141" s="1">
        <v>-2.6614249121998599</v>
      </c>
      <c r="F1141" s="1">
        <v>0.56874247538953604</v>
      </c>
      <c r="G1141" s="3" t="str">
        <f>"SYNPO2L"</f>
        <v>SYNPO2L</v>
      </c>
      <c r="H1141" s="1">
        <v>79933</v>
      </c>
      <c r="I1141" s="1" t="str">
        <f>"synaptopodin 2 like"</f>
        <v>synaptopodin 2 like</v>
      </c>
    </row>
    <row r="1142" spans="1:9" x14ac:dyDescent="0.35">
      <c r="A1142" s="1" t="str">
        <f>"201259_s_at"</f>
        <v>201259_s_at</v>
      </c>
      <c r="B1142" s="1">
        <v>3.1910719975170899E-2</v>
      </c>
      <c r="C1142" s="1">
        <v>4.1128926880891602E-3</v>
      </c>
      <c r="D1142" s="1">
        <v>-2.9345325480548099</v>
      </c>
      <c r="E1142" s="1">
        <v>-2.4571412403288502</v>
      </c>
      <c r="F1142" s="1">
        <v>-0.40073171693604598</v>
      </c>
      <c r="G1142" s="3" t="str">
        <f>"SYPL1"</f>
        <v>SYPL1</v>
      </c>
      <c r="H1142" s="1">
        <v>6856</v>
      </c>
      <c r="I1142" s="1" t="str">
        <f>"synaptophysin like 1"</f>
        <v>synaptophysin like 1</v>
      </c>
    </row>
    <row r="1143" spans="1:9" x14ac:dyDescent="0.35">
      <c r="A1143" s="1" t="str">
        <f>"212003_at"</f>
        <v>212003_at</v>
      </c>
      <c r="B1143" s="2">
        <v>3.3214330502218802E-6</v>
      </c>
      <c r="C1143" s="2">
        <v>4.39495734827728E-8</v>
      </c>
      <c r="D1143" s="1">
        <v>-5.9102162377550798</v>
      </c>
      <c r="E1143" s="1">
        <v>8.2981259136554701</v>
      </c>
      <c r="F1143" s="1">
        <v>-0.409404164662792</v>
      </c>
      <c r="G1143" s="3" t="str">
        <f>"SZRD1"</f>
        <v>SZRD1</v>
      </c>
      <c r="H1143" s="1">
        <v>26099</v>
      </c>
      <c r="I1143" s="1" t="str">
        <f>"SUZ RNA binding domain containing 1"</f>
        <v>SUZ RNA binding domain containing 1</v>
      </c>
    </row>
    <row r="1144" spans="1:9" x14ac:dyDescent="0.35">
      <c r="A1144" s="1" t="str">
        <f>"202289_s_at"</f>
        <v>202289_s_at</v>
      </c>
      <c r="B1144" s="1">
        <v>7.2223989348311493E-2</v>
      </c>
      <c r="C1144" s="1">
        <v>1.21831314787072E-2</v>
      </c>
      <c r="D1144" s="1">
        <v>2.55152343957191</v>
      </c>
      <c r="E1144" s="1">
        <v>-3.4244422082389301</v>
      </c>
      <c r="F1144" s="1">
        <v>0.35422363745785101</v>
      </c>
      <c r="G1144" s="3" t="str">
        <f>"TACC2"</f>
        <v>TACC2</v>
      </c>
      <c r="H1144" s="1">
        <v>10579</v>
      </c>
      <c r="I1144" s="1" t="str">
        <f>"transforming acidic coiled-coil containing protein 2"</f>
        <v>transforming acidic coiled-coil containing protein 2</v>
      </c>
    </row>
    <row r="1145" spans="1:9" x14ac:dyDescent="0.35">
      <c r="A1145" s="1" t="str">
        <f>"208829_at"</f>
        <v>208829_at</v>
      </c>
      <c r="B1145" s="2">
        <v>1.1930174761782999E-6</v>
      </c>
      <c r="C1145" s="2">
        <v>1.1939276452352E-8</v>
      </c>
      <c r="D1145" s="1">
        <v>6.1943168810731501</v>
      </c>
      <c r="E1145" s="1">
        <v>9.5462531946134295</v>
      </c>
      <c r="F1145" s="1">
        <v>0.38854966126744001</v>
      </c>
      <c r="G1145" s="3" t="str">
        <f>"TAPBP"</f>
        <v>TAPBP</v>
      </c>
      <c r="H1145" s="1">
        <v>6892</v>
      </c>
      <c r="I1145" s="1" t="str">
        <f>"TAP binding protein (tapasin)"</f>
        <v>TAP binding protein (tapasin)</v>
      </c>
    </row>
    <row r="1146" spans="1:9" x14ac:dyDescent="0.35">
      <c r="A1146" s="1" t="str">
        <f>"218747_s_at"</f>
        <v>218747_s_at</v>
      </c>
      <c r="B1146" s="1">
        <v>2.5315288789371001E-3</v>
      </c>
      <c r="C1146" s="1">
        <v>1.55075031178439E-4</v>
      </c>
      <c r="D1146" s="1">
        <v>3.92702764817721</v>
      </c>
      <c r="E1146" s="1">
        <v>0.55544973941252795</v>
      </c>
      <c r="F1146" s="1">
        <v>0.309680910979653</v>
      </c>
      <c r="G1146" s="3" t="str">
        <f>"TAPBPL"</f>
        <v>TAPBPL</v>
      </c>
      <c r="H1146" s="1">
        <v>55080</v>
      </c>
      <c r="I1146" s="1" t="str">
        <f>"TAP binding protein like"</f>
        <v>TAP binding protein like</v>
      </c>
    </row>
    <row r="1147" spans="1:9" x14ac:dyDescent="0.35">
      <c r="A1147" s="1" t="str">
        <f>"207155_at"</f>
        <v>207155_at</v>
      </c>
      <c r="B1147" s="1">
        <v>1.8253746428350599E-2</v>
      </c>
      <c r="C1147" s="1">
        <v>1.94636725368043E-3</v>
      </c>
      <c r="D1147" s="1">
        <v>3.1792952017800702</v>
      </c>
      <c r="E1147" s="1">
        <v>-1.7794511830866599</v>
      </c>
      <c r="F1147" s="1">
        <v>0.36471621028197498</v>
      </c>
      <c r="G1147" s="3" t="str">
        <f>"TBX5"</f>
        <v>TBX5</v>
      </c>
      <c r="H1147" s="1">
        <v>6910</v>
      </c>
      <c r="I1147" s="1" t="str">
        <f>"T-box 5"</f>
        <v>T-box 5</v>
      </c>
    </row>
    <row r="1148" spans="1:9" x14ac:dyDescent="0.35">
      <c r="A1148" s="1" t="str">
        <f>"203919_at"</f>
        <v>203919_at</v>
      </c>
      <c r="B1148" s="2">
        <v>2.23705300137363E-5</v>
      </c>
      <c r="C1148" s="2">
        <v>4.4574407961670001E-7</v>
      </c>
      <c r="D1148" s="1">
        <v>5.3890401434264499</v>
      </c>
      <c r="E1148" s="1">
        <v>6.0851227704711803</v>
      </c>
      <c r="F1148" s="1">
        <v>0.323975029838665</v>
      </c>
      <c r="G1148" s="3" t="str">
        <f>"TCEA2"</f>
        <v>TCEA2</v>
      </c>
      <c r="H1148" s="1">
        <v>6919</v>
      </c>
      <c r="I1148" s="1" t="str">
        <f>"transcription elongation factor A2"</f>
        <v>transcription elongation factor A2</v>
      </c>
    </row>
    <row r="1149" spans="1:9" x14ac:dyDescent="0.35">
      <c r="A1149" s="1" t="str">
        <f>"202824_s_at"</f>
        <v>202824_s_at</v>
      </c>
      <c r="B1149" s="2">
        <v>8.1992896013623103E-5</v>
      </c>
      <c r="C1149" s="2">
        <v>2.1452164598995798E-6</v>
      </c>
      <c r="D1149" s="1">
        <v>-5.0208174329450603</v>
      </c>
      <c r="E1149" s="1">
        <v>4.5898869587056597</v>
      </c>
      <c r="F1149" s="1">
        <v>-0.44586837214680303</v>
      </c>
      <c r="G1149" s="3" t="str">
        <f>"TCEB1"</f>
        <v>TCEB1</v>
      </c>
      <c r="H1149" s="1">
        <v>6921</v>
      </c>
      <c r="I1149" s="1" t="str">
        <f>"transcription elongation factor B subunit 1"</f>
        <v>transcription elongation factor B subunit 1</v>
      </c>
    </row>
    <row r="1150" spans="1:9" x14ac:dyDescent="0.35">
      <c r="A1150" s="1" t="str">
        <f>"213891_s_at"</f>
        <v>213891_s_at</v>
      </c>
      <c r="B1150" s="2">
        <v>5.3504318301682399E-7</v>
      </c>
      <c r="C1150" s="2">
        <v>4.39406285024812E-9</v>
      </c>
      <c r="D1150" s="1">
        <v>6.4085862041420301</v>
      </c>
      <c r="E1150" s="1">
        <v>10.5047943187295</v>
      </c>
      <c r="F1150" s="1">
        <v>0.736504341039243</v>
      </c>
      <c r="G1150" s="3" t="str">
        <f>"TCF4"</f>
        <v>TCF4</v>
      </c>
      <c r="H1150" s="1">
        <v>6925</v>
      </c>
      <c r="I1150" s="1" t="str">
        <f>"transcription factor 4"</f>
        <v>transcription factor 4</v>
      </c>
    </row>
    <row r="1151" spans="1:9" x14ac:dyDescent="0.35">
      <c r="A1151" s="1" t="str">
        <f>"212761_at"</f>
        <v>212761_at</v>
      </c>
      <c r="B1151" s="1">
        <v>5.93125916962602E-4</v>
      </c>
      <c r="C1151" s="2">
        <v>2.4420540309985399E-5</v>
      </c>
      <c r="D1151" s="1">
        <v>4.4191979911896704</v>
      </c>
      <c r="E1151" s="1">
        <v>2.2886203114790802</v>
      </c>
      <c r="F1151" s="1">
        <v>0.52474565259883699</v>
      </c>
      <c r="G1151" s="3" t="str">
        <f>"TCF7L2"</f>
        <v>TCF7L2</v>
      </c>
      <c r="H1151" s="1">
        <v>6934</v>
      </c>
      <c r="I1151" s="1" t="str">
        <f>"transcription factor 7 like 2"</f>
        <v>transcription factor 7 like 2</v>
      </c>
    </row>
    <row r="1152" spans="1:9" x14ac:dyDescent="0.35">
      <c r="A1152" s="1" t="str">
        <f>"203743_s_at"</f>
        <v>203743_s_at</v>
      </c>
      <c r="B1152" s="1">
        <v>1.07803412713387E-2</v>
      </c>
      <c r="C1152" s="1">
        <v>9.9177398044448389E-4</v>
      </c>
      <c r="D1152" s="1">
        <v>-3.3892801462158202</v>
      </c>
      <c r="E1152" s="1">
        <v>-1.16282123322259</v>
      </c>
      <c r="F1152" s="1">
        <v>-0.40796204647965201</v>
      </c>
      <c r="G1152" s="3" t="str">
        <f>"TDG"</f>
        <v>TDG</v>
      </c>
      <c r="H1152" s="1">
        <v>6996</v>
      </c>
      <c r="I1152" s="1" t="str">
        <f>"thymine DNA glycosylase"</f>
        <v>thymine DNA glycosylase</v>
      </c>
    </row>
    <row r="1153" spans="1:9" x14ac:dyDescent="0.35">
      <c r="A1153" s="1" t="str">
        <f>"204281_at"</f>
        <v>204281_at</v>
      </c>
      <c r="B1153" s="1">
        <v>1.94425874290427E-4</v>
      </c>
      <c r="C1153" s="2">
        <v>6.1580611588765998E-6</v>
      </c>
      <c r="D1153" s="1">
        <v>-4.7653236156459098</v>
      </c>
      <c r="E1153" s="1">
        <v>3.5898155397561098</v>
      </c>
      <c r="F1153" s="1">
        <v>-0.30961616934156799</v>
      </c>
      <c r="G1153" s="3" t="str">
        <f>"TEAD4"</f>
        <v>TEAD4</v>
      </c>
      <c r="H1153" s="1">
        <v>7004</v>
      </c>
      <c r="I1153" s="1" t="str">
        <f>"TEA domain transcription factor 4"</f>
        <v>TEA domain transcription factor 4</v>
      </c>
    </row>
    <row r="1154" spans="1:9" x14ac:dyDescent="0.35">
      <c r="A1154" s="1" t="str">
        <f>"202720_at"</f>
        <v>202720_at</v>
      </c>
      <c r="B1154" s="1">
        <v>1.1601448904049001E-4</v>
      </c>
      <c r="C1154" s="2">
        <v>3.3041799613504702E-6</v>
      </c>
      <c r="D1154" s="1">
        <v>-4.9170559536523202</v>
      </c>
      <c r="E1154" s="1">
        <v>4.1798673331738501</v>
      </c>
      <c r="F1154" s="1">
        <v>-0.32468749195784902</v>
      </c>
      <c r="G1154" s="3" t="str">
        <f>"TES"</f>
        <v>TES</v>
      </c>
      <c r="H1154" s="1">
        <v>26136</v>
      </c>
      <c r="I1154" s="1" t="str">
        <f>"testin LIM domain protein"</f>
        <v>testin LIM domain protein</v>
      </c>
    </row>
    <row r="1155" spans="1:9" x14ac:dyDescent="0.35">
      <c r="A1155" s="1" t="str">
        <f>"209278_s_at"</f>
        <v>209278_s_at</v>
      </c>
      <c r="B1155" s="1">
        <v>5.2748170605433999E-4</v>
      </c>
      <c r="C1155" s="2">
        <v>2.0949661619085899E-5</v>
      </c>
      <c r="D1155" s="1">
        <v>-4.4584908483224703</v>
      </c>
      <c r="E1155" s="1">
        <v>2.43306783955421</v>
      </c>
      <c r="F1155" s="1">
        <v>-0.39183257089970902</v>
      </c>
      <c r="G1155" s="3" t="str">
        <f>"TFPI2"</f>
        <v>TFPI2</v>
      </c>
      <c r="H1155" s="1">
        <v>7980</v>
      </c>
      <c r="I1155" s="1" t="str">
        <f>"tissue factor pathway inhibitor 2"</f>
        <v>tissue factor pathway inhibitor 2</v>
      </c>
    </row>
    <row r="1156" spans="1:9" x14ac:dyDescent="0.35">
      <c r="A1156" s="1" t="str">
        <f>"220407_s_at"</f>
        <v>220407_s_at</v>
      </c>
      <c r="B1156" s="1">
        <v>2.0329665471097002E-3</v>
      </c>
      <c r="C1156" s="1">
        <v>1.15376882493892E-4</v>
      </c>
      <c r="D1156" s="1">
        <v>-4.0082825285578396</v>
      </c>
      <c r="E1156" s="1">
        <v>0.83150776741156196</v>
      </c>
      <c r="F1156" s="1">
        <v>-0.38896260607558197</v>
      </c>
      <c r="G1156" s="3" t="str">
        <f>"TGFB2"</f>
        <v>TGFB2</v>
      </c>
      <c r="H1156" s="1">
        <v>7042</v>
      </c>
      <c r="I1156" s="1" t="str">
        <f>"transforming growth factor beta 2"</f>
        <v>transforming growth factor beta 2</v>
      </c>
    </row>
    <row r="1157" spans="1:9" x14ac:dyDescent="0.35">
      <c r="A1157" s="1" t="str">
        <f>"201506_at"</f>
        <v>201506_at</v>
      </c>
      <c r="B1157" s="1">
        <v>9.8611640796422394E-3</v>
      </c>
      <c r="C1157" s="1">
        <v>8.8622685069904999E-4</v>
      </c>
      <c r="D1157" s="1">
        <v>3.4234661834000999</v>
      </c>
      <c r="E1157" s="1">
        <v>-1.0594456376014001</v>
      </c>
      <c r="F1157" s="1">
        <v>0.35170369008284702</v>
      </c>
      <c r="G1157" s="3" t="str">
        <f>"TGFBI"</f>
        <v>TGFBI</v>
      </c>
      <c r="H1157" s="1">
        <v>7045</v>
      </c>
      <c r="I1157" s="1" t="str">
        <f>"transforming growth factor beta induced"</f>
        <v>transforming growth factor beta induced</v>
      </c>
    </row>
    <row r="1158" spans="1:9" x14ac:dyDescent="0.35">
      <c r="A1158" s="1" t="str">
        <f>"207334_s_at"</f>
        <v>207334_s_at</v>
      </c>
      <c r="B1158" s="1">
        <v>1.16099984505508E-3</v>
      </c>
      <c r="C1158" s="2">
        <v>5.7104332010069198E-5</v>
      </c>
      <c r="D1158" s="1">
        <v>-4.1974909730064001</v>
      </c>
      <c r="E1158" s="1">
        <v>1.4900525158364999</v>
      </c>
      <c r="F1158" s="1">
        <v>-0.52896594957122001</v>
      </c>
      <c r="G1158" s="3" t="str">
        <f>"TGFBR2"</f>
        <v>TGFBR2</v>
      </c>
      <c r="H1158" s="1">
        <v>7048</v>
      </c>
      <c r="I1158" s="1" t="str">
        <f>"transforming growth factor beta receptor 2"</f>
        <v>transforming growth factor beta receptor 2</v>
      </c>
    </row>
    <row r="1159" spans="1:9" x14ac:dyDescent="0.35">
      <c r="A1159" s="1" t="str">
        <f>"204731_at"</f>
        <v>204731_at</v>
      </c>
      <c r="B1159" s="1">
        <v>7.9190031577137492E-3</v>
      </c>
      <c r="C1159" s="1">
        <v>6.6574964607765403E-4</v>
      </c>
      <c r="D1159" s="1">
        <v>-3.50935963755559</v>
      </c>
      <c r="E1159" s="1">
        <v>-0.79609949236030497</v>
      </c>
      <c r="F1159" s="1">
        <v>-0.35490123019912601</v>
      </c>
      <c r="G1159" s="3" t="str">
        <f>"TGFBR3"</f>
        <v>TGFBR3</v>
      </c>
      <c r="H1159" s="1">
        <v>7049</v>
      </c>
      <c r="I1159" s="1" t="str">
        <f>"transforming growth factor beta receptor 3"</f>
        <v>transforming growth factor beta receptor 3</v>
      </c>
    </row>
    <row r="1160" spans="1:9" x14ac:dyDescent="0.35">
      <c r="A1160" s="1" t="str">
        <f>"203313_s_at"</f>
        <v>203313_s_at</v>
      </c>
      <c r="B1160" s="1">
        <v>5.5883585198235905E-4</v>
      </c>
      <c r="C1160" s="2">
        <v>2.2671436080961001E-5</v>
      </c>
      <c r="D1160" s="1">
        <v>-4.4382726804155199</v>
      </c>
      <c r="E1160" s="1">
        <v>2.35863474575146</v>
      </c>
      <c r="F1160" s="1">
        <v>-0.38792000665552501</v>
      </c>
      <c r="G1160" s="3" t="str">
        <f>"TGIF1"</f>
        <v>TGIF1</v>
      </c>
      <c r="H1160" s="1">
        <v>7050</v>
      </c>
      <c r="I1160" s="1" t="str">
        <f>"TGFB induced factor homeobox 1"</f>
        <v>TGFB induced factor homeobox 1</v>
      </c>
    </row>
    <row r="1161" spans="1:9" x14ac:dyDescent="0.35">
      <c r="A1161" s="1" t="str">
        <f>"217835_x_at"</f>
        <v>217835_x_at</v>
      </c>
      <c r="B1161" s="2">
        <v>1.55345356260675E-5</v>
      </c>
      <c r="C1161" s="2">
        <v>2.85133288653305E-7</v>
      </c>
      <c r="D1161" s="1">
        <v>-5.4913883716766003</v>
      </c>
      <c r="E1161" s="1">
        <v>6.5112248197690299</v>
      </c>
      <c r="F1161" s="1">
        <v>-0.30895641157267101</v>
      </c>
      <c r="G1161" s="3" t="str">
        <f>"TGIF2-C20orf24"</f>
        <v>TGIF2-C20orf24</v>
      </c>
      <c r="H1161" s="1">
        <v>100527943</v>
      </c>
      <c r="I1161" s="1" t="str">
        <f>"TGIF2-C20orf24 readthrough///chromosome 20 open reading frame 24"</f>
        <v>TGIF2-C20orf24 readthrough///chromosome 20 open reading frame 24</v>
      </c>
    </row>
    <row r="1162" spans="1:9" x14ac:dyDescent="0.35">
      <c r="A1162" s="1" t="str">
        <f>"201042_at"</f>
        <v>201042_at</v>
      </c>
      <c r="B1162" s="2">
        <v>1.2210623311038201E-8</v>
      </c>
      <c r="C1162" s="2">
        <v>3.5070676834647201E-11</v>
      </c>
      <c r="D1162" s="1">
        <v>-7.4104275889339304</v>
      </c>
      <c r="E1162" s="1">
        <v>15.146921908494299</v>
      </c>
      <c r="F1162" s="1">
        <v>-0.55890714156976695</v>
      </c>
      <c r="G1162" s="3" t="str">
        <f>"TGM2"</f>
        <v>TGM2</v>
      </c>
      <c r="H1162" s="1">
        <v>7052</v>
      </c>
      <c r="I1162" s="1" t="str">
        <f>"transglutaminase 2"</f>
        <v>transglutaminase 2</v>
      </c>
    </row>
    <row r="1163" spans="1:9" x14ac:dyDescent="0.35">
      <c r="A1163" s="1" t="str">
        <f>"203887_s_at"</f>
        <v>203887_s_at</v>
      </c>
      <c r="B1163" s="1">
        <v>6.7460139531761901E-2</v>
      </c>
      <c r="C1163" s="1">
        <v>1.1053133304782199E-2</v>
      </c>
      <c r="D1163" s="1">
        <v>-2.5874453071966701</v>
      </c>
      <c r="E1163" s="1">
        <v>-3.3387089248916602</v>
      </c>
      <c r="F1163" s="1">
        <v>-0.35976209833721101</v>
      </c>
      <c r="G1163" s="3" t="str">
        <f>"THBD"</f>
        <v>THBD</v>
      </c>
      <c r="H1163" s="1">
        <v>7056</v>
      </c>
      <c r="I1163" s="1" t="str">
        <f>"thrombomodulin"</f>
        <v>thrombomodulin</v>
      </c>
    </row>
    <row r="1164" spans="1:9" x14ac:dyDescent="0.35">
      <c r="A1164" s="1" t="str">
        <f>"201107_s_at"</f>
        <v>201107_s_at</v>
      </c>
      <c r="B1164" s="2">
        <v>1.4367928420172399E-5</v>
      </c>
      <c r="C1164" s="2">
        <v>2.5598292791852202E-7</v>
      </c>
      <c r="D1164" s="1">
        <v>-5.5159514884002698</v>
      </c>
      <c r="E1164" s="1">
        <v>6.6141318415762598</v>
      </c>
      <c r="F1164" s="1">
        <v>-0.39711664388372198</v>
      </c>
      <c r="G1164" s="3" t="str">
        <f>"THBS1"</f>
        <v>THBS1</v>
      </c>
      <c r="H1164" s="1">
        <v>7057</v>
      </c>
      <c r="I1164" s="1" t="str">
        <f>"thrombospondin 1"</f>
        <v>thrombospondin 1</v>
      </c>
    </row>
    <row r="1165" spans="1:9" x14ac:dyDescent="0.35">
      <c r="A1165" s="1" t="str">
        <f>"203083_at"</f>
        <v>203083_at</v>
      </c>
      <c r="B1165" s="2">
        <v>5.9131636564322298E-5</v>
      </c>
      <c r="C1165" s="2">
        <v>1.45369497603946E-6</v>
      </c>
      <c r="D1165" s="1">
        <v>5.1133055933765696</v>
      </c>
      <c r="E1165" s="1">
        <v>4.9596720400385399</v>
      </c>
      <c r="F1165" s="1">
        <v>0.50033081098836796</v>
      </c>
      <c r="G1165" s="3" t="str">
        <f>"THBS2"</f>
        <v>THBS2</v>
      </c>
      <c r="H1165" s="1">
        <v>7058</v>
      </c>
      <c r="I1165" s="1" t="str">
        <f>"thrombospondin 2"</f>
        <v>thrombospondin 2</v>
      </c>
    </row>
    <row r="1166" spans="1:9" x14ac:dyDescent="0.35">
      <c r="A1166" s="1" t="str">
        <f>"204776_at"</f>
        <v>204776_at</v>
      </c>
      <c r="B1166" s="2">
        <v>3.0367523618013001E-6</v>
      </c>
      <c r="C1166" s="2">
        <v>3.8567559053528201E-8</v>
      </c>
      <c r="D1166" s="1">
        <v>5.93895865119101</v>
      </c>
      <c r="E1166" s="1">
        <v>8.4231448779631908</v>
      </c>
      <c r="F1166" s="1">
        <v>1.029295410359</v>
      </c>
      <c r="G1166" s="3" t="str">
        <f>"THBS4"</f>
        <v>THBS4</v>
      </c>
      <c r="H1166" s="1">
        <v>7060</v>
      </c>
      <c r="I1166" s="1" t="str">
        <f>"thrombospondin 4"</f>
        <v>thrombospondin 4</v>
      </c>
    </row>
    <row r="1167" spans="1:9" x14ac:dyDescent="0.35">
      <c r="A1167" s="1" t="str">
        <f>"207571_x_at"</f>
        <v>207571_x_at</v>
      </c>
      <c r="B1167" s="1">
        <v>3.93539651794778E-3</v>
      </c>
      <c r="C1167" s="1">
        <v>2.7303877470480998E-4</v>
      </c>
      <c r="D1167" s="1">
        <v>-3.7684778194256698</v>
      </c>
      <c r="E1167" s="1">
        <v>2.8859189769798701E-2</v>
      </c>
      <c r="F1167" s="1">
        <v>-0.303269459781974</v>
      </c>
      <c r="G1167" s="3" t="str">
        <f>"THEMIS2"</f>
        <v>THEMIS2</v>
      </c>
      <c r="H1167" s="1">
        <v>9473</v>
      </c>
      <c r="I1167" s="1" t="str">
        <f>"thymocyte selection associated family member 2"</f>
        <v>thymocyte selection associated family member 2</v>
      </c>
    </row>
    <row r="1168" spans="1:9" x14ac:dyDescent="0.35">
      <c r="A1168" s="1" t="str">
        <f>"218491_s_at"</f>
        <v>218491_s_at</v>
      </c>
      <c r="B1168" s="2">
        <v>5.59050107378879E-10</v>
      </c>
      <c r="C1168" s="2">
        <v>1.0035454963494699E-12</v>
      </c>
      <c r="D1168" s="1">
        <v>8.1229977691749795</v>
      </c>
      <c r="E1168" s="1">
        <v>18.567452393216499</v>
      </c>
      <c r="F1168" s="1">
        <v>0.51613785996366301</v>
      </c>
      <c r="G1168" s="3" t="str">
        <f>"THYN1"</f>
        <v>THYN1</v>
      </c>
      <c r="H1168" s="1">
        <v>29087</v>
      </c>
      <c r="I1168" s="1" t="str">
        <f>"thymocyte nuclear protein 1"</f>
        <v>thymocyte nuclear protein 1</v>
      </c>
    </row>
    <row r="1169" spans="1:9" x14ac:dyDescent="0.35">
      <c r="A1169" s="1" t="str">
        <f>"201821_s_at"</f>
        <v>201821_s_at</v>
      </c>
      <c r="B1169" s="1">
        <v>8.3740327785183696E-3</v>
      </c>
      <c r="C1169" s="1">
        <v>7.16657564449784E-4</v>
      </c>
      <c r="D1169" s="1">
        <v>-3.4873708152938199</v>
      </c>
      <c r="E1169" s="1">
        <v>-0.86400527116211301</v>
      </c>
      <c r="F1169" s="1">
        <v>-0.34174686989099001</v>
      </c>
      <c r="G1169" s="3" t="str">
        <f>"TIMM17A"</f>
        <v>TIMM17A</v>
      </c>
      <c r="H1169" s="1">
        <v>10440</v>
      </c>
      <c r="I1169" s="1" t="str">
        <f>"translocase of inner mitochondrial membrane 17 homolog A (yeast)"</f>
        <v>translocase of inner mitochondrial membrane 17 homolog A (yeast)</v>
      </c>
    </row>
    <row r="1170" spans="1:9" x14ac:dyDescent="0.35">
      <c r="A1170" s="1" t="str">
        <f>"218119_at"</f>
        <v>218119_at</v>
      </c>
      <c r="B1170" s="1">
        <v>2.9580615363738599E-2</v>
      </c>
      <c r="C1170" s="1">
        <v>3.7051855653133302E-3</v>
      </c>
      <c r="D1170" s="1">
        <v>-2.9695160691067102</v>
      </c>
      <c r="E1170" s="1">
        <v>-2.3630569193525899</v>
      </c>
      <c r="F1170" s="1">
        <v>-0.30012928535319799</v>
      </c>
      <c r="G1170" s="3" t="str">
        <f>"TIMM23B"</f>
        <v>TIMM23B</v>
      </c>
      <c r="H1170" s="1">
        <v>100652748</v>
      </c>
      <c r="I1170" s="1" t="str">
        <f>"translocase of inner mitochondrial membrane 23 homolog B///translocase of inner mitochondrial membrane 23"</f>
        <v>translocase of inner mitochondrial membrane 23 homolog B///translocase of inner mitochondrial membrane 23</v>
      </c>
    </row>
    <row r="1171" spans="1:9" x14ac:dyDescent="0.35">
      <c r="A1171" s="1" t="str">
        <f>"203093_s_at"</f>
        <v>203093_s_at</v>
      </c>
      <c r="B1171" s="1">
        <v>2.90949277557541E-3</v>
      </c>
      <c r="C1171" s="1">
        <v>1.87890324644483E-4</v>
      </c>
      <c r="D1171" s="1">
        <v>-3.8737015470026099</v>
      </c>
      <c r="E1171" s="1">
        <v>0.37653844848038198</v>
      </c>
      <c r="F1171" s="1">
        <v>-0.31514547638808099</v>
      </c>
      <c r="G1171" s="3" t="str">
        <f>"TIMM44"</f>
        <v>TIMM44</v>
      </c>
      <c r="H1171" s="1">
        <v>10469</v>
      </c>
      <c r="I1171" s="1" t="str">
        <f>"translocase of inner mitochondrial membrane 44"</f>
        <v>translocase of inner mitochondrial membrane 44</v>
      </c>
    </row>
    <row r="1172" spans="1:9" x14ac:dyDescent="0.35">
      <c r="A1172" s="1" t="str">
        <f>"201666_at"</f>
        <v>201666_at</v>
      </c>
      <c r="B1172" s="2">
        <v>4.5514089375580198E-5</v>
      </c>
      <c r="C1172" s="2">
        <v>1.04082939286218E-6</v>
      </c>
      <c r="D1172" s="1">
        <v>-5.1920045382487201</v>
      </c>
      <c r="E1172" s="1">
        <v>5.2774399810540702</v>
      </c>
      <c r="F1172" s="1">
        <v>-0.76105652543023405</v>
      </c>
      <c r="G1172" s="3" t="str">
        <f>"TIMP1"</f>
        <v>TIMP1</v>
      </c>
      <c r="H1172" s="1">
        <v>7076</v>
      </c>
      <c r="I1172" s="1" t="str">
        <f>"TIMP metallopeptidase inhibitor 1"</f>
        <v>TIMP metallopeptidase inhibitor 1</v>
      </c>
    </row>
    <row r="1173" spans="1:9" x14ac:dyDescent="0.35">
      <c r="A1173" s="1" t="str">
        <f>"201148_s_at"</f>
        <v>201148_s_at</v>
      </c>
      <c r="B1173" s="1">
        <v>5.6997075197627702E-3</v>
      </c>
      <c r="C1173" s="1">
        <v>4.3790778951819103E-4</v>
      </c>
      <c r="D1173" s="1">
        <v>-3.63266685008678</v>
      </c>
      <c r="E1173" s="1">
        <v>-0.40915749628412701</v>
      </c>
      <c r="F1173" s="1">
        <v>-0.34361080037064301</v>
      </c>
      <c r="G1173" s="3" t="str">
        <f>"TIMP3"</f>
        <v>TIMP3</v>
      </c>
      <c r="H1173" s="1">
        <v>7078</v>
      </c>
      <c r="I1173" s="1" t="str">
        <f>"TIMP metallopeptidase inhibitor 3"</f>
        <v>TIMP metallopeptidase inhibitor 3</v>
      </c>
    </row>
    <row r="1174" spans="1:9" x14ac:dyDescent="0.35">
      <c r="A1174" s="1" t="str">
        <f>"206243_at"</f>
        <v>206243_at</v>
      </c>
      <c r="B1174" s="1">
        <v>1.72765051055638E-3</v>
      </c>
      <c r="C1174" s="2">
        <v>9.4976972374974803E-5</v>
      </c>
      <c r="D1174" s="1">
        <v>-4.0611794614251098</v>
      </c>
      <c r="E1174" s="1">
        <v>1.0134248991274599</v>
      </c>
      <c r="F1174" s="1">
        <v>-0.60091747348692104</v>
      </c>
      <c r="G1174" s="3" t="str">
        <f>"TIMP4"</f>
        <v>TIMP4</v>
      </c>
      <c r="H1174" s="1">
        <v>7079</v>
      </c>
      <c r="I1174" s="1" t="str">
        <f>"TIMP metallopeptidase inhibitor 4"</f>
        <v>TIMP metallopeptidase inhibitor 4</v>
      </c>
    </row>
    <row r="1175" spans="1:9" x14ac:dyDescent="0.35">
      <c r="A1175" s="1" t="str">
        <f>"202011_at"</f>
        <v>202011_at</v>
      </c>
      <c r="B1175" s="2">
        <v>1.3662916473760199E-5</v>
      </c>
      <c r="C1175" s="2">
        <v>2.4158278017598798E-7</v>
      </c>
      <c r="D1175" s="1">
        <v>5.5291163957400098</v>
      </c>
      <c r="E1175" s="1">
        <v>6.6693872538669696</v>
      </c>
      <c r="F1175" s="1">
        <v>0.354385005614823</v>
      </c>
      <c r="G1175" s="3" t="str">
        <f>"TJP1"</f>
        <v>TJP1</v>
      </c>
      <c r="H1175" s="1">
        <v>7082</v>
      </c>
      <c r="I1175" s="1" t="str">
        <f>"tight junction protein 1"</f>
        <v>tight junction protein 1</v>
      </c>
    </row>
    <row r="1176" spans="1:9" x14ac:dyDescent="0.35">
      <c r="A1176" s="1" t="str">
        <f>"208700_s_at"</f>
        <v>208700_s_at</v>
      </c>
      <c r="B1176" s="1">
        <v>2.3649886409418602E-2</v>
      </c>
      <c r="C1176" s="1">
        <v>2.7531214533964002E-3</v>
      </c>
      <c r="D1176" s="1">
        <v>-3.0675238594554299</v>
      </c>
      <c r="E1176" s="1">
        <v>-2.09451167770494</v>
      </c>
      <c r="F1176" s="1">
        <v>-0.32302460304069802</v>
      </c>
      <c r="G1176" s="3" t="str">
        <f>"TKT"</f>
        <v>TKT</v>
      </c>
      <c r="H1176" s="1">
        <v>7086</v>
      </c>
      <c r="I1176" s="1" t="str">
        <f>"transketolase"</f>
        <v>transketolase</v>
      </c>
    </row>
    <row r="1177" spans="1:9" x14ac:dyDescent="0.35">
      <c r="A1177" s="1" t="str">
        <f>"215008_at"</f>
        <v>215008_at</v>
      </c>
      <c r="B1177" s="2">
        <v>7.5127776918863595E-5</v>
      </c>
      <c r="C1177" s="2">
        <v>1.9318860195893201E-6</v>
      </c>
      <c r="D1177" s="1">
        <v>5.0458024899240197</v>
      </c>
      <c r="E1177" s="1">
        <v>4.6893862618552999</v>
      </c>
      <c r="F1177" s="1">
        <v>0.36531198500726603</v>
      </c>
      <c r="G1177" s="3" t="str">
        <f>"TLL2"</f>
        <v>TLL2</v>
      </c>
      <c r="H1177" s="1">
        <v>7093</v>
      </c>
      <c r="I1177" s="1" t="str">
        <f>"tolloid like 2"</f>
        <v>tolloid like 2</v>
      </c>
    </row>
    <row r="1178" spans="1:9" x14ac:dyDescent="0.35">
      <c r="A1178" s="1" t="str">
        <f>"209387_s_at"</f>
        <v>209387_s_at</v>
      </c>
      <c r="B1178" s="1">
        <v>3.6530678753371099E-2</v>
      </c>
      <c r="C1178" s="1">
        <v>4.9493389200927799E-3</v>
      </c>
      <c r="D1178" s="1">
        <v>-2.8717720709293899</v>
      </c>
      <c r="E1178" s="1">
        <v>-2.6235659550557</v>
      </c>
      <c r="F1178" s="1">
        <v>-0.40324364016714997</v>
      </c>
      <c r="G1178" s="3" t="str">
        <f>"TM4SF1"</f>
        <v>TM4SF1</v>
      </c>
      <c r="H1178" s="1">
        <v>4071</v>
      </c>
      <c r="I1178" s="1" t="str">
        <f>"transmembrane 4 L six family member 1"</f>
        <v>transmembrane 4 L six family member 1</v>
      </c>
    </row>
    <row r="1179" spans="1:9" x14ac:dyDescent="0.35">
      <c r="A1179" s="1" t="str">
        <f>"210130_s_at"</f>
        <v>210130_s_at</v>
      </c>
      <c r="B1179" s="1">
        <v>6.6500612562065504E-4</v>
      </c>
      <c r="C1179" s="2">
        <v>2.8053034065584301E-5</v>
      </c>
      <c r="D1179" s="1">
        <v>4.3834731451631699</v>
      </c>
      <c r="E1179" s="1">
        <v>2.1580400901675101</v>
      </c>
      <c r="F1179" s="1">
        <v>0.35830924337936199</v>
      </c>
      <c r="G1179" s="3" t="str">
        <f>"TM7SF2"</f>
        <v>TM7SF2</v>
      </c>
      <c r="H1179" s="1">
        <v>7108</v>
      </c>
      <c r="I1179" s="1" t="str">
        <f>"transmembrane 7 superfamily member 2"</f>
        <v>transmembrane 7 superfamily member 2</v>
      </c>
    </row>
    <row r="1180" spans="1:9" x14ac:dyDescent="0.35">
      <c r="A1180" s="1" t="str">
        <f>"209149_s_at"</f>
        <v>209149_s_at</v>
      </c>
      <c r="B1180" s="1">
        <v>2.1056764837632899E-4</v>
      </c>
      <c r="C1180" s="2">
        <v>6.8510319558784199E-6</v>
      </c>
      <c r="D1180" s="1">
        <v>-4.7390607755123701</v>
      </c>
      <c r="E1180" s="1">
        <v>3.48886541031926</v>
      </c>
      <c r="F1180" s="1">
        <v>-0.30431881198256</v>
      </c>
      <c r="G1180" s="3" t="str">
        <f>"TM9SF1"</f>
        <v>TM9SF1</v>
      </c>
      <c r="H1180" s="1">
        <v>10548</v>
      </c>
      <c r="I1180" s="1" t="str">
        <f>"transmembrane 9 superfamily member 1"</f>
        <v>transmembrane 9 superfamily member 1</v>
      </c>
    </row>
    <row r="1181" spans="1:9" x14ac:dyDescent="0.35">
      <c r="A1181" s="1" t="str">
        <f>"204427_s_at"</f>
        <v>204427_s_at</v>
      </c>
      <c r="B1181" s="1">
        <v>5.7770076163066099E-2</v>
      </c>
      <c r="C1181" s="1">
        <v>9.0091556193804597E-3</v>
      </c>
      <c r="D1181" s="1">
        <v>-2.6617982054534601</v>
      </c>
      <c r="E1181" s="1">
        <v>-3.15792671184707</v>
      </c>
      <c r="F1181" s="1">
        <v>-0.421516158130816</v>
      </c>
      <c r="G1181" s="3" t="str">
        <f>"TMED2"</f>
        <v>TMED2</v>
      </c>
      <c r="H1181" s="1">
        <v>10959</v>
      </c>
      <c r="I1181" s="1" t="str">
        <f>"transmembrane p24 trafficking protein 2"</f>
        <v>transmembrane p24 trafficking protein 2</v>
      </c>
    </row>
    <row r="1182" spans="1:9" x14ac:dyDescent="0.35">
      <c r="A1182" s="1" t="str">
        <f>"202194_at"</f>
        <v>202194_at</v>
      </c>
      <c r="B1182" s="1">
        <v>7.2717687496657104E-4</v>
      </c>
      <c r="C1182" s="2">
        <v>3.1427046575206998E-5</v>
      </c>
      <c r="D1182" s="1">
        <v>-4.3540830538073898</v>
      </c>
      <c r="E1182" s="1">
        <v>2.05115527740791</v>
      </c>
      <c r="F1182" s="1">
        <v>-0.42861690684884002</v>
      </c>
      <c r="G1182" s="3" t="str">
        <f>"TMED5"</f>
        <v>TMED5</v>
      </c>
      <c r="H1182" s="1">
        <v>50999</v>
      </c>
      <c r="I1182" s="1" t="str">
        <f>"transmembrane p24 trafficking protein 5"</f>
        <v>transmembrane p24 trafficking protein 5</v>
      </c>
    </row>
    <row r="1183" spans="1:9" x14ac:dyDescent="0.35">
      <c r="A1183" s="1" t="str">
        <f>"222209_s_at"</f>
        <v>222209_s_at</v>
      </c>
      <c r="B1183" s="2">
        <v>7.4287089602843702E-5</v>
      </c>
      <c r="C1183" s="2">
        <v>1.9002666191096799E-6</v>
      </c>
      <c r="D1183" s="1">
        <v>5.0497328178825702</v>
      </c>
      <c r="E1183" s="1">
        <v>4.7050650423378304</v>
      </c>
      <c r="F1183" s="1">
        <v>0.57164495328197595</v>
      </c>
      <c r="G1183" s="3" t="str">
        <f>"TMEM135"</f>
        <v>TMEM135</v>
      </c>
      <c r="H1183" s="1">
        <v>65084</v>
      </c>
      <c r="I1183" s="1" t="str">
        <f>"transmembrane protein 135"</f>
        <v>transmembrane protein 135</v>
      </c>
    </row>
    <row r="1184" spans="1:9" x14ac:dyDescent="0.35">
      <c r="A1184" s="1" t="str">
        <f>"218477_at"</f>
        <v>218477_at</v>
      </c>
      <c r="B1184" s="1">
        <v>5.1060756584098697E-4</v>
      </c>
      <c r="C1184" s="2">
        <v>2.0119079244643299E-5</v>
      </c>
      <c r="D1184" s="1">
        <v>4.4688250413941901</v>
      </c>
      <c r="E1184" s="1">
        <v>2.4712007701376901</v>
      </c>
      <c r="F1184" s="1">
        <v>0.32979401511918499</v>
      </c>
      <c r="G1184" s="3" t="str">
        <f>"TMEM14A"</f>
        <v>TMEM14A</v>
      </c>
      <c r="H1184" s="1">
        <v>28978</v>
      </c>
      <c r="I1184" s="1" t="str">
        <f>"transmembrane protein 14A"</f>
        <v>transmembrane protein 14A</v>
      </c>
    </row>
    <row r="1185" spans="1:9" x14ac:dyDescent="0.35">
      <c r="A1185" s="1" t="str">
        <f>"218095_s_at"</f>
        <v>218095_s_at</v>
      </c>
      <c r="B1185" s="2">
        <v>4.3962989382851E-5</v>
      </c>
      <c r="C1185" s="2">
        <v>9.9830689887908199E-7</v>
      </c>
      <c r="D1185" s="1">
        <v>-5.20178613880302</v>
      </c>
      <c r="E1185" s="1">
        <v>5.3171322650466504</v>
      </c>
      <c r="F1185" s="1">
        <v>-0.32597933524563999</v>
      </c>
      <c r="G1185" s="3" t="str">
        <f>"TMEM165"</f>
        <v>TMEM165</v>
      </c>
      <c r="H1185" s="1">
        <v>55858</v>
      </c>
      <c r="I1185" s="1" t="str">
        <f>"transmembrane protein 165"</f>
        <v>transmembrane protein 165</v>
      </c>
    </row>
    <row r="1186" spans="1:9" x14ac:dyDescent="0.35">
      <c r="A1186" s="1" t="str">
        <f>"220532_s_at"</f>
        <v>220532_s_at</v>
      </c>
      <c r="B1186" s="1">
        <v>0.16255324906461499</v>
      </c>
      <c r="C1186" s="1">
        <v>3.9079017871881797E-2</v>
      </c>
      <c r="D1186" s="1">
        <v>2.0898135837040499</v>
      </c>
      <c r="E1186" s="1">
        <v>-4.4305459430423397</v>
      </c>
      <c r="F1186" s="1">
        <v>0.34700457430959603</v>
      </c>
      <c r="G1186" s="3" t="str">
        <f>"TMEM176B"</f>
        <v>TMEM176B</v>
      </c>
      <c r="H1186" s="1">
        <v>28959</v>
      </c>
      <c r="I1186" s="1" t="str">
        <f>"transmembrane protein 176B"</f>
        <v>transmembrane protein 176B</v>
      </c>
    </row>
    <row r="1187" spans="1:9" x14ac:dyDescent="0.35">
      <c r="A1187" s="1" t="str">
        <f>"213386_at"</f>
        <v>213386_at</v>
      </c>
      <c r="B1187" s="2">
        <v>1.2855676106635099E-5</v>
      </c>
      <c r="C1187" s="2">
        <v>2.23957112084443E-7</v>
      </c>
      <c r="D1187" s="1">
        <v>5.5463189708441698</v>
      </c>
      <c r="E1187" s="1">
        <v>6.7416951716049898</v>
      </c>
      <c r="F1187" s="1">
        <v>0.48883219899418601</v>
      </c>
      <c r="G1187" s="3" t="str">
        <f>"TMEM246"</f>
        <v>TMEM246</v>
      </c>
      <c r="H1187" s="1">
        <v>84302</v>
      </c>
      <c r="I1187" s="1" t="str">
        <f>"transmembrane protein 246"</f>
        <v>transmembrane protein 246</v>
      </c>
    </row>
    <row r="1188" spans="1:9" x14ac:dyDescent="0.35">
      <c r="A1188" s="1" t="str">
        <f>"213986_s_at"</f>
        <v>213986_s_at</v>
      </c>
      <c r="B1188" s="1">
        <v>5.1087128650641501E-2</v>
      </c>
      <c r="C1188" s="1">
        <v>7.6826714584346699E-3</v>
      </c>
      <c r="D1188" s="1">
        <v>-2.7187283207602402</v>
      </c>
      <c r="E1188" s="1">
        <v>-3.0164993210387698</v>
      </c>
      <c r="F1188" s="1">
        <v>-0.33244517755378</v>
      </c>
      <c r="G1188" s="3" t="str">
        <f>"TMEM259"</f>
        <v>TMEM259</v>
      </c>
      <c r="H1188" s="1">
        <v>91304</v>
      </c>
      <c r="I1188" s="1" t="str">
        <f>"transmembrane protein 259"</f>
        <v>transmembrane protein 259</v>
      </c>
    </row>
    <row r="1189" spans="1:9" x14ac:dyDescent="0.35">
      <c r="A1189" s="1" t="str">
        <f>"217743_s_at"</f>
        <v>217743_s_at</v>
      </c>
      <c r="B1189" s="1">
        <v>1.1055478846711E-2</v>
      </c>
      <c r="C1189" s="1">
        <v>1.0210553097218199E-3</v>
      </c>
      <c r="D1189" s="1">
        <v>-3.3804021607874399</v>
      </c>
      <c r="E1189" s="1">
        <v>-1.18953245752939</v>
      </c>
      <c r="F1189" s="1">
        <v>-0.36148172534447498</v>
      </c>
      <c r="G1189" s="3" t="str">
        <f>"TMEM30A"</f>
        <v>TMEM30A</v>
      </c>
      <c r="H1189" s="1">
        <v>55754</v>
      </c>
      <c r="I1189" s="1" t="str">
        <f>"transmembrane protein 30A"</f>
        <v>transmembrane protein 30A</v>
      </c>
    </row>
    <row r="1190" spans="1:9" x14ac:dyDescent="0.35">
      <c r="A1190" s="1" t="str">
        <f>"218772_x_at"</f>
        <v>218772_x_at</v>
      </c>
      <c r="B1190" s="1">
        <v>6.8705855075390898E-2</v>
      </c>
      <c r="C1190" s="1">
        <v>1.1352823156109601E-2</v>
      </c>
      <c r="D1190" s="1">
        <v>-2.5776072504736498</v>
      </c>
      <c r="E1190" s="1">
        <v>-3.3622935926366799</v>
      </c>
      <c r="F1190" s="1">
        <v>-0.30604428243749898</v>
      </c>
      <c r="G1190" s="3" t="str">
        <f>"TMEM38B"</f>
        <v>TMEM38B</v>
      </c>
      <c r="H1190" s="1">
        <v>55151</v>
      </c>
      <c r="I1190" s="1" t="str">
        <f>"transmembrane protein 38B"</f>
        <v>transmembrane protein 38B</v>
      </c>
    </row>
    <row r="1191" spans="1:9" x14ac:dyDescent="0.35">
      <c r="A1191" s="1" t="str">
        <f>"217795_s_at"</f>
        <v>217795_s_at</v>
      </c>
      <c r="B1191" s="2">
        <v>1.7678410966744199E-5</v>
      </c>
      <c r="C1191" s="2">
        <v>3.3584079617474199E-7</v>
      </c>
      <c r="D1191" s="1">
        <v>-5.4540043365418898</v>
      </c>
      <c r="E1191" s="1">
        <v>6.3550800026359804</v>
      </c>
      <c r="F1191" s="1">
        <v>-0.36247937250727202</v>
      </c>
      <c r="G1191" s="3" t="str">
        <f>"TMEM43"</f>
        <v>TMEM43</v>
      </c>
      <c r="H1191" s="1">
        <v>79188</v>
      </c>
      <c r="I1191" s="1" t="str">
        <f>"transmembrane protein 43"</f>
        <v>transmembrane protein 43</v>
      </c>
    </row>
    <row r="1192" spans="1:9" x14ac:dyDescent="0.35">
      <c r="A1192" s="1" t="str">
        <f>"219449_s_at"</f>
        <v>219449_s_at</v>
      </c>
      <c r="B1192" s="2">
        <v>1.4239984797797501E-5</v>
      </c>
      <c r="C1192" s="2">
        <v>2.5306439796830899E-7</v>
      </c>
      <c r="D1192" s="1">
        <v>-5.5185600082658999</v>
      </c>
      <c r="E1192" s="1">
        <v>6.6250746652106196</v>
      </c>
      <c r="F1192" s="1">
        <v>-0.64539970188517903</v>
      </c>
      <c r="G1192" s="3" t="str">
        <f>"TMEM70"</f>
        <v>TMEM70</v>
      </c>
      <c r="H1192" s="1">
        <v>54968</v>
      </c>
      <c r="I1192" s="1" t="str">
        <f>"transmembrane protein 70"</f>
        <v>transmembrane protein 70</v>
      </c>
    </row>
    <row r="1193" spans="1:9" x14ac:dyDescent="0.35">
      <c r="A1193" s="1" t="str">
        <f>"208097_s_at"</f>
        <v>208097_s_at</v>
      </c>
      <c r="B1193" s="1">
        <v>4.8464205842116398E-4</v>
      </c>
      <c r="C1193" s="2">
        <v>1.8747989694342899E-5</v>
      </c>
      <c r="D1193" s="1">
        <v>-4.4868216012350404</v>
      </c>
      <c r="E1193" s="1">
        <v>2.53774859349411</v>
      </c>
      <c r="F1193" s="1">
        <v>-0.39577396015261701</v>
      </c>
      <c r="G1193" s="3" t="str">
        <f>"TMX1"</f>
        <v>TMX1</v>
      </c>
      <c r="H1193" s="1">
        <v>81542</v>
      </c>
      <c r="I1193" s="1" t="str">
        <f>"thioredoxin related transmembrane protein 1"</f>
        <v>thioredoxin related transmembrane protein 1</v>
      </c>
    </row>
    <row r="1194" spans="1:9" x14ac:dyDescent="0.35">
      <c r="A1194" s="1" t="str">
        <f>"201645_at"</f>
        <v>201645_at</v>
      </c>
      <c r="B1194" s="1">
        <v>4.8945515628141797E-2</v>
      </c>
      <c r="C1194" s="1">
        <v>7.2683530589921098E-3</v>
      </c>
      <c r="D1194" s="1">
        <v>-2.7383497996266901</v>
      </c>
      <c r="E1194" s="1">
        <v>-2.9671554738400299</v>
      </c>
      <c r="F1194" s="1">
        <v>-0.51297681273691997</v>
      </c>
      <c r="G1194" s="3" t="str">
        <f>"TNC"</f>
        <v>TNC</v>
      </c>
      <c r="H1194" s="1">
        <v>3371</v>
      </c>
      <c r="I1194" s="1" t="str">
        <f>"tenascin C"</f>
        <v>tenascin C</v>
      </c>
    </row>
    <row r="1195" spans="1:9" x14ac:dyDescent="0.35">
      <c r="A1195" s="1" t="str">
        <f>"206025_s_at"</f>
        <v>206025_s_at</v>
      </c>
      <c r="B1195" s="1">
        <v>4.7844797927286296E-3</v>
      </c>
      <c r="C1195" s="1">
        <v>3.48481385073759E-4</v>
      </c>
      <c r="D1195" s="1">
        <v>-3.6987470016658501</v>
      </c>
      <c r="E1195" s="1">
        <v>-0.19756553986146</v>
      </c>
      <c r="F1195" s="1">
        <v>-0.49126804752035202</v>
      </c>
      <c r="G1195" s="3" t="str">
        <f>"TNFAIP6"</f>
        <v>TNFAIP6</v>
      </c>
      <c r="H1195" s="1">
        <v>7130</v>
      </c>
      <c r="I1195" s="1" t="str">
        <f>"TNF alpha induced protein 6"</f>
        <v>TNF alpha induced protein 6</v>
      </c>
    </row>
    <row r="1196" spans="1:9" x14ac:dyDescent="0.35">
      <c r="A1196" s="1" t="str">
        <f>"204932_at"</f>
        <v>204932_at</v>
      </c>
      <c r="B1196" s="1">
        <v>3.16257903251596E-3</v>
      </c>
      <c r="C1196" s="1">
        <v>2.07356638087592E-4</v>
      </c>
      <c r="D1196" s="1">
        <v>-3.84612940642223</v>
      </c>
      <c r="E1196" s="1">
        <v>0.28474402129623799</v>
      </c>
      <c r="F1196" s="1">
        <v>-0.68018191188663002</v>
      </c>
      <c r="G1196" s="3" t="str">
        <f>"TNFRSF11B"</f>
        <v>TNFRSF11B</v>
      </c>
      <c r="H1196" s="1">
        <v>4982</v>
      </c>
      <c r="I1196" s="1" t="str">
        <f>"TNF receptor superfamily member 11b"</f>
        <v>TNF receptor superfamily member 11b</v>
      </c>
    </row>
    <row r="1197" spans="1:9" x14ac:dyDescent="0.35">
      <c r="A1197" s="1" t="str">
        <f>"218368_s_at"</f>
        <v>218368_s_at</v>
      </c>
      <c r="B1197" s="1">
        <v>1.7862731893874099E-2</v>
      </c>
      <c r="C1197" s="1">
        <v>1.8901151918785399E-3</v>
      </c>
      <c r="D1197" s="1">
        <v>-3.1886239938960999</v>
      </c>
      <c r="E1197" s="1">
        <v>-1.7527366571604299</v>
      </c>
      <c r="F1197" s="1">
        <v>-0.45440732730087102</v>
      </c>
      <c r="G1197" s="3" t="str">
        <f>"TNFRSF12A"</f>
        <v>TNFRSF12A</v>
      </c>
      <c r="H1197" s="1">
        <v>51330</v>
      </c>
      <c r="I1197" s="1" t="str">
        <f>"TNF receptor superfamily member 12A"</f>
        <v>TNF receptor superfamily member 12A</v>
      </c>
    </row>
    <row r="1198" spans="1:9" x14ac:dyDescent="0.35">
      <c r="A1198" s="1" t="str">
        <f>"202688_at"</f>
        <v>202688_at</v>
      </c>
      <c r="B1198" s="2">
        <v>9.0941034246604896E-5</v>
      </c>
      <c r="C1198" s="2">
        <v>2.4364671473869401E-6</v>
      </c>
      <c r="D1198" s="1">
        <v>4.9903586053867004</v>
      </c>
      <c r="E1198" s="1">
        <v>4.4689901871184103</v>
      </c>
      <c r="F1198" s="1">
        <v>0.75462497054651501</v>
      </c>
      <c r="G1198" s="3" t="str">
        <f>"TNFSF10"</f>
        <v>TNFSF10</v>
      </c>
      <c r="H1198" s="1">
        <v>8743</v>
      </c>
      <c r="I1198" s="1" t="str">
        <f>"tumor necrosis factor superfamily member 10"</f>
        <v>tumor necrosis factor superfamily member 10</v>
      </c>
    </row>
    <row r="1199" spans="1:9" x14ac:dyDescent="0.35">
      <c r="A1199" s="1" t="str">
        <f>"217853_at"</f>
        <v>217853_at</v>
      </c>
      <c r="B1199" s="1">
        <v>3.2823569249627801E-3</v>
      </c>
      <c r="C1199" s="1">
        <v>2.1830332373535199E-4</v>
      </c>
      <c r="D1199" s="1">
        <v>3.83168985209063</v>
      </c>
      <c r="E1199" s="1">
        <v>0.23686601781452901</v>
      </c>
      <c r="F1199" s="1">
        <v>0.33787137840988102</v>
      </c>
      <c r="G1199" s="3" t="str">
        <f>"TNS3"</f>
        <v>TNS3</v>
      </c>
      <c r="H1199" s="1">
        <v>64759</v>
      </c>
      <c r="I1199" s="1" t="str">
        <f>"tensin 3"</f>
        <v>tensin 3</v>
      </c>
    </row>
    <row r="1200" spans="1:9" x14ac:dyDescent="0.35">
      <c r="A1200" s="1" t="str">
        <f>"213451_x_at"</f>
        <v>213451_x_at</v>
      </c>
      <c r="B1200" s="2">
        <v>5.8041652741237102E-8</v>
      </c>
      <c r="C1200" s="2">
        <v>2.6854443722934501E-10</v>
      </c>
      <c r="D1200" s="1">
        <v>6.9940520603679603</v>
      </c>
      <c r="E1200" s="1">
        <v>13.189181045743499</v>
      </c>
      <c r="F1200" s="1">
        <v>0.71071609306394701</v>
      </c>
      <c r="G1200" s="3" t="str">
        <f>"TNXB"</f>
        <v>TNXB</v>
      </c>
      <c r="H1200" s="1">
        <v>7148</v>
      </c>
      <c r="I1200" s="1" t="str">
        <f>"tenascin XB///tenascin XA (pseudogene)"</f>
        <v>tenascin XB///tenascin XA (pseudogene)</v>
      </c>
    </row>
    <row r="1201" spans="1:9" x14ac:dyDescent="0.35">
      <c r="A1201" s="1" t="str">
        <f>"202704_at"</f>
        <v>202704_at</v>
      </c>
      <c r="B1201" s="1">
        <v>0.13865638380207901</v>
      </c>
      <c r="C1201" s="1">
        <v>3.08636926651846E-2</v>
      </c>
      <c r="D1201" s="1">
        <v>2.1886578856270398</v>
      </c>
      <c r="E1201" s="1">
        <v>-4.2303923603402103</v>
      </c>
      <c r="F1201" s="1">
        <v>0.33219466231686501</v>
      </c>
      <c r="G1201" s="3" t="str">
        <f>"TOB1"</f>
        <v>TOB1</v>
      </c>
      <c r="H1201" s="1">
        <v>10140</v>
      </c>
      <c r="I1201" s="1" t="str">
        <f>"transducer of ERBB2, 1"</f>
        <v>transducer of ERBB2, 1</v>
      </c>
    </row>
    <row r="1202" spans="1:9" x14ac:dyDescent="0.35">
      <c r="A1202" s="1" t="str">
        <f>"221496_s_at"</f>
        <v>221496_s_at</v>
      </c>
      <c r="B1202" s="1">
        <v>5.9188611082623299E-2</v>
      </c>
      <c r="C1202" s="1">
        <v>9.2861546625163192E-3</v>
      </c>
      <c r="D1202" s="1">
        <v>-2.6508779727826401</v>
      </c>
      <c r="E1202" s="1">
        <v>-3.18475792412934</v>
      </c>
      <c r="F1202" s="1">
        <v>-0.33909609359156501</v>
      </c>
      <c r="G1202" s="3" t="str">
        <f>"TOB2"</f>
        <v>TOB2</v>
      </c>
      <c r="H1202" s="1">
        <v>10766</v>
      </c>
      <c r="I1202" s="1" t="str">
        <f>"transducer of ERBB2, 2"</f>
        <v>transducer of ERBB2, 2</v>
      </c>
    </row>
    <row r="1203" spans="1:9" x14ac:dyDescent="0.35">
      <c r="A1203" s="1" t="str">
        <f>"211987_at"</f>
        <v>211987_at</v>
      </c>
      <c r="B1203" s="1">
        <v>8.3986903827182498E-3</v>
      </c>
      <c r="C1203" s="1">
        <v>7.1914469551794804E-4</v>
      </c>
      <c r="D1203" s="1">
        <v>3.48633467148183</v>
      </c>
      <c r="E1203" s="1">
        <v>-0.86719682077011695</v>
      </c>
      <c r="F1203" s="1">
        <v>0.328227404988371</v>
      </c>
      <c r="G1203" s="3" t="str">
        <f>"TOP2B"</f>
        <v>TOP2B</v>
      </c>
      <c r="H1203" s="1">
        <v>7155</v>
      </c>
      <c r="I1203" s="1" t="str">
        <f>"topoisomerase (DNA) II beta"</f>
        <v>topoisomerase (DNA) II beta</v>
      </c>
    </row>
    <row r="1204" spans="1:9" x14ac:dyDescent="0.35">
      <c r="A1204" s="1" t="str">
        <f>"217914_at"</f>
        <v>217914_at</v>
      </c>
      <c r="B1204" s="2">
        <v>3.5607880532768299E-12</v>
      </c>
      <c r="C1204" s="2">
        <v>2.5567746197742401E-15</v>
      </c>
      <c r="D1204" s="1">
        <v>9.2961382054398207</v>
      </c>
      <c r="E1204" s="1">
        <v>24.316493030656201</v>
      </c>
      <c r="F1204" s="1">
        <v>0.66500321756541003</v>
      </c>
      <c r="G1204" s="3" t="str">
        <f>"TPCN1"</f>
        <v>TPCN1</v>
      </c>
      <c r="H1204" s="1">
        <v>53373</v>
      </c>
      <c r="I1204" s="1" t="str">
        <f>"two pore segment channel 1"</f>
        <v>two pore segment channel 1</v>
      </c>
    </row>
    <row r="1205" spans="1:9" x14ac:dyDescent="0.35">
      <c r="A1205" s="1" t="str">
        <f>"218876_at"</f>
        <v>218876_at</v>
      </c>
      <c r="B1205" s="2">
        <v>2.9185397236921901E-6</v>
      </c>
      <c r="C1205" s="2">
        <v>3.6672929110330502E-8</v>
      </c>
      <c r="D1205" s="1">
        <v>5.9500254807183097</v>
      </c>
      <c r="E1205" s="1">
        <v>8.4713590653231492</v>
      </c>
      <c r="F1205" s="1">
        <v>0.38057431259447799</v>
      </c>
      <c r="G1205" s="3" t="str">
        <f>"TPPP3"</f>
        <v>TPPP3</v>
      </c>
      <c r="H1205" s="1">
        <v>51673</v>
      </c>
      <c r="I1205" s="1" t="str">
        <f>"tubulin polymerization promoting protein family member 3"</f>
        <v>tubulin polymerization promoting protein family member 3</v>
      </c>
    </row>
    <row r="1206" spans="1:9" x14ac:dyDescent="0.35">
      <c r="A1206" s="1" t="str">
        <f>"219030_at"</f>
        <v>219030_at</v>
      </c>
      <c r="B1206" s="1">
        <v>5.9059786675574296E-3</v>
      </c>
      <c r="C1206" s="1">
        <v>4.5799628135974698E-4</v>
      </c>
      <c r="D1206" s="1">
        <v>-3.6195981165839202</v>
      </c>
      <c r="E1206" s="1">
        <v>-0.45065727933024002</v>
      </c>
      <c r="F1206" s="1">
        <v>-0.40830106675290501</v>
      </c>
      <c r="G1206" s="3" t="str">
        <f>"TPRKB"</f>
        <v>TPRKB</v>
      </c>
      <c r="H1206" s="1">
        <v>51002</v>
      </c>
      <c r="I1206" s="1" t="str">
        <f>"TP53RK binding protein"</f>
        <v>TP53RK binding protein</v>
      </c>
    </row>
    <row r="1207" spans="1:9" x14ac:dyDescent="0.35">
      <c r="A1207" s="1" t="str">
        <f>"204079_at"</f>
        <v>204079_at</v>
      </c>
      <c r="B1207" s="2">
        <v>3.9701481728513001E-5</v>
      </c>
      <c r="C1207" s="2">
        <v>8.8550179145855502E-7</v>
      </c>
      <c r="D1207" s="1">
        <v>-5.2298508176922498</v>
      </c>
      <c r="E1207" s="1">
        <v>5.4312528234298298</v>
      </c>
      <c r="F1207" s="1">
        <v>-0.45928974613953499</v>
      </c>
      <c r="G1207" s="3" t="str">
        <f>"TPST2"</f>
        <v>TPST2</v>
      </c>
      <c r="H1207" s="1">
        <v>8459</v>
      </c>
      <c r="I1207" s="1" t="str">
        <f>"tyrosylprotein sulfotransferase 2"</f>
        <v>tyrosylprotein sulfotransferase 2</v>
      </c>
    </row>
    <row r="1208" spans="1:9" x14ac:dyDescent="0.35">
      <c r="A1208" s="1" t="str">
        <f>"202125_s_at"</f>
        <v>202125_s_at</v>
      </c>
      <c r="B1208" s="1">
        <v>2.3409809055900099E-4</v>
      </c>
      <c r="C1208" s="2">
        <v>7.7847096488004102E-6</v>
      </c>
      <c r="D1208" s="1">
        <v>4.7074853075293204</v>
      </c>
      <c r="E1208" s="1">
        <v>3.3679644421802002</v>
      </c>
      <c r="F1208" s="1">
        <v>0.423463988097385</v>
      </c>
      <c r="G1208" s="3" t="str">
        <f>"TRAK2"</f>
        <v>TRAK2</v>
      </c>
      <c r="H1208" s="1">
        <v>66008</v>
      </c>
      <c r="I1208" s="1" t="str">
        <f>"trafficking kinesin protein 2"</f>
        <v>trafficking kinesin protein 2</v>
      </c>
    </row>
    <row r="1209" spans="1:9" x14ac:dyDescent="0.35">
      <c r="A1209" s="1" t="str">
        <f>"201399_s_at"</f>
        <v>201399_s_at</v>
      </c>
      <c r="B1209" s="1">
        <v>8.6009303841001299E-3</v>
      </c>
      <c r="C1209" s="1">
        <v>7.4070750828380996E-4</v>
      </c>
      <c r="D1209" s="1">
        <v>-3.4774905076149198</v>
      </c>
      <c r="E1209" s="1">
        <v>-0.89440844280931697</v>
      </c>
      <c r="F1209" s="1">
        <v>-0.61456110345639803</v>
      </c>
      <c r="G1209" s="3" t="str">
        <f>"TRAM1"</f>
        <v>TRAM1</v>
      </c>
      <c r="H1209" s="1">
        <v>23471</v>
      </c>
      <c r="I1209" s="1" t="str">
        <f>"translocation associated membrane protein 1"</f>
        <v>translocation associated membrane protein 1</v>
      </c>
    </row>
    <row r="1210" spans="1:9" x14ac:dyDescent="0.35">
      <c r="A1210" s="1" t="str">
        <f>"211796_s_at"</f>
        <v>211796_s_at</v>
      </c>
      <c r="B1210" s="1">
        <v>2.1184448112087501E-2</v>
      </c>
      <c r="C1210" s="1">
        <v>2.3757993013555898E-3</v>
      </c>
      <c r="D1210" s="1">
        <v>3.11537100930809</v>
      </c>
      <c r="E1210" s="1">
        <v>-1.96077866113664</v>
      </c>
      <c r="F1210" s="1">
        <v>0.315935170267441</v>
      </c>
      <c r="G1210" s="3" t="str">
        <f>"TRBC1"</f>
        <v>TRBC1</v>
      </c>
      <c r="H1210" s="1">
        <v>28639</v>
      </c>
      <c r="I1210" s="1" t="str">
        <f>"T cell receptor beta constant 1"</f>
        <v>T cell receptor beta constant 1</v>
      </c>
    </row>
    <row r="1211" spans="1:9" x14ac:dyDescent="0.35">
      <c r="A1211" s="1" t="str">
        <f>"202241_at"</f>
        <v>202241_at</v>
      </c>
      <c r="B1211" s="1">
        <v>0.141026825976515</v>
      </c>
      <c r="C1211" s="1">
        <v>3.1625501476670301E-2</v>
      </c>
      <c r="D1211" s="1">
        <v>-2.1785880789273602</v>
      </c>
      <c r="E1211" s="1">
        <v>-4.2511690598177498</v>
      </c>
      <c r="F1211" s="1">
        <v>-0.369803122450578</v>
      </c>
      <c r="G1211" s="3" t="str">
        <f>"TRIB1"</f>
        <v>TRIB1</v>
      </c>
      <c r="H1211" s="1">
        <v>10221</v>
      </c>
      <c r="I1211" s="1" t="str">
        <f>"tribbles pseudokinase 1"</f>
        <v>tribbles pseudokinase 1</v>
      </c>
    </row>
    <row r="1212" spans="1:9" x14ac:dyDescent="0.35">
      <c r="A1212" s="1" t="str">
        <f>"205150_s_at"</f>
        <v>205150_s_at</v>
      </c>
      <c r="B1212" s="2">
        <v>2.7261186389214999E-6</v>
      </c>
      <c r="C1212" s="2">
        <v>3.29096582089433E-8</v>
      </c>
      <c r="D1212" s="1">
        <v>5.9737822041212896</v>
      </c>
      <c r="E1212" s="1">
        <v>8.5750030243061399</v>
      </c>
      <c r="F1212" s="1">
        <v>0.52921295298982596</v>
      </c>
      <c r="G1212" s="3" t="str">
        <f>"TRIL"</f>
        <v>TRIL</v>
      </c>
      <c r="H1212" s="1">
        <v>9865</v>
      </c>
      <c r="I1212" s="1" t="str">
        <f>"TLR4 interactor with leucine rich repeats"</f>
        <v>TLR4 interactor with leucine rich repeats</v>
      </c>
    </row>
    <row r="1213" spans="1:9" x14ac:dyDescent="0.35">
      <c r="A1213" s="1" t="str">
        <f>"202342_s_at"</f>
        <v>202342_s_at</v>
      </c>
      <c r="B1213" s="1">
        <v>2.7758677446730498E-3</v>
      </c>
      <c r="C1213" s="1">
        <v>1.7627127670028099E-4</v>
      </c>
      <c r="D1213" s="1">
        <v>3.89148776937345</v>
      </c>
      <c r="E1213" s="1">
        <v>0.43601108658903198</v>
      </c>
      <c r="F1213" s="1">
        <v>0.337731930357556</v>
      </c>
      <c r="G1213" s="3" t="str">
        <f>"TRIM2"</f>
        <v>TRIM2</v>
      </c>
      <c r="H1213" s="1">
        <v>23321</v>
      </c>
      <c r="I1213" s="1" t="str">
        <f>"tripartite motif containing 2"</f>
        <v>tripartite motif containing 2</v>
      </c>
    </row>
    <row r="1214" spans="1:9" x14ac:dyDescent="0.35">
      <c r="A1214" s="1" t="str">
        <f>"213293_s_at"</f>
        <v>213293_s_at</v>
      </c>
      <c r="B1214" s="1">
        <v>9.5304950784717997E-4</v>
      </c>
      <c r="C1214" s="2">
        <v>4.4496407510869601E-5</v>
      </c>
      <c r="D1214" s="1">
        <v>4.2633331488719897</v>
      </c>
      <c r="E1214" s="1">
        <v>1.7242413318085299</v>
      </c>
      <c r="F1214" s="1">
        <v>0.51717482699709505</v>
      </c>
      <c r="G1214" s="3" t="str">
        <f>"TRIM22"</f>
        <v>TRIM22</v>
      </c>
      <c r="H1214" s="1">
        <v>10346</v>
      </c>
      <c r="I1214" s="1" t="str">
        <f>"tripartite motif containing 22"</f>
        <v>tripartite motif containing 22</v>
      </c>
    </row>
    <row r="1215" spans="1:9" x14ac:dyDescent="0.35">
      <c r="A1215" s="1" t="str">
        <f>"219923_at"</f>
        <v>219923_at</v>
      </c>
      <c r="B1215" s="2">
        <v>3.4380858543816199E-5</v>
      </c>
      <c r="C1215" s="2">
        <v>7.5140143207101802E-7</v>
      </c>
      <c r="D1215" s="1">
        <v>5.2681593026791198</v>
      </c>
      <c r="E1215" s="1">
        <v>5.5875940942833298</v>
      </c>
      <c r="F1215" s="1">
        <v>0.303137611857554</v>
      </c>
      <c r="G1215" s="3" t="str">
        <f>"TRIM45"</f>
        <v>TRIM45</v>
      </c>
      <c r="H1215" s="1">
        <v>80263</v>
      </c>
      <c r="I1215" s="1" t="str">
        <f>"tripartite motif containing 45"</f>
        <v>tripartite motif containing 45</v>
      </c>
    </row>
    <row r="1216" spans="1:9" x14ac:dyDescent="0.35">
      <c r="A1216" s="1" t="str">
        <f>"221952_x_at"</f>
        <v>221952_x_at</v>
      </c>
      <c r="B1216" s="2">
        <v>1.12190153601591E-19</v>
      </c>
      <c r="C1216" s="2">
        <v>1.0069573540509899E-23</v>
      </c>
      <c r="D1216" s="1">
        <v>13.099002879639</v>
      </c>
      <c r="E1216" s="1">
        <v>42.853288116753198</v>
      </c>
      <c r="F1216" s="1">
        <v>0.67843954650871796</v>
      </c>
      <c r="G1216" s="3" t="str">
        <f>"TRMT5"</f>
        <v>TRMT5</v>
      </c>
      <c r="H1216" s="1">
        <v>57570</v>
      </c>
      <c r="I1216" s="1" t="str">
        <f>"tRNA methyltransferase 5"</f>
        <v>tRNA methyltransferase 5</v>
      </c>
    </row>
    <row r="1217" spans="1:9" x14ac:dyDescent="0.35">
      <c r="A1217" s="1" t="str">
        <f>"200973_s_at"</f>
        <v>200973_s_at</v>
      </c>
      <c r="B1217" s="1">
        <v>5.0705375854047203E-3</v>
      </c>
      <c r="C1217" s="1">
        <v>3.7773604953425603E-4</v>
      </c>
      <c r="D1217" s="1">
        <v>-3.6755168212404299</v>
      </c>
      <c r="E1217" s="1">
        <v>-0.27228231211269299</v>
      </c>
      <c r="F1217" s="1">
        <v>-0.34508858625145999</v>
      </c>
      <c r="G1217" s="3" t="str">
        <f>"TSPAN3"</f>
        <v>TSPAN3</v>
      </c>
      <c r="H1217" s="1">
        <v>10099</v>
      </c>
      <c r="I1217" s="1" t="str">
        <f>"tetraspanin 3"</f>
        <v>tetraspanin 3</v>
      </c>
    </row>
    <row r="1218" spans="1:9" x14ac:dyDescent="0.35">
      <c r="A1218" s="1" t="str">
        <f>"209108_at"</f>
        <v>209108_at</v>
      </c>
      <c r="B1218" s="2">
        <v>6.7267675847005806E-5</v>
      </c>
      <c r="C1218" s="2">
        <v>1.7053893687314E-6</v>
      </c>
      <c r="D1218" s="1">
        <v>5.0754617296891604</v>
      </c>
      <c r="E1218" s="1">
        <v>4.8078814456608203</v>
      </c>
      <c r="F1218" s="1">
        <v>0.35592115123837198</v>
      </c>
      <c r="G1218" s="3" t="str">
        <f>"TSPAN6"</f>
        <v>TSPAN6</v>
      </c>
      <c r="H1218" s="1">
        <v>7105</v>
      </c>
      <c r="I1218" s="1" t="str">
        <f>"tetraspanin 6"</f>
        <v>tetraspanin 6</v>
      </c>
    </row>
    <row r="1219" spans="1:9" x14ac:dyDescent="0.35">
      <c r="A1219" s="1" t="str">
        <f>"220968_s_at"</f>
        <v>220968_s_at</v>
      </c>
      <c r="B1219" s="1">
        <v>3.0155743028166499E-4</v>
      </c>
      <c r="C1219" s="2">
        <v>1.05828618444672E-5</v>
      </c>
      <c r="D1219" s="1">
        <v>4.6310900632788297</v>
      </c>
      <c r="E1219" s="1">
        <v>3.0776000017081699</v>
      </c>
      <c r="F1219" s="1">
        <v>0.41846784519477198</v>
      </c>
      <c r="G1219" s="3" t="str">
        <f>"TSPAN9"</f>
        <v>TSPAN9</v>
      </c>
      <c r="H1219" s="1">
        <v>10867</v>
      </c>
      <c r="I1219" s="1" t="str">
        <f>"tetraspanin 9"</f>
        <v>tetraspanin 9</v>
      </c>
    </row>
    <row r="1220" spans="1:9" x14ac:dyDescent="0.35">
      <c r="A1220" s="1" t="str">
        <f>"218012_at"</f>
        <v>218012_at</v>
      </c>
      <c r="B1220" s="2">
        <v>4.52879845418577E-8</v>
      </c>
      <c r="C1220" s="2">
        <v>1.9511046609605199E-10</v>
      </c>
      <c r="D1220" s="1">
        <v>-7.0598827940527196</v>
      </c>
      <c r="E1220" s="1">
        <v>13.4962887792903</v>
      </c>
      <c r="F1220" s="1">
        <v>-0.48486461983721102</v>
      </c>
      <c r="G1220" s="3" t="str">
        <f>"TSPYL2"</f>
        <v>TSPYL2</v>
      </c>
      <c r="H1220" s="1">
        <v>64061</v>
      </c>
      <c r="I1220" s="1" t="str">
        <f>"TSPY like 2"</f>
        <v>TSPY like 2</v>
      </c>
    </row>
    <row r="1221" spans="1:9" x14ac:dyDescent="0.35">
      <c r="A1221" s="1" t="str">
        <f>"208073_x_at"</f>
        <v>208073_x_at</v>
      </c>
      <c r="B1221" s="2">
        <v>3.0274104048474098E-8</v>
      </c>
      <c r="C1221" s="2">
        <v>1.1819984078522901E-10</v>
      </c>
      <c r="D1221" s="1">
        <v>7.1627795318108598</v>
      </c>
      <c r="E1221" s="1">
        <v>13.978208722333701</v>
      </c>
      <c r="F1221" s="1">
        <v>0.55518113431395499</v>
      </c>
      <c r="G1221" s="3" t="str">
        <f>"TTC3P1"</f>
        <v>TTC3P1</v>
      </c>
      <c r="H1221" s="1">
        <v>286495</v>
      </c>
      <c r="I1221" s="1" t="str">
        <f>"tetratricopeptide repeat domain 3 pseudogene 1///tetratricopeptide repeat domain 3"</f>
        <v>tetratricopeptide repeat domain 3 pseudogene 1///tetratricopeptide repeat domain 3</v>
      </c>
    </row>
    <row r="1222" spans="1:9" x14ac:dyDescent="0.35">
      <c r="A1222" s="1" t="str">
        <f>"207063_at"</f>
        <v>207063_at</v>
      </c>
      <c r="B1222" s="1">
        <v>7.2568462084256602E-2</v>
      </c>
      <c r="C1222" s="1">
        <v>1.22678901705962E-2</v>
      </c>
      <c r="D1222" s="1">
        <v>2.5489514823473698</v>
      </c>
      <c r="E1222" s="1">
        <v>-3.4305401930895401</v>
      </c>
      <c r="F1222" s="1">
        <v>0.34893239723401098</v>
      </c>
      <c r="G1222" s="3" t="str">
        <f>"TTTY14"</f>
        <v>TTTY14</v>
      </c>
      <c r="H1222" s="1">
        <v>83869</v>
      </c>
      <c r="I1222" s="1" t="str">
        <f>"testis-specific transcript, Y-linked 14 (non-protein coding)"</f>
        <v>testis-specific transcript, Y-linked 14 (non-protein coding)</v>
      </c>
    </row>
    <row r="1223" spans="1:9" x14ac:dyDescent="0.35">
      <c r="A1223" s="1" t="str">
        <f>"209118_s_at"</f>
        <v>209118_s_at</v>
      </c>
      <c r="B1223" s="2">
        <v>3.3552022892558698E-5</v>
      </c>
      <c r="C1223" s="2">
        <v>7.3027559587537499E-7</v>
      </c>
      <c r="D1223" s="1">
        <v>5.2747973687965102</v>
      </c>
      <c r="E1223" s="1">
        <v>5.6147506983045599</v>
      </c>
      <c r="F1223" s="1">
        <v>0.48829036665842901</v>
      </c>
      <c r="G1223" s="3" t="str">
        <f>"TUBA1A"</f>
        <v>TUBA1A</v>
      </c>
      <c r="H1223" s="1">
        <v>7846</v>
      </c>
      <c r="I1223" s="1" t="str">
        <f>"tubulin alpha 1a"</f>
        <v>tubulin alpha 1a</v>
      </c>
    </row>
    <row r="1224" spans="1:9" x14ac:dyDescent="0.35">
      <c r="A1224" s="1" t="str">
        <f>"210527_x_at"</f>
        <v>210527_x_at</v>
      </c>
      <c r="B1224" s="2">
        <v>1.9576782981157199E-10</v>
      </c>
      <c r="C1224" s="2">
        <v>2.8992228980756102E-13</v>
      </c>
      <c r="D1224" s="1">
        <v>-8.3688009270477401</v>
      </c>
      <c r="E1224" s="1">
        <v>19.7628809196347</v>
      </c>
      <c r="F1224" s="1">
        <v>-0.70662761609302105</v>
      </c>
      <c r="G1224" s="3" t="str">
        <f>"TUBA3D"</f>
        <v>TUBA3D</v>
      </c>
      <c r="H1224" s="1">
        <v>113457</v>
      </c>
      <c r="I1224" s="1" t="str">
        <f>"tubulin alpha 3d///tubulin alpha 3c"</f>
        <v>tubulin alpha 3d///tubulin alpha 3c</v>
      </c>
    </row>
    <row r="1225" spans="1:9" x14ac:dyDescent="0.35">
      <c r="A1225" s="1" t="str">
        <f>"212242_at"</f>
        <v>212242_at</v>
      </c>
      <c r="B1225" s="1">
        <v>2.77182907155405E-3</v>
      </c>
      <c r="C1225" s="1">
        <v>1.75766031418834E-4</v>
      </c>
      <c r="D1225" s="1">
        <v>-3.8922863230118998</v>
      </c>
      <c r="E1225" s="1">
        <v>0.43868597696706702</v>
      </c>
      <c r="F1225" s="1">
        <v>-0.521092952850296</v>
      </c>
      <c r="G1225" s="3" t="str">
        <f>"TUBA4A"</f>
        <v>TUBA4A</v>
      </c>
      <c r="H1225" s="1">
        <v>7277</v>
      </c>
      <c r="I1225" s="1" t="str">
        <f>"tubulin alpha 4a"</f>
        <v>tubulin alpha 4a</v>
      </c>
    </row>
    <row r="1226" spans="1:9" x14ac:dyDescent="0.35">
      <c r="A1226" s="1" t="str">
        <f>"202154_x_at"</f>
        <v>202154_x_at</v>
      </c>
      <c r="B1226" s="2">
        <v>4.5560599804815398E-5</v>
      </c>
      <c r="C1226" s="2">
        <v>1.05025143939704E-6</v>
      </c>
      <c r="D1226" s="1">
        <v>-5.1898900128213397</v>
      </c>
      <c r="E1226" s="1">
        <v>5.2688652162733796</v>
      </c>
      <c r="F1226" s="1">
        <v>-0.36968198744186198</v>
      </c>
      <c r="G1226" s="3" t="str">
        <f>"TUBB3"</f>
        <v>TUBB3</v>
      </c>
      <c r="H1226" s="1">
        <v>10381</v>
      </c>
      <c r="I1226" s="1" t="str">
        <f>"tubulin beta 3 class III"</f>
        <v>tubulin beta 3 class III</v>
      </c>
    </row>
    <row r="1227" spans="1:9" x14ac:dyDescent="0.35">
      <c r="A1227" s="1" t="str">
        <f>"213726_x_at"</f>
        <v>213726_x_at</v>
      </c>
      <c r="B1227" s="1">
        <v>1.3947542789227699E-4</v>
      </c>
      <c r="C1227" s="2">
        <v>4.1292508439372497E-6</v>
      </c>
      <c r="D1227" s="1">
        <v>-4.8630347143169299</v>
      </c>
      <c r="E1227" s="1">
        <v>3.96847440397377</v>
      </c>
      <c r="F1227" s="1">
        <v>-0.42161100928634299</v>
      </c>
      <c r="G1227" s="3" t="str">
        <f>"TUBB4B"</f>
        <v>TUBB4B</v>
      </c>
      <c r="H1227" s="1">
        <v>10383</v>
      </c>
      <c r="I1227" s="1" t="str">
        <f>"tubulin beta 4B class IVb"</f>
        <v>tubulin beta 4B class IVb</v>
      </c>
    </row>
    <row r="1228" spans="1:9" x14ac:dyDescent="0.35">
      <c r="A1228" s="1" t="str">
        <f>"209191_at"</f>
        <v>209191_at</v>
      </c>
      <c r="B1228" s="1">
        <v>6.5709736443329803E-4</v>
      </c>
      <c r="C1228" s="2">
        <v>2.7630939751110701E-5</v>
      </c>
      <c r="D1228" s="1">
        <v>-4.3873873792612201</v>
      </c>
      <c r="E1228" s="1">
        <v>2.1723121744004601</v>
      </c>
      <c r="F1228" s="1">
        <v>-0.45501641589680197</v>
      </c>
      <c r="G1228" s="3" t="str">
        <f>"TUBB6"</f>
        <v>TUBB6</v>
      </c>
      <c r="H1228" s="1">
        <v>84617</v>
      </c>
      <c r="I1228" s="1" t="str">
        <f>"tubulin beta 6 class V"</f>
        <v>tubulin beta 6 class V</v>
      </c>
    </row>
    <row r="1229" spans="1:9" x14ac:dyDescent="0.35">
      <c r="A1229" s="1" t="str">
        <f>"201714_at"</f>
        <v>201714_at</v>
      </c>
      <c r="B1229" s="1">
        <v>1.36520011996799E-3</v>
      </c>
      <c r="C1229" s="2">
        <v>7.0578940816009097E-5</v>
      </c>
      <c r="D1229" s="1">
        <v>-4.1410705803518804</v>
      </c>
      <c r="E1229" s="1">
        <v>1.29141675974853</v>
      </c>
      <c r="F1229" s="1">
        <v>-0.36713682345785098</v>
      </c>
      <c r="G1229" s="3" t="str">
        <f>"TUBG1"</f>
        <v>TUBG1</v>
      </c>
      <c r="H1229" s="1">
        <v>7283</v>
      </c>
      <c r="I1229" s="1" t="str">
        <f>"tubulin gamma 1"</f>
        <v>tubulin gamma 1</v>
      </c>
    </row>
    <row r="1230" spans="1:9" x14ac:dyDescent="0.35">
      <c r="A1230" s="1" t="str">
        <f>"208864_s_at"</f>
        <v>208864_s_at</v>
      </c>
      <c r="B1230" s="1">
        <v>2.6975910852124502E-2</v>
      </c>
      <c r="C1230" s="1">
        <v>3.2734758759657501E-3</v>
      </c>
      <c r="D1230" s="1">
        <v>-3.01066386399763</v>
      </c>
      <c r="E1230" s="1">
        <v>-2.2511974631239799</v>
      </c>
      <c r="F1230" s="1">
        <v>-0.33738304186482398</v>
      </c>
      <c r="G1230" s="3" t="str">
        <f>"TXN"</f>
        <v>TXN</v>
      </c>
      <c r="H1230" s="1">
        <v>7295</v>
      </c>
      <c r="I1230" s="1" t="str">
        <f>"thioredoxin"</f>
        <v>thioredoxin</v>
      </c>
    </row>
    <row r="1231" spans="1:9" x14ac:dyDescent="0.35">
      <c r="A1231" s="1" t="str">
        <f>"201266_at"</f>
        <v>201266_at</v>
      </c>
      <c r="B1231" s="2">
        <v>5.2279957902857696E-10</v>
      </c>
      <c r="C1231" s="2">
        <v>9.150107069117499E-13</v>
      </c>
      <c r="D1231" s="1">
        <v>-8.1413280753005104</v>
      </c>
      <c r="E1231" s="1">
        <v>18.656369146614299</v>
      </c>
      <c r="F1231" s="1">
        <v>-0.88755350244185904</v>
      </c>
      <c r="G1231" s="3" t="str">
        <f>"TXNRD1"</f>
        <v>TXNRD1</v>
      </c>
      <c r="H1231" s="1">
        <v>7296</v>
      </c>
      <c r="I1231" s="1" t="str">
        <f>"thioredoxin reductase 1"</f>
        <v>thioredoxin reductase 1</v>
      </c>
    </row>
    <row r="1232" spans="1:9" x14ac:dyDescent="0.35">
      <c r="A1232" s="1" t="str">
        <f>"205694_at"</f>
        <v>205694_at</v>
      </c>
      <c r="B1232" s="1">
        <v>2.3335045362949801E-2</v>
      </c>
      <c r="C1232" s="1">
        <v>2.70153700172873E-3</v>
      </c>
      <c r="D1232" s="1">
        <v>3.0736922268014601</v>
      </c>
      <c r="E1232" s="1">
        <v>-2.0773673486185098</v>
      </c>
      <c r="F1232" s="1">
        <v>0.36733400268459099</v>
      </c>
      <c r="G1232" s="3" t="str">
        <f>"TYRP1"</f>
        <v>TYRP1</v>
      </c>
      <c r="H1232" s="1">
        <v>7306</v>
      </c>
      <c r="I1232" s="1" t="str">
        <f>"tyrosinase related protein 1"</f>
        <v>tyrosinase related protein 1</v>
      </c>
    </row>
    <row r="1233" spans="1:9" x14ac:dyDescent="0.35">
      <c r="A1233" s="1" t="str">
        <f>"209340_at"</f>
        <v>209340_at</v>
      </c>
      <c r="B1233" s="1">
        <v>1.6663713925418099E-4</v>
      </c>
      <c r="C1233" s="2">
        <v>5.0627538156926899E-6</v>
      </c>
      <c r="D1233" s="1">
        <v>-4.8133454937370601</v>
      </c>
      <c r="E1233" s="1">
        <v>3.7753130996625699</v>
      </c>
      <c r="F1233" s="1">
        <v>-0.56867044504941899</v>
      </c>
      <c r="G1233" s="3" t="str">
        <f>"UAP1"</f>
        <v>UAP1</v>
      </c>
      <c r="H1233" s="1">
        <v>6675</v>
      </c>
      <c r="I1233" s="1" t="str">
        <f>"UDP-N-acetylglucosamine pyrophosphorylase 1"</f>
        <v>UDP-N-acetylglucosamine pyrophosphorylase 1</v>
      </c>
    </row>
    <row r="1234" spans="1:9" x14ac:dyDescent="0.35">
      <c r="A1234" s="1" t="str">
        <f>"209115_at"</f>
        <v>209115_at</v>
      </c>
      <c r="B1234" s="1">
        <v>1.48254404230232E-2</v>
      </c>
      <c r="C1234" s="1">
        <v>1.48896380154196E-3</v>
      </c>
      <c r="D1234" s="1">
        <v>3.2638272645568698</v>
      </c>
      <c r="E1234" s="1">
        <v>-1.5350526098094399</v>
      </c>
      <c r="F1234" s="1">
        <v>0.37147297784447703</v>
      </c>
      <c r="G1234" s="3" t="str">
        <f>"UBA3"</f>
        <v>UBA3</v>
      </c>
      <c r="H1234" s="1">
        <v>9039</v>
      </c>
      <c r="I1234" s="1" t="str">
        <f>"ubiquitin like modifier activating enzyme 3"</f>
        <v>ubiquitin like modifier activating enzyme 3</v>
      </c>
    </row>
    <row r="1235" spans="1:9" x14ac:dyDescent="0.35">
      <c r="A1235" s="1" t="str">
        <f>"208980_s_at"</f>
        <v>208980_s_at</v>
      </c>
      <c r="B1235" s="1">
        <v>2.7514114931355199E-3</v>
      </c>
      <c r="C1235" s="1">
        <v>1.7378255118309199E-4</v>
      </c>
      <c r="D1235" s="1">
        <v>-3.8954425850567702</v>
      </c>
      <c r="E1235" s="1">
        <v>0.44926238076216901</v>
      </c>
      <c r="F1235" s="1">
        <v>-0.38160151220057997</v>
      </c>
      <c r="G1235" s="3" t="str">
        <f>"UBC"</f>
        <v>UBC</v>
      </c>
      <c r="H1235" s="1">
        <v>7316</v>
      </c>
      <c r="I1235" s="1" t="str">
        <f>"ubiquitin C"</f>
        <v>ubiquitin C</v>
      </c>
    </row>
    <row r="1236" spans="1:9" x14ac:dyDescent="0.35">
      <c r="A1236" s="1" t="str">
        <f>"200668_s_at"</f>
        <v>200668_s_at</v>
      </c>
      <c r="B1236" s="2">
        <v>1.88951973078425E-5</v>
      </c>
      <c r="C1236" s="2">
        <v>3.65173517152418E-7</v>
      </c>
      <c r="D1236" s="1">
        <v>-5.43483022001032</v>
      </c>
      <c r="E1236" s="1">
        <v>6.2752185507799396</v>
      </c>
      <c r="F1236" s="1">
        <v>-0.47076567657267698</v>
      </c>
      <c r="G1236" s="3" t="str">
        <f>"UBE2D3"</f>
        <v>UBE2D3</v>
      </c>
      <c r="H1236" s="1">
        <v>7323</v>
      </c>
      <c r="I1236" s="1" t="str">
        <f>"ubiquitin conjugating enzyme E2 D3"</f>
        <v>ubiquitin conjugating enzyme E2 D3</v>
      </c>
    </row>
    <row r="1237" spans="1:9" x14ac:dyDescent="0.35">
      <c r="A1237" s="1" t="str">
        <f>"217826_s_at"</f>
        <v>217826_s_at</v>
      </c>
      <c r="B1237" s="1">
        <v>2.4656557862635601E-2</v>
      </c>
      <c r="C1237" s="1">
        <v>2.8968661528690001E-3</v>
      </c>
      <c r="D1237" s="1">
        <v>-3.0508836826095802</v>
      </c>
      <c r="E1237" s="1">
        <v>-2.1406186068550399</v>
      </c>
      <c r="F1237" s="1">
        <v>-0.32096848344331302</v>
      </c>
      <c r="G1237" s="3" t="str">
        <f>"UBE2J1"</f>
        <v>UBE2J1</v>
      </c>
      <c r="H1237" s="1">
        <v>51465</v>
      </c>
      <c r="I1237" s="1" t="str">
        <f>"ubiquitin conjugating enzyme E2 J1"</f>
        <v>ubiquitin conjugating enzyme E2 J1</v>
      </c>
    </row>
    <row r="1238" spans="1:9" x14ac:dyDescent="0.35">
      <c r="A1238" s="1" t="str">
        <f>"202779_s_at"</f>
        <v>202779_s_at</v>
      </c>
      <c r="B1238" s="1">
        <v>2.3360046870216E-4</v>
      </c>
      <c r="C1238" s="2">
        <v>7.7576783574742296E-6</v>
      </c>
      <c r="D1238" s="1">
        <v>-4.7083465737823103</v>
      </c>
      <c r="E1238" s="1">
        <v>3.3712553454458898</v>
      </c>
      <c r="F1238" s="1">
        <v>-0.38959992030523199</v>
      </c>
      <c r="G1238" s="3" t="str">
        <f>"UBE2S"</f>
        <v>UBE2S</v>
      </c>
      <c r="H1238" s="1">
        <v>27338</v>
      </c>
      <c r="I1238" s="1" t="str">
        <f>"ubiquitin conjugating enzyme E2 S"</f>
        <v>ubiquitin conjugating enzyme E2 S</v>
      </c>
    </row>
    <row r="1239" spans="1:9" x14ac:dyDescent="0.35">
      <c r="A1239" s="1" t="str">
        <f>"205687_at"</f>
        <v>205687_at</v>
      </c>
      <c r="B1239" s="2">
        <v>8.7429340447876703E-6</v>
      </c>
      <c r="C1239" s="2">
        <v>1.39287420271042E-7</v>
      </c>
      <c r="D1239" s="1">
        <v>-5.6535786850134402</v>
      </c>
      <c r="E1239" s="1">
        <v>7.1952024967523203</v>
      </c>
      <c r="F1239" s="1">
        <v>-0.36042474862209301</v>
      </c>
      <c r="G1239" s="3" t="str">
        <f>"UBFD1"</f>
        <v>UBFD1</v>
      </c>
      <c r="H1239" s="1">
        <v>56061</v>
      </c>
      <c r="I1239" s="1" t="str">
        <f>"ubiquitin family domain containing 1"</f>
        <v>ubiquitin family domain containing 1</v>
      </c>
    </row>
    <row r="1240" spans="1:9" x14ac:dyDescent="0.35">
      <c r="A1240" s="1" t="str">
        <f>"215884_s_at"</f>
        <v>215884_s_at</v>
      </c>
      <c r="B1240" s="1">
        <v>2.6162656823896301E-2</v>
      </c>
      <c r="C1240" s="1">
        <v>3.1419139999437498E-3</v>
      </c>
      <c r="D1240" s="1">
        <v>3.0242035107025602</v>
      </c>
      <c r="E1240" s="1">
        <v>-2.2141087365610401</v>
      </c>
      <c r="F1240" s="1">
        <v>0.37920606684011499</v>
      </c>
      <c r="G1240" s="3" t="str">
        <f>"UBQLN2"</f>
        <v>UBQLN2</v>
      </c>
      <c r="H1240" s="1">
        <v>29978</v>
      </c>
      <c r="I1240" s="1" t="str">
        <f>"ubiquilin 2"</f>
        <v>ubiquilin 2</v>
      </c>
    </row>
    <row r="1241" spans="1:9" x14ac:dyDescent="0.35">
      <c r="A1241" s="1" t="str">
        <f>"212008_at"</f>
        <v>212008_at</v>
      </c>
      <c r="B1241" s="1">
        <v>9.8222916342900896E-2</v>
      </c>
      <c r="C1241" s="1">
        <v>1.8742711497106102E-2</v>
      </c>
      <c r="D1241" s="1">
        <v>-2.3881226888574201</v>
      </c>
      <c r="E1241" s="1">
        <v>-3.8010278591471698</v>
      </c>
      <c r="F1241" s="1">
        <v>-0.33718319659447699</v>
      </c>
      <c r="G1241" s="3" t="str">
        <f>"UBXN4"</f>
        <v>UBXN4</v>
      </c>
      <c r="H1241" s="1">
        <v>23190</v>
      </c>
      <c r="I1241" s="1" t="str">
        <f>"UBX domain protein 4"</f>
        <v>UBX domain protein 4</v>
      </c>
    </row>
    <row r="1242" spans="1:9" x14ac:dyDescent="0.35">
      <c r="A1242" s="1" t="str">
        <f>"204616_at"</f>
        <v>204616_at</v>
      </c>
      <c r="B1242" s="1">
        <v>4.2758195402661202E-3</v>
      </c>
      <c r="C1242" s="1">
        <v>3.0203024531610999E-4</v>
      </c>
      <c r="D1242" s="1">
        <v>-3.7397385583413101</v>
      </c>
      <c r="E1242" s="1">
        <v>-6.4848809941849994E-2</v>
      </c>
      <c r="F1242" s="1">
        <v>-0.38188968402761703</v>
      </c>
      <c r="G1242" s="3" t="str">
        <f>"UCHL3"</f>
        <v>UCHL3</v>
      </c>
      <c r="H1242" s="1">
        <v>7347</v>
      </c>
      <c r="I1242" s="1" t="str">
        <f>"ubiquitin C-terminal hydrolase L3"</f>
        <v>ubiquitin C-terminal hydrolase L3</v>
      </c>
    </row>
    <row r="1243" spans="1:9" x14ac:dyDescent="0.35">
      <c r="A1243" s="1" t="str">
        <f>"212633_at"</f>
        <v>212633_at</v>
      </c>
      <c r="B1243" s="1">
        <v>1.9632480472163501E-3</v>
      </c>
      <c r="C1243" s="1">
        <v>1.1039580860575699E-4</v>
      </c>
      <c r="D1243" s="1">
        <v>4.0203191588035398</v>
      </c>
      <c r="E1243" s="1">
        <v>0.87275117448959005</v>
      </c>
      <c r="F1243" s="1">
        <v>0.37311379941133899</v>
      </c>
      <c r="G1243" s="3" t="str">
        <f>"UFL1"</f>
        <v>UFL1</v>
      </c>
      <c r="H1243" s="1">
        <v>23376</v>
      </c>
      <c r="I1243" s="1" t="str">
        <f>"UFM1 specific ligase 1"</f>
        <v>UFM1 specific ligase 1</v>
      </c>
    </row>
    <row r="1244" spans="1:9" x14ac:dyDescent="0.35">
      <c r="A1244" s="1" t="str">
        <f>"218449_at"</f>
        <v>218449_at</v>
      </c>
      <c r="B1244" s="2">
        <v>2.2128894382638199E-7</v>
      </c>
      <c r="C1244" s="2">
        <v>1.48962624305333E-9</v>
      </c>
      <c r="D1244" s="1">
        <v>6.6373658648484204</v>
      </c>
      <c r="E1244" s="1">
        <v>11.543082449010701</v>
      </c>
      <c r="F1244" s="1">
        <v>0.51288087183866304</v>
      </c>
      <c r="G1244" s="3" t="str">
        <f>"UFSP2"</f>
        <v>UFSP2</v>
      </c>
      <c r="H1244" s="1">
        <v>55325</v>
      </c>
      <c r="I1244" s="1" t="str">
        <f>"UFM1 specific peptidase 2"</f>
        <v>UFM1 specific peptidase 2</v>
      </c>
    </row>
    <row r="1245" spans="1:9" x14ac:dyDescent="0.35">
      <c r="A1245" s="1" t="str">
        <f>"221765_at"</f>
        <v>221765_at</v>
      </c>
      <c r="B1245" s="2">
        <v>9.7339397656977697E-5</v>
      </c>
      <c r="C1245" s="2">
        <v>2.6860589892283802E-6</v>
      </c>
      <c r="D1245" s="1">
        <v>-4.96695652722061</v>
      </c>
      <c r="E1245" s="1">
        <v>4.3764046056515902</v>
      </c>
      <c r="F1245" s="1">
        <v>-0.321742288793604</v>
      </c>
      <c r="G1245" s="3" t="str">
        <f>"UGCG"</f>
        <v>UGCG</v>
      </c>
      <c r="H1245" s="1">
        <v>7357</v>
      </c>
      <c r="I1245" s="1" t="str">
        <f>"UDP-glucose ceramide glucosyltransferase"</f>
        <v>UDP-glucose ceramide glucosyltransferase</v>
      </c>
    </row>
    <row r="1246" spans="1:9" x14ac:dyDescent="0.35">
      <c r="A1246" s="1" t="str">
        <f>"205480_s_at"</f>
        <v>205480_s_at</v>
      </c>
      <c r="B1246" s="2">
        <v>1.1883868651102399E-5</v>
      </c>
      <c r="C1246" s="2">
        <v>2.0395104545870601E-7</v>
      </c>
      <c r="D1246" s="1">
        <v>-5.5675315171986401</v>
      </c>
      <c r="E1246" s="1">
        <v>6.8310222363971196</v>
      </c>
      <c r="F1246" s="1">
        <v>-0.40018537381104102</v>
      </c>
      <c r="G1246" s="3" t="str">
        <f>"UGP2"</f>
        <v>UGP2</v>
      </c>
      <c r="H1246" s="1">
        <v>7360</v>
      </c>
      <c r="I1246" s="1" t="str">
        <f>"UDP-glucose pyrophosphorylase 2"</f>
        <v>UDP-glucose pyrophosphorylase 2</v>
      </c>
    </row>
    <row r="1247" spans="1:9" x14ac:dyDescent="0.35">
      <c r="A1247" s="1" t="str">
        <f>"201831_s_at"</f>
        <v>201831_s_at</v>
      </c>
      <c r="B1247" s="1">
        <v>1.7862731893874099E-2</v>
      </c>
      <c r="C1247" s="1">
        <v>1.89024466210811E-3</v>
      </c>
      <c r="D1247" s="1">
        <v>-3.1886022272585999</v>
      </c>
      <c r="E1247" s="1">
        <v>-1.75279906400192</v>
      </c>
      <c r="F1247" s="1">
        <v>-0.39816818828342898</v>
      </c>
      <c r="G1247" s="3" t="str">
        <f>"USO1"</f>
        <v>USO1</v>
      </c>
      <c r="H1247" s="1">
        <v>8615</v>
      </c>
      <c r="I1247" s="1" t="str">
        <f>"USO1 vesicle transport factor"</f>
        <v>USO1 vesicle transport factor</v>
      </c>
    </row>
    <row r="1248" spans="1:9" x14ac:dyDescent="0.35">
      <c r="A1248" s="1" t="str">
        <f>"213327_s_at"</f>
        <v>213327_s_at</v>
      </c>
      <c r="B1248" s="2">
        <v>8.3073915241663906E-5</v>
      </c>
      <c r="C1248" s="2">
        <v>2.1783689210166899E-6</v>
      </c>
      <c r="D1248" s="1">
        <v>-5.0171536167639896</v>
      </c>
      <c r="E1248" s="1">
        <v>4.5753212106167203</v>
      </c>
      <c r="F1248" s="1">
        <v>-0.449344161981104</v>
      </c>
      <c r="G1248" s="3" t="str">
        <f>"USP12"</f>
        <v>USP12</v>
      </c>
      <c r="H1248" s="1">
        <v>219333</v>
      </c>
      <c r="I1248" s="1" t="str">
        <f>"ubiquitin specific peptidase 12"</f>
        <v>ubiquitin specific peptidase 12</v>
      </c>
    </row>
    <row r="1249" spans="1:9" x14ac:dyDescent="0.35">
      <c r="A1249" s="1" t="str">
        <f>"220079_s_at"</f>
        <v>220079_s_at</v>
      </c>
      <c r="B1249" s="1">
        <v>9.2266850891909308E-3</v>
      </c>
      <c r="C1249" s="1">
        <v>8.1033176500231797E-4</v>
      </c>
      <c r="D1249" s="1">
        <v>3.4505029771495499</v>
      </c>
      <c r="E1249" s="1">
        <v>-0.97710681137191502</v>
      </c>
      <c r="F1249" s="1">
        <v>0.30603824499418503</v>
      </c>
      <c r="G1249" s="3" t="str">
        <f>"USP48"</f>
        <v>USP48</v>
      </c>
      <c r="H1249" s="1">
        <v>84196</v>
      </c>
      <c r="I1249" s="1" t="str">
        <f>"ubiquitin specific peptidase 48"</f>
        <v>ubiquitin specific peptidase 48</v>
      </c>
    </row>
    <row r="1250" spans="1:9" x14ac:dyDescent="0.35">
      <c r="A1250" s="1" t="str">
        <f>"203721_s_at"</f>
        <v>203721_s_at</v>
      </c>
      <c r="B1250" s="1">
        <v>3.1977211704350098E-2</v>
      </c>
      <c r="C1250" s="1">
        <v>4.1300729383440199E-3</v>
      </c>
      <c r="D1250" s="1">
        <v>-2.9331296499749699</v>
      </c>
      <c r="E1250" s="1">
        <v>-2.4608945879458601</v>
      </c>
      <c r="F1250" s="1">
        <v>-0.314249792133723</v>
      </c>
      <c r="G1250" s="3" t="str">
        <f>"UTP18"</f>
        <v>UTP18</v>
      </c>
      <c r="H1250" s="1">
        <v>51096</v>
      </c>
      <c r="I1250" s="1" t="str">
        <f>"UTP18, small subunit processome component"</f>
        <v>UTP18, small subunit processome component</v>
      </c>
    </row>
    <row r="1251" spans="1:9" x14ac:dyDescent="0.35">
      <c r="A1251" s="1" t="str">
        <f>"201337_s_at"</f>
        <v>201337_s_at</v>
      </c>
      <c r="B1251" s="1">
        <v>0.124069840765268</v>
      </c>
      <c r="C1251" s="1">
        <v>2.62972605993072E-2</v>
      </c>
      <c r="D1251" s="1">
        <v>-2.2540108344691201</v>
      </c>
      <c r="E1251" s="1">
        <v>-4.0934383699842796</v>
      </c>
      <c r="F1251" s="1">
        <v>-0.49428985371366402</v>
      </c>
      <c r="G1251" s="3" t="str">
        <f>"VAMP3"</f>
        <v>VAMP3</v>
      </c>
      <c r="H1251" s="1">
        <v>9341</v>
      </c>
      <c r="I1251" s="1" t="str">
        <f>"vesicle associated membrane protein 3"</f>
        <v>vesicle associated membrane protein 3</v>
      </c>
    </row>
    <row r="1252" spans="1:9" x14ac:dyDescent="0.35">
      <c r="A1252" s="1" t="str">
        <f>"204929_s_at"</f>
        <v>204929_s_at</v>
      </c>
      <c r="B1252" s="1">
        <v>1.389041187859E-3</v>
      </c>
      <c r="C1252" s="2">
        <v>7.1998499841903799E-5</v>
      </c>
      <c r="D1252" s="1">
        <v>-4.1357425870605198</v>
      </c>
      <c r="E1252" s="1">
        <v>1.2727572005390499</v>
      </c>
      <c r="F1252" s="1">
        <v>-0.33371474169040499</v>
      </c>
      <c r="G1252" s="3" t="str">
        <f>"VAMP5"</f>
        <v>VAMP5</v>
      </c>
      <c r="H1252" s="1">
        <v>10791</v>
      </c>
      <c r="I1252" s="1" t="str">
        <f>"vesicle associated membrane protein 5"</f>
        <v>vesicle associated membrane protein 5</v>
      </c>
    </row>
    <row r="1253" spans="1:9" x14ac:dyDescent="0.35">
      <c r="A1253" s="1" t="str">
        <f>"201797_s_at"</f>
        <v>201797_s_at</v>
      </c>
      <c r="B1253" s="1">
        <v>5.2748170605433999E-4</v>
      </c>
      <c r="C1253" s="2">
        <v>2.09270642976016E-5</v>
      </c>
      <c r="D1253" s="1">
        <v>-4.4587667299397404</v>
      </c>
      <c r="E1253" s="1">
        <v>2.4340850673364902</v>
      </c>
      <c r="F1253" s="1">
        <v>-0.301918519808139</v>
      </c>
      <c r="G1253" s="3" t="str">
        <f>"VARS"</f>
        <v>VARS</v>
      </c>
      <c r="H1253" s="1">
        <v>7407</v>
      </c>
      <c r="I1253" s="1" t="str">
        <f>"valyl-tRNA synthetase"</f>
        <v>valyl-tRNA synthetase</v>
      </c>
    </row>
    <row r="1254" spans="1:9" x14ac:dyDescent="0.35">
      <c r="A1254" s="1" t="str">
        <f>"221731_x_at"</f>
        <v>221731_x_at</v>
      </c>
      <c r="B1254" s="1">
        <v>0.127648413053606</v>
      </c>
      <c r="C1254" s="1">
        <v>2.7405197147980599E-2</v>
      </c>
      <c r="D1254" s="1">
        <v>2.2372925050716499</v>
      </c>
      <c r="E1254" s="1">
        <v>-4.1288211317735701</v>
      </c>
      <c r="F1254" s="1">
        <v>0.343968627819771</v>
      </c>
      <c r="G1254" s="3" t="str">
        <f>"VCAN"</f>
        <v>VCAN</v>
      </c>
      <c r="H1254" s="1">
        <v>1462</v>
      </c>
      <c r="I1254" s="1" t="str">
        <f>"versican"</f>
        <v>versican</v>
      </c>
    </row>
    <row r="1255" spans="1:9" x14ac:dyDescent="0.35">
      <c r="A1255" s="1" t="str">
        <f>"200930_s_at"</f>
        <v>200930_s_at</v>
      </c>
      <c r="B1255" s="1">
        <v>9.6070465979377002E-4</v>
      </c>
      <c r="C1255" s="2">
        <v>4.5053914171542797E-5</v>
      </c>
      <c r="D1255" s="1">
        <v>-4.26006180197344</v>
      </c>
      <c r="E1255" s="1">
        <v>1.7125457457106299</v>
      </c>
      <c r="F1255" s="1">
        <v>-0.308462490777617</v>
      </c>
      <c r="G1255" s="3" t="str">
        <f>"VCL"</f>
        <v>VCL</v>
      </c>
      <c r="H1255" s="1">
        <v>7414</v>
      </c>
      <c r="I1255" s="1" t="str">
        <f>"vinculin"</f>
        <v>vinculin</v>
      </c>
    </row>
    <row r="1256" spans="1:9" x14ac:dyDescent="0.35">
      <c r="A1256" s="1" t="str">
        <f>"208845_at"</f>
        <v>208845_at</v>
      </c>
      <c r="B1256" s="1">
        <v>1.60447589295371E-4</v>
      </c>
      <c r="C1256" s="2">
        <v>4.8387012523667897E-6</v>
      </c>
      <c r="D1256" s="1">
        <v>4.8244055605930702</v>
      </c>
      <c r="E1256" s="1">
        <v>3.81820083746207</v>
      </c>
      <c r="F1256" s="1">
        <v>0.41120767160900801</v>
      </c>
      <c r="G1256" s="3" t="str">
        <f>"VDAC3"</f>
        <v>VDAC3</v>
      </c>
      <c r="H1256" s="1">
        <v>7419</v>
      </c>
      <c r="I1256" s="1" t="str">
        <f>"voltage dependent anion channel 3"</f>
        <v>voltage dependent anion channel 3</v>
      </c>
    </row>
    <row r="1257" spans="1:9" x14ac:dyDescent="0.35">
      <c r="A1257" s="1" t="str">
        <f>"210512_s_at"</f>
        <v>210512_s_at</v>
      </c>
      <c r="B1257" s="1">
        <v>3.3005301846916697E-2</v>
      </c>
      <c r="C1257" s="1">
        <v>4.31618047758E-3</v>
      </c>
      <c r="D1257" s="1">
        <v>2.9182673876563401</v>
      </c>
      <c r="E1257" s="1">
        <v>-2.5005643943549298</v>
      </c>
      <c r="F1257" s="1">
        <v>0.308271770748549</v>
      </c>
      <c r="G1257" s="3" t="str">
        <f>"VEGFA"</f>
        <v>VEGFA</v>
      </c>
      <c r="H1257" s="1">
        <v>7422</v>
      </c>
      <c r="I1257" s="1" t="str">
        <f>"vascular endothelial growth factor A"</f>
        <v>vascular endothelial growth factor A</v>
      </c>
    </row>
    <row r="1258" spans="1:9" x14ac:dyDescent="0.35">
      <c r="A1258" s="1" t="str">
        <f>"203683_s_at"</f>
        <v>203683_s_at</v>
      </c>
      <c r="B1258" s="1">
        <v>5.2520974981281797E-2</v>
      </c>
      <c r="C1258" s="1">
        <v>7.9784364902229891E-3</v>
      </c>
      <c r="D1258" s="1">
        <v>2.7053016519403501</v>
      </c>
      <c r="E1258" s="1">
        <v>-3.05008780740632</v>
      </c>
      <c r="F1258" s="1">
        <v>0.31796803982557997</v>
      </c>
      <c r="G1258" s="3" t="str">
        <f>"VEGFB"</f>
        <v>VEGFB</v>
      </c>
      <c r="H1258" s="1">
        <v>7423</v>
      </c>
      <c r="I1258" s="1" t="str">
        <f>"vascular endothelial growth factor B"</f>
        <v>vascular endothelial growth factor B</v>
      </c>
    </row>
    <row r="1259" spans="1:9" x14ac:dyDescent="0.35">
      <c r="A1259" s="1" t="str">
        <f>"202171_at"</f>
        <v>202171_at</v>
      </c>
      <c r="B1259" s="1">
        <v>1.98768956934629E-2</v>
      </c>
      <c r="C1259" s="1">
        <v>2.1802761711745599E-3</v>
      </c>
      <c r="D1259" s="1">
        <v>-3.1430170517439202</v>
      </c>
      <c r="E1259" s="1">
        <v>-1.8827294038147599</v>
      </c>
      <c r="F1259" s="1">
        <v>-0.30555001354505601</v>
      </c>
      <c r="G1259" s="3" t="str">
        <f>"VEZF1"</f>
        <v>VEZF1</v>
      </c>
      <c r="H1259" s="1">
        <v>7716</v>
      </c>
      <c r="I1259" s="1" t="str">
        <f>"vascular endothelial zinc finger 1"</f>
        <v>vascular endothelial zinc finger 1</v>
      </c>
    </row>
    <row r="1260" spans="1:9" x14ac:dyDescent="0.35">
      <c r="A1260" s="1" t="str">
        <f>"212399_s_at"</f>
        <v>212399_s_at</v>
      </c>
      <c r="B1260" s="1">
        <v>3.0713942719971397E-4</v>
      </c>
      <c r="C1260" s="2">
        <v>1.08201072724398E-5</v>
      </c>
      <c r="D1260" s="1">
        <v>4.6255462225546804</v>
      </c>
      <c r="E1260" s="1">
        <v>3.05664846586685</v>
      </c>
      <c r="F1260" s="1">
        <v>0.30732737981250002</v>
      </c>
      <c r="G1260" s="3" t="str">
        <f>"VGLL4"</f>
        <v>VGLL4</v>
      </c>
      <c r="H1260" s="1">
        <v>9686</v>
      </c>
      <c r="I1260" s="1" t="str">
        <f>"vestigial like family member 4"</f>
        <v>vestigial like family member 4</v>
      </c>
    </row>
    <row r="1261" spans="1:9" x14ac:dyDescent="0.35">
      <c r="A1261" s="1" t="str">
        <f>"212323_s_at"</f>
        <v>212323_s_at</v>
      </c>
      <c r="B1261" s="2">
        <v>2.5499742946770901E-5</v>
      </c>
      <c r="C1261" s="2">
        <v>5.1725009253424E-7</v>
      </c>
      <c r="D1261" s="1">
        <v>-5.3547412414538798</v>
      </c>
      <c r="E1261" s="1">
        <v>5.9433135347192998</v>
      </c>
      <c r="F1261" s="1">
        <v>-0.40762772262354102</v>
      </c>
      <c r="G1261" s="3" t="str">
        <f>"VPS13D"</f>
        <v>VPS13D</v>
      </c>
      <c r="H1261" s="1">
        <v>55187</v>
      </c>
      <c r="I1261" s="1" t="str">
        <f>"vacuolar protein sorting 13 homolog D"</f>
        <v>vacuolar protein sorting 13 homolog D</v>
      </c>
    </row>
    <row r="1262" spans="1:9" x14ac:dyDescent="0.35">
      <c r="A1262" s="1" t="str">
        <f>"217727_x_at"</f>
        <v>217727_x_at</v>
      </c>
      <c r="B1262" s="1">
        <v>7.8989020031559995E-4</v>
      </c>
      <c r="C1262" s="2">
        <v>3.5304429222485299E-5</v>
      </c>
      <c r="D1262" s="1">
        <v>4.3238513954845299</v>
      </c>
      <c r="E1262" s="1">
        <v>1.9417234005400901</v>
      </c>
      <c r="F1262" s="1">
        <v>0.30551539409883499</v>
      </c>
      <c r="G1262" s="3" t="str">
        <f>"VPS35"</f>
        <v>VPS35</v>
      </c>
      <c r="H1262" s="1">
        <v>55737</v>
      </c>
      <c r="I1262" s="1" t="str">
        <f>"VPS35 retromer complex component"</f>
        <v>VPS35 retromer complex component</v>
      </c>
    </row>
    <row r="1263" spans="1:9" x14ac:dyDescent="0.35">
      <c r="A1263" s="1" t="str">
        <f>"209268_at"</f>
        <v>209268_at</v>
      </c>
      <c r="B1263" s="1">
        <v>1.0716019160835001E-4</v>
      </c>
      <c r="C1263" s="2">
        <v>3.0104689649879698E-6</v>
      </c>
      <c r="D1263" s="1">
        <v>4.9395194367423496</v>
      </c>
      <c r="E1263" s="1">
        <v>4.2681917745543201</v>
      </c>
      <c r="F1263" s="1">
        <v>0.41275215405669102</v>
      </c>
      <c r="G1263" s="3" t="str">
        <f>"VPS45"</f>
        <v>VPS45</v>
      </c>
      <c r="H1263" s="1">
        <v>11311</v>
      </c>
      <c r="I1263" s="1" t="str">
        <f>"vacuolar protein sorting 45 homolog"</f>
        <v>vacuolar protein sorting 45 homolog</v>
      </c>
    </row>
    <row r="1264" spans="1:9" x14ac:dyDescent="0.35">
      <c r="A1264" s="1" t="str">
        <f>"204787_at"</f>
        <v>204787_at</v>
      </c>
      <c r="B1264" s="1">
        <v>2.20874816649385E-4</v>
      </c>
      <c r="C1264" s="2">
        <v>7.2458596674909198E-6</v>
      </c>
      <c r="D1264" s="1">
        <v>-4.7252280317219499</v>
      </c>
      <c r="E1264" s="1">
        <v>3.4358370880234399</v>
      </c>
      <c r="F1264" s="1">
        <v>-0.73968004540697896</v>
      </c>
      <c r="G1264" s="3" t="str">
        <f>"VSIG4"</f>
        <v>VSIG4</v>
      </c>
      <c r="H1264" s="1">
        <v>11326</v>
      </c>
      <c r="I1264" s="1" t="str">
        <f>"V-set and immunoglobulin domain containing 4"</f>
        <v>V-set and immunoglobulin domain containing 4</v>
      </c>
    </row>
    <row r="1265" spans="1:9" x14ac:dyDescent="0.35">
      <c r="A1265" s="1" t="str">
        <f>"203797_at"</f>
        <v>203797_at</v>
      </c>
      <c r="B1265" s="1">
        <v>3.85774251571882E-4</v>
      </c>
      <c r="C1265" s="2">
        <v>1.42308681412775E-5</v>
      </c>
      <c r="D1265" s="1">
        <v>4.5567049207034396</v>
      </c>
      <c r="E1265" s="1">
        <v>2.7978468779929102</v>
      </c>
      <c r="F1265" s="1">
        <v>0.32827440103488598</v>
      </c>
      <c r="G1265" s="3" t="str">
        <f>"VSNL1"</f>
        <v>VSNL1</v>
      </c>
      <c r="H1265" s="1">
        <v>7447</v>
      </c>
      <c r="I1265" s="1" t="str">
        <f>"visinin like 1"</f>
        <v>visinin like 1</v>
      </c>
    </row>
    <row r="1266" spans="1:9" x14ac:dyDescent="0.35">
      <c r="A1266" s="1" t="str">
        <f>"212946_at"</f>
        <v>212946_at</v>
      </c>
      <c r="B1266" s="1">
        <v>4.7133834571772199E-4</v>
      </c>
      <c r="C1266" s="2">
        <v>1.8106431985566099E-5</v>
      </c>
      <c r="D1266" s="1">
        <v>4.4956837866267696</v>
      </c>
      <c r="E1266" s="1">
        <v>2.57058483896208</v>
      </c>
      <c r="F1266" s="1">
        <v>0.33402101610320201</v>
      </c>
      <c r="G1266" s="3" t="str">
        <f>"VWA8"</f>
        <v>VWA8</v>
      </c>
      <c r="H1266" s="1">
        <v>23078</v>
      </c>
      <c r="I1266" s="1" t="str">
        <f>"von Willebrand factor A domain containing 8"</f>
        <v>von Willebrand factor A domain containing 8</v>
      </c>
    </row>
    <row r="1267" spans="1:9" x14ac:dyDescent="0.35">
      <c r="A1267" s="1" t="str">
        <f>"202112_at"</f>
        <v>202112_at</v>
      </c>
      <c r="B1267" s="1">
        <v>2.1465709805551101E-2</v>
      </c>
      <c r="C1267" s="1">
        <v>2.4150488929909099E-3</v>
      </c>
      <c r="D1267" s="1">
        <v>3.1100772255579701</v>
      </c>
      <c r="E1267" s="1">
        <v>-1.97565899859713</v>
      </c>
      <c r="F1267" s="1">
        <v>0.34764574898837902</v>
      </c>
      <c r="G1267" s="3" t="str">
        <f>"VWF"</f>
        <v>VWF</v>
      </c>
      <c r="H1267" s="1">
        <v>7450</v>
      </c>
      <c r="I1267" s="1" t="str">
        <f>"von Willebrand factor"</f>
        <v>von Willebrand factor</v>
      </c>
    </row>
    <row r="1268" spans="1:9" x14ac:dyDescent="0.35">
      <c r="A1268" s="1" t="str">
        <f>"219679_s_at"</f>
        <v>219679_s_at</v>
      </c>
      <c r="B1268" s="1">
        <v>0.100933389222074</v>
      </c>
      <c r="C1268" s="1">
        <v>1.95498141131119E-2</v>
      </c>
      <c r="D1268" s="1">
        <v>-2.3717135317782199</v>
      </c>
      <c r="E1268" s="1">
        <v>-3.8376193909538001</v>
      </c>
      <c r="F1268" s="1">
        <v>-0.38573021172529198</v>
      </c>
      <c r="G1268" s="3" t="str">
        <f>"WAC"</f>
        <v>WAC</v>
      </c>
      <c r="H1268" s="1">
        <v>51322</v>
      </c>
      <c r="I1268" s="1" t="str">
        <f>"WW domain containing adaptor with coiled-coil"</f>
        <v>WW domain containing adaptor with coiled-coil</v>
      </c>
    </row>
    <row r="1269" spans="1:9" x14ac:dyDescent="0.35">
      <c r="A1269" s="1" t="str">
        <f>"200628_s_at"</f>
        <v>200628_s_at</v>
      </c>
      <c r="B1269" s="1">
        <v>1.71439719516524E-3</v>
      </c>
      <c r="C1269" s="2">
        <v>9.3998849625957496E-5</v>
      </c>
      <c r="D1269" s="1">
        <v>-4.0639815707812001</v>
      </c>
      <c r="E1269" s="1">
        <v>1.0231095431005699</v>
      </c>
      <c r="F1269" s="1">
        <v>-0.42636229806250497</v>
      </c>
      <c r="G1269" s="3" t="str">
        <f>"WARS"</f>
        <v>WARS</v>
      </c>
      <c r="H1269" s="1">
        <v>7453</v>
      </c>
      <c r="I1269" s="1" t="str">
        <f>"tryptophanyl-tRNA synthetase"</f>
        <v>tryptophanyl-tRNA synthetase</v>
      </c>
    </row>
    <row r="1270" spans="1:9" x14ac:dyDescent="0.35">
      <c r="A1270" s="1" t="str">
        <f>"200611_s_at"</f>
        <v>200611_s_at</v>
      </c>
      <c r="B1270" s="2">
        <v>5.9395489336801296E-7</v>
      </c>
      <c r="C1270" s="2">
        <v>5.0378079633152903E-9</v>
      </c>
      <c r="D1270" s="1">
        <v>-6.3794501235644097</v>
      </c>
      <c r="E1270" s="1">
        <v>10.373635955922399</v>
      </c>
      <c r="F1270" s="1">
        <v>-0.40870335974563499</v>
      </c>
      <c r="G1270" s="3" t="str">
        <f>"WDR1"</f>
        <v>WDR1</v>
      </c>
      <c r="H1270" s="1">
        <v>9948</v>
      </c>
      <c r="I1270" s="1" t="str">
        <f>"WD repeat domain 1"</f>
        <v>WD repeat domain 1</v>
      </c>
    </row>
    <row r="1271" spans="1:9" x14ac:dyDescent="0.35">
      <c r="A1271" s="1" t="str">
        <f>"209196_at"</f>
        <v>209196_at</v>
      </c>
      <c r="B1271" s="1">
        <v>1.25205084830545E-3</v>
      </c>
      <c r="C1271" s="2">
        <v>6.2931245797338806E-5</v>
      </c>
      <c r="D1271" s="1">
        <v>-4.1716735733001</v>
      </c>
      <c r="E1271" s="1">
        <v>1.3989232418444799</v>
      </c>
      <c r="F1271" s="1">
        <v>-0.30186453984593298</v>
      </c>
      <c r="G1271" s="3" t="str">
        <f>"WDR46"</f>
        <v>WDR46</v>
      </c>
      <c r="H1271" s="1">
        <v>9277</v>
      </c>
      <c r="I1271" s="1" t="str">
        <f>"WD repeat domain 46"</f>
        <v>WD repeat domain 46</v>
      </c>
    </row>
    <row r="1272" spans="1:9" x14ac:dyDescent="0.35">
      <c r="A1272" s="1" t="str">
        <f>"202908_at"</f>
        <v>202908_at</v>
      </c>
      <c r="B1272" s="1">
        <v>6.1925718557198596E-4</v>
      </c>
      <c r="C1272" s="2">
        <v>2.5900807653955501E-5</v>
      </c>
      <c r="D1272" s="1">
        <v>4.4040584589350402</v>
      </c>
      <c r="E1272" s="1">
        <v>2.2331951163185102</v>
      </c>
      <c r="F1272" s="1">
        <v>0.466977292328491</v>
      </c>
      <c r="G1272" s="3" t="str">
        <f>"WFS1"</f>
        <v>WFS1</v>
      </c>
      <c r="H1272" s="1">
        <v>7466</v>
      </c>
      <c r="I1272" s="1" t="str">
        <f>"wolframin ER transmembrane glycoprotein"</f>
        <v>wolframin ER transmembrane glycoprotein</v>
      </c>
    </row>
    <row r="1273" spans="1:9" x14ac:dyDescent="0.35">
      <c r="A1273" s="1" t="str">
        <f>"221958_s_at"</f>
        <v>221958_s_at</v>
      </c>
      <c r="B1273" s="1">
        <v>2.18415840947586E-4</v>
      </c>
      <c r="C1273" s="2">
        <v>7.1455884777987803E-6</v>
      </c>
      <c r="D1273" s="1">
        <v>4.7286704371323696</v>
      </c>
      <c r="E1273" s="1">
        <v>3.4490244513407</v>
      </c>
      <c r="F1273" s="1">
        <v>0.33128412520348699</v>
      </c>
      <c r="G1273" s="3" t="str">
        <f>"WLS"</f>
        <v>WLS</v>
      </c>
      <c r="H1273" s="1">
        <v>79971</v>
      </c>
      <c r="I1273" s="1" t="str">
        <f>"wntless Wnt ligand secretion mediator"</f>
        <v>wntless Wnt ligand secretion mediator</v>
      </c>
    </row>
    <row r="1274" spans="1:9" x14ac:dyDescent="0.35">
      <c r="A1274" s="1" t="str">
        <f>"203137_at"</f>
        <v>203137_at</v>
      </c>
      <c r="B1274" s="1">
        <v>3.7681018106301401E-3</v>
      </c>
      <c r="C1274" s="1">
        <v>2.5889529560987E-4</v>
      </c>
      <c r="D1274" s="1">
        <v>-3.7835683863348701</v>
      </c>
      <c r="E1274" s="1">
        <v>7.8280403565452503E-2</v>
      </c>
      <c r="F1274" s="1">
        <v>-0.369344497831396</v>
      </c>
      <c r="G1274" s="3" t="str">
        <f>"WTAP"</f>
        <v>WTAP</v>
      </c>
      <c r="H1274" s="1">
        <v>9589</v>
      </c>
      <c r="I1274" s="1" t="str">
        <f>"Wilms tumor 1 associated protein"</f>
        <v>Wilms tumor 1 associated protein</v>
      </c>
    </row>
    <row r="1275" spans="1:9" x14ac:dyDescent="0.35">
      <c r="A1275" s="1" t="str">
        <f>"200670_at"</f>
        <v>200670_at</v>
      </c>
      <c r="B1275" s="1">
        <v>1.52079564298781E-3</v>
      </c>
      <c r="C1275" s="2">
        <v>8.0670486470026099E-5</v>
      </c>
      <c r="D1275" s="1">
        <v>-4.1052311426964803</v>
      </c>
      <c r="E1275" s="1">
        <v>1.1662302178783901</v>
      </c>
      <c r="F1275" s="1">
        <v>-0.311626791295054</v>
      </c>
      <c r="G1275" s="3" t="str">
        <f>"XBP1"</f>
        <v>XBP1</v>
      </c>
      <c r="H1275" s="1">
        <v>7494</v>
      </c>
      <c r="I1275" s="1" t="str">
        <f>"X-box binding protein 1"</f>
        <v>X-box binding protein 1</v>
      </c>
    </row>
    <row r="1276" spans="1:9" x14ac:dyDescent="0.35">
      <c r="A1276" s="1" t="str">
        <f>"212160_at"</f>
        <v>212160_at</v>
      </c>
      <c r="B1276" s="1">
        <v>1.2578714148160899E-3</v>
      </c>
      <c r="C1276" s="2">
        <v>6.3280252031092804E-5</v>
      </c>
      <c r="D1276" s="1">
        <v>-4.1702010577647401</v>
      </c>
      <c r="E1276" s="1">
        <v>1.39373756557833</v>
      </c>
      <c r="F1276" s="1">
        <v>-0.36163357072383601</v>
      </c>
      <c r="G1276" s="3" t="str">
        <f>"XPOT"</f>
        <v>XPOT</v>
      </c>
      <c r="H1276" s="1">
        <v>11260</v>
      </c>
      <c r="I1276" s="1" t="str">
        <f>"exportin for tRNA"</f>
        <v>exportin for tRNA</v>
      </c>
    </row>
    <row r="1277" spans="1:9" x14ac:dyDescent="0.35">
      <c r="A1277" s="1" t="str">
        <f>"205072_s_at"</f>
        <v>205072_s_at</v>
      </c>
      <c r="B1277" s="2">
        <v>9.4604532397165498E-6</v>
      </c>
      <c r="C1277" s="2">
        <v>1.55813236053313E-7</v>
      </c>
      <c r="D1277" s="1">
        <v>-5.6283453391618403</v>
      </c>
      <c r="E1277" s="1">
        <v>7.0881048588644999</v>
      </c>
      <c r="F1277" s="1">
        <v>-0.39670188413662799</v>
      </c>
      <c r="G1277" s="3" t="str">
        <f>"XRCC4"</f>
        <v>XRCC4</v>
      </c>
      <c r="H1277" s="1">
        <v>7518</v>
      </c>
      <c r="I1277" s="1" t="str">
        <f>"X-ray repair cross complementing 4"</f>
        <v>X-ray repair cross complementing 4</v>
      </c>
    </row>
    <row r="1278" spans="1:9" x14ac:dyDescent="0.35">
      <c r="A1278" s="1" t="str">
        <f>"212048_s_at"</f>
        <v>212048_s_at</v>
      </c>
      <c r="B1278" s="2">
        <v>2.1930333384961799E-7</v>
      </c>
      <c r="C1278" s="2">
        <v>1.4565764668017499E-9</v>
      </c>
      <c r="D1278" s="1">
        <v>-6.6420797588735203</v>
      </c>
      <c r="E1278" s="1">
        <v>11.5646272583355</v>
      </c>
      <c r="F1278" s="1">
        <v>-0.55235588131104296</v>
      </c>
      <c r="G1278" s="3" t="str">
        <f>"YARS"</f>
        <v>YARS</v>
      </c>
      <c r="H1278" s="1">
        <v>8565</v>
      </c>
      <c r="I1278" s="1" t="str">
        <f>"tyrosyl-tRNA synthetase"</f>
        <v>tyrosyl-tRNA synthetase</v>
      </c>
    </row>
    <row r="1279" spans="1:9" x14ac:dyDescent="0.35">
      <c r="A1279" s="1" t="str">
        <f>"201160_s_at"</f>
        <v>201160_s_at</v>
      </c>
      <c r="B1279" s="1">
        <v>5.5013548738156604E-3</v>
      </c>
      <c r="C1279" s="1">
        <v>4.18471323929343E-4</v>
      </c>
      <c r="D1279" s="1">
        <v>-3.64586342318941</v>
      </c>
      <c r="E1279" s="1">
        <v>-0.36713506232077697</v>
      </c>
      <c r="F1279" s="1">
        <v>-0.38572989838517902</v>
      </c>
      <c r="G1279" s="3" t="str">
        <f>"YBX3"</f>
        <v>YBX3</v>
      </c>
      <c r="H1279" s="1">
        <v>8531</v>
      </c>
      <c r="I1279" s="1" t="str">
        <f>"Y-box binding protein 3"</f>
        <v>Y-box binding protein 3</v>
      </c>
    </row>
    <row r="1280" spans="1:9" x14ac:dyDescent="0.35">
      <c r="A1280" s="1" t="str">
        <f>"200638_s_at"</f>
        <v>200638_s_at</v>
      </c>
      <c r="B1280" s="1">
        <v>8.9993282494474802E-2</v>
      </c>
      <c r="C1280" s="1">
        <v>1.65948210640307E-2</v>
      </c>
      <c r="D1280" s="1">
        <v>-2.43506265120749</v>
      </c>
      <c r="E1280" s="1">
        <v>-3.6951116379256499</v>
      </c>
      <c r="F1280" s="1">
        <v>-0.37664856247093098</v>
      </c>
      <c r="G1280" s="3" t="str">
        <f>"YWHAZ"</f>
        <v>YWHAZ</v>
      </c>
      <c r="H1280" s="1">
        <v>7534</v>
      </c>
      <c r="I1280" s="1" t="str">
        <f>"tyrosine 3-monooxygenase/tryptophan 5-monooxygenase activation protein zeta"</f>
        <v>tyrosine 3-monooxygenase/tryptophan 5-monooxygenase activation protein zeta</v>
      </c>
    </row>
    <row r="1281" spans="1:9" x14ac:dyDescent="0.35">
      <c r="A1281" s="1" t="str">
        <f>"213158_at"</f>
        <v>213158_at</v>
      </c>
      <c r="B1281" s="1">
        <v>0.12562267453182199</v>
      </c>
      <c r="C1281" s="1">
        <v>2.6818070401107601E-2</v>
      </c>
      <c r="D1281" s="1">
        <v>2.2460766915447699</v>
      </c>
      <c r="E1281" s="1">
        <v>-4.1102599653311804</v>
      </c>
      <c r="F1281" s="1">
        <v>0.34613043526308301</v>
      </c>
      <c r="G1281" s="3" t="str">
        <f>"ZBTB20"</f>
        <v>ZBTB20</v>
      </c>
      <c r="H1281" s="1">
        <v>26137</v>
      </c>
      <c r="I1281" s="1" t="str">
        <f>"zinc finger and BTB domain containing 20"</f>
        <v>zinc finger and BTB domain containing 20</v>
      </c>
    </row>
    <row r="1282" spans="1:9" x14ac:dyDescent="0.35">
      <c r="A1282" s="1" t="str">
        <f>"212764_at"</f>
        <v>212764_at</v>
      </c>
      <c r="B1282" s="2">
        <v>1.45661687714884E-5</v>
      </c>
      <c r="C1282" s="2">
        <v>2.60168521790261E-7</v>
      </c>
      <c r="D1282" s="1">
        <v>5.5122609096361099</v>
      </c>
      <c r="E1282" s="1">
        <v>6.5986544738879296</v>
      </c>
      <c r="F1282" s="1">
        <v>0.49044188915842901</v>
      </c>
      <c r="G1282" s="3" t="str">
        <f>"ZEB1"</f>
        <v>ZEB1</v>
      </c>
      <c r="H1282" s="1">
        <v>6935</v>
      </c>
      <c r="I1282" s="1" t="str">
        <f>"zinc finger E-box binding homeobox 1"</f>
        <v>zinc finger E-box binding homeobox 1</v>
      </c>
    </row>
    <row r="1283" spans="1:9" x14ac:dyDescent="0.35">
      <c r="A1283" s="1" t="str">
        <f>"201531_at"</f>
        <v>201531_at</v>
      </c>
      <c r="B1283" s="1">
        <v>3.9422631104570303E-3</v>
      </c>
      <c r="C1283" s="1">
        <v>2.7404593448359499E-4</v>
      </c>
      <c r="D1283" s="1">
        <v>-3.7674317620783402</v>
      </c>
      <c r="E1283" s="1">
        <v>2.5438893544980499E-2</v>
      </c>
      <c r="F1283" s="1">
        <v>-0.525583751043605</v>
      </c>
      <c r="G1283" s="3" t="str">
        <f>"ZFP36"</f>
        <v>ZFP36</v>
      </c>
      <c r="H1283" s="1">
        <v>7538</v>
      </c>
      <c r="I1283" s="1" t="str">
        <f>"ZFP36 ring finger protein"</f>
        <v>ZFP36 ring finger protein</v>
      </c>
    </row>
    <row r="1284" spans="1:9" x14ac:dyDescent="0.35">
      <c r="A1284" s="1" t="str">
        <f>"202051_s_at"</f>
        <v>202051_s_at</v>
      </c>
      <c r="B1284" s="1">
        <v>1.2301893037766E-4</v>
      </c>
      <c r="C1284" s="2">
        <v>3.5277609169018999E-6</v>
      </c>
      <c r="D1284" s="1">
        <v>4.9012225620076197</v>
      </c>
      <c r="E1284" s="1">
        <v>4.11776007098024</v>
      </c>
      <c r="F1284" s="1">
        <v>0.31661602823982299</v>
      </c>
      <c r="G1284" s="3" t="str">
        <f>"ZMYM4"</f>
        <v>ZMYM4</v>
      </c>
      <c r="H1284" s="1">
        <v>9202</v>
      </c>
      <c r="I1284" s="1" t="str">
        <f>"zinc finger MYM-type containing 4"</f>
        <v>zinc finger MYM-type containing 4</v>
      </c>
    </row>
    <row r="1285" spans="1:9" x14ac:dyDescent="0.35">
      <c r="A1285" s="1" t="str">
        <f>"209048_s_at"</f>
        <v>209048_s_at</v>
      </c>
      <c r="B1285" s="1">
        <v>1.2146397271339501E-3</v>
      </c>
      <c r="C1285" s="2">
        <v>6.0560280790100701E-5</v>
      </c>
      <c r="D1285" s="1">
        <v>-4.1818897264619403</v>
      </c>
      <c r="E1285" s="1">
        <v>1.4349364659185899</v>
      </c>
      <c r="F1285" s="1">
        <v>-0.30683897881686301</v>
      </c>
      <c r="G1285" s="3" t="str">
        <f>"ZMYND8"</f>
        <v>ZMYND8</v>
      </c>
      <c r="H1285" s="1">
        <v>23613</v>
      </c>
      <c r="I1285" s="1" t="str">
        <f>"zinc finger MYND-type containing 8"</f>
        <v>zinc finger MYND-type containing 8</v>
      </c>
    </row>
    <row r="1286" spans="1:9" x14ac:dyDescent="0.35">
      <c r="A1286" s="1" t="str">
        <f>"214761_at"</f>
        <v>214761_at</v>
      </c>
      <c r="B1286" s="2">
        <v>1.4271946837969301E-8</v>
      </c>
      <c r="C1286" s="2">
        <v>4.2441575580627601E-11</v>
      </c>
      <c r="D1286" s="1">
        <v>7.3717038324508497</v>
      </c>
      <c r="E1286" s="1">
        <v>14.9633935771793</v>
      </c>
      <c r="F1286" s="1">
        <v>0.75354655044331598</v>
      </c>
      <c r="G1286" s="3" t="str">
        <f>"ZNF423"</f>
        <v>ZNF423</v>
      </c>
      <c r="H1286" s="1">
        <v>23090</v>
      </c>
      <c r="I1286" s="1" t="str">
        <f>"zinc finger protein 423"</f>
        <v>zinc finger protein 423</v>
      </c>
    </row>
    <row r="1287" spans="1:9" x14ac:dyDescent="0.35">
      <c r="A1287" s="1" t="str">
        <f>"204175_at"</f>
        <v>204175_at</v>
      </c>
      <c r="B1287" s="1">
        <v>1.3826089577662599E-4</v>
      </c>
      <c r="C1287" s="2">
        <v>4.0827388332369901E-6</v>
      </c>
      <c r="D1287" s="1">
        <v>-4.8657880679361698</v>
      </c>
      <c r="E1287" s="1">
        <v>3.9792137934721401</v>
      </c>
      <c r="F1287" s="1">
        <v>-0.38633527078634</v>
      </c>
      <c r="G1287" s="3" t="str">
        <f>"ZNF593"</f>
        <v>ZNF593</v>
      </c>
      <c r="H1287" s="1">
        <v>51042</v>
      </c>
      <c r="I1287" s="1" t="str">
        <f>"zinc finger protein 593"</f>
        <v>zinc finger protein 593</v>
      </c>
    </row>
    <row r="1288" spans="1:9" x14ac:dyDescent="0.35">
      <c r="A1288" s="1" t="str">
        <f>"218312_s_at"</f>
        <v>218312_s_at</v>
      </c>
      <c r="B1288" s="2">
        <v>1.06499421701858E-7</v>
      </c>
      <c r="C1288" s="2">
        <v>5.6874887504021595E-10</v>
      </c>
      <c r="D1288" s="1">
        <v>6.8386058759584101</v>
      </c>
      <c r="E1288" s="1">
        <v>12.467961626351</v>
      </c>
      <c r="F1288" s="1">
        <v>0.43454729808720699</v>
      </c>
      <c r="G1288" s="3" t="str">
        <f>"ZSCAN18"</f>
        <v>ZSCAN18</v>
      </c>
      <c r="H1288" s="1">
        <v>65982</v>
      </c>
      <c r="I1288" s="1" t="str">
        <f>"zinc finger and SCAN domain containing 18"</f>
        <v>zinc finger and SCAN domain containing 18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DEGS(1287).escaped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B</dc:creator>
  <cp:lastModifiedBy>agata</cp:lastModifiedBy>
  <dcterms:created xsi:type="dcterms:W3CDTF">2023-05-03T19:02:51Z</dcterms:created>
  <dcterms:modified xsi:type="dcterms:W3CDTF">2023-05-04T05:29:46Z</dcterms:modified>
</cp:coreProperties>
</file>