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40" yWindow="240" windowWidth="25360" windowHeight="15280" tabRatio="500" firstSheet="3" activeTab="5"/>
  </bookViews>
  <sheets>
    <sheet name="All Data (by sample)" sheetId="1" r:id="rId1"/>
    <sheet name="A+C Data (by batch)" sheetId="11" r:id="rId2"/>
    <sheet name="Pre-Clar Data (by batch)" sheetId="8" r:id="rId3"/>
    <sheet name="STATA import (Pre-clar)" sheetId="12" r:id="rId4"/>
    <sheet name="STATA import (A+C)" sheetId="13" r:id="rId5"/>
    <sheet name="STATA import (all)" sheetId="14" r:id="rId6"/>
    <sheet name="Raw Water Data" sheetId="2" r:id="rId7"/>
    <sheet name="Form" sheetId="6" r:id="rId8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27" i="14" l="1"/>
  <c r="AI27" i="14"/>
  <c r="AK26" i="14"/>
  <c r="AI26" i="14"/>
  <c r="Y25" i="14"/>
  <c r="W25" i="14"/>
  <c r="T25" i="14"/>
  <c r="N25" i="14"/>
  <c r="L25" i="14"/>
  <c r="I25" i="14"/>
  <c r="AK24" i="14"/>
  <c r="AI24" i="14"/>
  <c r="AF24" i="14"/>
  <c r="Y24" i="14"/>
  <c r="W24" i="14"/>
  <c r="T24" i="14"/>
  <c r="N24" i="14"/>
  <c r="L24" i="14"/>
  <c r="I24" i="14"/>
  <c r="Y23" i="14"/>
  <c r="T23" i="14"/>
  <c r="N23" i="14"/>
  <c r="L23" i="14"/>
  <c r="I23" i="14"/>
  <c r="AK22" i="14"/>
  <c r="AI22" i="14"/>
  <c r="AK21" i="14"/>
  <c r="AI21" i="14"/>
  <c r="AK20" i="14"/>
  <c r="AI20" i="14"/>
  <c r="AK19" i="14"/>
  <c r="AI19" i="14"/>
  <c r="N18" i="14"/>
  <c r="L18" i="14"/>
  <c r="I18" i="14"/>
  <c r="AK17" i="14"/>
  <c r="AI17" i="14"/>
  <c r="AF17" i="14"/>
  <c r="N17" i="14"/>
  <c r="L17" i="14"/>
  <c r="I17" i="14"/>
  <c r="AK16" i="14"/>
  <c r="AI16" i="14"/>
  <c r="AF16" i="14"/>
  <c r="N16" i="14"/>
  <c r="L16" i="14"/>
  <c r="I16" i="14"/>
  <c r="AK15" i="14"/>
  <c r="AI15" i="14"/>
  <c r="AF15" i="14"/>
  <c r="N15" i="14"/>
  <c r="L15" i="14"/>
  <c r="I15" i="14"/>
  <c r="Y14" i="14"/>
  <c r="W14" i="14"/>
  <c r="T14" i="14"/>
  <c r="N14" i="14"/>
  <c r="L14" i="14"/>
  <c r="I14" i="14"/>
  <c r="Y13" i="14"/>
  <c r="W13" i="14"/>
  <c r="T13" i="14"/>
  <c r="N13" i="14"/>
  <c r="L13" i="14"/>
  <c r="I13" i="14"/>
  <c r="AK12" i="14"/>
  <c r="AI12" i="14"/>
  <c r="AF12" i="14"/>
  <c r="Y12" i="14"/>
  <c r="W12" i="14"/>
  <c r="T12" i="14"/>
  <c r="N12" i="14"/>
  <c r="L12" i="14"/>
  <c r="I12" i="14"/>
  <c r="AK11" i="14"/>
  <c r="AI11" i="14"/>
  <c r="AF11" i="14"/>
  <c r="Y11" i="14"/>
  <c r="W11" i="14"/>
  <c r="T11" i="14"/>
  <c r="N11" i="14"/>
  <c r="L11" i="14"/>
  <c r="I11" i="14"/>
  <c r="AK10" i="14"/>
  <c r="AI10" i="14"/>
  <c r="AF10" i="14"/>
  <c r="Y10" i="14"/>
  <c r="W10" i="14"/>
  <c r="T10" i="14"/>
  <c r="N10" i="14"/>
  <c r="L10" i="14"/>
  <c r="I10" i="14"/>
  <c r="AK9" i="14"/>
  <c r="AI9" i="14"/>
  <c r="AF9" i="14"/>
  <c r="W9" i="14"/>
  <c r="T9" i="14"/>
  <c r="N9" i="14"/>
  <c r="L9" i="14"/>
  <c r="I9" i="14"/>
  <c r="AK8" i="14"/>
  <c r="AI8" i="14"/>
  <c r="AF8" i="14"/>
  <c r="Y8" i="14"/>
  <c r="W8" i="14"/>
  <c r="T8" i="14"/>
  <c r="N8" i="14"/>
  <c r="L8" i="14"/>
  <c r="I8" i="14"/>
  <c r="AK7" i="14"/>
  <c r="AI7" i="14"/>
  <c r="AF7" i="14"/>
  <c r="Y7" i="14"/>
  <c r="W7" i="14"/>
  <c r="T7" i="14"/>
  <c r="N7" i="14"/>
  <c r="L7" i="14"/>
  <c r="I7" i="14"/>
  <c r="AK6" i="14"/>
  <c r="AI6" i="14"/>
  <c r="AF6" i="14"/>
  <c r="Y6" i="14"/>
  <c r="W6" i="14"/>
  <c r="T6" i="14"/>
  <c r="N6" i="14"/>
  <c r="L6" i="14"/>
  <c r="I6" i="14"/>
  <c r="AK5" i="14"/>
  <c r="AI5" i="14"/>
  <c r="AF5" i="14"/>
  <c r="Y5" i="14"/>
  <c r="W5" i="14"/>
  <c r="T5" i="14"/>
  <c r="N5" i="14"/>
  <c r="L5" i="14"/>
  <c r="I5" i="14"/>
  <c r="AI4" i="14"/>
  <c r="AF4" i="14"/>
  <c r="W4" i="14"/>
  <c r="T4" i="14"/>
  <c r="L4" i="14"/>
  <c r="I4" i="14"/>
  <c r="AI3" i="14"/>
  <c r="AF3" i="14"/>
  <c r="W3" i="14"/>
  <c r="T3" i="14"/>
  <c r="L3" i="14"/>
  <c r="I3" i="14"/>
  <c r="Y2" i="14"/>
  <c r="W2" i="14"/>
  <c r="T2" i="14"/>
  <c r="N2" i="14"/>
  <c r="L2" i="14"/>
  <c r="I2" i="14"/>
  <c r="AF3" i="13"/>
  <c r="T3" i="13"/>
  <c r="T4" i="13"/>
  <c r="T2" i="13"/>
  <c r="AK6" i="13"/>
  <c r="AI6" i="13"/>
  <c r="AK5" i="13"/>
  <c r="AI5" i="13"/>
  <c r="Y4" i="13"/>
  <c r="W4" i="13"/>
  <c r="N4" i="13"/>
  <c r="L4" i="13"/>
  <c r="I4" i="13"/>
  <c r="AK3" i="13"/>
  <c r="AI3" i="13"/>
  <c r="Y3" i="13"/>
  <c r="W3" i="13"/>
  <c r="N3" i="13"/>
  <c r="L3" i="13"/>
  <c r="I3" i="13"/>
  <c r="Y2" i="13"/>
  <c r="N2" i="13"/>
  <c r="L2" i="13"/>
  <c r="I2" i="13"/>
  <c r="AF4" i="12"/>
  <c r="AF5" i="12"/>
  <c r="AF6" i="12"/>
  <c r="AF7" i="12"/>
  <c r="AF8" i="12"/>
  <c r="AF9" i="12"/>
  <c r="AF10" i="12"/>
  <c r="AF11" i="12"/>
  <c r="AF12" i="12"/>
  <c r="AF15" i="12"/>
  <c r="AF16" i="12"/>
  <c r="AF17" i="12"/>
  <c r="AF3" i="12"/>
  <c r="T3" i="12"/>
  <c r="T4" i="12"/>
  <c r="T5" i="12"/>
  <c r="T6" i="12"/>
  <c r="T7" i="12"/>
  <c r="T8" i="12"/>
  <c r="T9" i="12"/>
  <c r="T10" i="12"/>
  <c r="T11" i="12"/>
  <c r="T12" i="12"/>
  <c r="T13" i="12"/>
  <c r="T14" i="12"/>
  <c r="T2" i="12"/>
  <c r="AK22" i="12"/>
  <c r="AI22" i="12"/>
  <c r="AK21" i="12"/>
  <c r="AI21" i="12"/>
  <c r="AK20" i="12"/>
  <c r="AI20" i="12"/>
  <c r="AK19" i="12"/>
  <c r="AI19" i="12"/>
  <c r="N18" i="12"/>
  <c r="L18" i="12"/>
  <c r="I18" i="12"/>
  <c r="AK17" i="12"/>
  <c r="AI17" i="12"/>
  <c r="N17" i="12"/>
  <c r="L17" i="12"/>
  <c r="I17" i="12"/>
  <c r="AK16" i="12"/>
  <c r="AI16" i="12"/>
  <c r="N16" i="12"/>
  <c r="L16" i="12"/>
  <c r="I16" i="12"/>
  <c r="AK15" i="12"/>
  <c r="AI15" i="12"/>
  <c r="N15" i="12"/>
  <c r="L15" i="12"/>
  <c r="I15" i="12"/>
  <c r="Y14" i="12"/>
  <c r="W14" i="12"/>
  <c r="N14" i="12"/>
  <c r="L14" i="12"/>
  <c r="I14" i="12"/>
  <c r="Y13" i="12"/>
  <c r="W13" i="12"/>
  <c r="N13" i="12"/>
  <c r="L13" i="12"/>
  <c r="I13" i="12"/>
  <c r="AK12" i="12"/>
  <c r="AI12" i="12"/>
  <c r="Y12" i="12"/>
  <c r="W12" i="12"/>
  <c r="N12" i="12"/>
  <c r="L12" i="12"/>
  <c r="I12" i="12"/>
  <c r="AK11" i="12"/>
  <c r="AI11" i="12"/>
  <c r="Y11" i="12"/>
  <c r="W11" i="12"/>
  <c r="N11" i="12"/>
  <c r="L11" i="12"/>
  <c r="I11" i="12"/>
  <c r="AK10" i="12"/>
  <c r="AI10" i="12"/>
  <c r="Y10" i="12"/>
  <c r="W10" i="12"/>
  <c r="N10" i="12"/>
  <c r="L10" i="12"/>
  <c r="I10" i="12"/>
  <c r="AK9" i="12"/>
  <c r="AI9" i="12"/>
  <c r="W9" i="12"/>
  <c r="N9" i="12"/>
  <c r="L9" i="12"/>
  <c r="I9" i="12"/>
  <c r="AK8" i="12"/>
  <c r="AI8" i="12"/>
  <c r="Y8" i="12"/>
  <c r="W8" i="12"/>
  <c r="N8" i="12"/>
  <c r="L8" i="12"/>
  <c r="I8" i="12"/>
  <c r="AK7" i="12"/>
  <c r="AI7" i="12"/>
  <c r="Y7" i="12"/>
  <c r="W7" i="12"/>
  <c r="N7" i="12"/>
  <c r="L7" i="12"/>
  <c r="I7" i="12"/>
  <c r="AK6" i="12"/>
  <c r="AI6" i="12"/>
  <c r="Y6" i="12"/>
  <c r="W6" i="12"/>
  <c r="N6" i="12"/>
  <c r="L6" i="12"/>
  <c r="I6" i="12"/>
  <c r="AK5" i="12"/>
  <c r="AI5" i="12"/>
  <c r="Y5" i="12"/>
  <c r="W5" i="12"/>
  <c r="N5" i="12"/>
  <c r="L5" i="12"/>
  <c r="I5" i="12"/>
  <c r="AI4" i="12"/>
  <c r="W4" i="12"/>
  <c r="L4" i="12"/>
  <c r="I4" i="12"/>
  <c r="AI3" i="12"/>
  <c r="W3" i="12"/>
  <c r="L3" i="12"/>
  <c r="I3" i="12"/>
  <c r="Y2" i="12"/>
  <c r="W2" i="12"/>
  <c r="N2" i="12"/>
  <c r="L2" i="12"/>
  <c r="I2" i="12"/>
  <c r="AV9" i="11"/>
  <c r="AT9" i="11"/>
  <c r="AQ9" i="11"/>
  <c r="AV8" i="11"/>
  <c r="AT8" i="11"/>
  <c r="AQ8" i="11"/>
  <c r="AF7" i="11"/>
  <c r="AD7" i="11"/>
  <c r="AA7" i="11"/>
  <c r="P7" i="11"/>
  <c r="N7" i="11"/>
  <c r="K7" i="11"/>
  <c r="AV6" i="11"/>
  <c r="AT6" i="11"/>
  <c r="AQ6" i="11"/>
  <c r="AF6" i="11"/>
  <c r="AD6" i="11"/>
  <c r="AA6" i="11"/>
  <c r="P6" i="11"/>
  <c r="N6" i="11"/>
  <c r="K6" i="11"/>
  <c r="AF5" i="11"/>
  <c r="AA5" i="11"/>
  <c r="P5" i="11"/>
  <c r="N5" i="11"/>
  <c r="K5" i="11"/>
  <c r="AV25" i="8"/>
  <c r="AT25" i="8"/>
  <c r="AQ25" i="8"/>
  <c r="AV24" i="8"/>
  <c r="AT24" i="8"/>
  <c r="AQ24" i="8"/>
  <c r="AV23" i="8"/>
  <c r="AT23" i="8"/>
  <c r="AQ23" i="8"/>
  <c r="AV22" i="8"/>
  <c r="AT22" i="8"/>
  <c r="AQ22" i="8"/>
  <c r="P21" i="8"/>
  <c r="N21" i="8"/>
  <c r="K21" i="8"/>
  <c r="AV20" i="8"/>
  <c r="AT20" i="8"/>
  <c r="AQ20" i="8"/>
  <c r="P20" i="8"/>
  <c r="N20" i="8"/>
  <c r="K20" i="8"/>
  <c r="AV19" i="8"/>
  <c r="AT19" i="8"/>
  <c r="AQ19" i="8"/>
  <c r="P19" i="8"/>
  <c r="N19" i="8"/>
  <c r="K19" i="8"/>
  <c r="AV18" i="8"/>
  <c r="AT18" i="8"/>
  <c r="AQ18" i="8"/>
  <c r="P18" i="8"/>
  <c r="N18" i="8"/>
  <c r="K18" i="8"/>
  <c r="K48" i="1"/>
  <c r="K46" i="1"/>
  <c r="P63" i="1"/>
  <c r="N63" i="1"/>
  <c r="K63" i="1"/>
  <c r="P62" i="1"/>
  <c r="N62" i="1"/>
  <c r="K62" i="1"/>
  <c r="P61" i="1"/>
  <c r="N61" i="1"/>
  <c r="K61" i="1"/>
  <c r="P60" i="1"/>
  <c r="N60" i="1"/>
  <c r="K60" i="1"/>
  <c r="P59" i="1"/>
  <c r="N59" i="1"/>
  <c r="K59" i="1"/>
  <c r="P58" i="1"/>
  <c r="N58" i="1"/>
  <c r="K58" i="1"/>
  <c r="P57" i="1"/>
  <c r="N57" i="1"/>
  <c r="K57" i="1"/>
  <c r="P56" i="1"/>
  <c r="N56" i="1"/>
  <c r="K56" i="1"/>
  <c r="P55" i="1"/>
  <c r="N55" i="1"/>
  <c r="K55" i="1"/>
  <c r="P54" i="1"/>
  <c r="N54" i="1"/>
  <c r="K54" i="1"/>
  <c r="P53" i="1"/>
  <c r="P52" i="1"/>
  <c r="K52" i="1"/>
  <c r="P51" i="1"/>
  <c r="P50" i="1"/>
  <c r="K50" i="1"/>
  <c r="P49" i="1"/>
  <c r="P48" i="1"/>
  <c r="N53" i="1"/>
  <c r="K53" i="1"/>
  <c r="N52" i="1"/>
  <c r="N51" i="1"/>
  <c r="K51" i="1"/>
  <c r="N50" i="1"/>
  <c r="N49" i="1"/>
  <c r="K49" i="1"/>
  <c r="N48" i="1"/>
  <c r="K47" i="1"/>
  <c r="P47" i="1"/>
  <c r="N47" i="1"/>
  <c r="P46" i="1"/>
  <c r="N46" i="1"/>
  <c r="N45" i="1"/>
  <c r="AF17" i="8"/>
  <c r="AD17" i="8"/>
  <c r="AA17" i="8"/>
  <c r="P17" i="8"/>
  <c r="N17" i="8"/>
  <c r="K17" i="8"/>
  <c r="AF16" i="8"/>
  <c r="AD16" i="8"/>
  <c r="AA16" i="8"/>
  <c r="P16" i="8"/>
  <c r="N16" i="8"/>
  <c r="K16" i="8"/>
  <c r="AV15" i="8"/>
  <c r="AT15" i="8"/>
  <c r="AQ15" i="8"/>
  <c r="AF15" i="8"/>
  <c r="AD15" i="8"/>
  <c r="AA15" i="8"/>
  <c r="P15" i="8"/>
  <c r="N15" i="8"/>
  <c r="K15" i="8"/>
  <c r="AV14" i="8"/>
  <c r="AT14" i="8"/>
  <c r="AQ14" i="8"/>
  <c r="AF14" i="8"/>
  <c r="AD14" i="8"/>
  <c r="AA14" i="8"/>
  <c r="P14" i="8"/>
  <c r="N14" i="8"/>
  <c r="K14" i="8"/>
  <c r="AV13" i="8"/>
  <c r="AT13" i="8"/>
  <c r="AQ13" i="8"/>
  <c r="AF13" i="8"/>
  <c r="AD13" i="8"/>
  <c r="AA13" i="8"/>
  <c r="P13" i="8"/>
  <c r="N13" i="8"/>
  <c r="K13" i="8"/>
  <c r="AV12" i="8"/>
  <c r="AT12" i="8"/>
  <c r="AQ12" i="8"/>
  <c r="AD12" i="8"/>
  <c r="AA12" i="8"/>
  <c r="P12" i="8"/>
  <c r="N12" i="8"/>
  <c r="K12" i="8"/>
  <c r="AV11" i="8"/>
  <c r="AT11" i="8"/>
  <c r="AQ11" i="8"/>
  <c r="AF11" i="8"/>
  <c r="AD11" i="8"/>
  <c r="AA11" i="8"/>
  <c r="P11" i="8"/>
  <c r="N11" i="8"/>
  <c r="K11" i="8"/>
  <c r="AV10" i="8"/>
  <c r="AT10" i="8"/>
  <c r="AQ10" i="8"/>
  <c r="AF10" i="8"/>
  <c r="AD10" i="8"/>
  <c r="AA10" i="8"/>
  <c r="P10" i="8"/>
  <c r="N10" i="8"/>
  <c r="K10" i="8"/>
  <c r="AV9" i="8"/>
  <c r="AT9" i="8"/>
  <c r="AQ9" i="8"/>
  <c r="AF9" i="8"/>
  <c r="AD9" i="8"/>
  <c r="AA9" i="8"/>
  <c r="P9" i="8"/>
  <c r="N9" i="8"/>
  <c r="K9" i="8"/>
  <c r="AV8" i="8"/>
  <c r="AT8" i="8"/>
  <c r="AQ8" i="8"/>
  <c r="AF8" i="8"/>
  <c r="AD8" i="8"/>
  <c r="AA8" i="8"/>
  <c r="P8" i="8"/>
  <c r="N8" i="8"/>
  <c r="K8" i="8"/>
  <c r="AT7" i="8"/>
  <c r="AQ7" i="8"/>
  <c r="AD7" i="8"/>
  <c r="AA7" i="8"/>
  <c r="N7" i="8"/>
  <c r="K7" i="8"/>
  <c r="AT6" i="8"/>
  <c r="AQ6" i="8"/>
  <c r="AD6" i="8"/>
  <c r="AA6" i="8"/>
  <c r="N6" i="8"/>
  <c r="K6" i="8"/>
  <c r="AF5" i="8"/>
  <c r="AD5" i="8"/>
  <c r="AA5" i="8"/>
  <c r="P5" i="8"/>
  <c r="N5" i="8"/>
  <c r="K5" i="8"/>
  <c r="P45" i="1"/>
  <c r="K45" i="1"/>
  <c r="P44" i="1"/>
  <c r="N44" i="1"/>
  <c r="K44" i="1"/>
  <c r="P43" i="1"/>
  <c r="N43" i="1"/>
  <c r="K43" i="1"/>
  <c r="P42" i="1"/>
  <c r="N42" i="1"/>
  <c r="K42" i="1"/>
  <c r="P41" i="1"/>
  <c r="N41" i="1"/>
  <c r="P38" i="1"/>
  <c r="N38" i="1"/>
  <c r="K41" i="1"/>
  <c r="P40" i="1"/>
  <c r="N40" i="1"/>
  <c r="K40" i="1"/>
  <c r="P39" i="1"/>
  <c r="N39" i="1"/>
  <c r="K39" i="1"/>
  <c r="K38" i="1"/>
  <c r="P37" i="1"/>
  <c r="N37" i="1"/>
  <c r="K37" i="1"/>
  <c r="P36" i="1"/>
  <c r="N36" i="1"/>
  <c r="K36" i="1"/>
  <c r="P35" i="1"/>
  <c r="N35" i="1"/>
  <c r="K35" i="1"/>
  <c r="P34" i="1"/>
  <c r="N34" i="1"/>
  <c r="K34" i="1"/>
  <c r="P33" i="1"/>
  <c r="N33" i="1"/>
  <c r="K33" i="1"/>
  <c r="P32" i="1"/>
  <c r="N32" i="1"/>
  <c r="K32" i="1"/>
  <c r="N31" i="1"/>
  <c r="K31" i="1"/>
  <c r="P30" i="1"/>
  <c r="N30" i="1"/>
  <c r="K30" i="1"/>
  <c r="P29" i="1"/>
  <c r="N29" i="1"/>
  <c r="K29" i="1"/>
  <c r="P26" i="1"/>
  <c r="N26" i="1"/>
  <c r="K26" i="1"/>
  <c r="N5" i="1"/>
  <c r="N6" i="1"/>
  <c r="N9" i="1"/>
  <c r="N10" i="1"/>
  <c r="N11" i="1"/>
  <c r="N13" i="1"/>
  <c r="N14" i="1"/>
  <c r="N15" i="1"/>
  <c r="N17" i="1"/>
  <c r="N18" i="1"/>
  <c r="N19" i="1"/>
  <c r="N20" i="1"/>
  <c r="N21" i="1"/>
  <c r="N22" i="1"/>
  <c r="N24" i="1"/>
  <c r="N25" i="1"/>
  <c r="N27" i="1"/>
  <c r="N28" i="1"/>
  <c r="N4" i="1"/>
  <c r="P28" i="1"/>
  <c r="K28" i="1"/>
  <c r="P27" i="1"/>
  <c r="K27" i="1"/>
  <c r="P25" i="1"/>
  <c r="K25" i="1"/>
  <c r="P22" i="1"/>
  <c r="K22" i="1"/>
  <c r="P19" i="1"/>
  <c r="K19" i="1"/>
  <c r="P24" i="1"/>
  <c r="K24" i="1"/>
  <c r="C9" i="2"/>
  <c r="D9" i="2"/>
  <c r="E9" i="2"/>
  <c r="B9" i="2"/>
  <c r="P7" i="1"/>
  <c r="K7" i="1"/>
  <c r="P6" i="1"/>
  <c r="P17" i="1"/>
  <c r="P18" i="1"/>
  <c r="P20" i="1"/>
  <c r="P21" i="1"/>
  <c r="K6" i="1"/>
  <c r="P5" i="1"/>
  <c r="K5" i="1"/>
  <c r="P4" i="1"/>
  <c r="K4" i="1"/>
  <c r="K13" i="1"/>
  <c r="K14" i="1"/>
  <c r="K15" i="1"/>
  <c r="K17" i="1"/>
  <c r="K18" i="1"/>
  <c r="K20" i="1"/>
  <c r="K21" i="1"/>
  <c r="K9" i="1"/>
  <c r="K10" i="1"/>
  <c r="K11" i="1"/>
</calcChain>
</file>

<file path=xl/comments1.xml><?xml version="1.0" encoding="utf-8"?>
<comments xmlns="http://schemas.openxmlformats.org/spreadsheetml/2006/main">
  <authors>
    <author>Syed Imran Ali</author>
  </authors>
  <commentList>
    <comment ref="E46" authorId="0">
      <text>
        <r>
          <rPr>
            <b/>
            <sz val="9"/>
            <color indexed="81"/>
            <rFont val="Calibri"/>
            <family val="2"/>
          </rPr>
          <t>Syed Imran Ali:</t>
        </r>
        <r>
          <rPr>
            <sz val="9"/>
            <color indexed="81"/>
            <rFont val="Calibri"/>
            <family val="2"/>
          </rPr>
          <t xml:space="preserve">
Seeking clarification: has aeration been removed on Side B? - 
Side B now no areation.  We have installed additional T45 tanks on that side for in PAC dosing and then batch chlorination.</t>
        </r>
      </text>
    </comment>
    <comment ref="E48" authorId="0">
      <text>
        <r>
          <rPr>
            <b/>
            <sz val="9"/>
            <color indexed="81"/>
            <rFont val="Calibri"/>
            <family val="2"/>
          </rPr>
          <t>Syed Imran Ali:</t>
        </r>
        <r>
          <rPr>
            <sz val="9"/>
            <color indexed="81"/>
            <rFont val="Calibri"/>
            <family val="2"/>
          </rPr>
          <t xml:space="preserve">
As above</t>
        </r>
      </text>
    </comment>
    <comment ref="E50" authorId="0">
      <text>
        <r>
          <rPr>
            <b/>
            <sz val="9"/>
            <color indexed="81"/>
            <rFont val="Calibri"/>
            <family val="2"/>
          </rPr>
          <t>Syed Imran Ali:</t>
        </r>
        <r>
          <rPr>
            <sz val="9"/>
            <color indexed="81"/>
            <rFont val="Calibri"/>
            <family val="2"/>
          </rPr>
          <t xml:space="preserve">
This is also a storage sample correct?  Yes
</t>
        </r>
      </text>
    </comment>
    <comment ref="E53" authorId="0">
      <text>
        <r>
          <rPr>
            <b/>
            <sz val="9"/>
            <color indexed="81"/>
            <rFont val="Calibri"/>
            <family val="2"/>
          </rPr>
          <t>Syed Imran Ali:</t>
        </r>
        <r>
          <rPr>
            <sz val="9"/>
            <color indexed="81"/>
            <rFont val="Calibri"/>
            <family val="2"/>
          </rPr>
          <t xml:space="preserve">
This one and the one below it have the same description -- but I think only sample 51 was stored overnight? Please confirm.
Correct 14-8 tested that evening.  14-9 tested the following afternoon.
</t>
        </r>
      </text>
    </comment>
    <comment ref="J55" authorId="0">
      <text>
        <r>
          <rPr>
            <b/>
            <sz val="9"/>
            <color indexed="81"/>
            <rFont val="Calibri"/>
            <family val="2"/>
          </rPr>
          <t>Syed Imran Ali:</t>
        </r>
        <r>
          <rPr>
            <sz val="9"/>
            <color indexed="81"/>
            <rFont val="Calibri"/>
            <family val="2"/>
          </rPr>
          <t xml:space="preserve">
Same here.
  I've removed stored at time.  No storage on this one.  Straight away tested.</t>
        </r>
      </text>
    </comment>
    <comment ref="G58" authorId="0">
      <text>
        <r>
          <rPr>
            <b/>
            <sz val="9"/>
            <color indexed="81"/>
            <rFont val="Calibri"/>
            <family val="2"/>
          </rPr>
          <t>Syed Imran Ali:</t>
        </r>
        <r>
          <rPr>
            <sz val="9"/>
            <color indexed="81"/>
            <rFont val="Calibri"/>
            <family val="2"/>
          </rPr>
          <t xml:space="preserve">
these timings make no sense: chlorination happened after sampling?</t>
        </r>
      </text>
    </comment>
    <comment ref="G59" authorId="0">
      <text>
        <r>
          <rPr>
            <b/>
            <sz val="9"/>
            <color indexed="81"/>
            <rFont val="Calibri"/>
            <family val="2"/>
          </rPr>
          <t>Syed Imran Ali:</t>
        </r>
        <r>
          <rPr>
            <sz val="9"/>
            <color indexed="81"/>
            <rFont val="Calibri"/>
            <family val="2"/>
          </rPr>
          <t xml:space="preserve">
same as above. Also, how were they stored?
Also, was the initial THM reading taken or only post storage?ding?</t>
        </r>
      </text>
    </comment>
    <comment ref="H60" authorId="0">
      <text>
        <r>
          <rPr>
            <b/>
            <sz val="9"/>
            <color indexed="81"/>
            <rFont val="Calibri"/>
            <family val="2"/>
          </rPr>
          <t>Syed Imran Ali:</t>
        </r>
        <r>
          <rPr>
            <sz val="9"/>
            <color indexed="81"/>
            <rFont val="Calibri"/>
            <family val="2"/>
          </rPr>
          <t xml:space="preserve">
timing screwy here again</t>
        </r>
      </text>
    </comment>
  </commentList>
</comments>
</file>

<file path=xl/comments2.xml><?xml version="1.0" encoding="utf-8"?>
<comments xmlns="http://schemas.openxmlformats.org/spreadsheetml/2006/main">
  <authors>
    <author>Syed Imran Ali</author>
  </authors>
  <commentList>
    <comment ref="U6" authorId="0">
      <text>
        <r>
          <rPr>
            <b/>
            <sz val="9"/>
            <color indexed="81"/>
            <rFont val="Calibri"/>
            <family val="2"/>
          </rPr>
          <t>Syed Imran Ali:</t>
        </r>
        <r>
          <rPr>
            <sz val="9"/>
            <color indexed="81"/>
            <rFont val="Calibri"/>
            <family val="2"/>
          </rPr>
          <t xml:space="preserve">
This one and the one below it have the same description -- but I think only sample 51 was stored overnight? Please confirm.
Correct 14-8 tested that evening.  14-9 tested the following afternoon.
</t>
        </r>
      </text>
    </comment>
    <comment ref="J7" authorId="0">
      <text>
        <r>
          <rPr>
            <b/>
            <sz val="9"/>
            <color indexed="81"/>
            <rFont val="Calibri"/>
            <family val="2"/>
          </rPr>
          <t>Syed Imran Ali:</t>
        </r>
        <r>
          <rPr>
            <sz val="9"/>
            <color indexed="81"/>
            <rFont val="Calibri"/>
            <family val="2"/>
          </rPr>
          <t xml:space="preserve">
Same here.
  I've removed stored at time.  No storage on this one.  Straight away tested.</t>
        </r>
      </text>
    </comment>
    <comment ref="AN8" authorId="0">
      <text>
        <r>
          <rPr>
            <b/>
            <sz val="9"/>
            <color indexed="81"/>
            <rFont val="Calibri"/>
            <family val="2"/>
          </rPr>
          <t>Syed Imran Ali:</t>
        </r>
        <r>
          <rPr>
            <sz val="9"/>
            <color indexed="81"/>
            <rFont val="Calibri"/>
            <family val="2"/>
          </rPr>
          <t xml:space="preserve">
timing screwy here again</t>
        </r>
      </text>
    </comment>
  </commentList>
</comments>
</file>

<file path=xl/sharedStrings.xml><?xml version="1.0" encoding="utf-8"?>
<sst xmlns="http://schemas.openxmlformats.org/spreadsheetml/2006/main" count="1284" uniqueCount="225">
  <si>
    <t>ID</t>
  </si>
  <si>
    <t>Source</t>
  </si>
  <si>
    <t>Description</t>
  </si>
  <si>
    <t>Sampled at</t>
  </si>
  <si>
    <t>Stored at</t>
  </si>
  <si>
    <t>Date</t>
  </si>
  <si>
    <t>FRC</t>
  </si>
  <si>
    <t>TRC</t>
  </si>
  <si>
    <t>pH</t>
  </si>
  <si>
    <t>THM</t>
  </si>
  <si>
    <t>Time elapsed</t>
  </si>
  <si>
    <t>Chlorinated at</t>
  </si>
  <si>
    <t>Aug24-1</t>
  </si>
  <si>
    <t>n/a</t>
  </si>
  <si>
    <t>Sample Information</t>
  </si>
  <si>
    <t>Event Times</t>
  </si>
  <si>
    <t>(mg/L)</t>
  </si>
  <si>
    <t>ppb</t>
  </si>
  <si>
    <t>Pre-clarified w/ PAC then chlorinated</t>
  </si>
  <si>
    <t>Aug24-2</t>
  </si>
  <si>
    <t>Batch</t>
  </si>
  <si>
    <t>A</t>
  </si>
  <si>
    <t>6B tank</t>
  </si>
  <si>
    <t>Post-aeration</t>
  </si>
  <si>
    <t>Aug24-3</t>
  </si>
  <si>
    <t>Stored overnight</t>
  </si>
  <si>
    <t>Filled 1.5L PET water bottle with a jug from arms length down aeration flow, right up to lip to minimize airspace, stored under lab bench in dark place</t>
  </si>
  <si>
    <t>Aug24-4B</t>
  </si>
  <si>
    <t>Deionized water blank</t>
  </si>
  <si>
    <t>Aug24-5</t>
  </si>
  <si>
    <t>B</t>
  </si>
  <si>
    <t>Sample</t>
  </si>
  <si>
    <t>No.</t>
  </si>
  <si>
    <t>Group</t>
  </si>
  <si>
    <t>Aug24-6</t>
  </si>
  <si>
    <t>4B tank</t>
  </si>
  <si>
    <t>8B inflow</t>
  </si>
  <si>
    <t>9B inflow</t>
  </si>
  <si>
    <t>Aug24-7</t>
  </si>
  <si>
    <t>Tested at</t>
  </si>
  <si>
    <t>Water quality at THM testing event</t>
  </si>
  <si>
    <t>(hh:mm:ss)</t>
  </si>
  <si>
    <t>THM reading may be error arising due to smudging from wet and dirty glass cleaning cloth. This error is likely an overestimate because smudging will increase absorbance  and create a falsely high reading.</t>
  </si>
  <si>
    <t>Aug24-8B</t>
  </si>
  <si>
    <t>Aug25-1</t>
  </si>
  <si>
    <t>C</t>
  </si>
  <si>
    <t>Aug25-2</t>
  </si>
  <si>
    <t>Multiple readings taken and averaged with 1-2 minutes between readings; one anomolous reading (134 ppb) discarded as likely due to a smudge on glass which did not persist with subsequent readings</t>
  </si>
  <si>
    <t>Multiple readings taken and averaged with 1-2 minutes between readings; one anomolous reading (96 ppb) discarded as likely due to a smudge on glass which did not persist with subsequent readings</t>
  </si>
  <si>
    <t>Aug25-3</t>
  </si>
  <si>
    <t>Aug25-4</t>
  </si>
  <si>
    <t>D</t>
  </si>
  <si>
    <t>From now on, will take 3-5 THM readings with 1-2 minutes between and average the finding</t>
  </si>
  <si>
    <t>Aug25-5</t>
  </si>
  <si>
    <t>7B inflow</t>
  </si>
  <si>
    <t>Aug25-6</t>
  </si>
  <si>
    <t>Additional Comments</t>
  </si>
  <si>
    <t>Sample 1</t>
  </si>
  <si>
    <t>Aug25-7B</t>
  </si>
  <si>
    <t>Sample 2</t>
  </si>
  <si>
    <t>First day using charcoal stuff to ensure boiling water step, so earlier grab sample data (8 samples) discarded</t>
  </si>
  <si>
    <t>Sample 3</t>
  </si>
  <si>
    <t>4A tank</t>
  </si>
  <si>
    <t>Alum and chlorination at same time</t>
  </si>
  <si>
    <t>Sample 4</t>
  </si>
  <si>
    <t>8A inflow</t>
  </si>
  <si>
    <t>Post-aeration samples taken at arms length down into receiving tank, as far as we can reach below the aerator outlet</t>
  </si>
  <si>
    <t>Water wasted before FRC could be done</t>
  </si>
  <si>
    <t>Sample B</t>
  </si>
  <si>
    <t>E</t>
  </si>
  <si>
    <t>F</t>
  </si>
  <si>
    <t>Jar</t>
  </si>
  <si>
    <t>Volume (L)</t>
  </si>
  <si>
    <t>1% Sol'n Dose (ml)</t>
  </si>
  <si>
    <t>THM (ppb)</t>
  </si>
  <si>
    <t>Reaction time (min)</t>
  </si>
  <si>
    <t>FRC (mg/L)</t>
  </si>
  <si>
    <t>TRC (mg/L)</t>
  </si>
  <si>
    <t>CRC (mg/L)</t>
  </si>
  <si>
    <t>Turbidity (NTU)</t>
  </si>
  <si>
    <r>
      <t xml:space="preserve">Note: </t>
    </r>
    <r>
      <rPr>
        <sz val="12"/>
        <color theme="1"/>
        <rFont val="Calibri"/>
        <family val="2"/>
        <charset val="134"/>
        <scheme val="minor"/>
      </rPr>
      <t>Current direct chlorination dose (Al+Cl on Side A) is 10.5 L of 1% solution in 30,000 L tank. This is equivalent to 3.5 ml 1% solution in 10 L, which this jar test centres around.</t>
    </r>
  </si>
  <si>
    <t>Aug26-1</t>
  </si>
  <si>
    <t>G</t>
  </si>
  <si>
    <t>*</t>
  </si>
  <si>
    <t>*With above, we see that the overnight THM production in related to the FRC levels as well</t>
  </si>
  <si>
    <t>Aug26-2</t>
  </si>
  <si>
    <t>Aug26-3</t>
  </si>
  <si>
    <t>Aug26-4</t>
  </si>
  <si>
    <t>H</t>
  </si>
  <si>
    <t>Aug26-5</t>
  </si>
  <si>
    <t>THM increases (linearly almost) with increasing Cl dose ---&gt;</t>
  </si>
  <si>
    <t>Aug26-6</t>
  </si>
  <si>
    <t>CRC</t>
  </si>
  <si>
    <t>Sample No.</t>
  </si>
  <si>
    <t>Date:</t>
  </si>
  <si>
    <t>Sample ID</t>
  </si>
  <si>
    <t>Batch Group</t>
  </si>
  <si>
    <t>____________________________</t>
  </si>
  <si>
    <t>Chlorinated at:</t>
  </si>
  <si>
    <t>Sampled at:</t>
  </si>
  <si>
    <t>Stored at:</t>
  </si>
  <si>
    <t>Tested at:</t>
  </si>
  <si>
    <t>Comments</t>
  </si>
  <si>
    <t>Palorinya SWTP THM Study - Data Form</t>
  </si>
  <si>
    <t>Lab Tech Names:</t>
  </si>
  <si>
    <t>Aug27-1</t>
  </si>
  <si>
    <t>I</t>
  </si>
  <si>
    <t xml:space="preserve">First THM reading at 14:21 and last one at 14:51, decreased by 5ppb by end -- this trend evident across readings, ppb declines with time up to -5 ppb </t>
  </si>
  <si>
    <t>Aug27-2</t>
  </si>
  <si>
    <t>Sample spilled before THM reading so no data collected</t>
  </si>
  <si>
    <t>Aug27-3</t>
  </si>
  <si>
    <t>Aug27-4</t>
  </si>
  <si>
    <t>J</t>
  </si>
  <si>
    <t>Aug27-5</t>
  </si>
  <si>
    <t>Aug27-6</t>
  </si>
  <si>
    <t>Aug28-1</t>
  </si>
  <si>
    <t>K</t>
  </si>
  <si>
    <t>Aug28-2</t>
  </si>
  <si>
    <t>Aug28-3</t>
  </si>
  <si>
    <t>Aug28-4</t>
  </si>
  <si>
    <t>L</t>
  </si>
  <si>
    <t>Aug28-5</t>
  </si>
  <si>
    <t>Aug28-6</t>
  </si>
  <si>
    <t>Aug29-1</t>
  </si>
  <si>
    <t>M</t>
  </si>
  <si>
    <t>Aug29-2</t>
  </si>
  <si>
    <t>Aug29-4</t>
  </si>
  <si>
    <t>N</t>
  </si>
  <si>
    <t>Aug29-5</t>
  </si>
  <si>
    <t>chlorinated_time</t>
  </si>
  <si>
    <t>STAGE 1: Pre-clarified then chlorinated</t>
  </si>
  <si>
    <t>STAGE 2: Post-aeration</t>
  </si>
  <si>
    <t>STAGE 3: Stored overnight</t>
  </si>
  <si>
    <t>batch_no</t>
  </si>
  <si>
    <t>id_s1</t>
  </si>
  <si>
    <t>source_s1</t>
  </si>
  <si>
    <t>desc_s1</t>
  </si>
  <si>
    <t>sampled_time_s1</t>
  </si>
  <si>
    <t>tested_time_s1</t>
  </si>
  <si>
    <t>time_elapsed_s1</t>
  </si>
  <si>
    <t>frc_s1</t>
  </si>
  <si>
    <t>trc_s1</t>
  </si>
  <si>
    <t>crc_s1</t>
  </si>
  <si>
    <t>ph_s1</t>
  </si>
  <si>
    <t>thm_s1</t>
  </si>
  <si>
    <t>id_s2</t>
  </si>
  <si>
    <t>source_s2</t>
  </si>
  <si>
    <t>desc_s2</t>
  </si>
  <si>
    <t>sampled_time_s2</t>
  </si>
  <si>
    <t>tested_time_s2</t>
  </si>
  <si>
    <t>time_elapsed_s2</t>
  </si>
  <si>
    <t>trc_s2</t>
  </si>
  <si>
    <t>crc_s2</t>
  </si>
  <si>
    <t>ph_s2</t>
  </si>
  <si>
    <t>thm_s2</t>
  </si>
  <si>
    <t>date_started</t>
  </si>
  <si>
    <t>frc_s2</t>
  </si>
  <si>
    <t>id_s3</t>
  </si>
  <si>
    <t>source_s3</t>
  </si>
  <si>
    <t>desc_s3</t>
  </si>
  <si>
    <t>stored_time_s3</t>
  </si>
  <si>
    <t>tested_time_s3</t>
  </si>
  <si>
    <t>time_elapsed_s3</t>
  </si>
  <si>
    <t>frc_s3</t>
  </si>
  <si>
    <t>trc_s3</t>
  </si>
  <si>
    <t>crc_s3</t>
  </si>
  <si>
    <t>ph_s3</t>
  </si>
  <si>
    <t>thm_s3</t>
  </si>
  <si>
    <t>Sept14-1</t>
  </si>
  <si>
    <t xml:space="preserve">8B </t>
  </si>
  <si>
    <t>Sept14-2</t>
  </si>
  <si>
    <t>Sept14-3</t>
  </si>
  <si>
    <t>Sept14-4</t>
  </si>
  <si>
    <t>Sept14-5</t>
  </si>
  <si>
    <t>Sept14-6</t>
  </si>
  <si>
    <t>Sept14-7</t>
  </si>
  <si>
    <t>Sept14-8</t>
  </si>
  <si>
    <t>7B</t>
  </si>
  <si>
    <t>9A</t>
  </si>
  <si>
    <t>1A</t>
  </si>
  <si>
    <t>8A</t>
  </si>
  <si>
    <t>Sept14-9</t>
  </si>
  <si>
    <t>Sept15-1</t>
  </si>
  <si>
    <t>4A</t>
  </si>
  <si>
    <t>Sept15-2</t>
  </si>
  <si>
    <t>Inflow post aerated</t>
  </si>
  <si>
    <t>Sept15-3</t>
  </si>
  <si>
    <t>Old system used, hand additonal of fluculant.</t>
  </si>
  <si>
    <t>Batch Cl2 post sedimentation + Storage</t>
  </si>
  <si>
    <t>Batch Cl2 post sedimentation</t>
  </si>
  <si>
    <t>Cl2 &amp; Sedimentation together (Pre-aeration)</t>
  </si>
  <si>
    <t>Cl2 &amp; Sedimentation together (Post-aeration &amp; Storage)</t>
  </si>
  <si>
    <t>Cl2 &amp; Sedimentation together</t>
  </si>
  <si>
    <t>O</t>
  </si>
  <si>
    <t>P</t>
  </si>
  <si>
    <t>Q</t>
  </si>
  <si>
    <t>R</t>
  </si>
  <si>
    <t>S</t>
  </si>
  <si>
    <t>T</t>
  </si>
  <si>
    <t>Sept19-01</t>
  </si>
  <si>
    <t>Post Sedimentation &amp; Chlorination into 7B.  Then Stayed overnight</t>
  </si>
  <si>
    <t>Sept19-02</t>
  </si>
  <si>
    <t>Post Sedimentation &amp; Chlorination into 9A.  Then Stayed overnight</t>
  </si>
  <si>
    <t>Sept19-03</t>
  </si>
  <si>
    <t>Cl2 &amp; Sedimentation together.  Post aeration sample over night into 8A</t>
  </si>
  <si>
    <t>Sept19-04</t>
  </si>
  <si>
    <t>Batch Cl2 post sedimentation from 1B</t>
  </si>
  <si>
    <t>Sept19-05</t>
  </si>
  <si>
    <t>Cl2 &amp; Sedimentation together.  Post aeration sample.</t>
  </si>
  <si>
    <t>Sept19-06</t>
  </si>
  <si>
    <t>Batch Cl2 post sedimentation.</t>
  </si>
  <si>
    <t>Cl2 &amp; Sedimentation together (Post-aeration)</t>
  </si>
  <si>
    <t>U</t>
  </si>
  <si>
    <t>V</t>
  </si>
  <si>
    <t>Unclear on timings and method of storage (in sealed bottle, or tank over night)</t>
  </si>
  <si>
    <t>W</t>
  </si>
  <si>
    <t>X</t>
  </si>
  <si>
    <t>Y</t>
  </si>
  <si>
    <t>Z</t>
  </si>
  <si>
    <t>Unclear on method of storage (sealed bottle or in tank overnight)</t>
  </si>
  <si>
    <t>STAGE 1: Clarified+chlorinated at the same time</t>
  </si>
  <si>
    <t>Post-aeration water wasted before FRC and other WQ checks done</t>
  </si>
  <si>
    <t>run</t>
  </si>
  <si>
    <t>sampled_time_s3</t>
  </si>
  <si>
    <t>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</si>
</sst>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:ss;@"/>
  </numFmts>
  <fonts count="12" x14ac:knownFonts="1">
    <font>
      <sz val="12"/>
      <color theme="1"/>
      <name val="Calibri"/>
      <family val="2"/>
      <charset val="13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78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1">
    <xf numFmtId="0" fontId="0" fillId="0" borderId="0" xfId="0"/>
    <xf numFmtId="0" fontId="0" fillId="0" borderId="4" xfId="0" applyBorder="1"/>
    <xf numFmtId="15" fontId="0" fillId="0" borderId="0" xfId="0" applyNumberFormat="1" applyBorder="1"/>
    <xf numFmtId="0" fontId="0" fillId="0" borderId="0" xfId="0" applyBorder="1"/>
    <xf numFmtId="15" fontId="0" fillId="3" borderId="0" xfId="0" applyNumberFormat="1" applyFill="1" applyBorder="1"/>
    <xf numFmtId="22" fontId="0" fillId="3" borderId="4" xfId="0" applyNumberFormat="1" applyFill="1" applyBorder="1"/>
    <xf numFmtId="22" fontId="0" fillId="3" borderId="0" xfId="0" applyNumberFormat="1" applyFill="1" applyBorder="1"/>
    <xf numFmtId="15" fontId="0" fillId="4" borderId="0" xfId="0" applyNumberFormat="1" applyFill="1" applyBorder="1"/>
    <xf numFmtId="22" fontId="0" fillId="4" borderId="4" xfId="0" applyNumberFormat="1" applyFill="1" applyBorder="1"/>
    <xf numFmtId="22" fontId="0" fillId="4" borderId="0" xfId="0" applyNumberFormat="1" applyFill="1" applyBorder="1"/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0" fillId="0" borderId="4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5" fontId="0" fillId="0" borderId="0" xfId="0" applyNumberFormat="1" applyFont="1" applyFill="1" applyBorder="1" applyAlignment="1">
      <alignment horizontal="center"/>
    </xf>
    <xf numFmtId="1" fontId="0" fillId="0" borderId="7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3" borderId="4" xfId="0" applyFont="1" applyFill="1" applyBorder="1" applyAlignment="1">
      <alignment horizontal="center"/>
    </xf>
    <xf numFmtId="15" fontId="0" fillId="3" borderId="0" xfId="0" applyNumberFormat="1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1" fontId="0" fillId="3" borderId="7" xfId="0" applyNumberFormat="1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15" fontId="0" fillId="4" borderId="0" xfId="0" applyNumberFormat="1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left"/>
    </xf>
    <xf numFmtId="0" fontId="0" fillId="4" borderId="7" xfId="0" applyFont="1" applyFill="1" applyBorder="1" applyAlignment="1">
      <alignment horizontal="center"/>
    </xf>
    <xf numFmtId="2" fontId="0" fillId="4" borderId="0" xfId="0" applyNumberFormat="1" applyFont="1" applyFill="1" applyBorder="1" applyAlignment="1">
      <alignment horizontal="center"/>
    </xf>
    <xf numFmtId="1" fontId="0" fillId="4" borderId="7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0" xfId="0" applyAlignment="1">
      <alignment horizontal="center"/>
    </xf>
    <xf numFmtId="22" fontId="0" fillId="3" borderId="0" xfId="0" applyNumberFormat="1" applyFill="1" applyBorder="1" applyAlignment="1">
      <alignment horizontal="center"/>
    </xf>
    <xf numFmtId="22" fontId="0" fillId="4" borderId="0" xfId="0" applyNumberFormat="1" applyFill="1" applyBorder="1" applyAlignment="1">
      <alignment horizontal="center"/>
    </xf>
    <xf numFmtId="22" fontId="3" fillId="3" borderId="10" xfId="0" applyNumberFormat="1" applyFont="1" applyFill="1" applyBorder="1" applyAlignment="1">
      <alignment horizontal="center"/>
    </xf>
    <xf numFmtId="22" fontId="3" fillId="3" borderId="0" xfId="0" applyNumberFormat="1" applyFont="1" applyFill="1" applyBorder="1" applyAlignment="1">
      <alignment horizontal="center"/>
    </xf>
    <xf numFmtId="22" fontId="3" fillId="4" borderId="0" xfId="0" applyNumberFormat="1" applyFont="1" applyFill="1" applyBorder="1" applyAlignment="1">
      <alignment horizontal="center"/>
    </xf>
    <xf numFmtId="22" fontId="3" fillId="0" borderId="0" xfId="0" applyNumberFormat="1" applyFont="1" applyBorder="1" applyAlignment="1">
      <alignment horizontal="center"/>
    </xf>
    <xf numFmtId="22" fontId="0" fillId="0" borderId="0" xfId="0" applyNumberFormat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8" fontId="0" fillId="3" borderId="7" xfId="0" applyNumberForma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4" borderId="7" xfId="0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4" borderId="4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/>
    <xf numFmtId="0" fontId="4" fillId="0" borderId="12" xfId="0" applyFont="1" applyBorder="1" applyAlignment="1">
      <alignment horizontal="right"/>
    </xf>
    <xf numFmtId="0" fontId="7" fillId="0" borderId="0" xfId="0" applyFont="1"/>
    <xf numFmtId="0" fontId="5" fillId="0" borderId="0" xfId="0" applyFont="1"/>
    <xf numFmtId="22" fontId="3" fillId="3" borderId="0" xfId="0" applyNumberFormat="1" applyFont="1" applyFill="1" applyBorder="1"/>
    <xf numFmtId="22" fontId="3" fillId="4" borderId="0" xfId="0" applyNumberFormat="1" applyFont="1" applyFill="1" applyBorder="1"/>
    <xf numFmtId="1" fontId="0" fillId="3" borderId="7" xfId="0" applyNumberFormat="1" applyFill="1" applyBorder="1" applyAlignment="1">
      <alignment horizontal="center"/>
    </xf>
    <xf numFmtId="1" fontId="0" fillId="4" borderId="7" xfId="0" applyNumberFormat="1" applyFill="1" applyBorder="1" applyAlignment="1">
      <alignment horizontal="center"/>
    </xf>
    <xf numFmtId="0" fontId="9" fillId="0" borderId="0" xfId="0" applyFont="1"/>
    <xf numFmtId="0" fontId="0" fillId="0" borderId="13" xfId="0" applyBorder="1"/>
    <xf numFmtId="0" fontId="0" fillId="0" borderId="14" xfId="0" applyBorder="1"/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4" fillId="0" borderId="17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15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22" fontId="0" fillId="0" borderId="0" xfId="0" applyNumberFormat="1" applyFill="1" applyBorder="1"/>
    <xf numFmtId="16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2" fontId="3" fillId="0" borderId="0" xfId="0" applyNumberFormat="1" applyFont="1" applyFill="1" applyBorder="1" applyAlignment="1">
      <alignment horizontal="center"/>
    </xf>
    <xf numFmtId="22" fontId="0" fillId="0" borderId="0" xfId="0" applyNumberFormat="1" applyFill="1" applyBorder="1" applyAlignment="1">
      <alignment horizontal="center"/>
    </xf>
    <xf numFmtId="22" fontId="3" fillId="0" borderId="0" xfId="0" applyNumberFormat="1" applyFont="1" applyFill="1" applyBorder="1"/>
    <xf numFmtId="22" fontId="0" fillId="3" borderId="10" xfId="0" applyNumberFormat="1" applyFill="1" applyBorder="1"/>
    <xf numFmtId="0" fontId="4" fillId="2" borderId="30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0" fillId="3" borderId="30" xfId="0" applyFont="1" applyFill="1" applyBorder="1" applyAlignment="1">
      <alignment horizontal="center"/>
    </xf>
    <xf numFmtId="0" fontId="0" fillId="3" borderId="31" xfId="0" applyFont="1" applyFill="1" applyBorder="1" applyAlignment="1">
      <alignment horizontal="center"/>
    </xf>
    <xf numFmtId="1" fontId="0" fillId="3" borderId="31" xfId="0" applyNumberFormat="1" applyFont="1" applyFill="1" applyBorder="1" applyAlignment="1">
      <alignment horizontal="center"/>
    </xf>
    <xf numFmtId="0" fontId="0" fillId="4" borderId="30" xfId="0" applyFont="1" applyFill="1" applyBorder="1" applyAlignment="1">
      <alignment horizontal="center"/>
    </xf>
    <xf numFmtId="1" fontId="0" fillId="4" borderId="31" xfId="0" applyNumberFormat="1" applyFont="1" applyFill="1" applyBorder="1" applyAlignment="1">
      <alignment horizontal="center"/>
    </xf>
    <xf numFmtId="1" fontId="0" fillId="3" borderId="31" xfId="0" applyNumberFormat="1" applyFill="1" applyBorder="1" applyAlignment="1">
      <alignment horizontal="center"/>
    </xf>
    <xf numFmtId="1" fontId="0" fillId="4" borderId="31" xfId="0" applyNumberFormat="1" applyFill="1" applyBorder="1" applyAlignment="1">
      <alignment horizontal="center"/>
    </xf>
    <xf numFmtId="0" fontId="0" fillId="4" borderId="34" xfId="0" applyFont="1" applyFill="1" applyBorder="1" applyAlignment="1">
      <alignment horizontal="center"/>
    </xf>
    <xf numFmtId="15" fontId="0" fillId="4" borderId="35" xfId="0" applyNumberFormat="1" applyFill="1" applyBorder="1"/>
    <xf numFmtId="0" fontId="0" fillId="4" borderId="35" xfId="0" applyFill="1" applyBorder="1" applyAlignment="1">
      <alignment horizontal="center"/>
    </xf>
    <xf numFmtId="0" fontId="0" fillId="4" borderId="35" xfId="0" applyFill="1" applyBorder="1" applyAlignment="1">
      <alignment horizontal="left"/>
    </xf>
    <xf numFmtId="0" fontId="0" fillId="4" borderId="36" xfId="0" applyFill="1" applyBorder="1" applyAlignment="1">
      <alignment horizontal="center"/>
    </xf>
    <xf numFmtId="22" fontId="0" fillId="4" borderId="37" xfId="0" applyNumberFormat="1" applyFill="1" applyBorder="1"/>
    <xf numFmtId="22" fontId="0" fillId="4" borderId="35" xfId="0" applyNumberFormat="1" applyFill="1" applyBorder="1"/>
    <xf numFmtId="164" fontId="0" fillId="4" borderId="36" xfId="0" applyNumberFormat="1" applyFill="1" applyBorder="1" applyAlignment="1">
      <alignment horizontal="center"/>
    </xf>
    <xf numFmtId="0" fontId="0" fillId="4" borderId="37" xfId="0" applyFill="1" applyBorder="1" applyAlignment="1">
      <alignment horizontal="center"/>
    </xf>
    <xf numFmtId="2" fontId="0" fillId="4" borderId="35" xfId="0" applyNumberFormat="1" applyFill="1" applyBorder="1" applyAlignment="1">
      <alignment horizontal="center"/>
    </xf>
    <xf numFmtId="1" fontId="0" fillId="4" borderId="36" xfId="0" applyNumberFormat="1" applyFill="1" applyBorder="1" applyAlignment="1">
      <alignment horizontal="center"/>
    </xf>
    <xf numFmtId="0" fontId="0" fillId="4" borderId="37" xfId="0" applyFont="1" applyFill="1" applyBorder="1" applyAlignment="1">
      <alignment horizontal="center"/>
    </xf>
    <xf numFmtId="1" fontId="0" fillId="4" borderId="38" xfId="0" applyNumberFormat="1" applyFill="1" applyBorder="1" applyAlignment="1">
      <alignment horizontal="center"/>
    </xf>
    <xf numFmtId="15" fontId="0" fillId="0" borderId="0" xfId="0" applyNumberFormat="1"/>
    <xf numFmtId="0" fontId="0" fillId="0" borderId="0" xfId="0" applyFill="1"/>
    <xf numFmtId="15" fontId="0" fillId="0" borderId="0" xfId="0" applyNumberFormat="1" applyFill="1"/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22" fontId="0" fillId="0" borderId="4" xfId="0" applyNumberFormat="1" applyFill="1" applyBorder="1"/>
    <xf numFmtId="164" fontId="0" fillId="0" borderId="7" xfId="0" applyNumberForma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5" fontId="0" fillId="0" borderId="0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15" fontId="0" fillId="0" borderId="0" xfId="0" applyNumberFormat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29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7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'Pre-Clar Data (by batch)'!$L$5:$L$17</c:f>
              <c:numCache>
                <c:formatCode>0.00</c:formatCode>
                <c:ptCount val="13"/>
                <c:pt idx="0" formatCode="General">
                  <c:v>1.42</c:v>
                </c:pt>
                <c:pt idx="1">
                  <c:v>1.68</c:v>
                </c:pt>
                <c:pt idx="2">
                  <c:v>1.86</c:v>
                </c:pt>
                <c:pt idx="3">
                  <c:v>1.45</c:v>
                </c:pt>
                <c:pt idx="4">
                  <c:v>3.08</c:v>
                </c:pt>
                <c:pt idx="5">
                  <c:v>0.91</c:v>
                </c:pt>
                <c:pt idx="6">
                  <c:v>1.29</c:v>
                </c:pt>
                <c:pt idx="7">
                  <c:v>1.35</c:v>
                </c:pt>
                <c:pt idx="8" formatCode="General">
                  <c:v>1.79</c:v>
                </c:pt>
                <c:pt idx="9">
                  <c:v>1.1</c:v>
                </c:pt>
                <c:pt idx="10" formatCode="General">
                  <c:v>2.58</c:v>
                </c:pt>
                <c:pt idx="11" formatCode="General">
                  <c:v>4.09</c:v>
                </c:pt>
                <c:pt idx="12" formatCode="General">
                  <c:v>1.58</c:v>
                </c:pt>
              </c:numCache>
            </c:numRef>
          </c:xVal>
          <c:yVal>
            <c:numRef>
              <c:f>'Pre-Clar Data (by batch)'!$P$5:$P$17</c:f>
              <c:numCache>
                <c:formatCode>0</c:formatCode>
                <c:ptCount val="13"/>
                <c:pt idx="0" formatCode="General">
                  <c:v>60.0</c:v>
                </c:pt>
                <c:pt idx="1">
                  <c:v>46.0</c:v>
                </c:pt>
                <c:pt idx="2">
                  <c:v>36.0</c:v>
                </c:pt>
                <c:pt idx="3">
                  <c:v>46.5</c:v>
                </c:pt>
                <c:pt idx="4">
                  <c:v>63.66666666666666</c:v>
                </c:pt>
                <c:pt idx="5">
                  <c:v>46.5</c:v>
                </c:pt>
                <c:pt idx="6">
                  <c:v>49.0</c:v>
                </c:pt>
                <c:pt idx="7">
                  <c:v>41.0</c:v>
                </c:pt>
                <c:pt idx="8">
                  <c:v>52.66666666666666</c:v>
                </c:pt>
                <c:pt idx="9">
                  <c:v>50.33333333333334</c:v>
                </c:pt>
                <c:pt idx="10">
                  <c:v>60.33333333333334</c:v>
                </c:pt>
                <c:pt idx="11">
                  <c:v>55.33333333333334</c:v>
                </c:pt>
                <c:pt idx="12">
                  <c:v>48.66666666666666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8019864"/>
        <c:axId val="-2128017000"/>
      </c:scatterChart>
      <c:valAx>
        <c:axId val="-212801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8017000"/>
        <c:crosses val="autoZero"/>
        <c:crossBetween val="midCat"/>
      </c:valAx>
      <c:valAx>
        <c:axId val="-2128017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8019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'Pre-Clar Data (by batch)'!$AQ$6:$AQ$15</c:f>
              <c:numCache>
                <c:formatCode>[h]:mm:ss;@</c:formatCode>
                <c:ptCount val="10"/>
                <c:pt idx="0">
                  <c:v>1.021527777775191</c:v>
                </c:pt>
                <c:pt idx="1">
                  <c:v>0.931250000001455</c:v>
                </c:pt>
                <c:pt idx="2">
                  <c:v>1.198611111110949</c:v>
                </c:pt>
                <c:pt idx="3">
                  <c:v>1.212500000001455</c:v>
                </c:pt>
                <c:pt idx="4">
                  <c:v>0.979861111110949</c:v>
                </c:pt>
                <c:pt idx="5">
                  <c:v>0.999305555560568</c:v>
                </c:pt>
                <c:pt idx="6">
                  <c:v>1.17986111110804</c:v>
                </c:pt>
                <c:pt idx="7">
                  <c:v>1.176388888889051</c:v>
                </c:pt>
                <c:pt idx="8">
                  <c:v>0.815277777779556</c:v>
                </c:pt>
                <c:pt idx="9">
                  <c:v>0.845138888893416</c:v>
                </c:pt>
              </c:numCache>
            </c:numRef>
          </c:xVal>
          <c:yVal>
            <c:numRef>
              <c:f>'Pre-Clar Data (by batch)'!$AV$6:$AV$15</c:f>
              <c:numCache>
                <c:formatCode>0</c:formatCode>
                <c:ptCount val="10"/>
                <c:pt idx="0">
                  <c:v>63.0</c:v>
                </c:pt>
                <c:pt idx="2">
                  <c:v>70.0</c:v>
                </c:pt>
                <c:pt idx="3">
                  <c:v>85.0</c:v>
                </c:pt>
                <c:pt idx="4">
                  <c:v>62.66666666666666</c:v>
                </c:pt>
                <c:pt idx="5">
                  <c:v>67.83333333333333</c:v>
                </c:pt>
                <c:pt idx="6">
                  <c:v>63.33333333333334</c:v>
                </c:pt>
                <c:pt idx="7">
                  <c:v>75.33333333333333</c:v>
                </c:pt>
                <c:pt idx="8">
                  <c:v>59.33333333333334</c:v>
                </c:pt>
                <c:pt idx="9">
                  <c:v>44.66666666666666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988808"/>
        <c:axId val="-2127985960"/>
      </c:scatterChart>
      <c:valAx>
        <c:axId val="-2127988808"/>
        <c:scaling>
          <c:orientation val="minMax"/>
        </c:scaling>
        <c:delete val="0"/>
        <c:axPos val="b"/>
        <c:numFmt formatCode="[h]:mm:ss;@" sourceLinked="1"/>
        <c:majorTickMark val="out"/>
        <c:minorTickMark val="none"/>
        <c:tickLblPos val="nextTo"/>
        <c:crossAx val="-2127985960"/>
        <c:crosses val="autoZero"/>
        <c:crossBetween val="midCat"/>
      </c:valAx>
      <c:valAx>
        <c:axId val="-212798596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279888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THM Production</a:t>
            </a:r>
            <a:r>
              <a:rPr lang="en-US" baseline="0"/>
              <a:t> from Direct Chlorination of Raw Nile River Water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931909714832943"/>
                  <c:y val="0.0612021857923497"/>
                </c:manualLayout>
              </c:layout>
              <c:numFmt formatCode="General" sourceLinked="0"/>
            </c:trendlineLbl>
          </c:trendline>
          <c:xVal>
            <c:numRef>
              <c:f>'Raw Water Data'!$B$7:$E$7</c:f>
              <c:numCache>
                <c:formatCode>General</c:formatCode>
                <c:ptCount val="4"/>
                <c:pt idx="0">
                  <c:v>0.33</c:v>
                </c:pt>
                <c:pt idx="1">
                  <c:v>1.39</c:v>
                </c:pt>
                <c:pt idx="2">
                  <c:v>2.27</c:v>
                </c:pt>
                <c:pt idx="3">
                  <c:v>4.02</c:v>
                </c:pt>
              </c:numCache>
            </c:numRef>
          </c:xVal>
          <c:yVal>
            <c:numRef>
              <c:f>'Raw Water Data'!$B$10:$E$10</c:f>
              <c:numCache>
                <c:formatCode>General</c:formatCode>
                <c:ptCount val="4"/>
                <c:pt idx="0">
                  <c:v>106.0</c:v>
                </c:pt>
                <c:pt idx="1">
                  <c:v>117.0</c:v>
                </c:pt>
                <c:pt idx="2">
                  <c:v>131.0</c:v>
                </c:pt>
                <c:pt idx="3">
                  <c:v>151.0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625320"/>
        <c:axId val="2141065352"/>
      </c:scatterChart>
      <c:valAx>
        <c:axId val="214662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FRC (mg/L)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1065352"/>
        <c:crosses val="autoZero"/>
        <c:crossBetween val="midCat"/>
      </c:valAx>
      <c:valAx>
        <c:axId val="2141065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THM (ppb as</a:t>
                </a:r>
                <a:r>
                  <a:rPr lang="en-US" baseline="0"/>
                  <a:t> chloroform)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6625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1231900</xdr:colOff>
      <xdr:row>28</xdr:row>
      <xdr:rowOff>76200</xdr:rowOff>
    </xdr:from>
    <xdr:to>
      <xdr:col>11</xdr:col>
      <xdr:colOff>711200</xdr:colOff>
      <xdr:row>42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660400</xdr:colOff>
      <xdr:row>31</xdr:row>
      <xdr:rowOff>165100</xdr:rowOff>
    </xdr:from>
    <xdr:to>
      <xdr:col>42</xdr:col>
      <xdr:colOff>292100</xdr:colOff>
      <xdr:row>46</xdr:row>
      <xdr:rowOff>50800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825500</xdr:colOff>
      <xdr:row>10</xdr:row>
      <xdr:rowOff>133350</xdr:rowOff>
    </xdr:from>
    <xdr:to>
      <xdr:col>15</xdr:col>
      <xdr:colOff>647700</xdr:colOff>
      <xdr:row>29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162560</xdr:colOff>
      <xdr:row>0</xdr:row>
      <xdr:rowOff>71120</xdr:rowOff>
    </xdr:from>
    <xdr:to>
      <xdr:col>8</xdr:col>
      <xdr:colOff>721360</xdr:colOff>
      <xdr:row>2</xdr:row>
      <xdr:rowOff>176806</xdr:rowOff>
    </xdr:to>
    <xdr:pic>
      <xdr:nvPicPr>
        <xdr:cNvPr id="2" name="Picture 2" descr="Logo French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7840" y="71120"/>
          <a:ext cx="1452880" cy="5527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workbookViewId="0">
      <pane ySplit="2" topLeftCell="A40" activePane="bottomLeft" state="frozen"/>
      <selection pane="bottomLeft" activeCell="G36" sqref="G36"/>
    </sheetView>
  </sheetViews>
  <sheetFormatPr baseColWidth="10" defaultColWidth="11" defaultRowHeight="15" x14ac:dyDescent="0"/>
  <cols>
    <col min="1" max="1" width="7.1640625" customWidth="1"/>
    <col min="3" max="3" width="11" style="48"/>
    <col min="5" max="5" width="31.33203125" customWidth="1"/>
    <col min="6" max="6" width="6.5" style="48" customWidth="1"/>
    <col min="7" max="7" width="20" customWidth="1"/>
    <col min="8" max="8" width="17.5" customWidth="1"/>
    <col min="9" max="9" width="15.33203125" style="48" customWidth="1"/>
    <col min="10" max="10" width="16.33203125" style="48" customWidth="1"/>
    <col min="11" max="11" width="11.83203125" style="48" bestFit="1" customWidth="1"/>
    <col min="12" max="14" width="11" style="48"/>
    <col min="15" max="15" width="11" style="69"/>
    <col min="16" max="16" width="11" style="48"/>
  </cols>
  <sheetData>
    <row r="1" spans="1:17" ht="16" thickBot="1">
      <c r="A1" s="153" t="s">
        <v>14</v>
      </c>
      <c r="B1" s="156"/>
      <c r="C1" s="156"/>
      <c r="D1" s="156"/>
      <c r="E1" s="156"/>
      <c r="F1" s="157"/>
      <c r="G1" s="153" t="s">
        <v>15</v>
      </c>
      <c r="H1" s="156"/>
      <c r="I1" s="156"/>
      <c r="J1" s="156"/>
      <c r="K1" s="157"/>
      <c r="L1" s="153" t="s">
        <v>40</v>
      </c>
      <c r="M1" s="154"/>
      <c r="N1" s="154"/>
      <c r="O1" s="154"/>
      <c r="P1" s="155"/>
      <c r="Q1" s="158" t="s">
        <v>56</v>
      </c>
    </row>
    <row r="2" spans="1:17" ht="16" thickTop="1">
      <c r="A2" s="10" t="s">
        <v>31</v>
      </c>
      <c r="B2" s="11" t="s">
        <v>5</v>
      </c>
      <c r="C2" s="11" t="s">
        <v>0</v>
      </c>
      <c r="D2" s="11" t="s">
        <v>1</v>
      </c>
      <c r="E2" s="11" t="s">
        <v>2</v>
      </c>
      <c r="F2" s="12" t="s">
        <v>20</v>
      </c>
      <c r="G2" s="10" t="s">
        <v>11</v>
      </c>
      <c r="H2" s="11" t="s">
        <v>3</v>
      </c>
      <c r="I2" s="11" t="s">
        <v>4</v>
      </c>
      <c r="J2" s="11" t="s">
        <v>39</v>
      </c>
      <c r="K2" s="12" t="s">
        <v>10</v>
      </c>
      <c r="L2" s="10" t="s">
        <v>6</v>
      </c>
      <c r="M2" s="11" t="s">
        <v>7</v>
      </c>
      <c r="N2" s="11" t="s">
        <v>92</v>
      </c>
      <c r="O2" s="13" t="s">
        <v>8</v>
      </c>
      <c r="P2" s="12" t="s">
        <v>9</v>
      </c>
      <c r="Q2" s="159"/>
    </row>
    <row r="3" spans="1:17">
      <c r="A3" s="14" t="s">
        <v>32</v>
      </c>
      <c r="B3" s="15"/>
      <c r="C3" s="15"/>
      <c r="D3" s="15"/>
      <c r="E3" s="15"/>
      <c r="F3" s="16" t="s">
        <v>33</v>
      </c>
      <c r="G3" s="14"/>
      <c r="H3" s="15"/>
      <c r="I3" s="11"/>
      <c r="J3" s="15"/>
      <c r="K3" s="16" t="s">
        <v>41</v>
      </c>
      <c r="L3" s="14" t="s">
        <v>16</v>
      </c>
      <c r="M3" s="15" t="s">
        <v>16</v>
      </c>
      <c r="N3" s="15" t="s">
        <v>16</v>
      </c>
      <c r="O3" s="17"/>
      <c r="P3" s="16" t="s">
        <v>17</v>
      </c>
      <c r="Q3" s="160"/>
    </row>
    <row r="4" spans="1:17">
      <c r="A4" s="30">
        <v>1</v>
      </c>
      <c r="B4" s="31">
        <v>42970</v>
      </c>
      <c r="C4" s="32" t="s">
        <v>57</v>
      </c>
      <c r="D4" s="33" t="s">
        <v>35</v>
      </c>
      <c r="E4" s="33" t="s">
        <v>18</v>
      </c>
      <c r="F4" s="34" t="s">
        <v>21</v>
      </c>
      <c r="G4" s="5">
        <v>42970.395833333336</v>
      </c>
      <c r="H4" s="5">
        <v>42970.449305555558</v>
      </c>
      <c r="I4" s="35" t="s">
        <v>13</v>
      </c>
      <c r="J4" s="51">
        <v>42970.458333333336</v>
      </c>
      <c r="K4" s="56">
        <f t="shared" ref="K4:K7" si="0">J4-G4</f>
        <v>6.25E-2</v>
      </c>
      <c r="L4" s="32">
        <v>1.42</v>
      </c>
      <c r="M4" s="32">
        <v>1.65</v>
      </c>
      <c r="N4" s="32">
        <f>M4-L4</f>
        <v>0.22999999999999998</v>
      </c>
      <c r="O4" s="36"/>
      <c r="P4" s="34">
        <f>AVERAGE(61,60,59)</f>
        <v>60</v>
      </c>
      <c r="Q4" s="25" t="s">
        <v>60</v>
      </c>
    </row>
    <row r="5" spans="1:17">
      <c r="A5" s="30">
        <v>2</v>
      </c>
      <c r="B5" s="31">
        <v>42970</v>
      </c>
      <c r="C5" s="32" t="s">
        <v>59</v>
      </c>
      <c r="D5" s="33" t="s">
        <v>54</v>
      </c>
      <c r="E5" s="33" t="s">
        <v>23</v>
      </c>
      <c r="F5" s="34" t="s">
        <v>21</v>
      </c>
      <c r="G5" s="5">
        <v>42970.395833333336</v>
      </c>
      <c r="H5" s="5">
        <v>42970.449305555558</v>
      </c>
      <c r="I5" s="32" t="s">
        <v>13</v>
      </c>
      <c r="J5" s="52">
        <v>42970.458333333336</v>
      </c>
      <c r="K5" s="56">
        <f t="shared" si="0"/>
        <v>6.25E-2</v>
      </c>
      <c r="L5" s="32">
        <v>1.62</v>
      </c>
      <c r="M5" s="32">
        <v>1.89</v>
      </c>
      <c r="N5" s="32">
        <f t="shared" ref="N5:N44" si="1">M5-L5</f>
        <v>0.2699999999999998</v>
      </c>
      <c r="O5" s="36"/>
      <c r="P5" s="37">
        <f>AVERAGE(41,41,42)</f>
        <v>41.333333333333336</v>
      </c>
      <c r="Q5" s="25" t="s">
        <v>66</v>
      </c>
    </row>
    <row r="6" spans="1:17">
      <c r="A6" s="38">
        <v>3</v>
      </c>
      <c r="B6" s="39">
        <v>42970</v>
      </c>
      <c r="C6" s="40" t="s">
        <v>61</v>
      </c>
      <c r="D6" s="41" t="s">
        <v>62</v>
      </c>
      <c r="E6" s="41" t="s">
        <v>63</v>
      </c>
      <c r="F6" s="42" t="s">
        <v>30</v>
      </c>
      <c r="G6" s="8">
        <v>42970.395833333336</v>
      </c>
      <c r="H6" s="8">
        <v>42970.449305555558</v>
      </c>
      <c r="I6" s="40" t="s">
        <v>13</v>
      </c>
      <c r="J6" s="53">
        <v>42970.458333333336</v>
      </c>
      <c r="K6" s="57">
        <f t="shared" si="0"/>
        <v>6.25E-2</v>
      </c>
      <c r="L6" s="38">
        <v>0.8</v>
      </c>
      <c r="M6" s="40">
        <v>1.1100000000000001</v>
      </c>
      <c r="N6" s="40">
        <f t="shared" si="1"/>
        <v>0.31000000000000005</v>
      </c>
      <c r="O6" s="43"/>
      <c r="P6" s="44">
        <f>AVERAGE(95.96,96)</f>
        <v>95.97999999999999</v>
      </c>
      <c r="Q6" s="18"/>
    </row>
    <row r="7" spans="1:17">
      <c r="A7" s="38">
        <v>4</v>
      </c>
      <c r="B7" s="39">
        <v>42970</v>
      </c>
      <c r="C7" s="40" t="s">
        <v>64</v>
      </c>
      <c r="D7" s="41" t="s">
        <v>65</v>
      </c>
      <c r="E7" s="41" t="s">
        <v>23</v>
      </c>
      <c r="F7" s="42" t="s">
        <v>30</v>
      </c>
      <c r="G7" s="8">
        <v>42970.395833333336</v>
      </c>
      <c r="H7" s="8">
        <v>42970.449305555558</v>
      </c>
      <c r="I7" s="40" t="s">
        <v>13</v>
      </c>
      <c r="J7" s="53">
        <v>42970.458333333336</v>
      </c>
      <c r="K7" s="57">
        <f t="shared" si="0"/>
        <v>6.25E-2</v>
      </c>
      <c r="L7" s="38"/>
      <c r="M7" s="40"/>
      <c r="N7" s="40"/>
      <c r="O7" s="43"/>
      <c r="P7" s="44">
        <f>AVERAGE(90,90,90)</f>
        <v>90</v>
      </c>
      <c r="Q7" s="25" t="s">
        <v>67</v>
      </c>
    </row>
    <row r="8" spans="1:17">
      <c r="A8" s="19">
        <v>5</v>
      </c>
      <c r="B8" s="23">
        <v>42970</v>
      </c>
      <c r="C8" s="20" t="s">
        <v>68</v>
      </c>
      <c r="D8" s="28" t="s">
        <v>28</v>
      </c>
      <c r="E8" s="26"/>
      <c r="F8" s="21"/>
      <c r="G8" s="19"/>
      <c r="H8" s="20"/>
      <c r="I8" s="20"/>
      <c r="J8" s="54">
        <v>42970.458333333336</v>
      </c>
      <c r="K8" s="21"/>
      <c r="L8" s="19"/>
      <c r="M8" s="20"/>
      <c r="N8" s="20"/>
      <c r="O8" s="22"/>
      <c r="P8" s="24"/>
      <c r="Q8" s="18"/>
    </row>
    <row r="9" spans="1:17">
      <c r="A9" s="30">
        <v>6</v>
      </c>
      <c r="B9" s="4">
        <v>42971</v>
      </c>
      <c r="C9" s="45" t="s">
        <v>12</v>
      </c>
      <c r="D9" s="27" t="s">
        <v>22</v>
      </c>
      <c r="E9" s="27" t="s">
        <v>18</v>
      </c>
      <c r="F9" s="59" t="s">
        <v>45</v>
      </c>
      <c r="G9" s="5">
        <v>42971.418055555558</v>
      </c>
      <c r="H9" s="6">
        <v>42971.443055555559</v>
      </c>
      <c r="I9" s="49" t="s">
        <v>13</v>
      </c>
      <c r="J9" s="49">
        <v>42971.452777777777</v>
      </c>
      <c r="K9" s="56">
        <f t="shared" ref="K9:K24" si="2">J9-G9</f>
        <v>3.4722222218988463E-2</v>
      </c>
      <c r="L9" s="63">
        <v>1.68</v>
      </c>
      <c r="M9" s="64">
        <v>1.9</v>
      </c>
      <c r="N9" s="64">
        <f t="shared" si="1"/>
        <v>0.21999999999999997</v>
      </c>
      <c r="O9" s="64"/>
      <c r="P9" s="37">
        <v>46</v>
      </c>
    </row>
    <row r="10" spans="1:17">
      <c r="A10" s="30">
        <v>7</v>
      </c>
      <c r="B10" s="4">
        <v>42971</v>
      </c>
      <c r="C10" s="45" t="s">
        <v>19</v>
      </c>
      <c r="D10" s="27" t="s">
        <v>36</v>
      </c>
      <c r="E10" s="27" t="s">
        <v>23</v>
      </c>
      <c r="F10" s="60" t="s">
        <v>45</v>
      </c>
      <c r="G10" s="5">
        <v>42971.418055555558</v>
      </c>
      <c r="H10" s="6">
        <v>42971.443055555559</v>
      </c>
      <c r="I10" s="49" t="s">
        <v>13</v>
      </c>
      <c r="J10" s="49">
        <v>42971.452777777777</v>
      </c>
      <c r="K10" s="56">
        <f t="shared" si="2"/>
        <v>3.4722222218988463E-2</v>
      </c>
      <c r="L10" s="63">
        <v>1.77</v>
      </c>
      <c r="M10" s="64">
        <v>1.89</v>
      </c>
      <c r="N10" s="64">
        <f t="shared" si="1"/>
        <v>0.11999999999999988</v>
      </c>
      <c r="O10" s="64"/>
      <c r="P10" s="37">
        <v>41</v>
      </c>
    </row>
    <row r="11" spans="1:17">
      <c r="A11" s="30">
        <v>8</v>
      </c>
      <c r="B11" s="4">
        <v>42971</v>
      </c>
      <c r="C11" s="45" t="s">
        <v>24</v>
      </c>
      <c r="D11" s="27" t="s">
        <v>36</v>
      </c>
      <c r="E11" s="27" t="s">
        <v>25</v>
      </c>
      <c r="F11" s="60" t="s">
        <v>45</v>
      </c>
      <c r="G11" s="5">
        <v>42971.418055555558</v>
      </c>
      <c r="H11" s="6">
        <v>42971.444444444445</v>
      </c>
      <c r="I11" s="49">
        <v>42971.447916666664</v>
      </c>
      <c r="J11" s="49">
        <v>42972.439583333333</v>
      </c>
      <c r="K11" s="56">
        <f>J11-G11</f>
        <v>1.0215277777751908</v>
      </c>
      <c r="L11" s="63">
        <v>0.81</v>
      </c>
      <c r="M11" s="64">
        <v>0.88</v>
      </c>
      <c r="N11" s="64">
        <f t="shared" si="1"/>
        <v>6.9999999999999951E-2</v>
      </c>
      <c r="O11" s="64">
        <v>7.2</v>
      </c>
      <c r="P11" s="37">
        <v>63</v>
      </c>
      <c r="Q11" t="s">
        <v>26</v>
      </c>
    </row>
    <row r="12" spans="1:17">
      <c r="A12" s="19">
        <v>9</v>
      </c>
      <c r="B12" s="2">
        <v>42971</v>
      </c>
      <c r="C12" s="46" t="s">
        <v>27</v>
      </c>
      <c r="D12" s="28" t="s">
        <v>28</v>
      </c>
      <c r="E12" s="28"/>
      <c r="F12" s="61"/>
      <c r="G12" s="1"/>
      <c r="H12" s="3"/>
      <c r="I12" s="46"/>
      <c r="J12" s="55">
        <v>42971.452777777777</v>
      </c>
      <c r="K12" s="58"/>
      <c r="L12" s="65"/>
      <c r="M12" s="66"/>
      <c r="N12" s="66"/>
      <c r="O12" s="66"/>
      <c r="P12" s="24"/>
    </row>
    <row r="13" spans="1:17">
      <c r="A13" s="38">
        <v>10</v>
      </c>
      <c r="B13" s="7">
        <v>42971</v>
      </c>
      <c r="C13" s="47" t="s">
        <v>29</v>
      </c>
      <c r="D13" s="29" t="s">
        <v>35</v>
      </c>
      <c r="E13" s="29" t="s">
        <v>18</v>
      </c>
      <c r="F13" s="62" t="s">
        <v>51</v>
      </c>
      <c r="G13" s="8">
        <v>42971.510416666664</v>
      </c>
      <c r="H13" s="9">
        <v>42971.53125</v>
      </c>
      <c r="I13" s="47" t="s">
        <v>13</v>
      </c>
      <c r="J13" s="53">
        <v>42971.536111111112</v>
      </c>
      <c r="K13" s="57">
        <f t="shared" si="2"/>
        <v>2.5694444448163267E-2</v>
      </c>
      <c r="L13" s="67">
        <v>1.86</v>
      </c>
      <c r="M13" s="68">
        <v>2</v>
      </c>
      <c r="N13" s="68">
        <f t="shared" si="1"/>
        <v>0.1399999999999999</v>
      </c>
      <c r="O13" s="68"/>
      <c r="P13" s="44">
        <v>36</v>
      </c>
    </row>
    <row r="14" spans="1:17">
      <c r="A14" s="38">
        <v>11</v>
      </c>
      <c r="B14" s="7">
        <v>42971</v>
      </c>
      <c r="C14" s="47" t="s">
        <v>34</v>
      </c>
      <c r="D14" s="29" t="s">
        <v>37</v>
      </c>
      <c r="E14" s="29" t="s">
        <v>23</v>
      </c>
      <c r="F14" s="62" t="s">
        <v>51</v>
      </c>
      <c r="G14" s="8">
        <v>42971.510416666664</v>
      </c>
      <c r="H14" s="9">
        <v>42971.531944444447</v>
      </c>
      <c r="I14" s="47" t="s">
        <v>13</v>
      </c>
      <c r="J14" s="53">
        <v>42971.536805555559</v>
      </c>
      <c r="K14" s="57">
        <f t="shared" si="2"/>
        <v>2.6388888894871343E-2</v>
      </c>
      <c r="L14" s="67">
        <v>1.99</v>
      </c>
      <c r="M14" s="68">
        <v>2.0699999999999998</v>
      </c>
      <c r="N14" s="68">
        <f t="shared" si="1"/>
        <v>7.9999999999999849E-2</v>
      </c>
      <c r="O14" s="68"/>
      <c r="P14" s="44">
        <v>30</v>
      </c>
    </row>
    <row r="15" spans="1:17">
      <c r="A15" s="38">
        <v>12</v>
      </c>
      <c r="B15" s="7">
        <v>42971</v>
      </c>
      <c r="C15" s="47" t="s">
        <v>38</v>
      </c>
      <c r="D15" s="29" t="s">
        <v>37</v>
      </c>
      <c r="E15" s="29" t="s">
        <v>25</v>
      </c>
      <c r="F15" s="62" t="s">
        <v>51</v>
      </c>
      <c r="G15" s="8">
        <v>42971.510416666664</v>
      </c>
      <c r="H15" s="9">
        <v>42971.53402777778</v>
      </c>
      <c r="I15" s="50">
        <v>42971.536111111112</v>
      </c>
      <c r="J15" s="50">
        <v>42972.441666666666</v>
      </c>
      <c r="K15" s="57">
        <f t="shared" si="2"/>
        <v>0.93125000000145519</v>
      </c>
      <c r="L15" s="67">
        <v>0.74</v>
      </c>
      <c r="M15" s="68">
        <v>0.83</v>
      </c>
      <c r="N15" s="68">
        <f t="shared" si="1"/>
        <v>8.9999999999999969E-2</v>
      </c>
      <c r="O15" s="68">
        <v>7.27</v>
      </c>
      <c r="P15" s="44">
        <v>114</v>
      </c>
      <c r="Q15" t="s">
        <v>42</v>
      </c>
    </row>
    <row r="16" spans="1:17">
      <c r="A16" s="19">
        <v>13</v>
      </c>
      <c r="B16" s="2">
        <v>42971</v>
      </c>
      <c r="C16" s="46" t="s">
        <v>43</v>
      </c>
      <c r="D16" s="28" t="s">
        <v>28</v>
      </c>
      <c r="E16" s="28"/>
      <c r="F16" s="61"/>
      <c r="G16" s="1"/>
      <c r="H16" s="3"/>
      <c r="I16" s="46"/>
      <c r="J16" s="54">
        <v>42971.536805555559</v>
      </c>
      <c r="K16" s="58"/>
      <c r="L16" s="65"/>
      <c r="M16" s="66"/>
      <c r="N16" s="66"/>
      <c r="O16" s="66"/>
      <c r="P16" s="24"/>
    </row>
    <row r="17" spans="1:17">
      <c r="A17" s="30">
        <v>14</v>
      </c>
      <c r="B17" s="4">
        <v>42972</v>
      </c>
      <c r="C17" s="45" t="s">
        <v>44</v>
      </c>
      <c r="D17" s="27" t="s">
        <v>35</v>
      </c>
      <c r="E17" s="27" t="s">
        <v>18</v>
      </c>
      <c r="F17" s="60" t="s">
        <v>69</v>
      </c>
      <c r="G17" s="5">
        <v>42972.402777777781</v>
      </c>
      <c r="H17" s="6">
        <v>42972.426388888889</v>
      </c>
      <c r="I17" s="45" t="s">
        <v>13</v>
      </c>
      <c r="J17" s="49">
        <v>42972.443055555559</v>
      </c>
      <c r="K17" s="56">
        <f t="shared" si="2"/>
        <v>4.0277777778101154E-2</v>
      </c>
      <c r="L17" s="63">
        <v>1.45</v>
      </c>
      <c r="M17" s="64">
        <v>1.63</v>
      </c>
      <c r="N17" s="64">
        <f t="shared" si="1"/>
        <v>0.17999999999999994</v>
      </c>
      <c r="O17" s="64">
        <v>7.16</v>
      </c>
      <c r="P17" s="37">
        <f>AVERAGE(52, 42, 50, 49, 43, 43)</f>
        <v>46.5</v>
      </c>
      <c r="Q17" t="s">
        <v>47</v>
      </c>
    </row>
    <row r="18" spans="1:17">
      <c r="A18" s="30">
        <v>15</v>
      </c>
      <c r="B18" s="4">
        <v>42972</v>
      </c>
      <c r="C18" s="45" t="s">
        <v>46</v>
      </c>
      <c r="D18" s="27" t="s">
        <v>54</v>
      </c>
      <c r="E18" s="27" t="s">
        <v>23</v>
      </c>
      <c r="F18" s="60" t="s">
        <v>69</v>
      </c>
      <c r="G18" s="5">
        <v>42972.402777777781</v>
      </c>
      <c r="H18" s="6">
        <v>42972.427777777775</v>
      </c>
      <c r="I18" s="45" t="s">
        <v>13</v>
      </c>
      <c r="J18" s="49">
        <v>42972.444444444445</v>
      </c>
      <c r="K18" s="56">
        <f t="shared" si="2"/>
        <v>4.1666666664241347E-2</v>
      </c>
      <c r="L18" s="63">
        <v>1.42</v>
      </c>
      <c r="M18" s="64">
        <v>1.57</v>
      </c>
      <c r="N18" s="64">
        <f t="shared" si="1"/>
        <v>0.15000000000000013</v>
      </c>
      <c r="O18" s="64">
        <v>7.25</v>
      </c>
      <c r="P18" s="37">
        <f>AVERAGE(67,66,72,68)</f>
        <v>68.25</v>
      </c>
      <c r="Q18" t="s">
        <v>48</v>
      </c>
    </row>
    <row r="19" spans="1:17">
      <c r="A19" s="30">
        <v>16</v>
      </c>
      <c r="B19" s="4">
        <v>42972</v>
      </c>
      <c r="C19" s="45" t="s">
        <v>49</v>
      </c>
      <c r="D19" s="27" t="s">
        <v>54</v>
      </c>
      <c r="E19" s="27" t="s">
        <v>25</v>
      </c>
      <c r="F19" s="60" t="s">
        <v>69</v>
      </c>
      <c r="G19" s="5">
        <v>42972.402777777781</v>
      </c>
      <c r="H19" s="6">
        <v>42972.429861111108</v>
      </c>
      <c r="I19" s="49">
        <v>42972.434027777781</v>
      </c>
      <c r="J19" s="49">
        <v>42973.601388888892</v>
      </c>
      <c r="K19" s="56">
        <f t="shared" si="2"/>
        <v>1.1986111111109494</v>
      </c>
      <c r="L19" s="63">
        <v>0.68</v>
      </c>
      <c r="M19" s="64">
        <v>0.84</v>
      </c>
      <c r="N19" s="64">
        <f t="shared" si="1"/>
        <v>0.15999999999999992</v>
      </c>
      <c r="O19" s="64">
        <v>0.16</v>
      </c>
      <c r="P19" s="37">
        <f>AVERAGE(70,70)</f>
        <v>70</v>
      </c>
      <c r="Q19" t="s">
        <v>83</v>
      </c>
    </row>
    <row r="20" spans="1:17">
      <c r="A20" s="38">
        <v>17</v>
      </c>
      <c r="B20" s="7">
        <v>42972</v>
      </c>
      <c r="C20" s="47" t="s">
        <v>50</v>
      </c>
      <c r="D20" s="29" t="s">
        <v>22</v>
      </c>
      <c r="E20" s="29" t="s">
        <v>18</v>
      </c>
      <c r="F20" s="62" t="s">
        <v>70</v>
      </c>
      <c r="G20" s="8">
        <v>42972.386805555558</v>
      </c>
      <c r="H20" s="9">
        <v>42972.431250000001</v>
      </c>
      <c r="I20" s="50" t="s">
        <v>13</v>
      </c>
      <c r="J20" s="53">
        <v>42972.444444444445</v>
      </c>
      <c r="K20" s="57">
        <f t="shared" si="2"/>
        <v>5.7638888887595385E-2</v>
      </c>
      <c r="L20" s="67">
        <v>3.08</v>
      </c>
      <c r="M20" s="68">
        <v>3.16</v>
      </c>
      <c r="N20" s="68">
        <f t="shared" si="1"/>
        <v>8.0000000000000071E-2</v>
      </c>
      <c r="O20" s="68">
        <v>7.23</v>
      </c>
      <c r="P20" s="44">
        <f>AVERAGE(67,62,62)</f>
        <v>63.666666666666664</v>
      </c>
      <c r="Q20" t="s">
        <v>52</v>
      </c>
    </row>
    <row r="21" spans="1:17">
      <c r="A21" s="38">
        <v>18</v>
      </c>
      <c r="B21" s="7">
        <v>42972</v>
      </c>
      <c r="C21" s="47" t="s">
        <v>53</v>
      </c>
      <c r="D21" s="29" t="s">
        <v>36</v>
      </c>
      <c r="E21" s="29" t="s">
        <v>23</v>
      </c>
      <c r="F21" s="62" t="s">
        <v>70</v>
      </c>
      <c r="G21" s="8">
        <v>42972.386805555558</v>
      </c>
      <c r="H21" s="9">
        <v>42972.43472222222</v>
      </c>
      <c r="I21" s="47" t="s">
        <v>13</v>
      </c>
      <c r="J21" s="53">
        <v>42972.444444444445</v>
      </c>
      <c r="K21" s="57">
        <f t="shared" si="2"/>
        <v>5.7638888887595385E-2</v>
      </c>
      <c r="L21" s="67">
        <v>3.16</v>
      </c>
      <c r="M21" s="68">
        <v>3.27</v>
      </c>
      <c r="N21" s="68">
        <f t="shared" si="1"/>
        <v>0.10999999999999988</v>
      </c>
      <c r="O21" s="68">
        <v>7.28</v>
      </c>
      <c r="P21" s="44">
        <f>AVERAGE(57,56)</f>
        <v>56.5</v>
      </c>
    </row>
    <row r="22" spans="1:17">
      <c r="A22" s="38">
        <v>19</v>
      </c>
      <c r="B22" s="7">
        <v>42972</v>
      </c>
      <c r="C22" s="47" t="s">
        <v>55</v>
      </c>
      <c r="D22" s="29" t="s">
        <v>36</v>
      </c>
      <c r="E22" s="29" t="s">
        <v>25</v>
      </c>
      <c r="F22" s="62" t="s">
        <v>70</v>
      </c>
      <c r="G22" s="8">
        <v>42972.386805555558</v>
      </c>
      <c r="H22" s="9">
        <v>42972.43472222222</v>
      </c>
      <c r="I22" s="50">
        <v>42972.436805555553</v>
      </c>
      <c r="J22" s="50">
        <v>42973.599305555559</v>
      </c>
      <c r="K22" s="57">
        <f t="shared" si="2"/>
        <v>1.2125000000014552</v>
      </c>
      <c r="L22" s="67">
        <v>2.25</v>
      </c>
      <c r="M22" s="68">
        <v>2.4500000000000002</v>
      </c>
      <c r="N22" s="68">
        <f t="shared" si="1"/>
        <v>0.20000000000000018</v>
      </c>
      <c r="O22" s="68">
        <v>7.05</v>
      </c>
      <c r="P22" s="44">
        <f>AVERAGE(85,85)</f>
        <v>85</v>
      </c>
      <c r="Q22" t="s">
        <v>84</v>
      </c>
    </row>
    <row r="23" spans="1:17">
      <c r="A23" s="19">
        <v>20</v>
      </c>
      <c r="B23" s="2">
        <v>42972</v>
      </c>
      <c r="C23" s="46" t="s">
        <v>58</v>
      </c>
      <c r="D23" s="28" t="s">
        <v>28</v>
      </c>
      <c r="E23" s="28"/>
      <c r="F23" s="61"/>
      <c r="G23" s="1"/>
      <c r="H23" s="3"/>
      <c r="I23" s="46"/>
      <c r="J23" s="55">
        <v>42972.444444444445</v>
      </c>
      <c r="K23" s="58"/>
      <c r="L23" s="65"/>
      <c r="M23" s="66"/>
      <c r="N23" s="66"/>
      <c r="O23" s="66"/>
      <c r="P23" s="24"/>
    </row>
    <row r="24" spans="1:17">
      <c r="A24" s="30">
        <v>21</v>
      </c>
      <c r="B24" s="4">
        <v>42973</v>
      </c>
      <c r="C24" s="45" t="s">
        <v>81</v>
      </c>
      <c r="D24" s="27" t="s">
        <v>35</v>
      </c>
      <c r="E24" s="27" t="s">
        <v>18</v>
      </c>
      <c r="F24" s="60" t="s">
        <v>82</v>
      </c>
      <c r="G24" s="5">
        <v>42973.563194444447</v>
      </c>
      <c r="H24" s="6">
        <v>42973.584722222222</v>
      </c>
      <c r="I24" s="45" t="s">
        <v>13</v>
      </c>
      <c r="J24" s="78">
        <v>42973.593055555553</v>
      </c>
      <c r="K24" s="56">
        <f t="shared" si="2"/>
        <v>2.9861111106583849E-2</v>
      </c>
      <c r="L24" s="63">
        <v>0.91</v>
      </c>
      <c r="M24" s="64">
        <v>1.1000000000000001</v>
      </c>
      <c r="N24" s="64">
        <f t="shared" si="1"/>
        <v>0.19000000000000006</v>
      </c>
      <c r="O24" s="64">
        <v>6.82</v>
      </c>
      <c r="P24" s="80">
        <f>AVERAGE(47,46)</f>
        <v>46.5</v>
      </c>
    </row>
    <row r="25" spans="1:17">
      <c r="A25" s="30">
        <v>22</v>
      </c>
      <c r="B25" s="4">
        <v>42973</v>
      </c>
      <c r="C25" s="45" t="s">
        <v>85</v>
      </c>
      <c r="D25" s="27" t="s">
        <v>54</v>
      </c>
      <c r="E25" s="27" t="s">
        <v>23</v>
      </c>
      <c r="F25" s="60" t="s">
        <v>82</v>
      </c>
      <c r="G25" s="5">
        <v>42973.563194444447</v>
      </c>
      <c r="H25" s="6">
        <v>42973.584722222222</v>
      </c>
      <c r="I25" s="45" t="s">
        <v>13</v>
      </c>
      <c r="J25" s="78">
        <v>42973.59375</v>
      </c>
      <c r="K25" s="56">
        <f t="shared" ref="K25:K26" si="3">J25-G25</f>
        <v>3.0555555553291924E-2</v>
      </c>
      <c r="L25" s="63">
        <v>1.1599999999999999</v>
      </c>
      <c r="M25" s="64">
        <v>1.25</v>
      </c>
      <c r="N25" s="64">
        <f t="shared" si="1"/>
        <v>9.000000000000008E-2</v>
      </c>
      <c r="O25" s="64">
        <v>6.99</v>
      </c>
      <c r="P25" s="80">
        <f>AVERAGE(45,43,40,39)</f>
        <v>41.75</v>
      </c>
    </row>
    <row r="26" spans="1:17">
      <c r="A26" s="30">
        <v>23</v>
      </c>
      <c r="B26" s="4">
        <v>42973</v>
      </c>
      <c r="C26" s="45" t="s">
        <v>86</v>
      </c>
      <c r="D26" s="27" t="s">
        <v>54</v>
      </c>
      <c r="E26" s="27" t="s">
        <v>25</v>
      </c>
      <c r="F26" s="60" t="s">
        <v>82</v>
      </c>
      <c r="G26" s="5">
        <v>42973.563194444447</v>
      </c>
      <c r="H26" s="6">
        <v>42973.585416666669</v>
      </c>
      <c r="I26" s="6">
        <v>42973.588888888888</v>
      </c>
      <c r="J26" s="78">
        <v>42974.543055555558</v>
      </c>
      <c r="K26" s="56">
        <f t="shared" si="3"/>
        <v>0.97986111111094942</v>
      </c>
      <c r="L26" s="63">
        <v>0.44</v>
      </c>
      <c r="M26" s="64">
        <v>0.6</v>
      </c>
      <c r="N26" s="64">
        <f t="shared" si="1"/>
        <v>0.15999999999999998</v>
      </c>
      <c r="O26" s="64">
        <v>7.08</v>
      </c>
      <c r="P26" s="80">
        <f>AVERAGE(63,63,62)</f>
        <v>62.666666666666664</v>
      </c>
    </row>
    <row r="27" spans="1:17">
      <c r="A27" s="38">
        <v>24</v>
      </c>
      <c r="B27" s="7">
        <v>42973</v>
      </c>
      <c r="C27" s="47" t="s">
        <v>87</v>
      </c>
      <c r="D27" s="29" t="s">
        <v>22</v>
      </c>
      <c r="E27" s="29" t="s">
        <v>18</v>
      </c>
      <c r="F27" s="62" t="s">
        <v>88</v>
      </c>
      <c r="G27" s="8">
        <v>42973.543749999997</v>
      </c>
      <c r="H27" s="9">
        <v>42973.584722222222</v>
      </c>
      <c r="I27" s="47" t="s">
        <v>13</v>
      </c>
      <c r="J27" s="79">
        <v>42973.595138888886</v>
      </c>
      <c r="K27" s="57">
        <f t="shared" ref="K27" si="4">J27-G27</f>
        <v>5.1388888889050577E-2</v>
      </c>
      <c r="L27" s="67">
        <v>1.29</v>
      </c>
      <c r="M27" s="68">
        <v>1.5</v>
      </c>
      <c r="N27" s="68">
        <f t="shared" si="1"/>
        <v>0.20999999999999996</v>
      </c>
      <c r="O27" s="68">
        <v>7.01</v>
      </c>
      <c r="P27" s="81">
        <f>AVERAGE(51,50,49,46)</f>
        <v>49</v>
      </c>
    </row>
    <row r="28" spans="1:17">
      <c r="A28" s="38">
        <v>25</v>
      </c>
      <c r="B28" s="7">
        <v>42973</v>
      </c>
      <c r="C28" s="47" t="s">
        <v>89</v>
      </c>
      <c r="D28" s="29" t="s">
        <v>36</v>
      </c>
      <c r="E28" s="29" t="s">
        <v>23</v>
      </c>
      <c r="F28" s="62" t="s">
        <v>88</v>
      </c>
      <c r="G28" s="8">
        <v>42973.543749999997</v>
      </c>
      <c r="H28" s="9">
        <v>42973.587500000001</v>
      </c>
      <c r="I28" s="47" t="s">
        <v>13</v>
      </c>
      <c r="J28" s="79">
        <v>42973.597222222219</v>
      </c>
      <c r="K28" s="57">
        <f t="shared" ref="K28:K45" si="5">J28-G28</f>
        <v>5.3472222221898846E-2</v>
      </c>
      <c r="L28" s="67">
        <v>1.35</v>
      </c>
      <c r="M28" s="68">
        <v>1.48</v>
      </c>
      <c r="N28" s="68">
        <f t="shared" si="1"/>
        <v>0.12999999999999989</v>
      </c>
      <c r="O28" s="68">
        <v>7.26</v>
      </c>
      <c r="P28" s="81">
        <f>AVERAGE(47,46,46,44)</f>
        <v>45.75</v>
      </c>
    </row>
    <row r="29" spans="1:17">
      <c r="A29" s="38">
        <v>26</v>
      </c>
      <c r="B29" s="7">
        <v>42973</v>
      </c>
      <c r="C29" s="47" t="s">
        <v>91</v>
      </c>
      <c r="D29" s="29" t="s">
        <v>36</v>
      </c>
      <c r="E29" s="29" t="s">
        <v>25</v>
      </c>
      <c r="F29" s="62" t="s">
        <v>88</v>
      </c>
      <c r="G29" s="8">
        <v>42973.543749999997</v>
      </c>
      <c r="H29" s="9">
        <v>42973.587500000001</v>
      </c>
      <c r="I29" s="9">
        <v>42973.588888888888</v>
      </c>
      <c r="J29" s="79">
        <v>42974.543055555558</v>
      </c>
      <c r="K29" s="57">
        <f t="shared" si="5"/>
        <v>0.99930555556056788</v>
      </c>
      <c r="L29" s="67">
        <v>0.71</v>
      </c>
      <c r="M29" s="68">
        <v>0.81</v>
      </c>
      <c r="N29" s="68">
        <f t="shared" si="1"/>
        <v>0.10000000000000009</v>
      </c>
      <c r="O29" s="68">
        <v>7.13</v>
      </c>
      <c r="P29" s="81">
        <f>AVERAGE(70,69,70,67,66,65)</f>
        <v>67.833333333333329</v>
      </c>
      <c r="Q29" t="s">
        <v>107</v>
      </c>
    </row>
    <row r="30" spans="1:17">
      <c r="A30" s="30">
        <v>27</v>
      </c>
      <c r="B30" s="4">
        <v>42974</v>
      </c>
      <c r="C30" s="45" t="s">
        <v>105</v>
      </c>
      <c r="D30" s="27" t="s">
        <v>35</v>
      </c>
      <c r="E30" s="27" t="s">
        <v>18</v>
      </c>
      <c r="F30" s="60" t="s">
        <v>106</v>
      </c>
      <c r="G30" s="5">
        <v>42974.505555555559</v>
      </c>
      <c r="H30" s="6">
        <v>42974.52847222222</v>
      </c>
      <c r="I30" s="45" t="s">
        <v>13</v>
      </c>
      <c r="J30" s="78">
        <v>42974.547222222223</v>
      </c>
      <c r="K30" s="56">
        <f t="shared" si="5"/>
        <v>4.1666666664241347E-2</v>
      </c>
      <c r="L30" s="63">
        <v>1.35</v>
      </c>
      <c r="M30" s="64">
        <v>1.4</v>
      </c>
      <c r="N30" s="64">
        <f t="shared" si="1"/>
        <v>4.9999999999999822E-2</v>
      </c>
      <c r="O30" s="64">
        <v>7.16</v>
      </c>
      <c r="P30" s="80">
        <f>AVERAGE(42,41,40)</f>
        <v>41</v>
      </c>
    </row>
    <row r="31" spans="1:17">
      <c r="A31" s="30">
        <v>28</v>
      </c>
      <c r="B31" s="4">
        <v>42974</v>
      </c>
      <c r="C31" s="45" t="s">
        <v>108</v>
      </c>
      <c r="D31" s="27" t="s">
        <v>54</v>
      </c>
      <c r="E31" s="27" t="s">
        <v>23</v>
      </c>
      <c r="F31" s="60" t="s">
        <v>106</v>
      </c>
      <c r="G31" s="5">
        <v>42974.505555555559</v>
      </c>
      <c r="H31" s="6">
        <v>42974.53125</v>
      </c>
      <c r="I31" s="45" t="s">
        <v>13</v>
      </c>
      <c r="J31" s="78">
        <v>42974.547222222223</v>
      </c>
      <c r="K31" s="56">
        <f t="shared" si="5"/>
        <v>4.1666666664241347E-2</v>
      </c>
      <c r="L31" s="95">
        <v>1.48</v>
      </c>
      <c r="M31" s="64">
        <v>1.69</v>
      </c>
      <c r="N31" s="45">
        <f t="shared" si="1"/>
        <v>0.20999999999999996</v>
      </c>
      <c r="O31" s="64">
        <v>6.77</v>
      </c>
      <c r="P31" s="80"/>
      <c r="Q31" t="s">
        <v>109</v>
      </c>
    </row>
    <row r="32" spans="1:17">
      <c r="A32" s="30">
        <v>29</v>
      </c>
      <c r="B32" s="4">
        <v>42974</v>
      </c>
      <c r="C32" s="45" t="s">
        <v>110</v>
      </c>
      <c r="D32" s="27" t="s">
        <v>54</v>
      </c>
      <c r="E32" s="27" t="s">
        <v>25</v>
      </c>
      <c r="F32" s="60" t="s">
        <v>106</v>
      </c>
      <c r="G32" s="5">
        <v>42974.505555555559</v>
      </c>
      <c r="H32" s="6">
        <v>42974.529861111114</v>
      </c>
      <c r="I32" s="6">
        <v>42974.534722222219</v>
      </c>
      <c r="J32" s="78">
        <v>42975.685416666667</v>
      </c>
      <c r="K32" s="56">
        <f t="shared" si="5"/>
        <v>1.179861111108039</v>
      </c>
      <c r="L32" s="95">
        <v>0.56999999999999995</v>
      </c>
      <c r="M32" s="64">
        <v>0.74</v>
      </c>
      <c r="N32" s="45">
        <f t="shared" si="1"/>
        <v>0.17000000000000004</v>
      </c>
      <c r="O32" s="64">
        <v>7.17</v>
      </c>
      <c r="P32" s="80">
        <f>AVERAGE(64,63,63)</f>
        <v>63.333333333333336</v>
      </c>
    </row>
    <row r="33" spans="1:16">
      <c r="A33" s="38">
        <v>30</v>
      </c>
      <c r="B33" s="7">
        <v>42974</v>
      </c>
      <c r="C33" s="47" t="s">
        <v>111</v>
      </c>
      <c r="D33" s="29" t="s">
        <v>22</v>
      </c>
      <c r="E33" s="29" t="s">
        <v>18</v>
      </c>
      <c r="F33" s="62" t="s">
        <v>112</v>
      </c>
      <c r="G33" s="8">
        <v>42974.506944444445</v>
      </c>
      <c r="H33" s="9">
        <v>42974.531944444447</v>
      </c>
      <c r="I33" s="47" t="s">
        <v>13</v>
      </c>
      <c r="J33" s="79">
        <v>42974.547222222223</v>
      </c>
      <c r="K33" s="57">
        <f t="shared" si="5"/>
        <v>4.0277777778101154E-2</v>
      </c>
      <c r="L33" s="96">
        <v>1.79</v>
      </c>
      <c r="M33" s="68">
        <v>1.86</v>
      </c>
      <c r="N33" s="47">
        <f t="shared" si="1"/>
        <v>7.0000000000000062E-2</v>
      </c>
      <c r="O33" s="68">
        <v>7.24</v>
      </c>
      <c r="P33" s="81">
        <f>AVERAGE(52,51,55)</f>
        <v>52.666666666666664</v>
      </c>
    </row>
    <row r="34" spans="1:16">
      <c r="A34" s="38">
        <v>31</v>
      </c>
      <c r="B34" s="7">
        <v>42974</v>
      </c>
      <c r="C34" s="47" t="s">
        <v>113</v>
      </c>
      <c r="D34" s="29" t="s">
        <v>36</v>
      </c>
      <c r="E34" s="29" t="s">
        <v>23</v>
      </c>
      <c r="F34" s="62" t="s">
        <v>112</v>
      </c>
      <c r="G34" s="8">
        <v>42974.506944444445</v>
      </c>
      <c r="H34" s="9">
        <v>42974.531944444447</v>
      </c>
      <c r="I34" s="47" t="s">
        <v>13</v>
      </c>
      <c r="J34" s="79">
        <v>42974.547222222223</v>
      </c>
      <c r="K34" s="57">
        <f t="shared" si="5"/>
        <v>4.0277777778101154E-2</v>
      </c>
      <c r="L34" s="96">
        <v>1.67</v>
      </c>
      <c r="M34" s="68">
        <v>1.8</v>
      </c>
      <c r="N34" s="47">
        <f t="shared" si="1"/>
        <v>0.13000000000000012</v>
      </c>
      <c r="O34" s="47">
        <v>7.33</v>
      </c>
      <c r="P34" s="81">
        <f>AVERAGE(53,56,53)</f>
        <v>54</v>
      </c>
    </row>
    <row r="35" spans="1:16">
      <c r="A35" s="38">
        <v>32</v>
      </c>
      <c r="B35" s="7">
        <v>42974</v>
      </c>
      <c r="C35" s="47" t="s">
        <v>114</v>
      </c>
      <c r="D35" s="29" t="s">
        <v>36</v>
      </c>
      <c r="E35" s="29" t="s">
        <v>25</v>
      </c>
      <c r="F35" s="62" t="s">
        <v>112</v>
      </c>
      <c r="G35" s="8">
        <v>42974.506944444445</v>
      </c>
      <c r="H35" s="9">
        <v>42974.531944444447</v>
      </c>
      <c r="I35" s="9">
        <v>42974.534722222219</v>
      </c>
      <c r="J35" s="79">
        <v>42975.683333333334</v>
      </c>
      <c r="K35" s="57">
        <f t="shared" si="5"/>
        <v>1.1763888888890506</v>
      </c>
      <c r="L35" s="96">
        <v>0.93</v>
      </c>
      <c r="M35" s="68">
        <v>1.27</v>
      </c>
      <c r="N35" s="47">
        <f t="shared" si="1"/>
        <v>0.33999999999999997</v>
      </c>
      <c r="O35" s="68">
        <v>7.31</v>
      </c>
      <c r="P35" s="81">
        <f>AVERAGE(76,74,76)</f>
        <v>75.333333333333329</v>
      </c>
    </row>
    <row r="36" spans="1:16">
      <c r="A36" s="30">
        <v>33</v>
      </c>
      <c r="B36" s="4">
        <v>42975</v>
      </c>
      <c r="C36" s="45" t="s">
        <v>115</v>
      </c>
      <c r="D36" s="27" t="s">
        <v>35</v>
      </c>
      <c r="E36" s="27" t="s">
        <v>18</v>
      </c>
      <c r="F36" s="60" t="s">
        <v>116</v>
      </c>
      <c r="G36" s="5">
        <v>42975.627083333333</v>
      </c>
      <c r="H36" s="6">
        <v>42975.661805555559</v>
      </c>
      <c r="I36" s="45" t="s">
        <v>13</v>
      </c>
      <c r="J36" s="78">
        <v>42975.674305555556</v>
      </c>
      <c r="K36" s="56">
        <f t="shared" si="5"/>
        <v>4.7222222223354038E-2</v>
      </c>
      <c r="L36" s="63">
        <v>1.1000000000000001</v>
      </c>
      <c r="M36" s="64">
        <v>1.33</v>
      </c>
      <c r="N36" s="45">
        <f t="shared" si="1"/>
        <v>0.22999999999999998</v>
      </c>
      <c r="O36" s="64">
        <v>7.11</v>
      </c>
      <c r="P36" s="80">
        <f>AVERAGE(51,50,50)</f>
        <v>50.333333333333336</v>
      </c>
    </row>
    <row r="37" spans="1:16">
      <c r="A37" s="30">
        <v>34</v>
      </c>
      <c r="B37" s="4">
        <v>42975</v>
      </c>
      <c r="C37" s="45" t="s">
        <v>117</v>
      </c>
      <c r="D37" s="27" t="s">
        <v>54</v>
      </c>
      <c r="E37" s="27" t="s">
        <v>23</v>
      </c>
      <c r="F37" s="60" t="s">
        <v>116</v>
      </c>
      <c r="G37" s="5">
        <v>42975.627083333333</v>
      </c>
      <c r="H37" s="6">
        <v>42975.663194444445</v>
      </c>
      <c r="I37" s="45" t="s">
        <v>13</v>
      </c>
      <c r="J37" s="78">
        <v>42975.675694444442</v>
      </c>
      <c r="K37" s="56">
        <f t="shared" si="5"/>
        <v>4.8611111109494232E-2</v>
      </c>
      <c r="L37" s="95">
        <v>1.23</v>
      </c>
      <c r="M37" s="64">
        <v>1.36</v>
      </c>
      <c r="N37" s="45">
        <f t="shared" si="1"/>
        <v>0.13000000000000012</v>
      </c>
      <c r="O37" s="64">
        <v>7.21</v>
      </c>
      <c r="P37" s="80">
        <f>AVERAGE(46,46,46)</f>
        <v>46</v>
      </c>
    </row>
    <row r="38" spans="1:16">
      <c r="A38" s="30">
        <v>35</v>
      </c>
      <c r="B38" s="4">
        <v>42975</v>
      </c>
      <c r="C38" s="45" t="s">
        <v>118</v>
      </c>
      <c r="D38" s="27" t="s">
        <v>54</v>
      </c>
      <c r="E38" s="27" t="s">
        <v>25</v>
      </c>
      <c r="F38" s="60" t="s">
        <v>116</v>
      </c>
      <c r="G38" s="5">
        <v>42975.627083333333</v>
      </c>
      <c r="H38" s="6">
        <v>42975.665277777778</v>
      </c>
      <c r="I38" s="6">
        <v>42975.672222222223</v>
      </c>
      <c r="J38" s="78">
        <v>42976.442361111112</v>
      </c>
      <c r="K38" s="56">
        <f t="shared" si="5"/>
        <v>0.81527777777955635</v>
      </c>
      <c r="L38" s="95">
        <v>0.37</v>
      </c>
      <c r="M38" s="64">
        <v>0.53</v>
      </c>
      <c r="N38" s="45">
        <f t="shared" si="1"/>
        <v>0.16000000000000003</v>
      </c>
      <c r="O38" s="64">
        <v>7.35</v>
      </c>
      <c r="P38" s="80">
        <f>AVERAGE(67,52,59)</f>
        <v>59.333333333333336</v>
      </c>
    </row>
    <row r="39" spans="1:16">
      <c r="A39" s="38">
        <v>36</v>
      </c>
      <c r="B39" s="7">
        <v>42975</v>
      </c>
      <c r="C39" s="47" t="s">
        <v>119</v>
      </c>
      <c r="D39" s="29" t="s">
        <v>22</v>
      </c>
      <c r="E39" s="29" t="s">
        <v>18</v>
      </c>
      <c r="F39" s="62" t="s">
        <v>120</v>
      </c>
      <c r="G39" s="8">
        <v>42975.597916666666</v>
      </c>
      <c r="H39" s="9">
        <v>42975.667361111111</v>
      </c>
      <c r="I39" s="47" t="s">
        <v>13</v>
      </c>
      <c r="J39" s="79">
        <v>42975.681944444441</v>
      </c>
      <c r="K39" s="57">
        <f t="shared" si="5"/>
        <v>8.4027777775190771E-2</v>
      </c>
      <c r="L39" s="96">
        <v>2.58</v>
      </c>
      <c r="M39" s="68">
        <v>2.71</v>
      </c>
      <c r="N39" s="47">
        <f t="shared" si="1"/>
        <v>0.12999999999999989</v>
      </c>
      <c r="O39" s="68">
        <v>7.13</v>
      </c>
      <c r="P39" s="81">
        <f>AVERAGE(63,59,59)</f>
        <v>60.333333333333336</v>
      </c>
    </row>
    <row r="40" spans="1:16">
      <c r="A40" s="38">
        <v>37</v>
      </c>
      <c r="B40" s="7">
        <v>42975</v>
      </c>
      <c r="C40" s="47" t="s">
        <v>121</v>
      </c>
      <c r="D40" s="29" t="s">
        <v>36</v>
      </c>
      <c r="E40" s="29" t="s">
        <v>23</v>
      </c>
      <c r="F40" s="62" t="s">
        <v>120</v>
      </c>
      <c r="G40" s="8">
        <v>42975.597916666666</v>
      </c>
      <c r="H40" s="9">
        <v>42975.670138888891</v>
      </c>
      <c r="I40" s="47" t="s">
        <v>13</v>
      </c>
      <c r="J40" s="79">
        <v>42975.681944444441</v>
      </c>
      <c r="K40" s="57">
        <f t="shared" si="5"/>
        <v>8.4027777775190771E-2</v>
      </c>
      <c r="L40" s="96">
        <v>2.83</v>
      </c>
      <c r="M40" s="68">
        <v>2.91</v>
      </c>
      <c r="N40" s="47">
        <f t="shared" si="1"/>
        <v>8.0000000000000071E-2</v>
      </c>
      <c r="O40" s="68">
        <v>7.17</v>
      </c>
      <c r="P40" s="81">
        <f>AVERAGE(45,45,45)</f>
        <v>45</v>
      </c>
    </row>
    <row r="41" spans="1:16">
      <c r="A41" s="38">
        <v>38</v>
      </c>
      <c r="B41" s="7">
        <v>42975</v>
      </c>
      <c r="C41" s="47" t="s">
        <v>122</v>
      </c>
      <c r="D41" s="29" t="s">
        <v>36</v>
      </c>
      <c r="E41" s="29" t="s">
        <v>25</v>
      </c>
      <c r="F41" s="62" t="s">
        <v>120</v>
      </c>
      <c r="G41" s="8">
        <v>42975.597916666666</v>
      </c>
      <c r="H41" s="9">
        <v>42975.669444444444</v>
      </c>
      <c r="I41" s="9">
        <v>42975.672222222223</v>
      </c>
      <c r="J41" s="79">
        <v>42976.443055555559</v>
      </c>
      <c r="K41" s="57">
        <f t="shared" si="5"/>
        <v>0.84513888889341615</v>
      </c>
      <c r="L41" s="96">
        <v>1.65</v>
      </c>
      <c r="M41" s="68">
        <v>1.8</v>
      </c>
      <c r="N41" s="47">
        <f t="shared" si="1"/>
        <v>0.15000000000000013</v>
      </c>
      <c r="O41" s="68">
        <v>7.37</v>
      </c>
      <c r="P41" s="81">
        <f>AVERAGE(43,44,47)</f>
        <v>44.666666666666664</v>
      </c>
    </row>
    <row r="42" spans="1:16">
      <c r="A42" s="30">
        <v>39</v>
      </c>
      <c r="B42" s="4">
        <v>42976</v>
      </c>
      <c r="C42" s="45" t="s">
        <v>123</v>
      </c>
      <c r="D42" s="27" t="s">
        <v>35</v>
      </c>
      <c r="E42" s="27" t="s">
        <v>18</v>
      </c>
      <c r="F42" s="60" t="s">
        <v>124</v>
      </c>
      <c r="G42" s="5">
        <v>42976.340277777781</v>
      </c>
      <c r="H42" s="6">
        <v>42976.429861111108</v>
      </c>
      <c r="I42" s="45" t="s">
        <v>13</v>
      </c>
      <c r="J42" s="6">
        <v>42976.436805555553</v>
      </c>
      <c r="K42" s="56">
        <f t="shared" si="5"/>
        <v>9.6527777772280388E-2</v>
      </c>
      <c r="L42" s="95">
        <v>4.09</v>
      </c>
      <c r="M42" s="45">
        <v>4.26</v>
      </c>
      <c r="N42" s="45">
        <f t="shared" si="1"/>
        <v>0.16999999999999993</v>
      </c>
      <c r="O42" s="64">
        <v>7.01</v>
      </c>
      <c r="P42" s="80">
        <f>AVERAGE(54,57,55)</f>
        <v>55.333333333333336</v>
      </c>
    </row>
    <row r="43" spans="1:16">
      <c r="A43" s="30">
        <v>40</v>
      </c>
      <c r="B43" s="4">
        <v>42976</v>
      </c>
      <c r="C43" s="45" t="s">
        <v>125</v>
      </c>
      <c r="D43" s="27" t="s">
        <v>54</v>
      </c>
      <c r="E43" s="27" t="s">
        <v>23</v>
      </c>
      <c r="F43" s="60" t="s">
        <v>124</v>
      </c>
      <c r="G43" s="5">
        <v>42976.340277777781</v>
      </c>
      <c r="H43" s="6">
        <v>42976.434027777781</v>
      </c>
      <c r="I43" s="45" t="s">
        <v>13</v>
      </c>
      <c r="J43" s="6">
        <v>42976.436805555553</v>
      </c>
      <c r="K43" s="56">
        <f t="shared" si="5"/>
        <v>9.6527777772280388E-2</v>
      </c>
      <c r="L43" s="95">
        <v>4.0199999999999996</v>
      </c>
      <c r="M43" s="45">
        <v>4.16</v>
      </c>
      <c r="N43" s="45">
        <f t="shared" si="1"/>
        <v>0.14000000000000057</v>
      </c>
      <c r="O43" s="64">
        <v>7.06</v>
      </c>
      <c r="P43" s="80">
        <f>AVERAGE(51,50,54)</f>
        <v>51.666666666666664</v>
      </c>
    </row>
    <row r="44" spans="1:16">
      <c r="A44" s="38">
        <v>41</v>
      </c>
      <c r="B44" s="7">
        <v>42976</v>
      </c>
      <c r="C44" s="47" t="s">
        <v>126</v>
      </c>
      <c r="D44" s="29" t="s">
        <v>22</v>
      </c>
      <c r="E44" s="29" t="s">
        <v>18</v>
      </c>
      <c r="F44" s="62" t="s">
        <v>127</v>
      </c>
      <c r="G44" s="8">
        <v>42976.336805555555</v>
      </c>
      <c r="H44" s="9">
        <v>42976.425000000003</v>
      </c>
      <c r="I44" s="47" t="s">
        <v>13</v>
      </c>
      <c r="J44" s="9">
        <v>42976.439583333333</v>
      </c>
      <c r="K44" s="57">
        <f t="shared" si="5"/>
        <v>0.10277777777810115</v>
      </c>
      <c r="L44" s="96">
        <v>1.58</v>
      </c>
      <c r="M44" s="47">
        <v>1.73</v>
      </c>
      <c r="N44" s="47">
        <f t="shared" si="1"/>
        <v>0.14999999999999991</v>
      </c>
      <c r="O44" s="68">
        <v>7.16</v>
      </c>
      <c r="P44" s="81">
        <f>AVERAGE(56,45,45)</f>
        <v>48.666666666666664</v>
      </c>
    </row>
    <row r="45" spans="1:16">
      <c r="A45" s="38">
        <v>42</v>
      </c>
      <c r="B45" s="7">
        <v>42976</v>
      </c>
      <c r="C45" s="47" t="s">
        <v>128</v>
      </c>
      <c r="D45" s="29" t="s">
        <v>36</v>
      </c>
      <c r="E45" s="29" t="s">
        <v>23</v>
      </c>
      <c r="F45" s="62" t="s">
        <v>127</v>
      </c>
      <c r="G45" s="8">
        <v>42976.336805555555</v>
      </c>
      <c r="H45" s="9">
        <v>42976.427777777775</v>
      </c>
      <c r="I45" s="47" t="s">
        <v>13</v>
      </c>
      <c r="J45" s="9">
        <v>42976.44027777778</v>
      </c>
      <c r="K45" s="57">
        <f t="shared" si="5"/>
        <v>0.10347222222480923</v>
      </c>
      <c r="L45" s="96">
        <v>1.34</v>
      </c>
      <c r="M45" s="47">
        <v>1.63</v>
      </c>
      <c r="N45" s="47">
        <f>M45-L45</f>
        <v>0.28999999999999981</v>
      </c>
      <c r="O45" s="68">
        <v>7.18</v>
      </c>
      <c r="P45" s="81">
        <f>AVERAGE(49,59,55)</f>
        <v>54.333333333333336</v>
      </c>
    </row>
    <row r="46" spans="1:16">
      <c r="A46" s="98">
        <v>43</v>
      </c>
      <c r="B46" s="97">
        <v>42992</v>
      </c>
      <c r="C46" s="98" t="s">
        <v>168</v>
      </c>
      <c r="D46" s="103" t="s">
        <v>169</v>
      </c>
      <c r="E46" s="103" t="s">
        <v>188</v>
      </c>
      <c r="F46" s="98" t="s">
        <v>193</v>
      </c>
      <c r="G46" s="100">
        <v>42992.59652777778</v>
      </c>
      <c r="H46" s="100">
        <v>42992.672222222223</v>
      </c>
      <c r="I46" s="100">
        <v>42992.690972222219</v>
      </c>
      <c r="J46" s="100">
        <v>42993.670138888891</v>
      </c>
      <c r="K46" s="101">
        <f t="shared" ref="K46:K48" si="6">J46-G46</f>
        <v>1.0736111111109494</v>
      </c>
      <c r="L46" s="98">
        <v>0.23</v>
      </c>
      <c r="M46" s="98">
        <v>0.34</v>
      </c>
      <c r="N46" s="98">
        <f t="shared" ref="N46:N63" si="7">M46-L46</f>
        <v>0.11000000000000001</v>
      </c>
      <c r="O46" s="102">
        <v>7.09</v>
      </c>
      <c r="P46" s="104">
        <f>AVERAGE(118,117,117)</f>
        <v>117.33333333333333</v>
      </c>
    </row>
    <row r="47" spans="1:16">
      <c r="A47" s="98">
        <v>44</v>
      </c>
      <c r="B47" s="97">
        <v>42992</v>
      </c>
      <c r="C47" s="98" t="s">
        <v>170</v>
      </c>
      <c r="D47" s="103" t="s">
        <v>169</v>
      </c>
      <c r="E47" s="103" t="s">
        <v>189</v>
      </c>
      <c r="F47" s="98" t="s">
        <v>193</v>
      </c>
      <c r="G47" s="100">
        <v>42992.603472222225</v>
      </c>
      <c r="H47" s="100">
        <v>42992.67291666667</v>
      </c>
      <c r="I47" s="109" t="s">
        <v>13</v>
      </c>
      <c r="J47" s="100">
        <v>42992.71875</v>
      </c>
      <c r="K47" s="101">
        <f t="shared" si="6"/>
        <v>0.11527777777519077</v>
      </c>
      <c r="L47" s="98">
        <v>1.43</v>
      </c>
      <c r="M47" s="98">
        <v>1.52</v>
      </c>
      <c r="N47" s="98">
        <f t="shared" si="7"/>
        <v>9.000000000000008E-2</v>
      </c>
      <c r="O47" s="102">
        <v>7.16</v>
      </c>
      <c r="P47" s="104">
        <f>AVERAGE(84,83,84)</f>
        <v>83.666666666666671</v>
      </c>
    </row>
    <row r="48" spans="1:16">
      <c r="A48" s="98">
        <v>45</v>
      </c>
      <c r="B48" s="97">
        <v>42992</v>
      </c>
      <c r="C48" s="98" t="s">
        <v>171</v>
      </c>
      <c r="D48" s="103" t="s">
        <v>177</v>
      </c>
      <c r="E48" s="103" t="s">
        <v>188</v>
      </c>
      <c r="F48" s="98" t="s">
        <v>194</v>
      </c>
      <c r="G48" s="100">
        <v>42992.560416666667</v>
      </c>
      <c r="H48" s="100">
        <v>42992.675694444442</v>
      </c>
      <c r="I48" s="100">
        <v>42992.690972222219</v>
      </c>
      <c r="J48" s="100">
        <v>42993.670138888891</v>
      </c>
      <c r="K48" s="101">
        <f t="shared" si="6"/>
        <v>1.109722222223354</v>
      </c>
      <c r="L48" s="98">
        <v>0.55000000000000004</v>
      </c>
      <c r="M48" s="98">
        <v>0.62</v>
      </c>
      <c r="N48" s="98">
        <f t="shared" si="7"/>
        <v>6.9999999999999951E-2</v>
      </c>
      <c r="O48" s="102">
        <v>6.67</v>
      </c>
      <c r="P48" s="104">
        <f>AVERAGE(131,129,127)</f>
        <v>129</v>
      </c>
    </row>
    <row r="49" spans="1:17">
      <c r="A49" s="98">
        <v>46</v>
      </c>
      <c r="B49" s="97">
        <v>42992</v>
      </c>
      <c r="C49" s="98" t="s">
        <v>172</v>
      </c>
      <c r="D49" s="103" t="s">
        <v>177</v>
      </c>
      <c r="E49" s="103" t="s">
        <v>189</v>
      </c>
      <c r="F49" s="98" t="s">
        <v>194</v>
      </c>
      <c r="G49" s="100">
        <v>42992.560416666667</v>
      </c>
      <c r="H49" s="100">
        <v>42992.676388888889</v>
      </c>
      <c r="I49" s="109" t="s">
        <v>13</v>
      </c>
      <c r="J49" s="100">
        <v>42992.71875</v>
      </c>
      <c r="K49" s="101">
        <f t="shared" ref="K49" si="8">J49-G49</f>
        <v>0.15833333333284827</v>
      </c>
      <c r="L49" s="98">
        <v>1.58</v>
      </c>
      <c r="M49" s="98">
        <v>1.69</v>
      </c>
      <c r="N49" s="98">
        <f t="shared" si="7"/>
        <v>0.10999999999999988</v>
      </c>
      <c r="O49" s="102">
        <v>7.28</v>
      </c>
      <c r="P49" s="104">
        <f>AVERAGE(90,89,89)</f>
        <v>89.333333333333329</v>
      </c>
    </row>
    <row r="50" spans="1:17">
      <c r="A50" s="98">
        <v>47</v>
      </c>
      <c r="B50" s="97">
        <v>42992</v>
      </c>
      <c r="C50" s="98" t="s">
        <v>173</v>
      </c>
      <c r="D50" s="103" t="s">
        <v>178</v>
      </c>
      <c r="E50" s="103" t="s">
        <v>188</v>
      </c>
      <c r="F50" s="98" t="s">
        <v>195</v>
      </c>
      <c r="G50" s="100">
        <v>42992.566666666666</v>
      </c>
      <c r="H50" s="100">
        <v>42992.681250000001</v>
      </c>
      <c r="I50" s="100">
        <v>42992.690972222219</v>
      </c>
      <c r="J50" s="100">
        <v>42993.670138888891</v>
      </c>
      <c r="K50" s="101">
        <f t="shared" ref="K50" si="9">J50-G50</f>
        <v>1.1034722222248092</v>
      </c>
      <c r="L50" s="98">
        <v>0.48</v>
      </c>
      <c r="M50" s="98">
        <v>0.62</v>
      </c>
      <c r="N50" s="98">
        <f t="shared" si="7"/>
        <v>0.14000000000000001</v>
      </c>
      <c r="O50" s="102">
        <v>7.09</v>
      </c>
      <c r="P50" s="104">
        <f>AVERAGE(133,135,133)</f>
        <v>133.66666666666666</v>
      </c>
    </row>
    <row r="51" spans="1:17">
      <c r="A51" s="98">
        <v>48</v>
      </c>
      <c r="B51" s="97">
        <v>42992</v>
      </c>
      <c r="C51" s="98" t="s">
        <v>174</v>
      </c>
      <c r="D51" s="103" t="s">
        <v>178</v>
      </c>
      <c r="E51" s="103" t="s">
        <v>189</v>
      </c>
      <c r="F51" s="98" t="s">
        <v>195</v>
      </c>
      <c r="G51" s="100">
        <v>42992.566666666666</v>
      </c>
      <c r="H51" s="100">
        <v>42992.681250000001</v>
      </c>
      <c r="I51" s="109" t="s">
        <v>13</v>
      </c>
      <c r="J51" s="100">
        <v>42992.71875</v>
      </c>
      <c r="K51" s="101">
        <f t="shared" ref="K51" si="10">J51-G51</f>
        <v>0.15208333333430346</v>
      </c>
      <c r="L51" s="98">
        <v>1.93</v>
      </c>
      <c r="M51" s="98">
        <v>2.1800000000000002</v>
      </c>
      <c r="N51" s="98">
        <f t="shared" si="7"/>
        <v>0.25000000000000022</v>
      </c>
      <c r="O51" s="102">
        <v>6.86</v>
      </c>
      <c r="P51" s="104">
        <f>AVERAGE(89,89,89)</f>
        <v>89</v>
      </c>
    </row>
    <row r="52" spans="1:17" s="137" customFormat="1">
      <c r="A52" s="98">
        <v>49</v>
      </c>
      <c r="B52" s="97">
        <v>42992</v>
      </c>
      <c r="C52" s="98" t="s">
        <v>175</v>
      </c>
      <c r="D52" s="103" t="s">
        <v>179</v>
      </c>
      <c r="E52" s="103" t="s">
        <v>190</v>
      </c>
      <c r="F52" s="98" t="s">
        <v>196</v>
      </c>
      <c r="G52" s="100">
        <v>42992.50277777778</v>
      </c>
      <c r="H52" s="100">
        <v>42992.685416666667</v>
      </c>
      <c r="I52" s="109" t="s">
        <v>13</v>
      </c>
      <c r="J52" s="100">
        <v>42992.71875</v>
      </c>
      <c r="K52" s="101">
        <f t="shared" ref="K52:K53" si="11">J52-G52</f>
        <v>0.21597222222044365</v>
      </c>
      <c r="L52" s="98">
        <v>0.05</v>
      </c>
      <c r="M52" s="98">
        <v>7.0000000000000007E-2</v>
      </c>
      <c r="N52" s="98">
        <f t="shared" si="7"/>
        <v>2.0000000000000004E-2</v>
      </c>
      <c r="O52" s="102">
        <v>6.87</v>
      </c>
      <c r="P52" s="104">
        <f>AVERAGE(230,230,228)</f>
        <v>229.33333333333334</v>
      </c>
      <c r="Q52" s="137" t="s">
        <v>187</v>
      </c>
    </row>
    <row r="53" spans="1:17" s="137" customFormat="1">
      <c r="A53" s="98">
        <v>50</v>
      </c>
      <c r="B53" s="97">
        <v>42992</v>
      </c>
      <c r="C53" s="98" t="s">
        <v>176</v>
      </c>
      <c r="D53" s="103" t="s">
        <v>180</v>
      </c>
      <c r="E53" s="103" t="s">
        <v>211</v>
      </c>
      <c r="F53" s="98" t="s">
        <v>196</v>
      </c>
      <c r="G53" s="100">
        <v>42992.50277777778</v>
      </c>
      <c r="H53" s="100">
        <v>42992.688888888886</v>
      </c>
      <c r="I53" s="109" t="s">
        <v>13</v>
      </c>
      <c r="J53" s="100">
        <v>42992.71875</v>
      </c>
      <c r="K53" s="101">
        <f t="shared" si="11"/>
        <v>0.21597222222044365</v>
      </c>
      <c r="L53" s="98">
        <v>0.8</v>
      </c>
      <c r="M53" s="98">
        <v>1.04</v>
      </c>
      <c r="N53" s="98">
        <f t="shared" si="7"/>
        <v>0.24</v>
      </c>
      <c r="O53" s="102">
        <v>7.18</v>
      </c>
      <c r="P53" s="104">
        <f>AVERAGE(227,228,224)</f>
        <v>226.33333333333334</v>
      </c>
      <c r="Q53" s="137" t="s">
        <v>187</v>
      </c>
    </row>
    <row r="54" spans="1:17" s="137" customFormat="1">
      <c r="A54" s="98">
        <v>51</v>
      </c>
      <c r="B54" s="97">
        <v>42992</v>
      </c>
      <c r="C54" s="98" t="s">
        <v>181</v>
      </c>
      <c r="D54" s="103" t="s">
        <v>180</v>
      </c>
      <c r="E54" s="103" t="s">
        <v>191</v>
      </c>
      <c r="F54" s="98" t="s">
        <v>196</v>
      </c>
      <c r="G54" s="100">
        <v>42992.50277777778</v>
      </c>
      <c r="H54" s="100">
        <v>42992.688888888886</v>
      </c>
      <c r="I54" s="100">
        <v>42992.690972222219</v>
      </c>
      <c r="J54" s="100">
        <v>42993.670138888891</v>
      </c>
      <c r="K54" s="101">
        <f t="shared" ref="K54" si="12">J54-G54</f>
        <v>1.1673611111109494</v>
      </c>
      <c r="L54" s="98">
        <v>0.19</v>
      </c>
      <c r="M54" s="98">
        <v>0.27</v>
      </c>
      <c r="N54" s="98">
        <f t="shared" si="7"/>
        <v>8.0000000000000016E-2</v>
      </c>
      <c r="O54" s="102">
        <v>7.07</v>
      </c>
      <c r="P54" s="104">
        <f>AVERAGE(252,249,246)</f>
        <v>249</v>
      </c>
      <c r="Q54" s="137" t="s">
        <v>187</v>
      </c>
    </row>
    <row r="55" spans="1:17" s="137" customFormat="1">
      <c r="A55" s="98">
        <v>52</v>
      </c>
      <c r="B55" s="97">
        <v>42993</v>
      </c>
      <c r="C55" s="98" t="s">
        <v>182</v>
      </c>
      <c r="D55" s="103" t="s">
        <v>183</v>
      </c>
      <c r="E55" s="103" t="s">
        <v>192</v>
      </c>
      <c r="F55" s="98" t="s">
        <v>197</v>
      </c>
      <c r="G55" s="100">
        <v>42993.554861111108</v>
      </c>
      <c r="H55" s="100">
        <v>42993.633333333331</v>
      </c>
      <c r="I55" s="109" t="s">
        <v>13</v>
      </c>
      <c r="J55" s="100">
        <v>42993.651388888888</v>
      </c>
      <c r="K55" s="101">
        <f t="shared" ref="K55" si="13">J55-G55</f>
        <v>9.6527777779556345E-2</v>
      </c>
      <c r="L55" s="98">
        <v>7.0000000000000007E-2</v>
      </c>
      <c r="M55" s="98">
        <v>0.56000000000000005</v>
      </c>
      <c r="N55" s="98">
        <f t="shared" si="7"/>
        <v>0.49000000000000005</v>
      </c>
      <c r="O55" s="102">
        <v>7.27</v>
      </c>
      <c r="P55" s="104">
        <f>AVERAGE(284,283,280)</f>
        <v>282.33333333333331</v>
      </c>
      <c r="Q55" s="137" t="s">
        <v>187</v>
      </c>
    </row>
    <row r="56" spans="1:17" s="137" customFormat="1">
      <c r="A56" s="98">
        <v>53</v>
      </c>
      <c r="B56" s="97">
        <v>42993</v>
      </c>
      <c r="C56" s="98" t="s">
        <v>184</v>
      </c>
      <c r="D56" s="103" t="s">
        <v>183</v>
      </c>
      <c r="E56" s="103" t="s">
        <v>185</v>
      </c>
      <c r="F56" s="98" t="s">
        <v>197</v>
      </c>
      <c r="G56" s="100">
        <v>42993.554861111108</v>
      </c>
      <c r="H56" s="100">
        <v>42993.634027777778</v>
      </c>
      <c r="I56" s="109" t="s">
        <v>13</v>
      </c>
      <c r="J56" s="100">
        <v>42993.656944444447</v>
      </c>
      <c r="K56" s="101">
        <f t="shared" ref="K56" si="14">J56-G56</f>
        <v>0.10208333333866904</v>
      </c>
      <c r="L56" s="98">
        <v>0.14000000000000001</v>
      </c>
      <c r="M56" s="98">
        <v>0.56999999999999995</v>
      </c>
      <c r="N56" s="98">
        <f t="shared" si="7"/>
        <v>0.42999999999999994</v>
      </c>
      <c r="O56" s="102">
        <v>7.18</v>
      </c>
      <c r="P56" s="104">
        <f>AVERAGE(268,266,266)</f>
        <v>266.66666666666669</v>
      </c>
      <c r="Q56" s="137" t="s">
        <v>187</v>
      </c>
    </row>
    <row r="57" spans="1:17" s="137" customFormat="1">
      <c r="A57" s="98">
        <v>54</v>
      </c>
      <c r="B57" s="97">
        <v>42993</v>
      </c>
      <c r="C57" s="98" t="s">
        <v>186</v>
      </c>
      <c r="D57" s="103" t="s">
        <v>169</v>
      </c>
      <c r="E57" s="103" t="s">
        <v>189</v>
      </c>
      <c r="F57" s="98" t="s">
        <v>198</v>
      </c>
      <c r="G57" s="100">
        <v>42993.515277777777</v>
      </c>
      <c r="H57" s="100">
        <v>42993.637499999997</v>
      </c>
      <c r="I57" s="109" t="s">
        <v>13</v>
      </c>
      <c r="J57" s="100">
        <v>42993.640972222223</v>
      </c>
      <c r="K57" s="101">
        <f t="shared" ref="K57:K63" si="15">J57-G57</f>
        <v>0.12569444444670808</v>
      </c>
      <c r="L57" s="98">
        <v>0.65</v>
      </c>
      <c r="M57" s="98">
        <v>0.8</v>
      </c>
      <c r="N57" s="98">
        <f t="shared" si="7"/>
        <v>0.15000000000000002</v>
      </c>
      <c r="O57" s="102">
        <v>7.31</v>
      </c>
      <c r="P57" s="104">
        <f>AVERAGE(91,91,91)</f>
        <v>91</v>
      </c>
    </row>
    <row r="58" spans="1:17" s="137" customFormat="1">
      <c r="A58" s="98">
        <v>55</v>
      </c>
      <c r="B58" s="138">
        <v>42997</v>
      </c>
      <c r="C58" s="139" t="s">
        <v>199</v>
      </c>
      <c r="D58" s="103" t="s">
        <v>177</v>
      </c>
      <c r="E58" s="103" t="s">
        <v>200</v>
      </c>
      <c r="F58" s="139" t="s">
        <v>212</v>
      </c>
      <c r="G58" s="100">
        <v>42996.709722222222</v>
      </c>
      <c r="H58" s="100">
        <v>42996.282638888886</v>
      </c>
      <c r="I58" s="100">
        <v>42996.282638888886</v>
      </c>
      <c r="J58" s="100">
        <v>42997.540277777778</v>
      </c>
      <c r="K58" s="101">
        <f t="shared" si="15"/>
        <v>0.83055555555620231</v>
      </c>
      <c r="L58" s="139">
        <v>0.06</v>
      </c>
      <c r="M58" s="139">
        <v>0.27</v>
      </c>
      <c r="N58" s="139">
        <f t="shared" si="7"/>
        <v>0.21000000000000002</v>
      </c>
      <c r="O58" s="140">
        <v>7.1</v>
      </c>
      <c r="P58" s="104">
        <f>AVERAGE(100,98,99)</f>
        <v>99</v>
      </c>
    </row>
    <row r="59" spans="1:17" s="137" customFormat="1">
      <c r="A59" s="98">
        <v>56</v>
      </c>
      <c r="B59" s="138">
        <v>42997</v>
      </c>
      <c r="C59" s="139" t="s">
        <v>201</v>
      </c>
      <c r="D59" s="103" t="s">
        <v>178</v>
      </c>
      <c r="E59" s="103" t="s">
        <v>202</v>
      </c>
      <c r="F59" s="139" t="s">
        <v>213</v>
      </c>
      <c r="G59" s="100">
        <v>42996.77847222222</v>
      </c>
      <c r="H59" s="100">
        <v>42996.289583333331</v>
      </c>
      <c r="I59" s="100">
        <v>42996.289583333331</v>
      </c>
      <c r="J59" s="100">
        <v>42997.540277777778</v>
      </c>
      <c r="K59" s="101">
        <f t="shared" si="15"/>
        <v>0.7618055555576575</v>
      </c>
      <c r="L59" s="139">
        <v>0.4</v>
      </c>
      <c r="M59" s="139">
        <v>0.72</v>
      </c>
      <c r="N59" s="139">
        <f t="shared" si="7"/>
        <v>0.31999999999999995</v>
      </c>
      <c r="O59" s="140">
        <v>6.9</v>
      </c>
      <c r="P59" s="104">
        <f>AVERAGE(108,107,107)</f>
        <v>107.33333333333333</v>
      </c>
    </row>
    <row r="60" spans="1:17" s="137" customFormat="1">
      <c r="A60" s="98">
        <v>57</v>
      </c>
      <c r="B60" s="138">
        <v>42997</v>
      </c>
      <c r="C60" s="139" t="s">
        <v>203</v>
      </c>
      <c r="D60" s="103" t="s">
        <v>180</v>
      </c>
      <c r="E60" s="103" t="s">
        <v>204</v>
      </c>
      <c r="F60" s="139" t="s">
        <v>215</v>
      </c>
      <c r="G60" s="100">
        <v>42996.762499999997</v>
      </c>
      <c r="H60" s="100">
        <v>42996.293749999997</v>
      </c>
      <c r="I60" s="100">
        <v>42996.293749999997</v>
      </c>
      <c r="J60" s="100">
        <v>42997.540277777778</v>
      </c>
      <c r="K60" s="101">
        <f t="shared" si="15"/>
        <v>0.77777777778101154</v>
      </c>
      <c r="L60" s="139">
        <v>7.0000000000000007E-2</v>
      </c>
      <c r="M60" s="139">
        <v>0.27</v>
      </c>
      <c r="N60" s="139">
        <f t="shared" si="7"/>
        <v>0.2</v>
      </c>
      <c r="O60" s="140">
        <v>7.2</v>
      </c>
      <c r="P60" s="104">
        <f>AVERAGE(205,205,202)</f>
        <v>204</v>
      </c>
      <c r="Q60" s="137" t="s">
        <v>187</v>
      </c>
    </row>
    <row r="61" spans="1:17" s="137" customFormat="1">
      <c r="A61" s="98">
        <v>58</v>
      </c>
      <c r="B61" s="138">
        <v>42997</v>
      </c>
      <c r="C61" s="139" t="s">
        <v>205</v>
      </c>
      <c r="D61" s="103" t="s">
        <v>177</v>
      </c>
      <c r="E61" s="103" t="s">
        <v>206</v>
      </c>
      <c r="F61" s="139" t="s">
        <v>216</v>
      </c>
      <c r="G61" s="100">
        <v>42996.416666666664</v>
      </c>
      <c r="H61" s="100">
        <v>42996.511111111111</v>
      </c>
      <c r="I61" s="100">
        <v>42996.511111111111</v>
      </c>
      <c r="J61" s="100">
        <v>42997.540277777778</v>
      </c>
      <c r="K61" s="101">
        <f t="shared" si="15"/>
        <v>1.1236111111138598</v>
      </c>
      <c r="L61" s="139">
        <v>0.74</v>
      </c>
      <c r="M61" s="139">
        <v>0.9</v>
      </c>
      <c r="N61" s="139">
        <f t="shared" si="7"/>
        <v>0.16000000000000003</v>
      </c>
      <c r="O61" s="140">
        <v>7.5</v>
      </c>
      <c r="P61" s="104">
        <f>AVERAGE(94,93,92)</f>
        <v>93</v>
      </c>
    </row>
    <row r="62" spans="1:17" s="137" customFormat="1">
      <c r="A62" s="98">
        <v>59</v>
      </c>
      <c r="B62" s="138">
        <v>42997</v>
      </c>
      <c r="C62" s="139" t="s">
        <v>207</v>
      </c>
      <c r="D62" s="103" t="s">
        <v>180</v>
      </c>
      <c r="E62" s="103" t="s">
        <v>208</v>
      </c>
      <c r="F62" s="139" t="s">
        <v>217</v>
      </c>
      <c r="G62" s="100">
        <v>42996.461805555555</v>
      </c>
      <c r="H62" s="100">
        <v>42996.512499999997</v>
      </c>
      <c r="I62" s="100">
        <v>42996.512499999997</v>
      </c>
      <c r="J62" s="100">
        <v>42997.540277777778</v>
      </c>
      <c r="K62" s="101">
        <f t="shared" si="15"/>
        <v>1.078472222223354</v>
      </c>
      <c r="L62" s="139">
        <v>0.54</v>
      </c>
      <c r="M62" s="139">
        <v>0.73</v>
      </c>
      <c r="N62" s="139">
        <f t="shared" si="7"/>
        <v>0.18999999999999995</v>
      </c>
      <c r="O62" s="140">
        <v>7.3</v>
      </c>
      <c r="P62" s="104">
        <f>AVERAGE(201,201,201)</f>
        <v>201</v>
      </c>
      <c r="Q62" s="137" t="s">
        <v>187</v>
      </c>
    </row>
    <row r="63" spans="1:17" s="137" customFormat="1">
      <c r="A63" s="98">
        <v>60</v>
      </c>
      <c r="B63" s="138">
        <v>42997</v>
      </c>
      <c r="C63" s="139" t="s">
        <v>209</v>
      </c>
      <c r="D63" s="103" t="s">
        <v>178</v>
      </c>
      <c r="E63" s="103" t="s">
        <v>210</v>
      </c>
      <c r="F63" s="139" t="s">
        <v>218</v>
      </c>
      <c r="G63" s="100">
        <v>42996.486805555556</v>
      </c>
      <c r="H63" s="100">
        <v>42996.51666666667</v>
      </c>
      <c r="I63" s="100">
        <v>42996.51666666667</v>
      </c>
      <c r="J63" s="100">
        <v>42997.540277777778</v>
      </c>
      <c r="K63" s="101">
        <f t="shared" si="15"/>
        <v>1.0534722222218988</v>
      </c>
      <c r="L63" s="139">
        <v>0.98</v>
      </c>
      <c r="M63" s="139">
        <v>1.22</v>
      </c>
      <c r="N63" s="139">
        <f t="shared" si="7"/>
        <v>0.24</v>
      </c>
      <c r="O63" s="140">
        <v>7.5</v>
      </c>
      <c r="P63" s="104">
        <f>AVERAGE(89,91,89)</f>
        <v>89.666666666666671</v>
      </c>
    </row>
  </sheetData>
  <mergeCells count="4">
    <mergeCell ref="L1:P1"/>
    <mergeCell ref="G1:K1"/>
    <mergeCell ref="A1:F1"/>
    <mergeCell ref="Q1:Q3"/>
  </mergeCells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5"/>
  <sheetViews>
    <sheetView workbookViewId="0">
      <pane ySplit="3" topLeftCell="A4" activePane="bottomLeft" state="frozen"/>
      <selection pane="bottomLeft" activeCell="P5" sqref="P5"/>
    </sheetView>
  </sheetViews>
  <sheetFormatPr baseColWidth="10" defaultColWidth="11" defaultRowHeight="15" x14ac:dyDescent="0"/>
  <cols>
    <col min="1" max="1" width="7.1640625" customWidth="1"/>
    <col min="3" max="3" width="11" style="48"/>
    <col min="5" max="5" width="31.33203125" customWidth="1"/>
    <col min="6" max="6" width="6.5" style="48" customWidth="1"/>
    <col min="7" max="7" width="16.83203125" customWidth="1"/>
    <col min="8" max="8" width="14.5" bestFit="1" customWidth="1"/>
    <col min="9" max="9" width="13.5" style="48" customWidth="1"/>
    <col min="10" max="10" width="14.5" style="48" bestFit="1" customWidth="1"/>
    <col min="11" max="11" width="11.83203125" style="48" bestFit="1" customWidth="1"/>
    <col min="12" max="14" width="11" style="48"/>
    <col min="15" max="15" width="11" style="69"/>
    <col min="16" max="16" width="11" style="48"/>
    <col min="17" max="17" width="7.1640625" customWidth="1"/>
    <col min="19" max="19" width="11" style="48"/>
    <col min="21" max="21" width="31.33203125" customWidth="1"/>
    <col min="22" max="22" width="6.5" style="48" customWidth="1"/>
    <col min="23" max="24" width="13.5" customWidth="1"/>
    <col min="25" max="26" width="13.5" style="48" customWidth="1"/>
    <col min="27" max="27" width="11.83203125" style="48" bestFit="1" customWidth="1"/>
    <col min="28" max="30" width="11" style="48"/>
    <col min="31" max="31" width="11" style="69"/>
    <col min="32" max="32" width="11" style="48"/>
    <col min="39" max="43" width="13.5" customWidth="1"/>
  </cols>
  <sheetData>
    <row r="1" spans="1:50" ht="20">
      <c r="A1" s="162" t="s">
        <v>220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 t="s">
        <v>131</v>
      </c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 t="s">
        <v>132</v>
      </c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4"/>
      <c r="AW1" s="137"/>
    </row>
    <row r="2" spans="1:50" ht="16" customHeight="1" thickBot="1">
      <c r="A2" s="165" t="s">
        <v>14</v>
      </c>
      <c r="B2" s="156"/>
      <c r="C2" s="156"/>
      <c r="D2" s="156"/>
      <c r="E2" s="156"/>
      <c r="F2" s="157"/>
      <c r="G2" s="153" t="s">
        <v>15</v>
      </c>
      <c r="H2" s="156"/>
      <c r="I2" s="156"/>
      <c r="J2" s="156"/>
      <c r="K2" s="157"/>
      <c r="L2" s="153" t="s">
        <v>40</v>
      </c>
      <c r="M2" s="156"/>
      <c r="N2" s="156"/>
      <c r="O2" s="156"/>
      <c r="P2" s="157"/>
      <c r="Q2" s="153" t="s">
        <v>14</v>
      </c>
      <c r="R2" s="156"/>
      <c r="S2" s="156"/>
      <c r="T2" s="156"/>
      <c r="U2" s="156"/>
      <c r="V2" s="157"/>
      <c r="W2" s="153" t="s">
        <v>15</v>
      </c>
      <c r="X2" s="156"/>
      <c r="Y2" s="156"/>
      <c r="Z2" s="156"/>
      <c r="AA2" s="157"/>
      <c r="AB2" s="153" t="s">
        <v>40</v>
      </c>
      <c r="AC2" s="156"/>
      <c r="AD2" s="156"/>
      <c r="AE2" s="156"/>
      <c r="AF2" s="157"/>
      <c r="AG2" s="153" t="s">
        <v>14</v>
      </c>
      <c r="AH2" s="156"/>
      <c r="AI2" s="156"/>
      <c r="AJ2" s="156"/>
      <c r="AK2" s="156"/>
      <c r="AL2" s="157"/>
      <c r="AM2" s="153" t="s">
        <v>15</v>
      </c>
      <c r="AN2" s="156"/>
      <c r="AO2" s="156"/>
      <c r="AP2" s="156"/>
      <c r="AQ2" s="157"/>
      <c r="AR2" s="153" t="s">
        <v>40</v>
      </c>
      <c r="AS2" s="156"/>
      <c r="AT2" s="156"/>
      <c r="AU2" s="156"/>
      <c r="AV2" s="161"/>
      <c r="AW2" s="137"/>
    </row>
    <row r="3" spans="1:50" ht="16" thickTop="1">
      <c r="A3" s="141" t="s">
        <v>31</v>
      </c>
      <c r="B3" s="106" t="s">
        <v>5</v>
      </c>
      <c r="C3" s="106" t="s">
        <v>0</v>
      </c>
      <c r="D3" s="106" t="s">
        <v>1</v>
      </c>
      <c r="E3" s="106" t="s">
        <v>2</v>
      </c>
      <c r="F3" s="142" t="s">
        <v>20</v>
      </c>
      <c r="G3" s="143" t="s">
        <v>11</v>
      </c>
      <c r="H3" s="106" t="s">
        <v>3</v>
      </c>
      <c r="I3" s="106" t="s">
        <v>4</v>
      </c>
      <c r="J3" s="106" t="s">
        <v>39</v>
      </c>
      <c r="K3" s="142" t="s">
        <v>10</v>
      </c>
      <c r="L3" s="143" t="s">
        <v>6</v>
      </c>
      <c r="M3" s="106" t="s">
        <v>7</v>
      </c>
      <c r="N3" s="106" t="s">
        <v>92</v>
      </c>
      <c r="O3" s="107" t="s">
        <v>8</v>
      </c>
      <c r="P3" s="142" t="s">
        <v>9</v>
      </c>
      <c r="Q3" s="143" t="s">
        <v>31</v>
      </c>
      <c r="R3" s="106" t="s">
        <v>5</v>
      </c>
      <c r="S3" s="106" t="s">
        <v>0</v>
      </c>
      <c r="T3" s="106" t="s">
        <v>1</v>
      </c>
      <c r="U3" s="106" t="s">
        <v>2</v>
      </c>
      <c r="V3" s="142" t="s">
        <v>20</v>
      </c>
      <c r="W3" s="143" t="s">
        <v>11</v>
      </c>
      <c r="X3" s="106" t="s">
        <v>3</v>
      </c>
      <c r="Y3" s="106" t="s">
        <v>4</v>
      </c>
      <c r="Z3" s="106" t="s">
        <v>39</v>
      </c>
      <c r="AA3" s="142" t="s">
        <v>10</v>
      </c>
      <c r="AB3" s="143" t="s">
        <v>6</v>
      </c>
      <c r="AC3" s="106" t="s">
        <v>7</v>
      </c>
      <c r="AD3" s="106" t="s">
        <v>92</v>
      </c>
      <c r="AE3" s="107" t="s">
        <v>8</v>
      </c>
      <c r="AF3" s="142" t="s">
        <v>9</v>
      </c>
      <c r="AG3" s="143" t="s">
        <v>31</v>
      </c>
      <c r="AH3" s="106" t="s">
        <v>5</v>
      </c>
      <c r="AI3" s="106" t="s">
        <v>0</v>
      </c>
      <c r="AJ3" s="106" t="s">
        <v>1</v>
      </c>
      <c r="AK3" s="106" t="s">
        <v>2</v>
      </c>
      <c r="AL3" s="142" t="s">
        <v>20</v>
      </c>
      <c r="AM3" s="143" t="s">
        <v>11</v>
      </c>
      <c r="AN3" s="106" t="s">
        <v>3</v>
      </c>
      <c r="AO3" s="106" t="s">
        <v>4</v>
      </c>
      <c r="AP3" s="106" t="s">
        <v>39</v>
      </c>
      <c r="AQ3" s="142" t="s">
        <v>10</v>
      </c>
      <c r="AR3" s="143" t="s">
        <v>6</v>
      </c>
      <c r="AS3" s="106" t="s">
        <v>7</v>
      </c>
      <c r="AT3" s="106" t="s">
        <v>92</v>
      </c>
      <c r="AU3" s="107" t="s">
        <v>8</v>
      </c>
      <c r="AV3" s="144" t="s">
        <v>9</v>
      </c>
      <c r="AW3" s="137"/>
    </row>
    <row r="4" spans="1:50">
      <c r="A4" s="141" t="s">
        <v>32</v>
      </c>
      <c r="B4" s="106"/>
      <c r="C4" s="106"/>
      <c r="D4" s="106"/>
      <c r="E4" s="106"/>
      <c r="F4" s="142" t="s">
        <v>33</v>
      </c>
      <c r="G4" s="143"/>
      <c r="H4" s="106"/>
      <c r="I4" s="106"/>
      <c r="J4" s="106"/>
      <c r="K4" s="142" t="s">
        <v>41</v>
      </c>
      <c r="L4" s="143" t="s">
        <v>16</v>
      </c>
      <c r="M4" s="106" t="s">
        <v>16</v>
      </c>
      <c r="N4" s="106" t="s">
        <v>16</v>
      </c>
      <c r="O4" s="107"/>
      <c r="P4" s="142" t="s">
        <v>17</v>
      </c>
      <c r="Q4" s="143" t="s">
        <v>32</v>
      </c>
      <c r="R4" s="106"/>
      <c r="S4" s="106"/>
      <c r="T4" s="106"/>
      <c r="U4" s="106"/>
      <c r="V4" s="142" t="s">
        <v>33</v>
      </c>
      <c r="W4" s="143"/>
      <c r="X4" s="106"/>
      <c r="Y4" s="106"/>
      <c r="Z4" s="106"/>
      <c r="AA4" s="142" t="s">
        <v>41</v>
      </c>
      <c r="AB4" s="143" t="s">
        <v>16</v>
      </c>
      <c r="AC4" s="106" t="s">
        <v>16</v>
      </c>
      <c r="AD4" s="106" t="s">
        <v>16</v>
      </c>
      <c r="AE4" s="107"/>
      <c r="AF4" s="142" t="s">
        <v>17</v>
      </c>
      <c r="AG4" s="143" t="s">
        <v>32</v>
      </c>
      <c r="AH4" s="106"/>
      <c r="AI4" s="106"/>
      <c r="AJ4" s="106"/>
      <c r="AK4" s="106"/>
      <c r="AL4" s="142" t="s">
        <v>33</v>
      </c>
      <c r="AM4" s="143"/>
      <c r="AN4" s="106"/>
      <c r="AO4" s="106"/>
      <c r="AP4" s="106"/>
      <c r="AQ4" s="142" t="s">
        <v>41</v>
      </c>
      <c r="AR4" s="143" t="s">
        <v>16</v>
      </c>
      <c r="AS4" s="106" t="s">
        <v>16</v>
      </c>
      <c r="AT4" s="106" t="s">
        <v>16</v>
      </c>
      <c r="AU4" s="107"/>
      <c r="AV4" s="144" t="s">
        <v>17</v>
      </c>
      <c r="AW4" s="137"/>
    </row>
    <row r="5" spans="1:50">
      <c r="A5" s="19">
        <v>3</v>
      </c>
      <c r="B5" s="23">
        <v>42970</v>
      </c>
      <c r="C5" s="20" t="s">
        <v>61</v>
      </c>
      <c r="D5" s="26" t="s">
        <v>62</v>
      </c>
      <c r="E5" s="26" t="s">
        <v>63</v>
      </c>
      <c r="F5" s="21" t="s">
        <v>30</v>
      </c>
      <c r="G5" s="145">
        <v>42970.395833333336</v>
      </c>
      <c r="H5" s="145">
        <v>42970.449305555558</v>
      </c>
      <c r="I5" s="20" t="s">
        <v>13</v>
      </c>
      <c r="J5" s="108">
        <v>42970.458333333336</v>
      </c>
      <c r="K5" s="146">
        <f t="shared" ref="K5:K7" si="0">J5-G5</f>
        <v>6.25E-2</v>
      </c>
      <c r="L5" s="19">
        <v>0.8</v>
      </c>
      <c r="M5" s="20">
        <v>1.1100000000000001</v>
      </c>
      <c r="N5" s="20">
        <f t="shared" ref="N5:N7" si="1">M5-L5</f>
        <v>0.31000000000000005</v>
      </c>
      <c r="O5" s="22"/>
      <c r="P5" s="24">
        <f>AVERAGE(95.96,96)</f>
        <v>95.97999999999999</v>
      </c>
      <c r="Q5" s="19">
        <v>4</v>
      </c>
      <c r="R5" s="23">
        <v>42970</v>
      </c>
      <c r="S5" s="20" t="s">
        <v>64</v>
      </c>
      <c r="T5" s="26" t="s">
        <v>65</v>
      </c>
      <c r="U5" s="26" t="s">
        <v>23</v>
      </c>
      <c r="V5" s="21" t="s">
        <v>30</v>
      </c>
      <c r="W5" s="145">
        <v>42970.395833333336</v>
      </c>
      <c r="X5" s="145">
        <v>42970.449305555558</v>
      </c>
      <c r="Y5" s="20" t="s">
        <v>13</v>
      </c>
      <c r="Z5" s="108">
        <v>42970.458333333336</v>
      </c>
      <c r="AA5" s="146">
        <f t="shared" ref="AA5:AA7" si="2">Z5-W5</f>
        <v>6.25E-2</v>
      </c>
      <c r="AB5" s="19"/>
      <c r="AC5" s="20"/>
      <c r="AD5" s="20"/>
      <c r="AE5" s="22"/>
      <c r="AF5" s="24">
        <f>AVERAGE(90,90,90)</f>
        <v>90</v>
      </c>
      <c r="AG5" s="20"/>
      <c r="AH5" s="23"/>
      <c r="AI5" s="20"/>
      <c r="AJ5" s="26"/>
      <c r="AK5" s="26"/>
      <c r="AL5" s="20"/>
      <c r="AM5" s="100"/>
      <c r="AN5" s="100"/>
      <c r="AO5" s="20"/>
      <c r="AP5" s="108"/>
      <c r="AQ5" s="101"/>
      <c r="AR5" s="20"/>
      <c r="AS5" s="20"/>
      <c r="AT5" s="20"/>
      <c r="AU5" s="22"/>
      <c r="AV5" s="20"/>
      <c r="AW5" s="103" t="s">
        <v>221</v>
      </c>
      <c r="AX5" s="103"/>
    </row>
    <row r="6" spans="1:50">
      <c r="A6" s="98">
        <v>49</v>
      </c>
      <c r="B6" s="97">
        <v>42992</v>
      </c>
      <c r="C6" s="98" t="s">
        <v>175</v>
      </c>
      <c r="D6" s="103" t="s">
        <v>179</v>
      </c>
      <c r="E6" s="103" t="s">
        <v>190</v>
      </c>
      <c r="F6" s="98" t="s">
        <v>196</v>
      </c>
      <c r="G6" s="100">
        <v>42992.50277777778</v>
      </c>
      <c r="H6" s="100">
        <v>42992.685416666667</v>
      </c>
      <c r="I6" s="109" t="s">
        <v>13</v>
      </c>
      <c r="J6" s="100">
        <v>42992.71875</v>
      </c>
      <c r="K6" s="101">
        <f t="shared" si="0"/>
        <v>0.21597222222044365</v>
      </c>
      <c r="L6" s="98">
        <v>0.05</v>
      </c>
      <c r="M6" s="98">
        <v>7.0000000000000007E-2</v>
      </c>
      <c r="N6" s="98">
        <f t="shared" si="1"/>
        <v>2.0000000000000004E-2</v>
      </c>
      <c r="O6" s="102">
        <v>6.87</v>
      </c>
      <c r="P6" s="104">
        <f>AVERAGE(230,230,228)</f>
        <v>229.33333333333334</v>
      </c>
      <c r="Q6" s="98">
        <v>50</v>
      </c>
      <c r="R6" s="97">
        <v>42992</v>
      </c>
      <c r="S6" s="98" t="s">
        <v>176</v>
      </c>
      <c r="T6" s="103" t="s">
        <v>180</v>
      </c>
      <c r="U6" s="103" t="s">
        <v>211</v>
      </c>
      <c r="V6" s="98" t="s">
        <v>196</v>
      </c>
      <c r="W6" s="100">
        <v>42992.50277777778</v>
      </c>
      <c r="X6" s="100">
        <v>42992.688888888886</v>
      </c>
      <c r="Y6" s="109" t="s">
        <v>13</v>
      </c>
      <c r="Z6" s="100">
        <v>42992.71875</v>
      </c>
      <c r="AA6" s="101">
        <f t="shared" si="2"/>
        <v>0.21597222222044365</v>
      </c>
      <c r="AB6" s="98">
        <v>0.8</v>
      </c>
      <c r="AC6" s="98">
        <v>1.04</v>
      </c>
      <c r="AD6" s="98">
        <f t="shared" ref="AD6:AD7" si="3">AC6-AB6</f>
        <v>0.24</v>
      </c>
      <c r="AE6" s="102">
        <v>7.18</v>
      </c>
      <c r="AF6" s="104">
        <f>AVERAGE(227,228,224)</f>
        <v>226.33333333333334</v>
      </c>
      <c r="AG6" s="98">
        <v>51</v>
      </c>
      <c r="AH6" s="97">
        <v>42992</v>
      </c>
      <c r="AI6" s="98" t="s">
        <v>181</v>
      </c>
      <c r="AJ6" s="103" t="s">
        <v>180</v>
      </c>
      <c r="AK6" s="103" t="s">
        <v>191</v>
      </c>
      <c r="AL6" s="98" t="s">
        <v>196</v>
      </c>
      <c r="AM6" s="100">
        <v>42992.50277777778</v>
      </c>
      <c r="AN6" s="100">
        <v>42992.688888888886</v>
      </c>
      <c r="AO6" s="100">
        <v>42992.690972222219</v>
      </c>
      <c r="AP6" s="100">
        <v>42993.670138888891</v>
      </c>
      <c r="AQ6" s="101">
        <f t="shared" ref="AQ6" si="4">AP6-AM6</f>
        <v>1.1673611111109494</v>
      </c>
      <c r="AR6" s="98">
        <v>0.19</v>
      </c>
      <c r="AS6" s="98">
        <v>0.27</v>
      </c>
      <c r="AT6" s="98">
        <f t="shared" ref="AT6" si="5">AS6-AR6</f>
        <v>8.0000000000000016E-2</v>
      </c>
      <c r="AU6" s="102">
        <v>7.07</v>
      </c>
      <c r="AV6" s="104">
        <f>AVERAGE(252,249,246)</f>
        <v>249</v>
      </c>
      <c r="AW6" s="103"/>
      <c r="AX6" s="103"/>
    </row>
    <row r="7" spans="1:50">
      <c r="A7" s="98">
        <v>52</v>
      </c>
      <c r="B7" s="97">
        <v>42993</v>
      </c>
      <c r="C7" s="98" t="s">
        <v>182</v>
      </c>
      <c r="D7" s="103" t="s">
        <v>183</v>
      </c>
      <c r="E7" s="103" t="s">
        <v>192</v>
      </c>
      <c r="F7" s="98" t="s">
        <v>197</v>
      </c>
      <c r="G7" s="100">
        <v>42993.554861111108</v>
      </c>
      <c r="H7" s="100">
        <v>42993.633333333331</v>
      </c>
      <c r="I7" s="109" t="s">
        <v>13</v>
      </c>
      <c r="J7" s="100">
        <v>42993.651388888888</v>
      </c>
      <c r="K7" s="101">
        <f t="shared" si="0"/>
        <v>9.6527777779556345E-2</v>
      </c>
      <c r="L7" s="98">
        <v>7.0000000000000007E-2</v>
      </c>
      <c r="M7" s="98">
        <v>0.56000000000000005</v>
      </c>
      <c r="N7" s="98">
        <f t="shared" si="1"/>
        <v>0.49000000000000005</v>
      </c>
      <c r="O7" s="102">
        <v>7.27</v>
      </c>
      <c r="P7" s="104">
        <f>AVERAGE(284,283,280)</f>
        <v>282.33333333333331</v>
      </c>
      <c r="Q7" s="98">
        <v>53</v>
      </c>
      <c r="R7" s="97">
        <v>42993</v>
      </c>
      <c r="S7" s="98" t="s">
        <v>184</v>
      </c>
      <c r="T7" s="103" t="s">
        <v>183</v>
      </c>
      <c r="U7" s="103" t="s">
        <v>185</v>
      </c>
      <c r="V7" s="98" t="s">
        <v>197</v>
      </c>
      <c r="W7" s="100">
        <v>42993.554861111108</v>
      </c>
      <c r="X7" s="100">
        <v>42993.634027777778</v>
      </c>
      <c r="Y7" s="109" t="s">
        <v>13</v>
      </c>
      <c r="Z7" s="100">
        <v>42993.656944444447</v>
      </c>
      <c r="AA7" s="101">
        <f t="shared" si="2"/>
        <v>0.10208333333866904</v>
      </c>
      <c r="AB7" s="98">
        <v>0.14000000000000001</v>
      </c>
      <c r="AC7" s="98">
        <v>0.56999999999999995</v>
      </c>
      <c r="AD7" s="98">
        <f t="shared" si="3"/>
        <v>0.42999999999999994</v>
      </c>
      <c r="AE7" s="102">
        <v>7.18</v>
      </c>
      <c r="AF7" s="104">
        <f>AVERAGE(268,266,266)</f>
        <v>266.66666666666669</v>
      </c>
      <c r="AG7" s="20"/>
      <c r="AH7" s="97"/>
      <c r="AI7" s="98"/>
      <c r="AJ7" s="99"/>
      <c r="AK7" s="99"/>
      <c r="AL7" s="98"/>
      <c r="AM7" s="100"/>
      <c r="AN7" s="100"/>
      <c r="AO7" s="109"/>
      <c r="AP7" s="109"/>
      <c r="AQ7" s="101"/>
      <c r="AR7" s="102"/>
      <c r="AS7" s="102"/>
      <c r="AT7" s="102"/>
      <c r="AU7" s="102"/>
      <c r="AV7" s="105"/>
      <c r="AW7" s="103"/>
      <c r="AX7" s="103"/>
    </row>
    <row r="8" spans="1:50">
      <c r="A8" s="98">
        <v>57</v>
      </c>
      <c r="B8" s="138">
        <v>42997</v>
      </c>
      <c r="C8" s="139" t="s">
        <v>203</v>
      </c>
      <c r="D8" s="103" t="s">
        <v>180</v>
      </c>
      <c r="E8" s="103" t="s">
        <v>204</v>
      </c>
      <c r="F8" s="139" t="s">
        <v>215</v>
      </c>
      <c r="G8" s="100"/>
      <c r="H8" s="100"/>
      <c r="I8" s="98"/>
      <c r="J8" s="109"/>
      <c r="K8" s="101"/>
      <c r="L8" s="102"/>
      <c r="M8" s="102"/>
      <c r="N8" s="102"/>
      <c r="O8" s="102"/>
      <c r="P8" s="105"/>
      <c r="Q8" s="20"/>
      <c r="R8" s="97"/>
      <c r="S8" s="98"/>
      <c r="T8" s="99"/>
      <c r="U8" s="99"/>
      <c r="V8" s="98"/>
      <c r="W8" s="100"/>
      <c r="X8" s="100"/>
      <c r="Y8" s="98"/>
      <c r="Z8" s="109"/>
      <c r="AA8" s="101"/>
      <c r="AB8" s="102"/>
      <c r="AC8" s="102"/>
      <c r="AD8" s="102"/>
      <c r="AE8" s="102"/>
      <c r="AF8" s="105"/>
      <c r="AG8" s="98">
        <v>57</v>
      </c>
      <c r="AH8" s="138">
        <v>42997</v>
      </c>
      <c r="AI8" s="139" t="s">
        <v>203</v>
      </c>
      <c r="AJ8" s="103" t="s">
        <v>180</v>
      </c>
      <c r="AK8" s="103" t="s">
        <v>204</v>
      </c>
      <c r="AL8" s="139" t="s">
        <v>215</v>
      </c>
      <c r="AM8" s="100">
        <v>42996.762499999997</v>
      </c>
      <c r="AN8" s="100">
        <v>42996.293749999997</v>
      </c>
      <c r="AO8" s="100">
        <v>42996.293749999997</v>
      </c>
      <c r="AP8" s="100">
        <v>42997.540277777778</v>
      </c>
      <c r="AQ8" s="101">
        <f t="shared" ref="AQ8:AQ9" si="6">AP8-AM8</f>
        <v>0.77777777778101154</v>
      </c>
      <c r="AR8" s="139">
        <v>7.0000000000000007E-2</v>
      </c>
      <c r="AS8" s="139">
        <v>0.27</v>
      </c>
      <c r="AT8" s="139">
        <f t="shared" ref="AT8:AT9" si="7">AS8-AR8</f>
        <v>0.2</v>
      </c>
      <c r="AU8" s="140">
        <v>7.2</v>
      </c>
      <c r="AV8" s="104">
        <f>AVERAGE(205,205,202)</f>
        <v>204</v>
      </c>
      <c r="AW8" s="103"/>
      <c r="AX8" s="103"/>
    </row>
    <row r="9" spans="1:50">
      <c r="A9" s="98">
        <v>59</v>
      </c>
      <c r="B9" s="138">
        <v>42997</v>
      </c>
      <c r="C9" s="139" t="s">
        <v>207</v>
      </c>
      <c r="D9" s="103" t="s">
        <v>180</v>
      </c>
      <c r="E9" s="103" t="s">
        <v>208</v>
      </c>
      <c r="F9" s="139" t="s">
        <v>217</v>
      </c>
      <c r="G9" s="100"/>
      <c r="H9" s="100"/>
      <c r="I9" s="109"/>
      <c r="J9" s="108"/>
      <c r="K9" s="101"/>
      <c r="L9" s="102"/>
      <c r="M9" s="102"/>
      <c r="N9" s="102"/>
      <c r="O9" s="102"/>
      <c r="P9" s="105"/>
      <c r="Q9" s="20"/>
      <c r="R9" s="97"/>
      <c r="S9" s="98"/>
      <c r="T9" s="99"/>
      <c r="U9" s="99"/>
      <c r="V9" s="98"/>
      <c r="W9" s="100"/>
      <c r="X9" s="100"/>
      <c r="Y9" s="98"/>
      <c r="Z9" s="108"/>
      <c r="AA9" s="101"/>
      <c r="AB9" s="102"/>
      <c r="AC9" s="102"/>
      <c r="AD9" s="102"/>
      <c r="AE9" s="102"/>
      <c r="AF9" s="105"/>
      <c r="AG9" s="98">
        <v>59</v>
      </c>
      <c r="AH9" s="138">
        <v>42997</v>
      </c>
      <c r="AI9" s="139" t="s">
        <v>207</v>
      </c>
      <c r="AJ9" s="103" t="s">
        <v>180</v>
      </c>
      <c r="AK9" s="103" t="s">
        <v>208</v>
      </c>
      <c r="AL9" s="139" t="s">
        <v>217</v>
      </c>
      <c r="AM9" s="100">
        <v>42996.461805555555</v>
      </c>
      <c r="AN9" s="100">
        <v>42996.512499999997</v>
      </c>
      <c r="AO9" s="100">
        <v>42996.512499999997</v>
      </c>
      <c r="AP9" s="100">
        <v>42997.540277777778</v>
      </c>
      <c r="AQ9" s="101">
        <f t="shared" si="6"/>
        <v>1.078472222223354</v>
      </c>
      <c r="AR9" s="139">
        <v>0.54</v>
      </c>
      <c r="AS9" s="139">
        <v>0.73</v>
      </c>
      <c r="AT9" s="139">
        <f t="shared" si="7"/>
        <v>0.18999999999999995</v>
      </c>
      <c r="AU9" s="140">
        <v>7.3</v>
      </c>
      <c r="AV9" s="104">
        <f>AVERAGE(201,201,201)</f>
        <v>201</v>
      </c>
      <c r="AW9" s="103"/>
      <c r="AX9" s="103"/>
    </row>
    <row r="10" spans="1:50">
      <c r="A10" s="20"/>
      <c r="B10" s="97"/>
      <c r="C10" s="98"/>
      <c r="D10" s="99"/>
      <c r="E10" s="99"/>
      <c r="F10" s="98"/>
      <c r="G10" s="100"/>
      <c r="H10" s="100"/>
      <c r="I10" s="98"/>
      <c r="J10" s="110"/>
      <c r="K10" s="101"/>
      <c r="L10" s="102"/>
      <c r="M10" s="102"/>
      <c r="N10" s="102"/>
      <c r="O10" s="102"/>
      <c r="P10" s="104"/>
      <c r="Q10" s="20"/>
      <c r="R10" s="97"/>
      <c r="S10" s="98"/>
      <c r="T10" s="99"/>
      <c r="U10" s="99"/>
      <c r="V10" s="98"/>
      <c r="W10" s="100"/>
      <c r="X10" s="100"/>
      <c r="Y10" s="98"/>
      <c r="Z10" s="110"/>
      <c r="AA10" s="101"/>
      <c r="AB10" s="102"/>
      <c r="AC10" s="102"/>
      <c r="AD10" s="102"/>
      <c r="AE10" s="102"/>
      <c r="AF10" s="104"/>
      <c r="AG10" s="20"/>
      <c r="AH10" s="97"/>
      <c r="AI10" s="98"/>
      <c r="AJ10" s="99"/>
      <c r="AK10" s="99"/>
      <c r="AL10" s="98"/>
      <c r="AM10" s="100"/>
      <c r="AN10" s="100"/>
      <c r="AO10" s="100"/>
      <c r="AP10" s="110"/>
      <c r="AQ10" s="101"/>
      <c r="AR10" s="102"/>
      <c r="AS10" s="102"/>
      <c r="AT10" s="102"/>
      <c r="AU10" s="102"/>
      <c r="AV10" s="104"/>
      <c r="AW10" s="103"/>
      <c r="AX10" s="103"/>
    </row>
    <row r="11" spans="1:50">
      <c r="A11" s="20"/>
      <c r="B11" s="97"/>
      <c r="C11" s="98"/>
      <c r="D11" s="99"/>
      <c r="E11" s="99"/>
      <c r="F11" s="98"/>
      <c r="G11" s="100"/>
      <c r="H11" s="100"/>
      <c r="I11" s="98"/>
      <c r="J11" s="110"/>
      <c r="K11" s="101"/>
      <c r="L11" s="102"/>
      <c r="M11" s="102"/>
      <c r="N11" s="102"/>
      <c r="O11" s="102"/>
      <c r="P11" s="104"/>
      <c r="Q11" s="20"/>
      <c r="R11" s="97"/>
      <c r="S11" s="98"/>
      <c r="T11" s="99"/>
      <c r="U11" s="99"/>
      <c r="V11" s="98"/>
      <c r="W11" s="100"/>
      <c r="X11" s="100"/>
      <c r="Y11" s="98"/>
      <c r="Z11" s="110"/>
      <c r="AA11" s="101"/>
      <c r="AB11" s="102"/>
      <c r="AC11" s="102"/>
      <c r="AD11" s="102"/>
      <c r="AE11" s="102"/>
      <c r="AF11" s="104"/>
      <c r="AG11" s="20"/>
      <c r="AH11" s="97"/>
      <c r="AI11" s="98"/>
      <c r="AJ11" s="99"/>
      <c r="AK11" s="99"/>
      <c r="AL11" s="98"/>
      <c r="AM11" s="100"/>
      <c r="AN11" s="100"/>
      <c r="AO11" s="100"/>
      <c r="AP11" s="110"/>
      <c r="AQ11" s="101"/>
      <c r="AR11" s="102"/>
      <c r="AS11" s="102"/>
      <c r="AT11" s="102"/>
      <c r="AU11" s="102"/>
      <c r="AV11" s="104"/>
      <c r="AW11" s="103"/>
      <c r="AX11" s="103"/>
    </row>
    <row r="12" spans="1:50">
      <c r="A12" s="20"/>
      <c r="B12" s="97"/>
      <c r="C12" s="98"/>
      <c r="D12" s="99"/>
      <c r="E12" s="99"/>
      <c r="F12" s="98"/>
      <c r="G12" s="100"/>
      <c r="H12" s="100"/>
      <c r="I12" s="98"/>
      <c r="J12" s="110"/>
      <c r="K12" s="101"/>
      <c r="L12" s="102"/>
      <c r="M12" s="102"/>
      <c r="N12" s="102"/>
      <c r="O12" s="102"/>
      <c r="P12" s="104"/>
      <c r="Q12" s="20"/>
      <c r="R12" s="97"/>
      <c r="S12" s="98"/>
      <c r="T12" s="99"/>
      <c r="U12" s="99"/>
      <c r="V12" s="98"/>
      <c r="W12" s="100"/>
      <c r="X12" s="100"/>
      <c r="Y12" s="98"/>
      <c r="Z12" s="110"/>
      <c r="AA12" s="101"/>
      <c r="AB12" s="98"/>
      <c r="AC12" s="102"/>
      <c r="AD12" s="98"/>
      <c r="AE12" s="102"/>
      <c r="AF12" s="104"/>
      <c r="AG12" s="20"/>
      <c r="AH12" s="97"/>
      <c r="AI12" s="98"/>
      <c r="AJ12" s="99"/>
      <c r="AK12" s="99"/>
      <c r="AL12" s="98"/>
      <c r="AM12" s="100"/>
      <c r="AN12" s="100"/>
      <c r="AO12" s="100"/>
      <c r="AP12" s="110"/>
      <c r="AQ12" s="101"/>
      <c r="AR12" s="98"/>
      <c r="AS12" s="102"/>
      <c r="AT12" s="98"/>
      <c r="AU12" s="102"/>
      <c r="AV12" s="104"/>
      <c r="AW12" s="103"/>
      <c r="AX12" s="103"/>
    </row>
    <row r="13" spans="1:50">
      <c r="A13" s="20"/>
      <c r="B13" s="97"/>
      <c r="C13" s="98"/>
      <c r="D13" s="99"/>
      <c r="E13" s="99"/>
      <c r="F13" s="98"/>
      <c r="G13" s="100"/>
      <c r="H13" s="100"/>
      <c r="I13" s="98"/>
      <c r="J13" s="110"/>
      <c r="K13" s="101"/>
      <c r="L13" s="98"/>
      <c r="M13" s="102"/>
      <c r="N13" s="98"/>
      <c r="O13" s="102"/>
      <c r="P13" s="104"/>
      <c r="Q13" s="20"/>
      <c r="R13" s="97"/>
      <c r="S13" s="98"/>
      <c r="T13" s="99"/>
      <c r="U13" s="99"/>
      <c r="V13" s="98"/>
      <c r="W13" s="100"/>
      <c r="X13" s="100"/>
      <c r="Y13" s="98"/>
      <c r="Z13" s="110"/>
      <c r="AA13" s="101"/>
      <c r="AB13" s="98"/>
      <c r="AC13" s="102"/>
      <c r="AD13" s="98"/>
      <c r="AE13" s="98"/>
      <c r="AF13" s="104"/>
      <c r="AG13" s="20"/>
      <c r="AH13" s="97"/>
      <c r="AI13" s="98"/>
      <c r="AJ13" s="99"/>
      <c r="AK13" s="99"/>
      <c r="AL13" s="98"/>
      <c r="AM13" s="100"/>
      <c r="AN13" s="100"/>
      <c r="AO13" s="100"/>
      <c r="AP13" s="110"/>
      <c r="AQ13" s="101"/>
      <c r="AR13" s="98"/>
      <c r="AS13" s="102"/>
      <c r="AT13" s="98"/>
      <c r="AU13" s="102"/>
      <c r="AV13" s="104"/>
      <c r="AW13" s="103"/>
      <c r="AX13" s="103"/>
    </row>
    <row r="14" spans="1:50">
      <c r="A14" s="20"/>
      <c r="B14" s="97"/>
      <c r="C14" s="98"/>
      <c r="D14" s="99"/>
      <c r="E14" s="99"/>
      <c r="F14" s="98"/>
      <c r="G14" s="100"/>
      <c r="H14" s="100"/>
      <c r="I14" s="98"/>
      <c r="J14" s="110"/>
      <c r="K14" s="101"/>
      <c r="L14" s="102"/>
      <c r="M14" s="102"/>
      <c r="N14" s="98"/>
      <c r="O14" s="102"/>
      <c r="P14" s="104"/>
      <c r="Q14" s="20"/>
      <c r="R14" s="97"/>
      <c r="S14" s="98"/>
      <c r="T14" s="99"/>
      <c r="U14" s="99"/>
      <c r="V14" s="98"/>
      <c r="W14" s="100"/>
      <c r="X14" s="100"/>
      <c r="Y14" s="98"/>
      <c r="Z14" s="110"/>
      <c r="AA14" s="101"/>
      <c r="AB14" s="98"/>
      <c r="AC14" s="102"/>
      <c r="AD14" s="98"/>
      <c r="AE14" s="102"/>
      <c r="AF14" s="104"/>
      <c r="AG14" s="20"/>
      <c r="AH14" s="97"/>
      <c r="AI14" s="98"/>
      <c r="AJ14" s="99"/>
      <c r="AK14" s="99"/>
      <c r="AL14" s="98"/>
      <c r="AM14" s="100"/>
      <c r="AN14" s="100"/>
      <c r="AO14" s="100"/>
      <c r="AP14" s="110"/>
      <c r="AQ14" s="101"/>
      <c r="AR14" s="98"/>
      <c r="AS14" s="102"/>
      <c r="AT14" s="98"/>
      <c r="AU14" s="102"/>
      <c r="AV14" s="104"/>
      <c r="AW14" s="103"/>
      <c r="AX14" s="103"/>
    </row>
    <row r="15" spans="1:50">
      <c r="A15" s="20"/>
      <c r="B15" s="97"/>
      <c r="C15" s="98"/>
      <c r="D15" s="99"/>
      <c r="E15" s="99"/>
      <c r="F15" s="98"/>
      <c r="G15" s="100"/>
      <c r="H15" s="100"/>
      <c r="I15" s="98"/>
      <c r="J15" s="110"/>
      <c r="K15" s="101"/>
      <c r="L15" s="98"/>
      <c r="M15" s="102"/>
      <c r="N15" s="98"/>
      <c r="O15" s="102"/>
      <c r="P15" s="104"/>
      <c r="Q15" s="20"/>
      <c r="R15" s="97"/>
      <c r="S15" s="98"/>
      <c r="T15" s="99"/>
      <c r="U15" s="99"/>
      <c r="V15" s="98"/>
      <c r="W15" s="100"/>
      <c r="X15" s="100"/>
      <c r="Y15" s="98"/>
      <c r="Z15" s="110"/>
      <c r="AA15" s="101"/>
      <c r="AB15" s="98"/>
      <c r="AC15" s="102"/>
      <c r="AD15" s="98"/>
      <c r="AE15" s="102"/>
      <c r="AF15" s="104"/>
      <c r="AG15" s="20"/>
      <c r="AH15" s="97"/>
      <c r="AI15" s="98"/>
      <c r="AJ15" s="99"/>
      <c r="AK15" s="99"/>
      <c r="AL15" s="98"/>
      <c r="AM15" s="100"/>
      <c r="AN15" s="100"/>
      <c r="AO15" s="100"/>
      <c r="AP15" s="110"/>
      <c r="AQ15" s="101"/>
      <c r="AR15" s="98"/>
      <c r="AS15" s="102"/>
      <c r="AT15" s="98"/>
      <c r="AU15" s="102"/>
      <c r="AV15" s="104"/>
      <c r="AW15" s="103"/>
      <c r="AX15" s="103"/>
    </row>
    <row r="16" spans="1:50">
      <c r="A16" s="20"/>
      <c r="B16" s="97"/>
      <c r="C16" s="98"/>
      <c r="D16" s="99"/>
      <c r="E16" s="99"/>
      <c r="F16" s="98"/>
      <c r="G16" s="100"/>
      <c r="H16" s="100"/>
      <c r="I16" s="98"/>
      <c r="J16" s="100"/>
      <c r="K16" s="101"/>
      <c r="L16" s="98"/>
      <c r="M16" s="98"/>
      <c r="N16" s="98"/>
      <c r="O16" s="102"/>
      <c r="P16" s="104"/>
      <c r="Q16" s="20"/>
      <c r="R16" s="97"/>
      <c r="S16" s="98"/>
      <c r="T16" s="99"/>
      <c r="U16" s="99"/>
      <c r="V16" s="98"/>
      <c r="W16" s="100"/>
      <c r="X16" s="100"/>
      <c r="Y16" s="98"/>
      <c r="Z16" s="100"/>
      <c r="AA16" s="101"/>
      <c r="AB16" s="98"/>
      <c r="AC16" s="98"/>
      <c r="AD16" s="98"/>
      <c r="AE16" s="102"/>
      <c r="AF16" s="104"/>
      <c r="AG16" s="20"/>
      <c r="AH16" s="97"/>
      <c r="AI16" s="98"/>
      <c r="AJ16" s="99"/>
      <c r="AK16" s="99"/>
      <c r="AL16" s="98"/>
      <c r="AM16" s="100"/>
      <c r="AN16" s="100"/>
      <c r="AO16" s="98"/>
      <c r="AP16" s="100"/>
      <c r="AQ16" s="101"/>
      <c r="AR16" s="98"/>
      <c r="AS16" s="98"/>
      <c r="AT16" s="98"/>
      <c r="AU16" s="102"/>
      <c r="AV16" s="104"/>
      <c r="AW16" s="103"/>
      <c r="AX16" s="103"/>
    </row>
    <row r="17" spans="1:50">
      <c r="A17" s="20"/>
      <c r="B17" s="97"/>
      <c r="C17" s="98"/>
      <c r="D17" s="99"/>
      <c r="E17" s="99"/>
      <c r="F17" s="98"/>
      <c r="G17" s="100"/>
      <c r="H17" s="100"/>
      <c r="I17" s="98"/>
      <c r="J17" s="100"/>
      <c r="K17" s="101"/>
      <c r="L17" s="98"/>
      <c r="M17" s="98"/>
      <c r="N17" s="98"/>
      <c r="O17" s="102"/>
      <c r="P17" s="104"/>
      <c r="Q17" s="20"/>
      <c r="R17" s="97"/>
      <c r="S17" s="98"/>
      <c r="T17" s="99"/>
      <c r="U17" s="99"/>
      <c r="V17" s="98"/>
      <c r="W17" s="100"/>
      <c r="X17" s="100"/>
      <c r="Y17" s="98"/>
      <c r="Z17" s="100"/>
      <c r="AA17" s="101"/>
      <c r="AB17" s="98"/>
      <c r="AC17" s="98"/>
      <c r="AD17" s="98"/>
      <c r="AE17" s="102"/>
      <c r="AF17" s="104"/>
      <c r="AG17" s="20"/>
      <c r="AH17" s="97"/>
      <c r="AI17" s="98"/>
      <c r="AJ17" s="99"/>
      <c r="AK17" s="99"/>
      <c r="AL17" s="98"/>
      <c r="AM17" s="100"/>
      <c r="AN17" s="100"/>
      <c r="AO17" s="98"/>
      <c r="AP17" s="100"/>
      <c r="AQ17" s="101"/>
      <c r="AR17" s="98"/>
      <c r="AS17" s="98"/>
      <c r="AT17" s="98"/>
      <c r="AU17" s="102"/>
      <c r="AV17" s="104"/>
      <c r="AW17" s="103"/>
      <c r="AX17" s="103"/>
    </row>
    <row r="18" spans="1:50">
      <c r="A18" s="98"/>
      <c r="B18" s="97"/>
      <c r="C18" s="98"/>
      <c r="D18" s="103"/>
      <c r="E18" s="103"/>
      <c r="F18" s="98"/>
      <c r="G18" s="100"/>
      <c r="H18" s="100"/>
      <c r="I18" s="109"/>
      <c r="J18" s="100"/>
      <c r="K18" s="101"/>
      <c r="L18" s="98"/>
      <c r="M18" s="98"/>
      <c r="N18" s="98"/>
      <c r="O18" s="102"/>
      <c r="P18" s="104"/>
      <c r="Q18" s="20"/>
      <c r="R18" s="97"/>
      <c r="S18" s="98"/>
      <c r="T18" s="99"/>
      <c r="U18" s="99"/>
      <c r="V18" s="98"/>
      <c r="W18" s="100"/>
      <c r="X18" s="100"/>
      <c r="Y18" s="98"/>
      <c r="Z18" s="100"/>
      <c r="AA18" s="101"/>
      <c r="AB18" s="98"/>
      <c r="AC18" s="98"/>
      <c r="AD18" s="98"/>
      <c r="AE18" s="102"/>
      <c r="AF18" s="104"/>
      <c r="AG18" s="98"/>
      <c r="AH18" s="97"/>
      <c r="AI18" s="98"/>
      <c r="AJ18" s="103"/>
      <c r="AK18" s="103"/>
      <c r="AL18" s="98"/>
      <c r="AM18" s="100"/>
      <c r="AN18" s="100"/>
      <c r="AO18" s="100"/>
      <c r="AP18" s="100"/>
      <c r="AQ18" s="101"/>
      <c r="AR18" s="98"/>
      <c r="AS18" s="98"/>
      <c r="AT18" s="98"/>
      <c r="AU18" s="102"/>
      <c r="AV18" s="104"/>
      <c r="AW18" s="103"/>
      <c r="AX18" s="103"/>
    </row>
    <row r="19" spans="1:50">
      <c r="A19" s="98"/>
      <c r="B19" s="97"/>
      <c r="C19" s="98"/>
      <c r="D19" s="103"/>
      <c r="E19" s="103"/>
      <c r="F19" s="98"/>
      <c r="G19" s="100"/>
      <c r="H19" s="100"/>
      <c r="I19" s="109"/>
      <c r="J19" s="100"/>
      <c r="K19" s="101"/>
      <c r="L19" s="98"/>
      <c r="M19" s="98"/>
      <c r="N19" s="98"/>
      <c r="O19" s="102"/>
      <c r="P19" s="104"/>
      <c r="Q19" s="103"/>
      <c r="R19" s="103"/>
      <c r="S19" s="98"/>
      <c r="T19" s="103"/>
      <c r="U19" s="103"/>
      <c r="V19" s="98"/>
      <c r="W19" s="103"/>
      <c r="X19" s="103"/>
      <c r="Y19" s="98"/>
      <c r="Z19" s="98"/>
      <c r="AA19" s="98"/>
      <c r="AB19" s="98"/>
      <c r="AC19" s="98"/>
      <c r="AD19" s="98"/>
      <c r="AE19" s="102"/>
      <c r="AF19" s="98"/>
      <c r="AG19" s="98"/>
      <c r="AH19" s="97"/>
      <c r="AI19" s="98"/>
      <c r="AJ19" s="103"/>
      <c r="AK19" s="103"/>
      <c r="AL19" s="98"/>
      <c r="AM19" s="100"/>
      <c r="AN19" s="100"/>
      <c r="AO19" s="100"/>
      <c r="AP19" s="100"/>
      <c r="AQ19" s="101"/>
      <c r="AR19" s="98"/>
      <c r="AS19" s="98"/>
      <c r="AT19" s="98"/>
      <c r="AU19" s="102"/>
      <c r="AV19" s="104"/>
      <c r="AW19" s="103"/>
      <c r="AX19" s="103"/>
    </row>
    <row r="20" spans="1:50">
      <c r="A20" s="98"/>
      <c r="B20" s="97"/>
      <c r="C20" s="98"/>
      <c r="D20" s="103"/>
      <c r="E20" s="103"/>
      <c r="F20" s="98"/>
      <c r="G20" s="100"/>
      <c r="H20" s="100"/>
      <c r="I20" s="109"/>
      <c r="J20" s="100"/>
      <c r="K20" s="101"/>
      <c r="L20" s="98"/>
      <c r="M20" s="98"/>
      <c r="N20" s="98"/>
      <c r="O20" s="102"/>
      <c r="P20" s="104"/>
      <c r="Q20" s="103"/>
      <c r="R20" s="103"/>
      <c r="S20" s="98"/>
      <c r="T20" s="103"/>
      <c r="U20" s="103"/>
      <c r="V20" s="98"/>
      <c r="W20" s="103"/>
      <c r="X20" s="103"/>
      <c r="Y20" s="98"/>
      <c r="Z20" s="98"/>
      <c r="AA20" s="98"/>
      <c r="AB20" s="98"/>
      <c r="AC20" s="98"/>
      <c r="AD20" s="98"/>
      <c r="AE20" s="102"/>
      <c r="AF20" s="98"/>
      <c r="AG20" s="98"/>
      <c r="AH20" s="97"/>
      <c r="AI20" s="98"/>
      <c r="AJ20" s="103"/>
      <c r="AK20" s="103"/>
      <c r="AL20" s="98"/>
      <c r="AM20" s="100"/>
      <c r="AN20" s="100"/>
      <c r="AO20" s="100"/>
      <c r="AP20" s="100"/>
      <c r="AQ20" s="101"/>
      <c r="AR20" s="98"/>
      <c r="AS20" s="98"/>
      <c r="AT20" s="98"/>
      <c r="AU20" s="102"/>
      <c r="AV20" s="104"/>
      <c r="AW20" s="103"/>
      <c r="AX20" s="103"/>
    </row>
    <row r="21" spans="1:50">
      <c r="A21" s="98"/>
      <c r="B21" s="97"/>
      <c r="C21" s="98"/>
      <c r="D21" s="103"/>
      <c r="E21" s="103"/>
      <c r="F21" s="98"/>
      <c r="G21" s="100"/>
      <c r="H21" s="100"/>
      <c r="I21" s="109"/>
      <c r="J21" s="100"/>
      <c r="K21" s="101"/>
      <c r="L21" s="98"/>
      <c r="M21" s="98"/>
      <c r="N21" s="98"/>
      <c r="O21" s="102"/>
      <c r="P21" s="104"/>
      <c r="Q21" s="103"/>
      <c r="R21" s="103"/>
      <c r="S21" s="98"/>
      <c r="T21" s="103"/>
      <c r="U21" s="103"/>
      <c r="V21" s="98"/>
      <c r="W21" s="103"/>
      <c r="X21" s="103"/>
      <c r="Y21" s="98"/>
      <c r="Z21" s="98"/>
      <c r="AA21" s="98"/>
      <c r="AB21" s="98"/>
      <c r="AC21" s="98"/>
      <c r="AD21" s="98"/>
      <c r="AE21" s="102"/>
      <c r="AF21" s="98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</row>
    <row r="22" spans="1:50">
      <c r="A22" s="98"/>
      <c r="B22" s="97"/>
      <c r="C22" s="98"/>
      <c r="D22" s="103"/>
      <c r="E22" s="103"/>
      <c r="F22" s="98"/>
      <c r="G22" s="103"/>
      <c r="H22" s="103"/>
      <c r="I22" s="98"/>
      <c r="J22" s="98"/>
      <c r="K22" s="98"/>
      <c r="L22" s="98"/>
      <c r="M22" s="98"/>
      <c r="N22" s="98"/>
      <c r="O22" s="102"/>
      <c r="P22" s="98"/>
      <c r="Q22" s="103"/>
      <c r="R22" s="103"/>
      <c r="S22" s="98"/>
      <c r="T22" s="103"/>
      <c r="U22" s="103"/>
      <c r="V22" s="98"/>
      <c r="W22" s="103"/>
      <c r="X22" s="103"/>
      <c r="Y22" s="98"/>
      <c r="Z22" s="98"/>
      <c r="AA22" s="98"/>
      <c r="AB22" s="98"/>
      <c r="AC22" s="98"/>
      <c r="AD22" s="98"/>
      <c r="AE22" s="102"/>
      <c r="AF22" s="98"/>
      <c r="AG22" s="98"/>
      <c r="AH22" s="97"/>
      <c r="AI22" s="98"/>
      <c r="AJ22" s="103"/>
      <c r="AK22" s="103"/>
      <c r="AL22" s="98"/>
      <c r="AM22" s="100"/>
      <c r="AN22" s="100"/>
      <c r="AO22" s="100"/>
      <c r="AP22" s="100"/>
      <c r="AQ22" s="101"/>
      <c r="AR22" s="98"/>
      <c r="AS22" s="98"/>
      <c r="AT22" s="98"/>
      <c r="AU22" s="102"/>
      <c r="AV22" s="104"/>
      <c r="AW22" s="103"/>
      <c r="AX22" s="103"/>
    </row>
    <row r="23" spans="1:50">
      <c r="A23" s="98"/>
      <c r="B23" s="97"/>
      <c r="C23" s="98"/>
      <c r="D23" s="103"/>
      <c r="E23" s="103"/>
      <c r="F23" s="98"/>
      <c r="G23" s="103"/>
      <c r="H23" s="103"/>
      <c r="I23" s="98"/>
      <c r="J23" s="98"/>
      <c r="K23" s="98"/>
      <c r="L23" s="98"/>
      <c r="M23" s="98"/>
      <c r="N23" s="98"/>
      <c r="O23" s="102"/>
      <c r="P23" s="98"/>
      <c r="Q23" s="103"/>
      <c r="R23" s="103"/>
      <c r="S23" s="98"/>
      <c r="T23" s="103"/>
      <c r="U23" s="103"/>
      <c r="V23" s="98"/>
      <c r="W23" s="103"/>
      <c r="X23" s="103"/>
      <c r="Y23" s="98"/>
      <c r="Z23" s="98"/>
      <c r="AA23" s="98"/>
      <c r="AB23" s="98"/>
      <c r="AC23" s="98"/>
      <c r="AD23" s="98"/>
      <c r="AE23" s="102"/>
      <c r="AF23" s="98"/>
      <c r="AG23" s="98"/>
      <c r="AH23" s="97"/>
      <c r="AI23" s="98"/>
      <c r="AJ23" s="103"/>
      <c r="AK23" s="103"/>
      <c r="AL23" s="98"/>
      <c r="AM23" s="100"/>
      <c r="AN23" s="100"/>
      <c r="AO23" s="100"/>
      <c r="AP23" s="100"/>
      <c r="AQ23" s="101"/>
      <c r="AR23" s="98"/>
      <c r="AS23" s="98"/>
      <c r="AT23" s="98"/>
      <c r="AU23" s="102"/>
      <c r="AV23" s="104"/>
      <c r="AW23" s="103"/>
      <c r="AX23" s="103"/>
    </row>
    <row r="24" spans="1:50">
      <c r="A24" s="98"/>
      <c r="B24" s="97"/>
      <c r="C24" s="98"/>
      <c r="D24" s="103"/>
      <c r="E24" s="103"/>
      <c r="F24" s="98"/>
      <c r="G24" s="103"/>
      <c r="H24" s="103"/>
      <c r="I24" s="98"/>
      <c r="J24" s="98"/>
      <c r="K24" s="98"/>
      <c r="L24" s="98"/>
      <c r="M24" s="98"/>
      <c r="N24" s="98"/>
      <c r="O24" s="102"/>
      <c r="P24" s="98"/>
      <c r="Q24" s="103"/>
      <c r="R24" s="103"/>
      <c r="S24" s="98"/>
      <c r="T24" s="103"/>
      <c r="U24" s="103"/>
      <c r="V24" s="98"/>
      <c r="W24" s="103"/>
      <c r="X24" s="103"/>
      <c r="Y24" s="98"/>
      <c r="Z24" s="98"/>
      <c r="AA24" s="98"/>
      <c r="AB24" s="98"/>
      <c r="AC24" s="98"/>
      <c r="AD24" s="98"/>
      <c r="AE24" s="102"/>
      <c r="AF24" s="98"/>
      <c r="AG24" s="98"/>
      <c r="AH24" s="97"/>
      <c r="AI24" s="98"/>
      <c r="AJ24" s="103"/>
      <c r="AK24" s="103"/>
      <c r="AL24" s="98"/>
      <c r="AM24" s="100"/>
      <c r="AN24" s="100"/>
      <c r="AO24" s="100"/>
      <c r="AP24" s="100"/>
      <c r="AQ24" s="101"/>
      <c r="AR24" s="98"/>
      <c r="AS24" s="98"/>
      <c r="AT24" s="98"/>
      <c r="AU24" s="102"/>
      <c r="AV24" s="104"/>
      <c r="AW24" s="103"/>
      <c r="AX24" s="103"/>
    </row>
    <row r="25" spans="1:50">
      <c r="A25" s="98"/>
      <c r="B25" s="136"/>
      <c r="D25" s="103"/>
      <c r="E25" s="103"/>
      <c r="AG25" s="98"/>
      <c r="AH25" s="136"/>
      <c r="AI25" s="48"/>
      <c r="AJ25" s="103"/>
      <c r="AK25" s="103"/>
      <c r="AL25" s="48"/>
      <c r="AM25" s="100"/>
      <c r="AN25" s="100"/>
      <c r="AO25" s="100"/>
      <c r="AP25" s="100"/>
      <c r="AQ25" s="101"/>
      <c r="AR25" s="48"/>
      <c r="AS25" s="48"/>
      <c r="AT25" s="48"/>
      <c r="AU25" s="69"/>
      <c r="AV25" s="104"/>
    </row>
  </sheetData>
  <mergeCells count="12">
    <mergeCell ref="AM2:AQ2"/>
    <mergeCell ref="AR2:AV2"/>
    <mergeCell ref="A1:P1"/>
    <mergeCell ref="Q1:AF1"/>
    <mergeCell ref="AG1:AV1"/>
    <mergeCell ref="A2:F2"/>
    <mergeCell ref="G2:K2"/>
    <mergeCell ref="L2:P2"/>
    <mergeCell ref="Q2:V2"/>
    <mergeCell ref="W2:AA2"/>
    <mergeCell ref="AB2:AF2"/>
    <mergeCell ref="AG2:AL2"/>
  </mergeCells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5"/>
  <sheetViews>
    <sheetView topLeftCell="C1" workbookViewId="0">
      <pane ySplit="3" topLeftCell="A4" activePane="bottomLeft" state="frozen"/>
      <selection pane="bottomLeft" activeCell="F25" sqref="F25"/>
    </sheetView>
  </sheetViews>
  <sheetFormatPr baseColWidth="10" defaultColWidth="11" defaultRowHeight="15" x14ac:dyDescent="0"/>
  <cols>
    <col min="1" max="1" width="7.1640625" customWidth="1"/>
    <col min="3" max="3" width="11" style="48"/>
    <col min="5" max="5" width="31.33203125" customWidth="1"/>
    <col min="6" max="6" width="6.5" style="48" customWidth="1"/>
    <col min="7" max="7" width="16.83203125" customWidth="1"/>
    <col min="8" max="8" width="14.5" bestFit="1" customWidth="1"/>
    <col min="9" max="9" width="13.5" style="48" customWidth="1"/>
    <col min="10" max="10" width="14.5" style="48" bestFit="1" customWidth="1"/>
    <col min="11" max="11" width="11.83203125" style="48" bestFit="1" customWidth="1"/>
    <col min="12" max="14" width="11" style="48"/>
    <col min="15" max="15" width="11" style="69"/>
    <col min="16" max="16" width="11" style="48"/>
    <col min="17" max="17" width="7.1640625" customWidth="1"/>
    <col min="19" max="19" width="11" style="48"/>
    <col min="21" max="21" width="31.33203125" customWidth="1"/>
    <col min="22" max="22" width="6.5" style="48" customWidth="1"/>
    <col min="23" max="24" width="13.5" customWidth="1"/>
    <col min="25" max="26" width="13.5" style="48" customWidth="1"/>
    <col min="27" max="27" width="11.83203125" style="48" bestFit="1" customWidth="1"/>
    <col min="28" max="30" width="11" style="48"/>
    <col min="31" max="31" width="11" style="69"/>
    <col min="32" max="32" width="11" style="48"/>
    <col min="39" max="43" width="13.5" customWidth="1"/>
  </cols>
  <sheetData>
    <row r="1" spans="1:48" ht="20">
      <c r="A1" s="166" t="s">
        <v>130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 t="s">
        <v>131</v>
      </c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 t="s">
        <v>132</v>
      </c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9"/>
    </row>
    <row r="2" spans="1:48" ht="16" customHeight="1" thickBot="1">
      <c r="A2" s="165" t="s">
        <v>14</v>
      </c>
      <c r="B2" s="156"/>
      <c r="C2" s="156"/>
      <c r="D2" s="156"/>
      <c r="E2" s="156"/>
      <c r="F2" s="157"/>
      <c r="G2" s="153" t="s">
        <v>15</v>
      </c>
      <c r="H2" s="156"/>
      <c r="I2" s="156"/>
      <c r="J2" s="156"/>
      <c r="K2" s="157"/>
      <c r="L2" s="153" t="s">
        <v>40</v>
      </c>
      <c r="M2" s="154"/>
      <c r="N2" s="154"/>
      <c r="O2" s="154"/>
      <c r="P2" s="155"/>
      <c r="Q2" s="153" t="s">
        <v>14</v>
      </c>
      <c r="R2" s="156"/>
      <c r="S2" s="156"/>
      <c r="T2" s="156"/>
      <c r="U2" s="156"/>
      <c r="V2" s="157"/>
      <c r="W2" s="153" t="s">
        <v>15</v>
      </c>
      <c r="X2" s="156"/>
      <c r="Y2" s="156"/>
      <c r="Z2" s="156"/>
      <c r="AA2" s="157"/>
      <c r="AB2" s="153" t="s">
        <v>40</v>
      </c>
      <c r="AC2" s="154"/>
      <c r="AD2" s="154"/>
      <c r="AE2" s="154"/>
      <c r="AF2" s="155"/>
      <c r="AG2" s="153" t="s">
        <v>14</v>
      </c>
      <c r="AH2" s="156"/>
      <c r="AI2" s="156"/>
      <c r="AJ2" s="156"/>
      <c r="AK2" s="156"/>
      <c r="AL2" s="157"/>
      <c r="AM2" s="153" t="s">
        <v>15</v>
      </c>
      <c r="AN2" s="156"/>
      <c r="AO2" s="156"/>
      <c r="AP2" s="156"/>
      <c r="AQ2" s="157"/>
      <c r="AR2" s="153" t="s">
        <v>40</v>
      </c>
      <c r="AS2" s="154"/>
      <c r="AT2" s="154"/>
      <c r="AU2" s="154"/>
      <c r="AV2" s="168"/>
    </row>
    <row r="3" spans="1:48" ht="16" thickTop="1">
      <c r="A3" s="112" t="s">
        <v>31</v>
      </c>
      <c r="B3" s="11" t="s">
        <v>5</v>
      </c>
      <c r="C3" s="11" t="s">
        <v>0</v>
      </c>
      <c r="D3" s="11" t="s">
        <v>1</v>
      </c>
      <c r="E3" s="11" t="s">
        <v>2</v>
      </c>
      <c r="F3" s="12" t="s">
        <v>20</v>
      </c>
      <c r="G3" s="10" t="s">
        <v>11</v>
      </c>
      <c r="H3" s="11" t="s">
        <v>3</v>
      </c>
      <c r="I3" s="11" t="s">
        <v>4</v>
      </c>
      <c r="J3" s="11" t="s">
        <v>39</v>
      </c>
      <c r="K3" s="12" t="s">
        <v>10</v>
      </c>
      <c r="L3" s="10" t="s">
        <v>6</v>
      </c>
      <c r="M3" s="11" t="s">
        <v>7</v>
      </c>
      <c r="N3" s="11" t="s">
        <v>92</v>
      </c>
      <c r="O3" s="13" t="s">
        <v>8</v>
      </c>
      <c r="P3" s="12" t="s">
        <v>9</v>
      </c>
      <c r="Q3" s="10" t="s">
        <v>31</v>
      </c>
      <c r="R3" s="11" t="s">
        <v>5</v>
      </c>
      <c r="S3" s="11" t="s">
        <v>0</v>
      </c>
      <c r="T3" s="11" t="s">
        <v>1</v>
      </c>
      <c r="U3" s="11" t="s">
        <v>2</v>
      </c>
      <c r="V3" s="12" t="s">
        <v>20</v>
      </c>
      <c r="W3" s="10" t="s">
        <v>11</v>
      </c>
      <c r="X3" s="11" t="s">
        <v>3</v>
      </c>
      <c r="Y3" s="11" t="s">
        <v>4</v>
      </c>
      <c r="Z3" s="11" t="s">
        <v>39</v>
      </c>
      <c r="AA3" s="12" t="s">
        <v>10</v>
      </c>
      <c r="AB3" s="10" t="s">
        <v>6</v>
      </c>
      <c r="AC3" s="11" t="s">
        <v>7</v>
      </c>
      <c r="AD3" s="11" t="s">
        <v>92</v>
      </c>
      <c r="AE3" s="13" t="s">
        <v>8</v>
      </c>
      <c r="AF3" s="12" t="s">
        <v>9</v>
      </c>
      <c r="AG3" s="10" t="s">
        <v>31</v>
      </c>
      <c r="AH3" s="11" t="s">
        <v>5</v>
      </c>
      <c r="AI3" s="11" t="s">
        <v>0</v>
      </c>
      <c r="AJ3" s="11" t="s">
        <v>1</v>
      </c>
      <c r="AK3" s="11" t="s">
        <v>2</v>
      </c>
      <c r="AL3" s="12" t="s">
        <v>20</v>
      </c>
      <c r="AM3" s="10" t="s">
        <v>11</v>
      </c>
      <c r="AN3" s="11" t="s">
        <v>3</v>
      </c>
      <c r="AO3" s="11" t="s">
        <v>4</v>
      </c>
      <c r="AP3" s="11" t="s">
        <v>39</v>
      </c>
      <c r="AQ3" s="12" t="s">
        <v>10</v>
      </c>
      <c r="AR3" s="10" t="s">
        <v>6</v>
      </c>
      <c r="AS3" s="11" t="s">
        <v>7</v>
      </c>
      <c r="AT3" s="11" t="s">
        <v>92</v>
      </c>
      <c r="AU3" s="13" t="s">
        <v>8</v>
      </c>
      <c r="AV3" s="113" t="s">
        <v>9</v>
      </c>
    </row>
    <row r="4" spans="1:48">
      <c r="A4" s="114" t="s">
        <v>32</v>
      </c>
      <c r="B4" s="15"/>
      <c r="C4" s="15"/>
      <c r="D4" s="15"/>
      <c r="E4" s="15"/>
      <c r="F4" s="16" t="s">
        <v>33</v>
      </c>
      <c r="G4" s="14"/>
      <c r="H4" s="11"/>
      <c r="I4" s="11"/>
      <c r="J4" s="15"/>
      <c r="K4" s="16" t="s">
        <v>41</v>
      </c>
      <c r="L4" s="14" t="s">
        <v>16</v>
      </c>
      <c r="M4" s="15" t="s">
        <v>16</v>
      </c>
      <c r="N4" s="15" t="s">
        <v>16</v>
      </c>
      <c r="O4" s="17"/>
      <c r="P4" s="16" t="s">
        <v>17</v>
      </c>
      <c r="Q4" s="14" t="s">
        <v>32</v>
      </c>
      <c r="R4" s="15"/>
      <c r="S4" s="15"/>
      <c r="T4" s="15"/>
      <c r="U4" s="15"/>
      <c r="V4" s="16" t="s">
        <v>33</v>
      </c>
      <c r="W4" s="14"/>
      <c r="X4" s="11"/>
      <c r="Y4" s="11"/>
      <c r="Z4" s="15"/>
      <c r="AA4" s="16" t="s">
        <v>41</v>
      </c>
      <c r="AB4" s="14" t="s">
        <v>16</v>
      </c>
      <c r="AC4" s="15" t="s">
        <v>16</v>
      </c>
      <c r="AD4" s="15" t="s">
        <v>16</v>
      </c>
      <c r="AE4" s="17"/>
      <c r="AF4" s="16" t="s">
        <v>17</v>
      </c>
      <c r="AG4" s="14" t="s">
        <v>32</v>
      </c>
      <c r="AH4" s="15"/>
      <c r="AI4" s="15"/>
      <c r="AJ4" s="15"/>
      <c r="AK4" s="15"/>
      <c r="AL4" s="16" t="s">
        <v>33</v>
      </c>
      <c r="AM4" s="14"/>
      <c r="AN4" s="11"/>
      <c r="AO4" s="11"/>
      <c r="AP4" s="15"/>
      <c r="AQ4" s="16" t="s">
        <v>41</v>
      </c>
      <c r="AR4" s="14" t="s">
        <v>16</v>
      </c>
      <c r="AS4" s="15" t="s">
        <v>16</v>
      </c>
      <c r="AT4" s="15" t="s">
        <v>16</v>
      </c>
      <c r="AU4" s="17"/>
      <c r="AV4" s="115" t="s">
        <v>17</v>
      </c>
    </row>
    <row r="5" spans="1:48">
      <c r="A5" s="116">
        <v>1</v>
      </c>
      <c r="B5" s="31">
        <v>42970</v>
      </c>
      <c r="C5" s="32" t="s">
        <v>57</v>
      </c>
      <c r="D5" s="33" t="s">
        <v>35</v>
      </c>
      <c r="E5" s="33" t="s">
        <v>18</v>
      </c>
      <c r="F5" s="34" t="s">
        <v>21</v>
      </c>
      <c r="G5" s="5">
        <v>42970.395833333336</v>
      </c>
      <c r="H5" s="111">
        <v>42970.449305555558</v>
      </c>
      <c r="I5" s="35" t="s">
        <v>13</v>
      </c>
      <c r="J5" s="51">
        <v>42970.458333333336</v>
      </c>
      <c r="K5" s="56">
        <f t="shared" ref="K5" si="0">J5-G5</f>
        <v>6.25E-2</v>
      </c>
      <c r="L5" s="32">
        <v>1.42</v>
      </c>
      <c r="M5" s="32">
        <v>1.65</v>
      </c>
      <c r="N5" s="32">
        <f>M5-L5</f>
        <v>0.22999999999999998</v>
      </c>
      <c r="O5" s="36"/>
      <c r="P5" s="34">
        <f>AVERAGE(61,60,59)</f>
        <v>60</v>
      </c>
      <c r="Q5" s="30">
        <v>2</v>
      </c>
      <c r="R5" s="31">
        <v>42970</v>
      </c>
      <c r="S5" s="32" t="s">
        <v>59</v>
      </c>
      <c r="T5" s="33" t="s">
        <v>54</v>
      </c>
      <c r="U5" s="33" t="s">
        <v>23</v>
      </c>
      <c r="V5" s="34" t="s">
        <v>21</v>
      </c>
      <c r="W5" s="5">
        <v>42970.395833333336</v>
      </c>
      <c r="X5" s="6">
        <v>42970.449305555558</v>
      </c>
      <c r="Y5" s="32" t="s">
        <v>13</v>
      </c>
      <c r="Z5" s="52">
        <v>42970.458333333336</v>
      </c>
      <c r="AA5" s="56">
        <f t="shared" ref="AA5:AA17" si="1">Z5-W5</f>
        <v>6.25E-2</v>
      </c>
      <c r="AB5" s="32">
        <v>1.62</v>
      </c>
      <c r="AC5" s="32">
        <v>1.89</v>
      </c>
      <c r="AD5" s="32">
        <f t="shared" ref="AD5:AD17" si="2">AC5-AB5</f>
        <v>0.2699999999999998</v>
      </c>
      <c r="AE5" s="36"/>
      <c r="AF5" s="37">
        <f>AVERAGE(41,41,42)</f>
        <v>41.333333333333336</v>
      </c>
      <c r="AG5" s="30"/>
      <c r="AH5" s="31"/>
      <c r="AI5" s="32"/>
      <c r="AJ5" s="33"/>
      <c r="AK5" s="33"/>
      <c r="AL5" s="34"/>
      <c r="AM5" s="5"/>
      <c r="AN5" s="111"/>
      <c r="AO5" s="35"/>
      <c r="AP5" s="51"/>
      <c r="AQ5" s="56"/>
      <c r="AR5" s="32"/>
      <c r="AS5" s="32"/>
      <c r="AT5" s="32"/>
      <c r="AU5" s="36"/>
      <c r="AV5" s="117"/>
    </row>
    <row r="6" spans="1:48">
      <c r="A6" s="116">
        <v>6</v>
      </c>
      <c r="B6" s="4">
        <v>42971</v>
      </c>
      <c r="C6" s="45" t="s">
        <v>12</v>
      </c>
      <c r="D6" s="27" t="s">
        <v>22</v>
      </c>
      <c r="E6" s="27" t="s">
        <v>18</v>
      </c>
      <c r="F6" s="59" t="s">
        <v>45</v>
      </c>
      <c r="G6" s="5">
        <v>42971.418055555558</v>
      </c>
      <c r="H6" s="6">
        <v>42971.443055555559</v>
      </c>
      <c r="I6" s="49" t="s">
        <v>13</v>
      </c>
      <c r="J6" s="49">
        <v>42971.452777777777</v>
      </c>
      <c r="K6" s="56">
        <f t="shared" ref="K6:K21" si="3">J6-G6</f>
        <v>3.4722222218988463E-2</v>
      </c>
      <c r="L6" s="63">
        <v>1.68</v>
      </c>
      <c r="M6" s="64">
        <v>1.9</v>
      </c>
      <c r="N6" s="64">
        <f t="shared" ref="N6:N21" si="4">M6-L6</f>
        <v>0.21999999999999997</v>
      </c>
      <c r="O6" s="64"/>
      <c r="P6" s="37">
        <v>46</v>
      </c>
      <c r="Q6" s="30">
        <v>7</v>
      </c>
      <c r="R6" s="4">
        <v>42971</v>
      </c>
      <c r="S6" s="45" t="s">
        <v>19</v>
      </c>
      <c r="T6" s="27" t="s">
        <v>36</v>
      </c>
      <c r="U6" s="27" t="s">
        <v>23</v>
      </c>
      <c r="V6" s="60" t="s">
        <v>45</v>
      </c>
      <c r="W6" s="5">
        <v>42971.418055555558</v>
      </c>
      <c r="X6" s="6">
        <v>42971.443055555559</v>
      </c>
      <c r="Y6" s="49" t="s">
        <v>13</v>
      </c>
      <c r="Z6" s="49">
        <v>42971.452777777777</v>
      </c>
      <c r="AA6" s="56">
        <f t="shared" si="1"/>
        <v>3.4722222218988463E-2</v>
      </c>
      <c r="AB6" s="63">
        <v>1.77</v>
      </c>
      <c r="AC6" s="64">
        <v>1.89</v>
      </c>
      <c r="AD6" s="64">
        <f t="shared" si="2"/>
        <v>0.11999999999999988</v>
      </c>
      <c r="AE6" s="64"/>
      <c r="AF6" s="37">
        <v>41</v>
      </c>
      <c r="AG6" s="30">
        <v>8</v>
      </c>
      <c r="AH6" s="4">
        <v>42971</v>
      </c>
      <c r="AI6" s="45" t="s">
        <v>24</v>
      </c>
      <c r="AJ6" s="27" t="s">
        <v>36</v>
      </c>
      <c r="AK6" s="27" t="s">
        <v>25</v>
      </c>
      <c r="AL6" s="60" t="s">
        <v>45</v>
      </c>
      <c r="AM6" s="5">
        <v>42971.418055555558</v>
      </c>
      <c r="AN6" s="6">
        <v>42971.444444444445</v>
      </c>
      <c r="AO6" s="49">
        <v>42971.447916666664</v>
      </c>
      <c r="AP6" s="49">
        <v>42972.439583333333</v>
      </c>
      <c r="AQ6" s="56">
        <f t="shared" ref="AQ6:AQ15" si="5">AP6-AM6</f>
        <v>1.0215277777751908</v>
      </c>
      <c r="AR6" s="63">
        <v>0.81</v>
      </c>
      <c r="AS6" s="64">
        <v>0.88</v>
      </c>
      <c r="AT6" s="64">
        <f t="shared" ref="AT6:AT15" si="6">AS6-AR6</f>
        <v>6.9999999999999951E-2</v>
      </c>
      <c r="AU6" s="64">
        <v>7.2</v>
      </c>
      <c r="AV6" s="118">
        <v>63</v>
      </c>
    </row>
    <row r="7" spans="1:48">
      <c r="A7" s="119">
        <v>10</v>
      </c>
      <c r="B7" s="7">
        <v>42971</v>
      </c>
      <c r="C7" s="47" t="s">
        <v>29</v>
      </c>
      <c r="D7" s="29" t="s">
        <v>35</v>
      </c>
      <c r="E7" s="29" t="s">
        <v>18</v>
      </c>
      <c r="F7" s="62" t="s">
        <v>51</v>
      </c>
      <c r="G7" s="8">
        <v>42971.510416666664</v>
      </c>
      <c r="H7" s="9">
        <v>42971.53125</v>
      </c>
      <c r="I7" s="47" t="s">
        <v>13</v>
      </c>
      <c r="J7" s="53">
        <v>42971.536111111112</v>
      </c>
      <c r="K7" s="57">
        <f t="shared" si="3"/>
        <v>2.5694444448163267E-2</v>
      </c>
      <c r="L7" s="67">
        <v>1.86</v>
      </c>
      <c r="M7" s="68">
        <v>2</v>
      </c>
      <c r="N7" s="68">
        <f t="shared" si="4"/>
        <v>0.1399999999999999</v>
      </c>
      <c r="O7" s="68"/>
      <c r="P7" s="44">
        <v>36</v>
      </c>
      <c r="Q7" s="38">
        <v>11</v>
      </c>
      <c r="R7" s="7">
        <v>42971</v>
      </c>
      <c r="S7" s="47" t="s">
        <v>34</v>
      </c>
      <c r="T7" s="29" t="s">
        <v>37</v>
      </c>
      <c r="U7" s="29" t="s">
        <v>23</v>
      </c>
      <c r="V7" s="62" t="s">
        <v>51</v>
      </c>
      <c r="W7" s="8">
        <v>42971.510416666664</v>
      </c>
      <c r="X7" s="9">
        <v>42971.531944444447</v>
      </c>
      <c r="Y7" s="47" t="s">
        <v>13</v>
      </c>
      <c r="Z7" s="53">
        <v>42971.536805555559</v>
      </c>
      <c r="AA7" s="57">
        <f t="shared" si="1"/>
        <v>2.6388888894871343E-2</v>
      </c>
      <c r="AB7" s="67">
        <v>1.99</v>
      </c>
      <c r="AC7" s="68">
        <v>2.0699999999999998</v>
      </c>
      <c r="AD7" s="68">
        <f t="shared" si="2"/>
        <v>7.9999999999999849E-2</v>
      </c>
      <c r="AE7" s="68"/>
      <c r="AF7" s="44">
        <v>30</v>
      </c>
      <c r="AG7" s="38">
        <v>12</v>
      </c>
      <c r="AH7" s="7">
        <v>42971</v>
      </c>
      <c r="AI7" s="47" t="s">
        <v>38</v>
      </c>
      <c r="AJ7" s="29" t="s">
        <v>37</v>
      </c>
      <c r="AK7" s="29" t="s">
        <v>25</v>
      </c>
      <c r="AL7" s="62" t="s">
        <v>51</v>
      </c>
      <c r="AM7" s="8">
        <v>42971.510416666664</v>
      </c>
      <c r="AN7" s="9">
        <v>42971.53402777778</v>
      </c>
      <c r="AO7" s="50">
        <v>42971.536111111112</v>
      </c>
      <c r="AP7" s="50">
        <v>42972.441666666666</v>
      </c>
      <c r="AQ7" s="57">
        <f t="shared" si="5"/>
        <v>0.93125000000145519</v>
      </c>
      <c r="AR7" s="67">
        <v>0.74</v>
      </c>
      <c r="AS7" s="68">
        <v>0.83</v>
      </c>
      <c r="AT7" s="68">
        <f t="shared" si="6"/>
        <v>8.9999999999999969E-2</v>
      </c>
      <c r="AU7" s="68">
        <v>7.27</v>
      </c>
      <c r="AV7" s="120"/>
    </row>
    <row r="8" spans="1:48">
      <c r="A8" s="116">
        <v>14</v>
      </c>
      <c r="B8" s="4">
        <v>42972</v>
      </c>
      <c r="C8" s="45" t="s">
        <v>44</v>
      </c>
      <c r="D8" s="27" t="s">
        <v>35</v>
      </c>
      <c r="E8" s="27" t="s">
        <v>18</v>
      </c>
      <c r="F8" s="60" t="s">
        <v>69</v>
      </c>
      <c r="G8" s="5">
        <v>42972.402777777781</v>
      </c>
      <c r="H8" s="6">
        <v>42972.426388888889</v>
      </c>
      <c r="I8" s="45" t="s">
        <v>13</v>
      </c>
      <c r="J8" s="49">
        <v>42972.443055555559</v>
      </c>
      <c r="K8" s="56">
        <f t="shared" si="3"/>
        <v>4.0277777778101154E-2</v>
      </c>
      <c r="L8" s="63">
        <v>1.45</v>
      </c>
      <c r="M8" s="64">
        <v>1.63</v>
      </c>
      <c r="N8" s="64">
        <f t="shared" si="4"/>
        <v>0.17999999999999994</v>
      </c>
      <c r="O8" s="64">
        <v>7.16</v>
      </c>
      <c r="P8" s="37">
        <f>AVERAGE(52, 42, 50, 49, 43, 43)</f>
        <v>46.5</v>
      </c>
      <c r="Q8" s="30">
        <v>15</v>
      </c>
      <c r="R8" s="4">
        <v>42972</v>
      </c>
      <c r="S8" s="45" t="s">
        <v>46</v>
      </c>
      <c r="T8" s="27" t="s">
        <v>54</v>
      </c>
      <c r="U8" s="27" t="s">
        <v>23</v>
      </c>
      <c r="V8" s="60" t="s">
        <v>69</v>
      </c>
      <c r="W8" s="5">
        <v>42972.402777777781</v>
      </c>
      <c r="X8" s="6">
        <v>42972.427777777775</v>
      </c>
      <c r="Y8" s="45" t="s">
        <v>13</v>
      </c>
      <c r="Z8" s="49">
        <v>42972.444444444445</v>
      </c>
      <c r="AA8" s="56">
        <f t="shared" si="1"/>
        <v>4.1666666664241347E-2</v>
      </c>
      <c r="AB8" s="63">
        <v>1.42</v>
      </c>
      <c r="AC8" s="64">
        <v>1.57</v>
      </c>
      <c r="AD8" s="64">
        <f t="shared" si="2"/>
        <v>0.15000000000000013</v>
      </c>
      <c r="AE8" s="64">
        <v>7.25</v>
      </c>
      <c r="AF8" s="37">
        <f>AVERAGE(67,66,72,68)</f>
        <v>68.25</v>
      </c>
      <c r="AG8" s="30">
        <v>16</v>
      </c>
      <c r="AH8" s="4">
        <v>42972</v>
      </c>
      <c r="AI8" s="45" t="s">
        <v>49</v>
      </c>
      <c r="AJ8" s="27" t="s">
        <v>54</v>
      </c>
      <c r="AK8" s="27" t="s">
        <v>25</v>
      </c>
      <c r="AL8" s="60" t="s">
        <v>69</v>
      </c>
      <c r="AM8" s="5">
        <v>42972.402777777781</v>
      </c>
      <c r="AN8" s="6">
        <v>42972.429861111108</v>
      </c>
      <c r="AO8" s="49">
        <v>42972.434027777781</v>
      </c>
      <c r="AP8" s="49">
        <v>42973.601388888892</v>
      </c>
      <c r="AQ8" s="56">
        <f t="shared" si="5"/>
        <v>1.1986111111109494</v>
      </c>
      <c r="AR8" s="63">
        <v>0.68</v>
      </c>
      <c r="AS8" s="64">
        <v>0.84</v>
      </c>
      <c r="AT8" s="64">
        <f t="shared" si="6"/>
        <v>0.15999999999999992</v>
      </c>
      <c r="AU8" s="64">
        <v>0.16</v>
      </c>
      <c r="AV8" s="118">
        <f>AVERAGE(70,70)</f>
        <v>70</v>
      </c>
    </row>
    <row r="9" spans="1:48">
      <c r="A9" s="119">
        <v>17</v>
      </c>
      <c r="B9" s="7">
        <v>42972</v>
      </c>
      <c r="C9" s="47" t="s">
        <v>50</v>
      </c>
      <c r="D9" s="29" t="s">
        <v>22</v>
      </c>
      <c r="E9" s="29" t="s">
        <v>18</v>
      </c>
      <c r="F9" s="62" t="s">
        <v>70</v>
      </c>
      <c r="G9" s="8">
        <v>42972.386805555558</v>
      </c>
      <c r="H9" s="9">
        <v>42972.431250000001</v>
      </c>
      <c r="I9" s="50" t="s">
        <v>13</v>
      </c>
      <c r="J9" s="53">
        <v>42972.444444444445</v>
      </c>
      <c r="K9" s="57">
        <f t="shared" si="3"/>
        <v>5.7638888887595385E-2</v>
      </c>
      <c r="L9" s="67">
        <v>3.08</v>
      </c>
      <c r="M9" s="68">
        <v>3.16</v>
      </c>
      <c r="N9" s="68">
        <f t="shared" si="4"/>
        <v>8.0000000000000071E-2</v>
      </c>
      <c r="O9" s="68">
        <v>7.23</v>
      </c>
      <c r="P9" s="44">
        <f>AVERAGE(67,62,62)</f>
        <v>63.666666666666664</v>
      </c>
      <c r="Q9" s="38">
        <v>18</v>
      </c>
      <c r="R9" s="7">
        <v>42972</v>
      </c>
      <c r="S9" s="47" t="s">
        <v>53</v>
      </c>
      <c r="T9" s="29" t="s">
        <v>36</v>
      </c>
      <c r="U9" s="29" t="s">
        <v>23</v>
      </c>
      <c r="V9" s="62" t="s">
        <v>70</v>
      </c>
      <c r="W9" s="8">
        <v>42972.386805555558</v>
      </c>
      <c r="X9" s="9">
        <v>42972.43472222222</v>
      </c>
      <c r="Y9" s="47" t="s">
        <v>13</v>
      </c>
      <c r="Z9" s="53">
        <v>42972.444444444445</v>
      </c>
      <c r="AA9" s="57">
        <f t="shared" si="1"/>
        <v>5.7638888887595385E-2</v>
      </c>
      <c r="AB9" s="67">
        <v>3.16</v>
      </c>
      <c r="AC9" s="68">
        <v>3.27</v>
      </c>
      <c r="AD9" s="68">
        <f t="shared" si="2"/>
        <v>0.10999999999999988</v>
      </c>
      <c r="AE9" s="68">
        <v>7.28</v>
      </c>
      <c r="AF9" s="44">
        <f>AVERAGE(57,56)</f>
        <v>56.5</v>
      </c>
      <c r="AG9" s="38">
        <v>19</v>
      </c>
      <c r="AH9" s="7">
        <v>42972</v>
      </c>
      <c r="AI9" s="47" t="s">
        <v>55</v>
      </c>
      <c r="AJ9" s="29" t="s">
        <v>36</v>
      </c>
      <c r="AK9" s="29" t="s">
        <v>25</v>
      </c>
      <c r="AL9" s="62" t="s">
        <v>70</v>
      </c>
      <c r="AM9" s="8">
        <v>42972.386805555558</v>
      </c>
      <c r="AN9" s="9">
        <v>42972.43472222222</v>
      </c>
      <c r="AO9" s="50">
        <v>42972.436805555553</v>
      </c>
      <c r="AP9" s="50">
        <v>42973.599305555559</v>
      </c>
      <c r="AQ9" s="57">
        <f t="shared" si="5"/>
        <v>1.2125000000014552</v>
      </c>
      <c r="AR9" s="67">
        <v>2.25</v>
      </c>
      <c r="AS9" s="68">
        <v>2.4500000000000002</v>
      </c>
      <c r="AT9" s="68">
        <f t="shared" si="6"/>
        <v>0.20000000000000018</v>
      </c>
      <c r="AU9" s="68">
        <v>7.05</v>
      </c>
      <c r="AV9" s="120">
        <f>AVERAGE(85,85)</f>
        <v>85</v>
      </c>
    </row>
    <row r="10" spans="1:48">
      <c r="A10" s="116">
        <v>21</v>
      </c>
      <c r="B10" s="4">
        <v>42973</v>
      </c>
      <c r="C10" s="45" t="s">
        <v>81</v>
      </c>
      <c r="D10" s="27" t="s">
        <v>35</v>
      </c>
      <c r="E10" s="27" t="s">
        <v>18</v>
      </c>
      <c r="F10" s="60" t="s">
        <v>82</v>
      </c>
      <c r="G10" s="5">
        <v>42973.563194444447</v>
      </c>
      <c r="H10" s="6">
        <v>42973.584722222222</v>
      </c>
      <c r="I10" s="45" t="s">
        <v>13</v>
      </c>
      <c r="J10" s="78">
        <v>42973.593055555553</v>
      </c>
      <c r="K10" s="56">
        <f t="shared" si="3"/>
        <v>2.9861111106583849E-2</v>
      </c>
      <c r="L10" s="63">
        <v>0.91</v>
      </c>
      <c r="M10" s="64">
        <v>1.1000000000000001</v>
      </c>
      <c r="N10" s="64">
        <f t="shared" si="4"/>
        <v>0.19000000000000006</v>
      </c>
      <c r="O10" s="64">
        <v>6.82</v>
      </c>
      <c r="P10" s="80">
        <f>AVERAGE(47,46)</f>
        <v>46.5</v>
      </c>
      <c r="Q10" s="30">
        <v>22</v>
      </c>
      <c r="R10" s="4">
        <v>42973</v>
      </c>
      <c r="S10" s="45" t="s">
        <v>85</v>
      </c>
      <c r="T10" s="27" t="s">
        <v>54</v>
      </c>
      <c r="U10" s="27" t="s">
        <v>23</v>
      </c>
      <c r="V10" s="60" t="s">
        <v>82</v>
      </c>
      <c r="W10" s="5">
        <v>42973.563194444447</v>
      </c>
      <c r="X10" s="6">
        <v>42973.584722222222</v>
      </c>
      <c r="Y10" s="45" t="s">
        <v>13</v>
      </c>
      <c r="Z10" s="78">
        <v>42973.59375</v>
      </c>
      <c r="AA10" s="56">
        <f t="shared" si="1"/>
        <v>3.0555555553291924E-2</v>
      </c>
      <c r="AB10" s="63">
        <v>1.1599999999999999</v>
      </c>
      <c r="AC10" s="64">
        <v>1.25</v>
      </c>
      <c r="AD10" s="64">
        <f t="shared" si="2"/>
        <v>9.000000000000008E-2</v>
      </c>
      <c r="AE10" s="64">
        <v>6.99</v>
      </c>
      <c r="AF10" s="80">
        <f>AVERAGE(45,43,40,39)</f>
        <v>41.75</v>
      </c>
      <c r="AG10" s="30">
        <v>23</v>
      </c>
      <c r="AH10" s="4">
        <v>42973</v>
      </c>
      <c r="AI10" s="45" t="s">
        <v>86</v>
      </c>
      <c r="AJ10" s="27" t="s">
        <v>54</v>
      </c>
      <c r="AK10" s="27" t="s">
        <v>25</v>
      </c>
      <c r="AL10" s="60" t="s">
        <v>82</v>
      </c>
      <c r="AM10" s="5">
        <v>42973.563194444447</v>
      </c>
      <c r="AN10" s="6">
        <v>42973.585416666669</v>
      </c>
      <c r="AO10" s="6">
        <v>42973.588888888888</v>
      </c>
      <c r="AP10" s="78">
        <v>42974.543055555558</v>
      </c>
      <c r="AQ10" s="56">
        <f t="shared" si="5"/>
        <v>0.97986111111094942</v>
      </c>
      <c r="AR10" s="63">
        <v>0.44</v>
      </c>
      <c r="AS10" s="64">
        <v>0.6</v>
      </c>
      <c r="AT10" s="64">
        <f t="shared" si="6"/>
        <v>0.15999999999999998</v>
      </c>
      <c r="AU10" s="64">
        <v>7.08</v>
      </c>
      <c r="AV10" s="121">
        <f>AVERAGE(63,63,62)</f>
        <v>62.666666666666664</v>
      </c>
    </row>
    <row r="11" spans="1:48">
      <c r="A11" s="119">
        <v>24</v>
      </c>
      <c r="B11" s="7">
        <v>42973</v>
      </c>
      <c r="C11" s="47" t="s">
        <v>87</v>
      </c>
      <c r="D11" s="29" t="s">
        <v>22</v>
      </c>
      <c r="E11" s="29" t="s">
        <v>18</v>
      </c>
      <c r="F11" s="62" t="s">
        <v>88</v>
      </c>
      <c r="G11" s="8">
        <v>42973.543749999997</v>
      </c>
      <c r="H11" s="9">
        <v>42973.584722222222</v>
      </c>
      <c r="I11" s="47" t="s">
        <v>13</v>
      </c>
      <c r="J11" s="79">
        <v>42973.595138888886</v>
      </c>
      <c r="K11" s="57">
        <f t="shared" si="3"/>
        <v>5.1388888889050577E-2</v>
      </c>
      <c r="L11" s="67">
        <v>1.29</v>
      </c>
      <c r="M11" s="68">
        <v>1.5</v>
      </c>
      <c r="N11" s="68">
        <f t="shared" si="4"/>
        <v>0.20999999999999996</v>
      </c>
      <c r="O11" s="68">
        <v>7.01</v>
      </c>
      <c r="P11" s="81">
        <f>AVERAGE(51,50,49,46)</f>
        <v>49</v>
      </c>
      <c r="Q11" s="38">
        <v>25</v>
      </c>
      <c r="R11" s="7">
        <v>42973</v>
      </c>
      <c r="S11" s="47" t="s">
        <v>89</v>
      </c>
      <c r="T11" s="29" t="s">
        <v>36</v>
      </c>
      <c r="U11" s="29" t="s">
        <v>23</v>
      </c>
      <c r="V11" s="62" t="s">
        <v>88</v>
      </c>
      <c r="W11" s="8">
        <v>42973.543749999997</v>
      </c>
      <c r="X11" s="9">
        <v>42973.587500000001</v>
      </c>
      <c r="Y11" s="47" t="s">
        <v>13</v>
      </c>
      <c r="Z11" s="79">
        <v>42973.597222222219</v>
      </c>
      <c r="AA11" s="57">
        <f t="shared" si="1"/>
        <v>5.3472222221898846E-2</v>
      </c>
      <c r="AB11" s="67">
        <v>1.35</v>
      </c>
      <c r="AC11" s="68">
        <v>1.48</v>
      </c>
      <c r="AD11" s="68">
        <f t="shared" si="2"/>
        <v>0.12999999999999989</v>
      </c>
      <c r="AE11" s="68">
        <v>7.26</v>
      </c>
      <c r="AF11" s="81">
        <f>AVERAGE(47,46,46,44)</f>
        <v>45.75</v>
      </c>
      <c r="AG11" s="38">
        <v>26</v>
      </c>
      <c r="AH11" s="7">
        <v>42973</v>
      </c>
      <c r="AI11" s="47" t="s">
        <v>91</v>
      </c>
      <c r="AJ11" s="29" t="s">
        <v>36</v>
      </c>
      <c r="AK11" s="29" t="s">
        <v>25</v>
      </c>
      <c r="AL11" s="62" t="s">
        <v>88</v>
      </c>
      <c r="AM11" s="8">
        <v>42973.543749999997</v>
      </c>
      <c r="AN11" s="9">
        <v>42973.587500000001</v>
      </c>
      <c r="AO11" s="9">
        <v>42973.588888888888</v>
      </c>
      <c r="AP11" s="79">
        <v>42974.543055555558</v>
      </c>
      <c r="AQ11" s="57">
        <f t="shared" si="5"/>
        <v>0.99930555556056788</v>
      </c>
      <c r="AR11" s="67">
        <v>0.71</v>
      </c>
      <c r="AS11" s="68">
        <v>0.81</v>
      </c>
      <c r="AT11" s="68">
        <f t="shared" si="6"/>
        <v>0.10000000000000009</v>
      </c>
      <c r="AU11" s="68">
        <v>7.13</v>
      </c>
      <c r="AV11" s="122">
        <f>AVERAGE(70,69,70,67,66,65)</f>
        <v>67.833333333333329</v>
      </c>
    </row>
    <row r="12" spans="1:48">
      <c r="A12" s="116">
        <v>27</v>
      </c>
      <c r="B12" s="4">
        <v>42974</v>
      </c>
      <c r="C12" s="45" t="s">
        <v>105</v>
      </c>
      <c r="D12" s="27" t="s">
        <v>35</v>
      </c>
      <c r="E12" s="27" t="s">
        <v>18</v>
      </c>
      <c r="F12" s="60" t="s">
        <v>106</v>
      </c>
      <c r="G12" s="5">
        <v>42974.505555555559</v>
      </c>
      <c r="H12" s="6">
        <v>42974.52847222222</v>
      </c>
      <c r="I12" s="45" t="s">
        <v>13</v>
      </c>
      <c r="J12" s="78">
        <v>42974.547222222223</v>
      </c>
      <c r="K12" s="56">
        <f t="shared" si="3"/>
        <v>4.1666666664241347E-2</v>
      </c>
      <c r="L12" s="63">
        <v>1.35</v>
      </c>
      <c r="M12" s="64">
        <v>1.4</v>
      </c>
      <c r="N12" s="64">
        <f t="shared" si="4"/>
        <v>4.9999999999999822E-2</v>
      </c>
      <c r="O12" s="64">
        <v>7.16</v>
      </c>
      <c r="P12" s="80">
        <f>AVERAGE(42,41,40)</f>
        <v>41</v>
      </c>
      <c r="Q12" s="30">
        <v>28</v>
      </c>
      <c r="R12" s="4">
        <v>42974</v>
      </c>
      <c r="S12" s="45" t="s">
        <v>108</v>
      </c>
      <c r="T12" s="27" t="s">
        <v>54</v>
      </c>
      <c r="U12" s="27" t="s">
        <v>23</v>
      </c>
      <c r="V12" s="60" t="s">
        <v>106</v>
      </c>
      <c r="W12" s="5">
        <v>42974.505555555559</v>
      </c>
      <c r="X12" s="6">
        <v>42974.53125</v>
      </c>
      <c r="Y12" s="45" t="s">
        <v>13</v>
      </c>
      <c r="Z12" s="78">
        <v>42974.547222222223</v>
      </c>
      <c r="AA12" s="56">
        <f t="shared" si="1"/>
        <v>4.1666666664241347E-2</v>
      </c>
      <c r="AB12" s="95">
        <v>1.48</v>
      </c>
      <c r="AC12" s="64">
        <v>1.69</v>
      </c>
      <c r="AD12" s="45">
        <f t="shared" si="2"/>
        <v>0.20999999999999996</v>
      </c>
      <c r="AE12" s="64">
        <v>6.77</v>
      </c>
      <c r="AF12" s="80"/>
      <c r="AG12" s="30">
        <v>29</v>
      </c>
      <c r="AH12" s="4">
        <v>42974</v>
      </c>
      <c r="AI12" s="45" t="s">
        <v>110</v>
      </c>
      <c r="AJ12" s="27" t="s">
        <v>54</v>
      </c>
      <c r="AK12" s="27" t="s">
        <v>25</v>
      </c>
      <c r="AL12" s="60" t="s">
        <v>106</v>
      </c>
      <c r="AM12" s="5">
        <v>42974.505555555559</v>
      </c>
      <c r="AN12" s="6">
        <v>42974.529861111114</v>
      </c>
      <c r="AO12" s="6">
        <v>42974.534722222219</v>
      </c>
      <c r="AP12" s="78">
        <v>42975.685416666667</v>
      </c>
      <c r="AQ12" s="56">
        <f t="shared" si="5"/>
        <v>1.179861111108039</v>
      </c>
      <c r="AR12" s="95">
        <v>0.56999999999999995</v>
      </c>
      <c r="AS12" s="64">
        <v>0.74</v>
      </c>
      <c r="AT12" s="45">
        <f t="shared" si="6"/>
        <v>0.17000000000000004</v>
      </c>
      <c r="AU12" s="64">
        <v>7.17</v>
      </c>
      <c r="AV12" s="121">
        <f>AVERAGE(64,63,63)</f>
        <v>63.333333333333336</v>
      </c>
    </row>
    <row r="13" spans="1:48">
      <c r="A13" s="119">
        <v>30</v>
      </c>
      <c r="B13" s="7">
        <v>42974</v>
      </c>
      <c r="C13" s="47" t="s">
        <v>111</v>
      </c>
      <c r="D13" s="29" t="s">
        <v>22</v>
      </c>
      <c r="E13" s="29" t="s">
        <v>18</v>
      </c>
      <c r="F13" s="62" t="s">
        <v>112</v>
      </c>
      <c r="G13" s="8">
        <v>42974.506944444445</v>
      </c>
      <c r="H13" s="9">
        <v>42974.531944444447</v>
      </c>
      <c r="I13" s="47" t="s">
        <v>13</v>
      </c>
      <c r="J13" s="79">
        <v>42974.547222222223</v>
      </c>
      <c r="K13" s="57">
        <f t="shared" si="3"/>
        <v>4.0277777778101154E-2</v>
      </c>
      <c r="L13" s="96">
        <v>1.79</v>
      </c>
      <c r="M13" s="68">
        <v>1.86</v>
      </c>
      <c r="N13" s="47">
        <f t="shared" si="4"/>
        <v>7.0000000000000062E-2</v>
      </c>
      <c r="O13" s="68">
        <v>7.24</v>
      </c>
      <c r="P13" s="81">
        <f>AVERAGE(52,51,55)</f>
        <v>52.666666666666664</v>
      </c>
      <c r="Q13" s="38">
        <v>31</v>
      </c>
      <c r="R13" s="7">
        <v>42974</v>
      </c>
      <c r="S13" s="47" t="s">
        <v>113</v>
      </c>
      <c r="T13" s="29" t="s">
        <v>36</v>
      </c>
      <c r="U13" s="29" t="s">
        <v>23</v>
      </c>
      <c r="V13" s="62" t="s">
        <v>112</v>
      </c>
      <c r="W13" s="8">
        <v>42974.506944444445</v>
      </c>
      <c r="X13" s="9">
        <v>42974.531944444447</v>
      </c>
      <c r="Y13" s="47" t="s">
        <v>13</v>
      </c>
      <c r="Z13" s="79">
        <v>42974.547222222223</v>
      </c>
      <c r="AA13" s="57">
        <f t="shared" si="1"/>
        <v>4.0277777778101154E-2</v>
      </c>
      <c r="AB13" s="96">
        <v>1.67</v>
      </c>
      <c r="AC13" s="68">
        <v>1.8</v>
      </c>
      <c r="AD13" s="47">
        <f t="shared" si="2"/>
        <v>0.13000000000000012</v>
      </c>
      <c r="AE13" s="47">
        <v>7.33</v>
      </c>
      <c r="AF13" s="81">
        <f>AVERAGE(53,56,53)</f>
        <v>54</v>
      </c>
      <c r="AG13" s="38">
        <v>32</v>
      </c>
      <c r="AH13" s="7">
        <v>42974</v>
      </c>
      <c r="AI13" s="47" t="s">
        <v>114</v>
      </c>
      <c r="AJ13" s="29" t="s">
        <v>36</v>
      </c>
      <c r="AK13" s="29" t="s">
        <v>25</v>
      </c>
      <c r="AL13" s="62" t="s">
        <v>112</v>
      </c>
      <c r="AM13" s="8">
        <v>42974.506944444445</v>
      </c>
      <c r="AN13" s="9">
        <v>42974.531944444447</v>
      </c>
      <c r="AO13" s="9">
        <v>42974.534722222219</v>
      </c>
      <c r="AP13" s="79">
        <v>42975.683333333334</v>
      </c>
      <c r="AQ13" s="57">
        <f t="shared" si="5"/>
        <v>1.1763888888890506</v>
      </c>
      <c r="AR13" s="96">
        <v>0.93</v>
      </c>
      <c r="AS13" s="68">
        <v>1.27</v>
      </c>
      <c r="AT13" s="47">
        <f t="shared" si="6"/>
        <v>0.33999999999999997</v>
      </c>
      <c r="AU13" s="68">
        <v>7.31</v>
      </c>
      <c r="AV13" s="122">
        <f>AVERAGE(76,74,76)</f>
        <v>75.333333333333329</v>
      </c>
    </row>
    <row r="14" spans="1:48">
      <c r="A14" s="116">
        <v>33</v>
      </c>
      <c r="B14" s="4">
        <v>42975</v>
      </c>
      <c r="C14" s="45" t="s">
        <v>115</v>
      </c>
      <c r="D14" s="27" t="s">
        <v>35</v>
      </c>
      <c r="E14" s="27" t="s">
        <v>18</v>
      </c>
      <c r="F14" s="60" t="s">
        <v>116</v>
      </c>
      <c r="G14" s="5">
        <v>42975.627083333333</v>
      </c>
      <c r="H14" s="6">
        <v>42975.661805555559</v>
      </c>
      <c r="I14" s="45" t="s">
        <v>13</v>
      </c>
      <c r="J14" s="78">
        <v>42975.674305555556</v>
      </c>
      <c r="K14" s="56">
        <f t="shared" si="3"/>
        <v>4.7222222223354038E-2</v>
      </c>
      <c r="L14" s="63">
        <v>1.1000000000000001</v>
      </c>
      <c r="M14" s="64">
        <v>1.33</v>
      </c>
      <c r="N14" s="45">
        <f t="shared" si="4"/>
        <v>0.22999999999999998</v>
      </c>
      <c r="O14" s="64">
        <v>7.11</v>
      </c>
      <c r="P14" s="80">
        <f>AVERAGE(51,50,50)</f>
        <v>50.333333333333336</v>
      </c>
      <c r="Q14" s="30">
        <v>34</v>
      </c>
      <c r="R14" s="4">
        <v>42975</v>
      </c>
      <c r="S14" s="45" t="s">
        <v>117</v>
      </c>
      <c r="T14" s="27" t="s">
        <v>54</v>
      </c>
      <c r="U14" s="27" t="s">
        <v>23</v>
      </c>
      <c r="V14" s="60" t="s">
        <v>116</v>
      </c>
      <c r="W14" s="5">
        <v>42975.627083333333</v>
      </c>
      <c r="X14" s="6">
        <v>42975.663194444445</v>
      </c>
      <c r="Y14" s="45" t="s">
        <v>13</v>
      </c>
      <c r="Z14" s="78">
        <v>42975.675694444442</v>
      </c>
      <c r="AA14" s="56">
        <f t="shared" si="1"/>
        <v>4.8611111109494232E-2</v>
      </c>
      <c r="AB14" s="95">
        <v>1.23</v>
      </c>
      <c r="AC14" s="64">
        <v>1.36</v>
      </c>
      <c r="AD14" s="45">
        <f t="shared" si="2"/>
        <v>0.13000000000000012</v>
      </c>
      <c r="AE14" s="64">
        <v>7.21</v>
      </c>
      <c r="AF14" s="80">
        <f>AVERAGE(46,46,46)</f>
        <v>46</v>
      </c>
      <c r="AG14" s="30">
        <v>35</v>
      </c>
      <c r="AH14" s="4">
        <v>42975</v>
      </c>
      <c r="AI14" s="45" t="s">
        <v>118</v>
      </c>
      <c r="AJ14" s="27" t="s">
        <v>54</v>
      </c>
      <c r="AK14" s="27" t="s">
        <v>25</v>
      </c>
      <c r="AL14" s="60" t="s">
        <v>116</v>
      </c>
      <c r="AM14" s="5">
        <v>42975.627083333333</v>
      </c>
      <c r="AN14" s="6">
        <v>42975.665277777778</v>
      </c>
      <c r="AO14" s="6">
        <v>42975.672222222223</v>
      </c>
      <c r="AP14" s="78">
        <v>42976.442361111112</v>
      </c>
      <c r="AQ14" s="56">
        <f t="shared" si="5"/>
        <v>0.81527777777955635</v>
      </c>
      <c r="AR14" s="95">
        <v>0.37</v>
      </c>
      <c r="AS14" s="64">
        <v>0.53</v>
      </c>
      <c r="AT14" s="45">
        <f t="shared" si="6"/>
        <v>0.16000000000000003</v>
      </c>
      <c r="AU14" s="64">
        <v>7.35</v>
      </c>
      <c r="AV14" s="121">
        <f>AVERAGE(67,52,59)</f>
        <v>59.333333333333336</v>
      </c>
    </row>
    <row r="15" spans="1:48">
      <c r="A15" s="119">
        <v>36</v>
      </c>
      <c r="B15" s="7">
        <v>42975</v>
      </c>
      <c r="C15" s="47" t="s">
        <v>119</v>
      </c>
      <c r="D15" s="29" t="s">
        <v>22</v>
      </c>
      <c r="E15" s="29" t="s">
        <v>18</v>
      </c>
      <c r="F15" s="62" t="s">
        <v>120</v>
      </c>
      <c r="G15" s="8">
        <v>42975.597916666666</v>
      </c>
      <c r="H15" s="9">
        <v>42975.667361111111</v>
      </c>
      <c r="I15" s="47" t="s">
        <v>13</v>
      </c>
      <c r="J15" s="79">
        <v>42975.681944444441</v>
      </c>
      <c r="K15" s="57">
        <f t="shared" si="3"/>
        <v>8.4027777775190771E-2</v>
      </c>
      <c r="L15" s="96">
        <v>2.58</v>
      </c>
      <c r="M15" s="68">
        <v>2.71</v>
      </c>
      <c r="N15" s="47">
        <f t="shared" si="4"/>
        <v>0.12999999999999989</v>
      </c>
      <c r="O15" s="68">
        <v>7.13</v>
      </c>
      <c r="P15" s="81">
        <f>AVERAGE(63,59,59)</f>
        <v>60.333333333333336</v>
      </c>
      <c r="Q15" s="38">
        <v>37</v>
      </c>
      <c r="R15" s="7">
        <v>42975</v>
      </c>
      <c r="S15" s="47" t="s">
        <v>121</v>
      </c>
      <c r="T15" s="29" t="s">
        <v>36</v>
      </c>
      <c r="U15" s="29" t="s">
        <v>23</v>
      </c>
      <c r="V15" s="62" t="s">
        <v>120</v>
      </c>
      <c r="W15" s="8">
        <v>42975.597916666666</v>
      </c>
      <c r="X15" s="9">
        <v>42975.670138888891</v>
      </c>
      <c r="Y15" s="47" t="s">
        <v>13</v>
      </c>
      <c r="Z15" s="79">
        <v>42975.681944444441</v>
      </c>
      <c r="AA15" s="57">
        <f t="shared" si="1"/>
        <v>8.4027777775190771E-2</v>
      </c>
      <c r="AB15" s="96">
        <v>2.83</v>
      </c>
      <c r="AC15" s="68">
        <v>2.91</v>
      </c>
      <c r="AD15" s="47">
        <f t="shared" si="2"/>
        <v>8.0000000000000071E-2</v>
      </c>
      <c r="AE15" s="68">
        <v>7.17</v>
      </c>
      <c r="AF15" s="81">
        <f>AVERAGE(45,45,45)</f>
        <v>45</v>
      </c>
      <c r="AG15" s="38">
        <v>38</v>
      </c>
      <c r="AH15" s="7">
        <v>42975</v>
      </c>
      <c r="AI15" s="47" t="s">
        <v>122</v>
      </c>
      <c r="AJ15" s="29" t="s">
        <v>36</v>
      </c>
      <c r="AK15" s="29" t="s">
        <v>25</v>
      </c>
      <c r="AL15" s="62" t="s">
        <v>120</v>
      </c>
      <c r="AM15" s="8">
        <v>42975.597916666666</v>
      </c>
      <c r="AN15" s="9">
        <v>42975.669444444444</v>
      </c>
      <c r="AO15" s="9">
        <v>42975.672222222223</v>
      </c>
      <c r="AP15" s="79">
        <v>42976.443055555559</v>
      </c>
      <c r="AQ15" s="57">
        <f t="shared" si="5"/>
        <v>0.84513888889341615</v>
      </c>
      <c r="AR15" s="96">
        <v>1.65</v>
      </c>
      <c r="AS15" s="68">
        <v>1.8</v>
      </c>
      <c r="AT15" s="47">
        <f t="shared" si="6"/>
        <v>0.15000000000000013</v>
      </c>
      <c r="AU15" s="68">
        <v>7.37</v>
      </c>
      <c r="AV15" s="122">
        <f>AVERAGE(43,44,47)</f>
        <v>44.666666666666664</v>
      </c>
    </row>
    <row r="16" spans="1:48">
      <c r="A16" s="116">
        <v>39</v>
      </c>
      <c r="B16" s="4">
        <v>42976</v>
      </c>
      <c r="C16" s="45" t="s">
        <v>123</v>
      </c>
      <c r="D16" s="27" t="s">
        <v>35</v>
      </c>
      <c r="E16" s="27" t="s">
        <v>18</v>
      </c>
      <c r="F16" s="60" t="s">
        <v>124</v>
      </c>
      <c r="G16" s="5">
        <v>42976.340277777781</v>
      </c>
      <c r="H16" s="6">
        <v>42976.429861111108</v>
      </c>
      <c r="I16" s="45" t="s">
        <v>13</v>
      </c>
      <c r="J16" s="6">
        <v>42976.436805555553</v>
      </c>
      <c r="K16" s="56">
        <f t="shared" si="3"/>
        <v>9.6527777772280388E-2</v>
      </c>
      <c r="L16" s="95">
        <v>4.09</v>
      </c>
      <c r="M16" s="45">
        <v>4.26</v>
      </c>
      <c r="N16" s="45">
        <f t="shared" si="4"/>
        <v>0.16999999999999993</v>
      </c>
      <c r="O16" s="64">
        <v>7.01</v>
      </c>
      <c r="P16" s="80">
        <f>AVERAGE(54,57,55)</f>
        <v>55.333333333333336</v>
      </c>
      <c r="Q16" s="30">
        <v>40</v>
      </c>
      <c r="R16" s="4">
        <v>42976</v>
      </c>
      <c r="S16" s="45" t="s">
        <v>125</v>
      </c>
      <c r="T16" s="27" t="s">
        <v>54</v>
      </c>
      <c r="U16" s="27" t="s">
        <v>23</v>
      </c>
      <c r="V16" s="60" t="s">
        <v>124</v>
      </c>
      <c r="W16" s="5">
        <v>42976.340277777781</v>
      </c>
      <c r="X16" s="6">
        <v>42976.434027777781</v>
      </c>
      <c r="Y16" s="45" t="s">
        <v>13</v>
      </c>
      <c r="Z16" s="6">
        <v>42976.436805555553</v>
      </c>
      <c r="AA16" s="56">
        <f t="shared" si="1"/>
        <v>9.6527777772280388E-2</v>
      </c>
      <c r="AB16" s="95">
        <v>4.0199999999999996</v>
      </c>
      <c r="AC16" s="45">
        <v>4.16</v>
      </c>
      <c r="AD16" s="45">
        <f t="shared" si="2"/>
        <v>0.14000000000000057</v>
      </c>
      <c r="AE16" s="64">
        <v>7.06</v>
      </c>
      <c r="AF16" s="80">
        <f>AVERAGE(51,50,54)</f>
        <v>51.666666666666664</v>
      </c>
      <c r="AG16" s="30"/>
      <c r="AH16" s="4"/>
      <c r="AI16" s="45"/>
      <c r="AJ16" s="27"/>
      <c r="AK16" s="27"/>
      <c r="AL16" s="60"/>
      <c r="AM16" s="5"/>
      <c r="AN16" s="6"/>
      <c r="AO16" s="45"/>
      <c r="AP16" s="6"/>
      <c r="AQ16" s="56"/>
      <c r="AR16" s="95"/>
      <c r="AS16" s="45"/>
      <c r="AT16" s="45"/>
      <c r="AU16" s="64"/>
      <c r="AV16" s="121"/>
    </row>
    <row r="17" spans="1:49" ht="16" thickBot="1">
      <c r="A17" s="123">
        <v>41</v>
      </c>
      <c r="B17" s="124">
        <v>42976</v>
      </c>
      <c r="C17" s="125" t="s">
        <v>126</v>
      </c>
      <c r="D17" s="126" t="s">
        <v>22</v>
      </c>
      <c r="E17" s="126" t="s">
        <v>18</v>
      </c>
      <c r="F17" s="127" t="s">
        <v>127</v>
      </c>
      <c r="G17" s="128">
        <v>42976.336805555555</v>
      </c>
      <c r="H17" s="129">
        <v>42976.425000000003</v>
      </c>
      <c r="I17" s="125" t="s">
        <v>13</v>
      </c>
      <c r="J17" s="129">
        <v>42976.439583333333</v>
      </c>
      <c r="K17" s="130">
        <f t="shared" si="3"/>
        <v>0.10277777777810115</v>
      </c>
      <c r="L17" s="131">
        <v>1.58</v>
      </c>
      <c r="M17" s="125">
        <v>1.73</v>
      </c>
      <c r="N17" s="125">
        <f t="shared" si="4"/>
        <v>0.14999999999999991</v>
      </c>
      <c r="O17" s="132">
        <v>7.16</v>
      </c>
      <c r="P17" s="133">
        <f>AVERAGE(56,45,45)</f>
        <v>48.666666666666664</v>
      </c>
      <c r="Q17" s="134">
        <v>42</v>
      </c>
      <c r="R17" s="124">
        <v>42976</v>
      </c>
      <c r="S17" s="125" t="s">
        <v>128</v>
      </c>
      <c r="T17" s="126" t="s">
        <v>36</v>
      </c>
      <c r="U17" s="126" t="s">
        <v>23</v>
      </c>
      <c r="V17" s="127" t="s">
        <v>127</v>
      </c>
      <c r="W17" s="128">
        <v>42976.336805555555</v>
      </c>
      <c r="X17" s="129">
        <v>42976.427777777775</v>
      </c>
      <c r="Y17" s="125" t="s">
        <v>13</v>
      </c>
      <c r="Z17" s="129">
        <v>42976.44027777778</v>
      </c>
      <c r="AA17" s="130">
        <f t="shared" si="1"/>
        <v>0.10347222222480923</v>
      </c>
      <c r="AB17" s="131">
        <v>1.34</v>
      </c>
      <c r="AC17" s="125">
        <v>1.63</v>
      </c>
      <c r="AD17" s="125">
        <f t="shared" si="2"/>
        <v>0.28999999999999981</v>
      </c>
      <c r="AE17" s="132">
        <v>7.18</v>
      </c>
      <c r="AF17" s="133">
        <f>AVERAGE(49,59,55)</f>
        <v>54.333333333333336</v>
      </c>
      <c r="AG17" s="134"/>
      <c r="AH17" s="124"/>
      <c r="AI17" s="125"/>
      <c r="AJ17" s="126"/>
      <c r="AK17" s="126"/>
      <c r="AL17" s="127"/>
      <c r="AM17" s="128"/>
      <c r="AN17" s="129"/>
      <c r="AO17" s="125"/>
      <c r="AP17" s="129"/>
      <c r="AQ17" s="130"/>
      <c r="AR17" s="131"/>
      <c r="AS17" s="125"/>
      <c r="AT17" s="125"/>
      <c r="AU17" s="132"/>
      <c r="AV17" s="135"/>
    </row>
    <row r="18" spans="1:49">
      <c r="A18" s="98">
        <v>44</v>
      </c>
      <c r="B18" s="97">
        <v>42992</v>
      </c>
      <c r="C18" s="98" t="s">
        <v>170</v>
      </c>
      <c r="D18" s="103" t="s">
        <v>169</v>
      </c>
      <c r="E18" s="103" t="s">
        <v>189</v>
      </c>
      <c r="F18" s="98" t="s">
        <v>193</v>
      </c>
      <c r="G18" s="100">
        <v>42992.603472222225</v>
      </c>
      <c r="H18" s="100">
        <v>42992.67291666667</v>
      </c>
      <c r="I18" s="109" t="s">
        <v>13</v>
      </c>
      <c r="J18" s="100">
        <v>42992.71875</v>
      </c>
      <c r="K18" s="101">
        <f t="shared" si="3"/>
        <v>0.11527777777519077</v>
      </c>
      <c r="L18" s="98">
        <v>1.43</v>
      </c>
      <c r="M18" s="98">
        <v>1.52</v>
      </c>
      <c r="N18" s="98">
        <f t="shared" si="4"/>
        <v>9.000000000000008E-2</v>
      </c>
      <c r="O18" s="102">
        <v>7.16</v>
      </c>
      <c r="P18" s="104">
        <f>AVERAGE(84,83,84)</f>
        <v>83.666666666666671</v>
      </c>
      <c r="Q18" s="20"/>
      <c r="R18" s="97"/>
      <c r="S18" s="98"/>
      <c r="T18" s="99"/>
      <c r="U18" s="99"/>
      <c r="V18" s="98"/>
      <c r="W18" s="100"/>
      <c r="X18" s="100"/>
      <c r="Y18" s="98"/>
      <c r="Z18" s="100"/>
      <c r="AA18" s="101"/>
      <c r="AB18" s="98"/>
      <c r="AC18" s="98"/>
      <c r="AD18" s="98"/>
      <c r="AE18" s="102"/>
      <c r="AF18" s="104"/>
      <c r="AG18" s="98">
        <v>43</v>
      </c>
      <c r="AH18" s="97">
        <v>42992</v>
      </c>
      <c r="AI18" s="98" t="s">
        <v>168</v>
      </c>
      <c r="AJ18" s="103" t="s">
        <v>169</v>
      </c>
      <c r="AK18" s="103" t="s">
        <v>188</v>
      </c>
      <c r="AL18" s="98" t="s">
        <v>193</v>
      </c>
      <c r="AM18" s="100">
        <v>42992.59652777778</v>
      </c>
      <c r="AN18" s="100">
        <v>42992.672222222223</v>
      </c>
      <c r="AO18" s="100">
        <v>42992.690972222219</v>
      </c>
      <c r="AP18" s="100">
        <v>42993.670138888891</v>
      </c>
      <c r="AQ18" s="101">
        <f t="shared" ref="AQ18:AQ20" si="7">AP18-AM18</f>
        <v>1.0736111111109494</v>
      </c>
      <c r="AR18" s="98">
        <v>0.23</v>
      </c>
      <c r="AS18" s="98">
        <v>0.34</v>
      </c>
      <c r="AT18" s="98">
        <f t="shared" ref="AT18:AT20" si="8">AS18-AR18</f>
        <v>0.11000000000000001</v>
      </c>
      <c r="AU18" s="102">
        <v>7.09</v>
      </c>
      <c r="AV18" s="104">
        <f>AVERAGE(118,117,117)</f>
        <v>117.33333333333333</v>
      </c>
    </row>
    <row r="19" spans="1:49">
      <c r="A19" s="98">
        <v>46</v>
      </c>
      <c r="B19" s="97">
        <v>42992</v>
      </c>
      <c r="C19" s="98" t="s">
        <v>172</v>
      </c>
      <c r="D19" s="103" t="s">
        <v>177</v>
      </c>
      <c r="E19" s="103" t="s">
        <v>189</v>
      </c>
      <c r="F19" s="98" t="s">
        <v>194</v>
      </c>
      <c r="G19" s="100">
        <v>42992.560416666667</v>
      </c>
      <c r="H19" s="100">
        <v>42992.676388888889</v>
      </c>
      <c r="I19" s="109" t="s">
        <v>13</v>
      </c>
      <c r="J19" s="100">
        <v>42992.71875</v>
      </c>
      <c r="K19" s="101">
        <f t="shared" si="3"/>
        <v>0.15833333333284827</v>
      </c>
      <c r="L19" s="98">
        <v>1.58</v>
      </c>
      <c r="M19" s="98">
        <v>1.69</v>
      </c>
      <c r="N19" s="98">
        <f t="shared" si="4"/>
        <v>0.10999999999999988</v>
      </c>
      <c r="O19" s="102">
        <v>7.28</v>
      </c>
      <c r="P19" s="104">
        <f>AVERAGE(90,89,89)</f>
        <v>89.333333333333329</v>
      </c>
      <c r="AG19" s="98">
        <v>45</v>
      </c>
      <c r="AH19" s="97">
        <v>42992</v>
      </c>
      <c r="AI19" s="98" t="s">
        <v>171</v>
      </c>
      <c r="AJ19" s="103" t="s">
        <v>177</v>
      </c>
      <c r="AK19" s="103" t="s">
        <v>188</v>
      </c>
      <c r="AL19" s="98" t="s">
        <v>194</v>
      </c>
      <c r="AM19" s="100">
        <v>42992.560416666667</v>
      </c>
      <c r="AN19" s="100">
        <v>42992.675694444442</v>
      </c>
      <c r="AO19" s="100">
        <v>42992.690972222219</v>
      </c>
      <c r="AP19" s="100">
        <v>42993.670138888891</v>
      </c>
      <c r="AQ19" s="101">
        <f t="shared" si="7"/>
        <v>1.109722222223354</v>
      </c>
      <c r="AR19" s="98">
        <v>0.55000000000000004</v>
      </c>
      <c r="AS19" s="98">
        <v>0.62</v>
      </c>
      <c r="AT19" s="98">
        <f t="shared" si="8"/>
        <v>6.9999999999999951E-2</v>
      </c>
      <c r="AU19" s="102">
        <v>6.67</v>
      </c>
      <c r="AV19" s="104">
        <f>AVERAGE(131,129,127)</f>
        <v>129</v>
      </c>
    </row>
    <row r="20" spans="1:49">
      <c r="A20" s="98">
        <v>48</v>
      </c>
      <c r="B20" s="97">
        <v>42992</v>
      </c>
      <c r="C20" s="98" t="s">
        <v>174</v>
      </c>
      <c r="D20" s="103" t="s">
        <v>178</v>
      </c>
      <c r="E20" s="103" t="s">
        <v>189</v>
      </c>
      <c r="F20" s="98" t="s">
        <v>195</v>
      </c>
      <c r="G20" s="100">
        <v>42992.566666666666</v>
      </c>
      <c r="H20" s="100">
        <v>42992.681250000001</v>
      </c>
      <c r="I20" s="109" t="s">
        <v>13</v>
      </c>
      <c r="J20" s="100">
        <v>42992.71875</v>
      </c>
      <c r="K20" s="101">
        <f t="shared" si="3"/>
        <v>0.15208333333430346</v>
      </c>
      <c r="L20" s="98">
        <v>1.93</v>
      </c>
      <c r="M20" s="98">
        <v>2.1800000000000002</v>
      </c>
      <c r="N20" s="98">
        <f t="shared" si="4"/>
        <v>0.25000000000000022</v>
      </c>
      <c r="O20" s="102">
        <v>6.86</v>
      </c>
      <c r="P20" s="104">
        <f>AVERAGE(89,89,89)</f>
        <v>89</v>
      </c>
      <c r="AG20" s="98">
        <v>47</v>
      </c>
      <c r="AH20" s="97">
        <v>42992</v>
      </c>
      <c r="AI20" s="98" t="s">
        <v>173</v>
      </c>
      <c r="AJ20" s="103" t="s">
        <v>178</v>
      </c>
      <c r="AK20" s="103" t="s">
        <v>188</v>
      </c>
      <c r="AL20" s="98" t="s">
        <v>195</v>
      </c>
      <c r="AM20" s="100">
        <v>42992.566666666666</v>
      </c>
      <c r="AN20" s="100">
        <v>42992.681250000001</v>
      </c>
      <c r="AO20" s="100">
        <v>42992.690972222219</v>
      </c>
      <c r="AP20" s="100">
        <v>42993.670138888891</v>
      </c>
      <c r="AQ20" s="101">
        <f t="shared" si="7"/>
        <v>1.1034722222248092</v>
      </c>
      <c r="AR20" s="98">
        <v>0.48</v>
      </c>
      <c r="AS20" s="98">
        <v>0.62</v>
      </c>
      <c r="AT20" s="98">
        <f t="shared" si="8"/>
        <v>0.14000000000000001</v>
      </c>
      <c r="AU20" s="102">
        <v>7.09</v>
      </c>
      <c r="AV20" s="104">
        <f>AVERAGE(133,135,133)</f>
        <v>133.66666666666666</v>
      </c>
    </row>
    <row r="21" spans="1:49">
      <c r="A21" s="98">
        <v>54</v>
      </c>
      <c r="B21" s="97">
        <v>42993</v>
      </c>
      <c r="C21" s="98" t="s">
        <v>186</v>
      </c>
      <c r="D21" s="103" t="s">
        <v>169</v>
      </c>
      <c r="E21" s="103" t="s">
        <v>189</v>
      </c>
      <c r="F21" s="98" t="s">
        <v>198</v>
      </c>
      <c r="G21" s="100">
        <v>42993.515277777777</v>
      </c>
      <c r="H21" s="100">
        <v>42993.637499999997</v>
      </c>
      <c r="I21" s="109" t="s">
        <v>13</v>
      </c>
      <c r="J21" s="100">
        <v>42993.640972222223</v>
      </c>
      <c r="K21" s="101">
        <f t="shared" si="3"/>
        <v>0.12569444444670808</v>
      </c>
      <c r="L21" s="98">
        <v>0.65</v>
      </c>
      <c r="M21" s="98">
        <v>0.8</v>
      </c>
      <c r="N21" s="98">
        <f t="shared" si="4"/>
        <v>0.15000000000000002</v>
      </c>
      <c r="O21" s="102">
        <v>7.31</v>
      </c>
      <c r="P21" s="104">
        <f>AVERAGE(91,91,91)</f>
        <v>91</v>
      </c>
    </row>
    <row r="22" spans="1:49">
      <c r="A22" s="98">
        <v>55</v>
      </c>
      <c r="B22" s="136">
        <v>42997</v>
      </c>
      <c r="C22" s="48" t="s">
        <v>199</v>
      </c>
      <c r="D22" s="103" t="s">
        <v>177</v>
      </c>
      <c r="E22" s="103" t="s">
        <v>200</v>
      </c>
      <c r="F22" s="48" t="s">
        <v>212</v>
      </c>
      <c r="AG22" s="98">
        <v>55</v>
      </c>
      <c r="AH22" s="136">
        <v>42997</v>
      </c>
      <c r="AI22" s="48" t="s">
        <v>199</v>
      </c>
      <c r="AJ22" s="103" t="s">
        <v>177</v>
      </c>
      <c r="AK22" s="103" t="s">
        <v>200</v>
      </c>
      <c r="AL22" s="48" t="s">
        <v>212</v>
      </c>
      <c r="AM22" s="100">
        <v>42996.709722222222</v>
      </c>
      <c r="AN22" s="100"/>
      <c r="AO22" s="100"/>
      <c r="AP22" s="100">
        <v>42997.540277777778</v>
      </c>
      <c r="AQ22" s="101">
        <f>AP22-AM22</f>
        <v>0.83055555555620231</v>
      </c>
      <c r="AR22" s="48">
        <v>0.06</v>
      </c>
      <c r="AS22" s="48">
        <v>0.27</v>
      </c>
      <c r="AT22" s="48">
        <f>AS22-AR22</f>
        <v>0.21000000000000002</v>
      </c>
      <c r="AU22" s="69">
        <v>7.1</v>
      </c>
      <c r="AV22" s="104">
        <f>AVERAGE(100,98,99)</f>
        <v>99</v>
      </c>
      <c r="AW22" t="s">
        <v>214</v>
      </c>
    </row>
    <row r="23" spans="1:49">
      <c r="A23" s="98">
        <v>56</v>
      </c>
      <c r="B23" s="136">
        <v>42997</v>
      </c>
      <c r="C23" s="48" t="s">
        <v>201</v>
      </c>
      <c r="D23" s="103" t="s">
        <v>178</v>
      </c>
      <c r="E23" s="103" t="s">
        <v>202</v>
      </c>
      <c r="F23" s="48" t="s">
        <v>213</v>
      </c>
      <c r="AG23" s="98">
        <v>56</v>
      </c>
      <c r="AH23" s="136">
        <v>42997</v>
      </c>
      <c r="AI23" s="48" t="s">
        <v>201</v>
      </c>
      <c r="AJ23" s="103" t="s">
        <v>178</v>
      </c>
      <c r="AK23" s="103" t="s">
        <v>202</v>
      </c>
      <c r="AL23" s="48" t="s">
        <v>213</v>
      </c>
      <c r="AM23" s="100">
        <v>42996.77847222222</v>
      </c>
      <c r="AN23" s="100"/>
      <c r="AO23" s="100"/>
      <c r="AP23" s="100">
        <v>42997.540277777778</v>
      </c>
      <c r="AQ23" s="101">
        <f t="shared" ref="AQ23:AQ25" si="9">AP23-AM23</f>
        <v>0.7618055555576575</v>
      </c>
      <c r="AR23" s="48">
        <v>0.4</v>
      </c>
      <c r="AS23" s="48">
        <v>0.72</v>
      </c>
      <c r="AT23" s="48">
        <f t="shared" ref="AT23:AT25" si="10">AS23-AR23</f>
        <v>0.31999999999999995</v>
      </c>
      <c r="AU23" s="69">
        <v>6.9</v>
      </c>
      <c r="AV23" s="104">
        <f>AVERAGE(108,107,107)</f>
        <v>107.33333333333333</v>
      </c>
      <c r="AW23" t="s">
        <v>214</v>
      </c>
    </row>
    <row r="24" spans="1:49">
      <c r="A24" s="98">
        <v>58</v>
      </c>
      <c r="B24" s="136">
        <v>42997</v>
      </c>
      <c r="C24" s="48" t="s">
        <v>205</v>
      </c>
      <c r="D24" s="103" t="s">
        <v>177</v>
      </c>
      <c r="E24" s="103" t="s">
        <v>206</v>
      </c>
      <c r="F24" s="48" t="s">
        <v>216</v>
      </c>
      <c r="AG24" s="98">
        <v>58</v>
      </c>
      <c r="AH24" s="136">
        <v>42997</v>
      </c>
      <c r="AI24" s="48" t="s">
        <v>205</v>
      </c>
      <c r="AJ24" s="103" t="s">
        <v>177</v>
      </c>
      <c r="AK24" s="103" t="s">
        <v>206</v>
      </c>
      <c r="AL24" s="48" t="s">
        <v>216</v>
      </c>
      <c r="AM24" s="100">
        <v>42996.416666666664</v>
      </c>
      <c r="AN24" s="100">
        <v>42996.511111111111</v>
      </c>
      <c r="AO24" s="100">
        <v>42996.511111111111</v>
      </c>
      <c r="AP24" s="100">
        <v>42997.540277777778</v>
      </c>
      <c r="AQ24" s="101">
        <f t="shared" si="9"/>
        <v>1.1236111111138598</v>
      </c>
      <c r="AR24" s="48">
        <v>0.74</v>
      </c>
      <c r="AS24" s="48">
        <v>0.9</v>
      </c>
      <c r="AT24" s="48">
        <f t="shared" si="10"/>
        <v>0.16000000000000003</v>
      </c>
      <c r="AU24" s="69">
        <v>7.5</v>
      </c>
      <c r="AV24" s="104">
        <f>AVERAGE(94,93,92)</f>
        <v>93</v>
      </c>
      <c r="AW24" t="s">
        <v>219</v>
      </c>
    </row>
    <row r="25" spans="1:49">
      <c r="A25" s="98">
        <v>60</v>
      </c>
      <c r="B25" s="136">
        <v>42997</v>
      </c>
      <c r="C25" s="48" t="s">
        <v>209</v>
      </c>
      <c r="D25" s="103" t="s">
        <v>178</v>
      </c>
      <c r="E25" s="103" t="s">
        <v>210</v>
      </c>
      <c r="F25" s="48" t="s">
        <v>218</v>
      </c>
      <c r="AG25" s="98">
        <v>60</v>
      </c>
      <c r="AH25" s="136">
        <v>42997</v>
      </c>
      <c r="AI25" s="48" t="s">
        <v>209</v>
      </c>
      <c r="AJ25" s="103" t="s">
        <v>178</v>
      </c>
      <c r="AK25" s="103" t="s">
        <v>210</v>
      </c>
      <c r="AL25" s="48" t="s">
        <v>218</v>
      </c>
      <c r="AM25" s="100">
        <v>42996.486805555556</v>
      </c>
      <c r="AN25" s="100">
        <v>42996.51666666667</v>
      </c>
      <c r="AO25" s="100">
        <v>42996.51666666667</v>
      </c>
      <c r="AP25" s="100">
        <v>42997.540277777778</v>
      </c>
      <c r="AQ25" s="101">
        <f t="shared" si="9"/>
        <v>1.0534722222218988</v>
      </c>
      <c r="AR25" s="48">
        <v>0.98</v>
      </c>
      <c r="AS25" s="48">
        <v>1.22</v>
      </c>
      <c r="AT25" s="48">
        <f t="shared" si="10"/>
        <v>0.24</v>
      </c>
      <c r="AU25" s="69">
        <v>7.5</v>
      </c>
      <c r="AV25" s="104">
        <f>AVERAGE(89,91,89)</f>
        <v>89.666666666666671</v>
      </c>
      <c r="AW25" t="s">
        <v>219</v>
      </c>
    </row>
  </sheetData>
  <mergeCells count="12">
    <mergeCell ref="A1:P1"/>
    <mergeCell ref="AG2:AL2"/>
    <mergeCell ref="AM2:AQ2"/>
    <mergeCell ref="AR2:AV2"/>
    <mergeCell ref="Q1:AF1"/>
    <mergeCell ref="AG1:AV1"/>
    <mergeCell ref="A2:F2"/>
    <mergeCell ref="G2:K2"/>
    <mergeCell ref="L2:P2"/>
    <mergeCell ref="Q2:V2"/>
    <mergeCell ref="W2:AA2"/>
    <mergeCell ref="AB2:AF2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6"/>
  <sheetViews>
    <sheetView workbookViewId="0">
      <selection activeCell="AM22" sqref="AM22"/>
    </sheetView>
  </sheetViews>
  <sheetFormatPr baseColWidth="10" defaultColWidth="11" defaultRowHeight="15" x14ac:dyDescent="0"/>
  <cols>
    <col min="1" max="1" width="9" style="48" bestFit="1" customWidth="1"/>
    <col min="2" max="2" width="12" style="48" bestFit="1" customWidth="1"/>
    <col min="3" max="4" width="9.5" style="48" bestFit="1" customWidth="1"/>
    <col min="5" max="5" width="55.5" style="48" bestFit="1" customWidth="1"/>
    <col min="6" max="6" width="15.5" style="48" bestFit="1" customWidth="1"/>
    <col min="7" max="7" width="16" style="48" bestFit="1" customWidth="1"/>
    <col min="8" max="8" width="14.1640625" style="48" customWidth="1"/>
    <col min="9" max="9" width="15.33203125" style="48" bestFit="1" customWidth="1"/>
    <col min="10" max="10" width="6.1640625" style="48" bestFit="1" customWidth="1"/>
    <col min="11" max="12" width="6.33203125" style="48" bestFit="1" customWidth="1"/>
    <col min="13" max="13" width="6.1640625" style="69" bestFit="1" customWidth="1"/>
    <col min="14" max="14" width="7.5" style="48" bestFit="1" customWidth="1"/>
    <col min="15" max="15" width="8.6640625" style="48" bestFit="1" customWidth="1"/>
    <col min="16" max="16" width="9.5" style="48" bestFit="1" customWidth="1"/>
    <col min="17" max="17" width="12.1640625" style="48" bestFit="1" customWidth="1"/>
    <col min="18" max="18" width="16" style="48" bestFit="1" customWidth="1"/>
    <col min="19" max="19" width="14.1640625" style="48" bestFit="1" customWidth="1"/>
    <col min="20" max="20" width="15.33203125" style="48" bestFit="1" customWidth="1"/>
    <col min="21" max="21" width="6.1640625" style="48" bestFit="1" customWidth="1"/>
    <col min="22" max="23" width="6.33203125" style="48" bestFit="1" customWidth="1"/>
    <col min="24" max="24" width="6.1640625" style="69" bestFit="1" customWidth="1"/>
    <col min="25" max="25" width="7.5" style="48" bestFit="1" customWidth="1"/>
    <col min="26" max="27" width="9.5" style="48" bestFit="1" customWidth="1"/>
    <col min="28" max="28" width="55.5" style="48" bestFit="1" customWidth="1"/>
    <col min="29" max="29" width="14.83203125" style="48" bestFit="1" customWidth="1"/>
    <col min="30" max="31" width="14.1640625" style="48" bestFit="1" customWidth="1"/>
    <col min="32" max="32" width="15.33203125" style="48" bestFit="1" customWidth="1"/>
    <col min="33" max="33" width="6.1640625" style="48" bestFit="1" customWidth="1"/>
    <col min="34" max="35" width="6.33203125" style="48" bestFit="1" customWidth="1"/>
    <col min="36" max="36" width="6.1640625" style="48" bestFit="1" customWidth="1"/>
    <col min="37" max="37" width="7.5" style="48" bestFit="1" customWidth="1"/>
    <col min="38" max="38" width="4.1640625" style="48" bestFit="1" customWidth="1"/>
    <col min="39" max="16384" width="11" style="48"/>
  </cols>
  <sheetData>
    <row r="1" spans="1:39">
      <c r="A1" s="147" t="s">
        <v>133</v>
      </c>
      <c r="B1" s="106" t="s">
        <v>155</v>
      </c>
      <c r="C1" s="106" t="s">
        <v>134</v>
      </c>
      <c r="D1" s="106" t="s">
        <v>135</v>
      </c>
      <c r="E1" s="106" t="s">
        <v>136</v>
      </c>
      <c r="F1" s="148" t="s">
        <v>129</v>
      </c>
      <c r="G1" s="148" t="s">
        <v>137</v>
      </c>
      <c r="H1" s="148" t="s">
        <v>138</v>
      </c>
      <c r="I1" s="148" t="s">
        <v>139</v>
      </c>
      <c r="J1" s="148" t="s">
        <v>140</v>
      </c>
      <c r="K1" s="106" t="s">
        <v>141</v>
      </c>
      <c r="L1" s="106" t="s">
        <v>142</v>
      </c>
      <c r="M1" s="107" t="s">
        <v>143</v>
      </c>
      <c r="N1" s="106" t="s">
        <v>144</v>
      </c>
      <c r="O1" s="148" t="s">
        <v>145</v>
      </c>
      <c r="P1" s="148" t="s">
        <v>146</v>
      </c>
      <c r="Q1" s="148" t="s">
        <v>147</v>
      </c>
      <c r="R1" s="148" t="s">
        <v>148</v>
      </c>
      <c r="S1" s="148" t="s">
        <v>149</v>
      </c>
      <c r="T1" s="148" t="s">
        <v>150</v>
      </c>
      <c r="U1" s="106" t="s">
        <v>156</v>
      </c>
      <c r="V1" s="106" t="s">
        <v>151</v>
      </c>
      <c r="W1" s="106" t="s">
        <v>152</v>
      </c>
      <c r="X1" s="107" t="s">
        <v>153</v>
      </c>
      <c r="Y1" s="106" t="s">
        <v>154</v>
      </c>
      <c r="Z1" s="106" t="s">
        <v>157</v>
      </c>
      <c r="AA1" s="106" t="s">
        <v>158</v>
      </c>
      <c r="AB1" s="106" t="s">
        <v>159</v>
      </c>
      <c r="AC1" s="148" t="s">
        <v>223</v>
      </c>
      <c r="AD1" s="148" t="s">
        <v>160</v>
      </c>
      <c r="AE1" s="148" t="s">
        <v>161</v>
      </c>
      <c r="AF1" s="148" t="s">
        <v>162</v>
      </c>
      <c r="AG1" s="106" t="s">
        <v>163</v>
      </c>
      <c r="AH1" s="106" t="s">
        <v>164</v>
      </c>
      <c r="AI1" s="106" t="s">
        <v>165</v>
      </c>
      <c r="AJ1" s="107" t="s">
        <v>166</v>
      </c>
      <c r="AK1" s="106" t="s">
        <v>167</v>
      </c>
      <c r="AL1" s="106" t="s">
        <v>222</v>
      </c>
      <c r="AM1" s="147" t="s">
        <v>224</v>
      </c>
    </row>
    <row r="2" spans="1:39">
      <c r="A2" s="48">
        <v>1</v>
      </c>
      <c r="B2" s="23">
        <v>42970</v>
      </c>
      <c r="C2" s="20" t="s">
        <v>57</v>
      </c>
      <c r="D2" s="20" t="s">
        <v>35</v>
      </c>
      <c r="E2" s="20" t="s">
        <v>18</v>
      </c>
      <c r="F2" s="109">
        <v>42970.395833333336</v>
      </c>
      <c r="G2" s="109">
        <v>42970.449305555558</v>
      </c>
      <c r="H2" s="108">
        <v>42970.458333333336</v>
      </c>
      <c r="I2" s="101">
        <f t="shared" ref="I2:I18" si="0">H2-F2</f>
        <v>6.25E-2</v>
      </c>
      <c r="J2" s="20">
        <v>1.42</v>
      </c>
      <c r="K2" s="20">
        <v>1.65</v>
      </c>
      <c r="L2" s="20">
        <f>K2-J2</f>
        <v>0.22999999999999998</v>
      </c>
      <c r="M2" s="22"/>
      <c r="N2" s="20">
        <f>AVERAGE(61,60,59)</f>
        <v>60</v>
      </c>
      <c r="O2" s="20" t="s">
        <v>59</v>
      </c>
      <c r="P2" s="20" t="s">
        <v>54</v>
      </c>
      <c r="Q2" s="20" t="s">
        <v>23</v>
      </c>
      <c r="R2" s="109">
        <v>42970.449305555558</v>
      </c>
      <c r="S2" s="108">
        <v>42970.458333333336</v>
      </c>
      <c r="T2" s="101">
        <f>S2-F2</f>
        <v>6.25E-2</v>
      </c>
      <c r="U2" s="20">
        <v>1.62</v>
      </c>
      <c r="V2" s="20">
        <v>1.89</v>
      </c>
      <c r="W2" s="20">
        <f t="shared" ref="W2:W14" si="1">V2-U2</f>
        <v>0.2699999999999998</v>
      </c>
      <c r="X2" s="22"/>
      <c r="Y2" s="105">
        <f>AVERAGE(41,41,42)</f>
        <v>41.333333333333336</v>
      </c>
      <c r="Z2" s="20"/>
      <c r="AA2" s="20"/>
      <c r="AB2" s="20"/>
      <c r="AC2" s="109"/>
      <c r="AD2" s="20"/>
      <c r="AE2" s="108"/>
      <c r="AF2" s="101"/>
      <c r="AG2" s="20"/>
      <c r="AH2" s="20"/>
      <c r="AI2" s="20"/>
      <c r="AJ2" s="22"/>
      <c r="AK2" s="20"/>
      <c r="AL2" s="149">
        <v>1</v>
      </c>
      <c r="AM2" s="48">
        <v>1</v>
      </c>
    </row>
    <row r="3" spans="1:39">
      <c r="A3" s="48">
        <v>2</v>
      </c>
      <c r="B3" s="150">
        <v>42971</v>
      </c>
      <c r="C3" s="98" t="s">
        <v>12</v>
      </c>
      <c r="D3" s="98" t="s">
        <v>22</v>
      </c>
      <c r="E3" s="98" t="s">
        <v>18</v>
      </c>
      <c r="F3" s="109">
        <v>42971.418055555558</v>
      </c>
      <c r="G3" s="109">
        <v>42971.443055555559</v>
      </c>
      <c r="H3" s="109">
        <v>42971.452777777777</v>
      </c>
      <c r="I3" s="101">
        <f t="shared" si="0"/>
        <v>3.4722222218988463E-2</v>
      </c>
      <c r="J3" s="102">
        <v>1.68</v>
      </c>
      <c r="K3" s="102">
        <v>1.9</v>
      </c>
      <c r="L3" s="102">
        <f t="shared" ref="L3:L18" si="2">K3-J3</f>
        <v>0.21999999999999997</v>
      </c>
      <c r="M3" s="102"/>
      <c r="N3" s="105">
        <v>46</v>
      </c>
      <c r="O3" s="98" t="s">
        <v>19</v>
      </c>
      <c r="P3" s="98" t="s">
        <v>36</v>
      </c>
      <c r="Q3" s="98" t="s">
        <v>23</v>
      </c>
      <c r="R3" s="109">
        <v>42971.443055555559</v>
      </c>
      <c r="S3" s="109">
        <v>42971.452777777777</v>
      </c>
      <c r="T3" s="101">
        <f t="shared" ref="T3:T14" si="3">S3-F3</f>
        <v>3.4722222218988463E-2</v>
      </c>
      <c r="U3" s="102">
        <v>1.77</v>
      </c>
      <c r="V3" s="102">
        <v>1.89</v>
      </c>
      <c r="W3" s="102">
        <f t="shared" si="1"/>
        <v>0.11999999999999988</v>
      </c>
      <c r="X3" s="102"/>
      <c r="Y3" s="105">
        <v>41</v>
      </c>
      <c r="Z3" s="98" t="s">
        <v>24</v>
      </c>
      <c r="AA3" s="98" t="s">
        <v>36</v>
      </c>
      <c r="AB3" s="98" t="s">
        <v>25</v>
      </c>
      <c r="AC3" s="109">
        <v>42971.444444444445</v>
      </c>
      <c r="AD3" s="109">
        <v>42971.447916666664</v>
      </c>
      <c r="AE3" s="109">
        <v>42972.439583333333</v>
      </c>
      <c r="AF3" s="101">
        <f>AE3-F3</f>
        <v>1.0215277777751908</v>
      </c>
      <c r="AG3" s="102">
        <v>0.81</v>
      </c>
      <c r="AH3" s="102">
        <v>0.88</v>
      </c>
      <c r="AI3" s="102">
        <f t="shared" ref="AI3:AI12" si="4">AH3-AG3</f>
        <v>6.9999999999999951E-2</v>
      </c>
      <c r="AJ3" s="102">
        <v>7.2</v>
      </c>
      <c r="AK3" s="105">
        <v>63</v>
      </c>
      <c r="AL3" s="104">
        <v>1</v>
      </c>
      <c r="AM3" s="48">
        <v>1</v>
      </c>
    </row>
    <row r="4" spans="1:39">
      <c r="A4" s="48">
        <v>3</v>
      </c>
      <c r="B4" s="150">
        <v>42971</v>
      </c>
      <c r="C4" s="98" t="s">
        <v>29</v>
      </c>
      <c r="D4" s="98" t="s">
        <v>35</v>
      </c>
      <c r="E4" s="98" t="s">
        <v>18</v>
      </c>
      <c r="F4" s="109">
        <v>42971.510416666664</v>
      </c>
      <c r="G4" s="109">
        <v>42971.53125</v>
      </c>
      <c r="H4" s="108">
        <v>42971.536111111112</v>
      </c>
      <c r="I4" s="101">
        <f t="shared" si="0"/>
        <v>2.5694444448163267E-2</v>
      </c>
      <c r="J4" s="102">
        <v>1.86</v>
      </c>
      <c r="K4" s="102">
        <v>2</v>
      </c>
      <c r="L4" s="102">
        <f t="shared" si="2"/>
        <v>0.1399999999999999</v>
      </c>
      <c r="M4" s="102"/>
      <c r="N4" s="105">
        <v>36</v>
      </c>
      <c r="O4" s="98" t="s">
        <v>34</v>
      </c>
      <c r="P4" s="98" t="s">
        <v>37</v>
      </c>
      <c r="Q4" s="98" t="s">
        <v>23</v>
      </c>
      <c r="R4" s="109">
        <v>42971.531944444447</v>
      </c>
      <c r="S4" s="108">
        <v>42971.536805555559</v>
      </c>
      <c r="T4" s="101">
        <f t="shared" si="3"/>
        <v>2.6388888894871343E-2</v>
      </c>
      <c r="U4" s="102">
        <v>1.99</v>
      </c>
      <c r="V4" s="102">
        <v>2.0699999999999998</v>
      </c>
      <c r="W4" s="102">
        <f t="shared" si="1"/>
        <v>7.9999999999999849E-2</v>
      </c>
      <c r="X4" s="102"/>
      <c r="Y4" s="105">
        <v>30</v>
      </c>
      <c r="Z4" s="98" t="s">
        <v>38</v>
      </c>
      <c r="AA4" s="98" t="s">
        <v>37</v>
      </c>
      <c r="AB4" s="98" t="s">
        <v>25</v>
      </c>
      <c r="AC4" s="109">
        <v>42971.53402777778</v>
      </c>
      <c r="AD4" s="109">
        <v>42971.536111111112</v>
      </c>
      <c r="AE4" s="109">
        <v>42972.441666666666</v>
      </c>
      <c r="AF4" s="101">
        <f t="shared" ref="AF4:AF17" si="5">AE4-F4</f>
        <v>0.93125000000145519</v>
      </c>
      <c r="AG4" s="102">
        <v>0.74</v>
      </c>
      <c r="AH4" s="102">
        <v>0.83</v>
      </c>
      <c r="AI4" s="102">
        <f t="shared" si="4"/>
        <v>8.9999999999999969E-2</v>
      </c>
      <c r="AJ4" s="102">
        <v>7.27</v>
      </c>
      <c r="AK4" s="105"/>
      <c r="AL4" s="149">
        <v>1</v>
      </c>
      <c r="AM4" s="48">
        <v>1</v>
      </c>
    </row>
    <row r="5" spans="1:39">
      <c r="A5" s="48">
        <v>4</v>
      </c>
      <c r="B5" s="150">
        <v>42972</v>
      </c>
      <c r="C5" s="98" t="s">
        <v>44</v>
      </c>
      <c r="D5" s="98" t="s">
        <v>35</v>
      </c>
      <c r="E5" s="98" t="s">
        <v>18</v>
      </c>
      <c r="F5" s="109">
        <v>42972.402777777781</v>
      </c>
      <c r="G5" s="109">
        <v>42972.426388888889</v>
      </c>
      <c r="H5" s="109">
        <v>42972.443055555559</v>
      </c>
      <c r="I5" s="101">
        <f t="shared" si="0"/>
        <v>4.0277777778101154E-2</v>
      </c>
      <c r="J5" s="102">
        <v>1.45</v>
      </c>
      <c r="K5" s="102">
        <v>1.63</v>
      </c>
      <c r="L5" s="102">
        <f t="shared" si="2"/>
        <v>0.17999999999999994</v>
      </c>
      <c r="M5" s="102">
        <v>7.16</v>
      </c>
      <c r="N5" s="105">
        <f>AVERAGE(52, 42, 50, 49, 43, 43)</f>
        <v>46.5</v>
      </c>
      <c r="O5" s="98" t="s">
        <v>46</v>
      </c>
      <c r="P5" s="98" t="s">
        <v>54</v>
      </c>
      <c r="Q5" s="98" t="s">
        <v>23</v>
      </c>
      <c r="R5" s="109">
        <v>42972.427777777775</v>
      </c>
      <c r="S5" s="109">
        <v>42972.444444444445</v>
      </c>
      <c r="T5" s="101">
        <f t="shared" si="3"/>
        <v>4.1666666664241347E-2</v>
      </c>
      <c r="U5" s="102">
        <v>1.42</v>
      </c>
      <c r="V5" s="102">
        <v>1.57</v>
      </c>
      <c r="W5" s="102">
        <f t="shared" si="1"/>
        <v>0.15000000000000013</v>
      </c>
      <c r="X5" s="102">
        <v>7.25</v>
      </c>
      <c r="Y5" s="105">
        <f>AVERAGE(67,66,72,68)</f>
        <v>68.25</v>
      </c>
      <c r="Z5" s="98" t="s">
        <v>49</v>
      </c>
      <c r="AA5" s="98" t="s">
        <v>54</v>
      </c>
      <c r="AB5" s="98" t="s">
        <v>25</v>
      </c>
      <c r="AC5" s="109">
        <v>42972.429861111108</v>
      </c>
      <c r="AD5" s="109">
        <v>42972.434027777781</v>
      </c>
      <c r="AE5" s="109">
        <v>42973.601388888892</v>
      </c>
      <c r="AF5" s="101">
        <f t="shared" si="5"/>
        <v>1.1986111111109494</v>
      </c>
      <c r="AG5" s="102">
        <v>0.68</v>
      </c>
      <c r="AH5" s="102">
        <v>0.84</v>
      </c>
      <c r="AI5" s="102">
        <f t="shared" si="4"/>
        <v>0.15999999999999992</v>
      </c>
      <c r="AJ5" s="102">
        <v>0.16</v>
      </c>
      <c r="AK5" s="105">
        <f>AVERAGE(70,70)</f>
        <v>70</v>
      </c>
      <c r="AL5" s="149">
        <v>1</v>
      </c>
      <c r="AM5" s="48">
        <v>1</v>
      </c>
    </row>
    <row r="6" spans="1:39">
      <c r="A6" s="48">
        <v>5</v>
      </c>
      <c r="B6" s="150">
        <v>42972</v>
      </c>
      <c r="C6" s="98" t="s">
        <v>50</v>
      </c>
      <c r="D6" s="98" t="s">
        <v>22</v>
      </c>
      <c r="E6" s="98" t="s">
        <v>18</v>
      </c>
      <c r="F6" s="109">
        <v>42972.386805555558</v>
      </c>
      <c r="G6" s="109">
        <v>42972.431250000001</v>
      </c>
      <c r="H6" s="108">
        <v>42972.444444444445</v>
      </c>
      <c r="I6" s="101">
        <f t="shared" si="0"/>
        <v>5.7638888887595385E-2</v>
      </c>
      <c r="J6" s="102">
        <v>3.08</v>
      </c>
      <c r="K6" s="102">
        <v>3.16</v>
      </c>
      <c r="L6" s="102">
        <f t="shared" si="2"/>
        <v>8.0000000000000071E-2</v>
      </c>
      <c r="M6" s="102">
        <v>7.23</v>
      </c>
      <c r="N6" s="105">
        <f>AVERAGE(67,62,62)</f>
        <v>63.666666666666664</v>
      </c>
      <c r="O6" s="98" t="s">
        <v>53</v>
      </c>
      <c r="P6" s="98" t="s">
        <v>36</v>
      </c>
      <c r="Q6" s="98" t="s">
        <v>23</v>
      </c>
      <c r="R6" s="109">
        <v>42972.43472222222</v>
      </c>
      <c r="S6" s="108">
        <v>42972.444444444445</v>
      </c>
      <c r="T6" s="101">
        <f t="shared" si="3"/>
        <v>5.7638888887595385E-2</v>
      </c>
      <c r="U6" s="102">
        <v>3.16</v>
      </c>
      <c r="V6" s="102">
        <v>3.27</v>
      </c>
      <c r="W6" s="102">
        <f t="shared" si="1"/>
        <v>0.10999999999999988</v>
      </c>
      <c r="X6" s="102">
        <v>7.28</v>
      </c>
      <c r="Y6" s="105">
        <f>AVERAGE(57,56)</f>
        <v>56.5</v>
      </c>
      <c r="Z6" s="98" t="s">
        <v>55</v>
      </c>
      <c r="AA6" s="98" t="s">
        <v>36</v>
      </c>
      <c r="AB6" s="98" t="s">
        <v>25</v>
      </c>
      <c r="AC6" s="109">
        <v>42972.43472222222</v>
      </c>
      <c r="AD6" s="109">
        <v>42972.436805555553</v>
      </c>
      <c r="AE6" s="109">
        <v>42973.599305555559</v>
      </c>
      <c r="AF6" s="101">
        <f t="shared" si="5"/>
        <v>1.2125000000014552</v>
      </c>
      <c r="AG6" s="102">
        <v>2.25</v>
      </c>
      <c r="AH6" s="102">
        <v>2.4500000000000002</v>
      </c>
      <c r="AI6" s="102">
        <f t="shared" si="4"/>
        <v>0.20000000000000018</v>
      </c>
      <c r="AJ6" s="102">
        <v>7.05</v>
      </c>
      <c r="AK6" s="105">
        <f>AVERAGE(85,85)</f>
        <v>85</v>
      </c>
      <c r="AL6" s="149">
        <v>1</v>
      </c>
      <c r="AM6" s="48">
        <v>1</v>
      </c>
    </row>
    <row r="7" spans="1:39">
      <c r="A7" s="48">
        <v>6</v>
      </c>
      <c r="B7" s="150">
        <v>42973</v>
      </c>
      <c r="C7" s="98" t="s">
        <v>81</v>
      </c>
      <c r="D7" s="98" t="s">
        <v>35</v>
      </c>
      <c r="E7" s="98" t="s">
        <v>18</v>
      </c>
      <c r="F7" s="109">
        <v>42973.563194444447</v>
      </c>
      <c r="G7" s="109">
        <v>42973.584722222222</v>
      </c>
      <c r="H7" s="108">
        <v>42973.593055555553</v>
      </c>
      <c r="I7" s="101">
        <f t="shared" si="0"/>
        <v>2.9861111106583849E-2</v>
      </c>
      <c r="J7" s="102">
        <v>0.91</v>
      </c>
      <c r="K7" s="102">
        <v>1.1000000000000001</v>
      </c>
      <c r="L7" s="102">
        <f t="shared" si="2"/>
        <v>0.19000000000000006</v>
      </c>
      <c r="M7" s="102">
        <v>6.82</v>
      </c>
      <c r="N7" s="104">
        <f>AVERAGE(47,46)</f>
        <v>46.5</v>
      </c>
      <c r="O7" s="98" t="s">
        <v>85</v>
      </c>
      <c r="P7" s="98" t="s">
        <v>54</v>
      </c>
      <c r="Q7" s="98" t="s">
        <v>23</v>
      </c>
      <c r="R7" s="109">
        <v>42973.584722222222</v>
      </c>
      <c r="S7" s="108">
        <v>42973.59375</v>
      </c>
      <c r="T7" s="101">
        <f t="shared" si="3"/>
        <v>3.0555555553291924E-2</v>
      </c>
      <c r="U7" s="102">
        <v>1.1599999999999999</v>
      </c>
      <c r="V7" s="102">
        <v>1.25</v>
      </c>
      <c r="W7" s="102">
        <f t="shared" si="1"/>
        <v>9.000000000000008E-2</v>
      </c>
      <c r="X7" s="102">
        <v>6.99</v>
      </c>
      <c r="Y7" s="104">
        <f>AVERAGE(45,43,40,39)</f>
        <v>41.75</v>
      </c>
      <c r="Z7" s="98" t="s">
        <v>86</v>
      </c>
      <c r="AA7" s="98" t="s">
        <v>54</v>
      </c>
      <c r="AB7" s="98" t="s">
        <v>25</v>
      </c>
      <c r="AC7" s="109">
        <v>42973.585416666669</v>
      </c>
      <c r="AD7" s="109">
        <v>42973.588888888888</v>
      </c>
      <c r="AE7" s="108">
        <v>42974.543055555558</v>
      </c>
      <c r="AF7" s="101">
        <f t="shared" si="5"/>
        <v>0.97986111111094942</v>
      </c>
      <c r="AG7" s="102">
        <v>0.44</v>
      </c>
      <c r="AH7" s="102">
        <v>0.6</v>
      </c>
      <c r="AI7" s="102">
        <f t="shared" si="4"/>
        <v>0.15999999999999998</v>
      </c>
      <c r="AJ7" s="102">
        <v>7.08</v>
      </c>
      <c r="AK7" s="104">
        <f>AVERAGE(63,63,62)</f>
        <v>62.666666666666664</v>
      </c>
      <c r="AL7" s="149">
        <v>1</v>
      </c>
      <c r="AM7" s="48">
        <v>1</v>
      </c>
    </row>
    <row r="8" spans="1:39">
      <c r="A8" s="48">
        <v>7</v>
      </c>
      <c r="B8" s="150">
        <v>42973</v>
      </c>
      <c r="C8" s="98" t="s">
        <v>87</v>
      </c>
      <c r="D8" s="98" t="s">
        <v>22</v>
      </c>
      <c r="E8" s="98" t="s">
        <v>18</v>
      </c>
      <c r="F8" s="109">
        <v>42973.543749999997</v>
      </c>
      <c r="G8" s="109">
        <v>42973.584722222222</v>
      </c>
      <c r="H8" s="108">
        <v>42973.595138888886</v>
      </c>
      <c r="I8" s="101">
        <f t="shared" si="0"/>
        <v>5.1388888889050577E-2</v>
      </c>
      <c r="J8" s="102">
        <v>1.29</v>
      </c>
      <c r="K8" s="102">
        <v>1.5</v>
      </c>
      <c r="L8" s="102">
        <f t="shared" si="2"/>
        <v>0.20999999999999996</v>
      </c>
      <c r="M8" s="102">
        <v>7.01</v>
      </c>
      <c r="N8" s="104">
        <f>AVERAGE(51,50,49,46)</f>
        <v>49</v>
      </c>
      <c r="O8" s="98" t="s">
        <v>89</v>
      </c>
      <c r="P8" s="98" t="s">
        <v>36</v>
      </c>
      <c r="Q8" s="98" t="s">
        <v>23</v>
      </c>
      <c r="R8" s="109">
        <v>42973.587500000001</v>
      </c>
      <c r="S8" s="108">
        <v>42973.597222222219</v>
      </c>
      <c r="T8" s="101">
        <f t="shared" si="3"/>
        <v>5.3472222221898846E-2</v>
      </c>
      <c r="U8" s="102">
        <v>1.35</v>
      </c>
      <c r="V8" s="102">
        <v>1.48</v>
      </c>
      <c r="W8" s="102">
        <f t="shared" si="1"/>
        <v>0.12999999999999989</v>
      </c>
      <c r="X8" s="102">
        <v>7.26</v>
      </c>
      <c r="Y8" s="104">
        <f>AVERAGE(47,46,46,44)</f>
        <v>45.75</v>
      </c>
      <c r="Z8" s="98" t="s">
        <v>91</v>
      </c>
      <c r="AA8" s="98" t="s">
        <v>36</v>
      </c>
      <c r="AB8" s="98" t="s">
        <v>25</v>
      </c>
      <c r="AC8" s="109">
        <v>42973.587500000001</v>
      </c>
      <c r="AD8" s="109">
        <v>42973.588888888888</v>
      </c>
      <c r="AE8" s="108">
        <v>42974.543055555558</v>
      </c>
      <c r="AF8" s="101">
        <f t="shared" si="5"/>
        <v>0.99930555556056788</v>
      </c>
      <c r="AG8" s="102">
        <v>0.71</v>
      </c>
      <c r="AH8" s="102">
        <v>0.81</v>
      </c>
      <c r="AI8" s="102">
        <f t="shared" si="4"/>
        <v>0.10000000000000009</v>
      </c>
      <c r="AJ8" s="102">
        <v>7.13</v>
      </c>
      <c r="AK8" s="104">
        <f>AVERAGE(70,69,70,67,66,65)</f>
        <v>67.833333333333329</v>
      </c>
      <c r="AL8" s="149">
        <v>1</v>
      </c>
      <c r="AM8" s="48">
        <v>1</v>
      </c>
    </row>
    <row r="9" spans="1:39">
      <c r="A9" s="48">
        <v>8</v>
      </c>
      <c r="B9" s="150">
        <v>42974</v>
      </c>
      <c r="C9" s="98" t="s">
        <v>105</v>
      </c>
      <c r="D9" s="98" t="s">
        <v>35</v>
      </c>
      <c r="E9" s="98" t="s">
        <v>18</v>
      </c>
      <c r="F9" s="109">
        <v>42974.505555555559</v>
      </c>
      <c r="G9" s="109">
        <v>42974.52847222222</v>
      </c>
      <c r="H9" s="108">
        <v>42974.547222222223</v>
      </c>
      <c r="I9" s="101">
        <f t="shared" si="0"/>
        <v>4.1666666664241347E-2</v>
      </c>
      <c r="J9" s="102">
        <v>1.35</v>
      </c>
      <c r="K9" s="102">
        <v>1.4</v>
      </c>
      <c r="L9" s="102">
        <f t="shared" si="2"/>
        <v>4.9999999999999822E-2</v>
      </c>
      <c r="M9" s="102">
        <v>7.16</v>
      </c>
      <c r="N9" s="104">
        <f>AVERAGE(42,41,40)</f>
        <v>41</v>
      </c>
      <c r="O9" s="98" t="s">
        <v>108</v>
      </c>
      <c r="P9" s="98" t="s">
        <v>54</v>
      </c>
      <c r="Q9" s="98" t="s">
        <v>23</v>
      </c>
      <c r="R9" s="109">
        <v>42974.53125</v>
      </c>
      <c r="S9" s="108">
        <v>42974.547222222223</v>
      </c>
      <c r="T9" s="101">
        <f t="shared" si="3"/>
        <v>4.1666666664241347E-2</v>
      </c>
      <c r="U9" s="98">
        <v>1.48</v>
      </c>
      <c r="V9" s="102">
        <v>1.69</v>
      </c>
      <c r="W9" s="98">
        <f t="shared" si="1"/>
        <v>0.20999999999999996</v>
      </c>
      <c r="X9" s="102">
        <v>6.77</v>
      </c>
      <c r="Y9" s="104"/>
      <c r="Z9" s="98" t="s">
        <v>110</v>
      </c>
      <c r="AA9" s="98" t="s">
        <v>54</v>
      </c>
      <c r="AB9" s="98" t="s">
        <v>25</v>
      </c>
      <c r="AC9" s="109">
        <v>42974.529861111114</v>
      </c>
      <c r="AD9" s="109">
        <v>42974.534722222219</v>
      </c>
      <c r="AE9" s="108">
        <v>42975.685416666667</v>
      </c>
      <c r="AF9" s="101">
        <f t="shared" si="5"/>
        <v>1.179861111108039</v>
      </c>
      <c r="AG9" s="98">
        <v>0.56999999999999995</v>
      </c>
      <c r="AH9" s="102">
        <v>0.74</v>
      </c>
      <c r="AI9" s="98">
        <f t="shared" si="4"/>
        <v>0.17000000000000004</v>
      </c>
      <c r="AJ9" s="102">
        <v>7.17</v>
      </c>
      <c r="AK9" s="104">
        <f>AVERAGE(64,63,63)</f>
        <v>63.333333333333336</v>
      </c>
      <c r="AL9" s="149">
        <v>1</v>
      </c>
      <c r="AM9" s="48">
        <v>1</v>
      </c>
    </row>
    <row r="10" spans="1:39">
      <c r="A10" s="48">
        <v>9</v>
      </c>
      <c r="B10" s="150">
        <v>42974</v>
      </c>
      <c r="C10" s="98" t="s">
        <v>111</v>
      </c>
      <c r="D10" s="98" t="s">
        <v>22</v>
      </c>
      <c r="E10" s="98" t="s">
        <v>18</v>
      </c>
      <c r="F10" s="109">
        <v>42974.506944444445</v>
      </c>
      <c r="G10" s="109">
        <v>42974.531944444447</v>
      </c>
      <c r="H10" s="108">
        <v>42974.547222222223</v>
      </c>
      <c r="I10" s="101">
        <f t="shared" si="0"/>
        <v>4.0277777778101154E-2</v>
      </c>
      <c r="J10" s="98">
        <v>1.79</v>
      </c>
      <c r="K10" s="102">
        <v>1.86</v>
      </c>
      <c r="L10" s="98">
        <f t="shared" si="2"/>
        <v>7.0000000000000062E-2</v>
      </c>
      <c r="M10" s="102">
        <v>7.24</v>
      </c>
      <c r="N10" s="104">
        <f>AVERAGE(52,51,55)</f>
        <v>52.666666666666664</v>
      </c>
      <c r="O10" s="98" t="s">
        <v>113</v>
      </c>
      <c r="P10" s="98" t="s">
        <v>36</v>
      </c>
      <c r="Q10" s="98" t="s">
        <v>23</v>
      </c>
      <c r="R10" s="109">
        <v>42974.531944444447</v>
      </c>
      <c r="S10" s="108">
        <v>42974.547222222223</v>
      </c>
      <c r="T10" s="101">
        <f t="shared" si="3"/>
        <v>4.0277777778101154E-2</v>
      </c>
      <c r="U10" s="98">
        <v>1.67</v>
      </c>
      <c r="V10" s="102">
        <v>1.8</v>
      </c>
      <c r="W10" s="98">
        <f t="shared" si="1"/>
        <v>0.13000000000000012</v>
      </c>
      <c r="X10" s="98">
        <v>7.33</v>
      </c>
      <c r="Y10" s="104">
        <f>AVERAGE(53,56,53)</f>
        <v>54</v>
      </c>
      <c r="Z10" s="98" t="s">
        <v>114</v>
      </c>
      <c r="AA10" s="98" t="s">
        <v>36</v>
      </c>
      <c r="AB10" s="98" t="s">
        <v>25</v>
      </c>
      <c r="AC10" s="109">
        <v>42974.531944444447</v>
      </c>
      <c r="AD10" s="109">
        <v>42974.534722222219</v>
      </c>
      <c r="AE10" s="108">
        <v>42975.683333333334</v>
      </c>
      <c r="AF10" s="101">
        <f t="shared" si="5"/>
        <v>1.1763888888890506</v>
      </c>
      <c r="AG10" s="98">
        <v>0.93</v>
      </c>
      <c r="AH10" s="102">
        <v>1.27</v>
      </c>
      <c r="AI10" s="98">
        <f t="shared" si="4"/>
        <v>0.33999999999999997</v>
      </c>
      <c r="AJ10" s="102">
        <v>7.31</v>
      </c>
      <c r="AK10" s="104">
        <f>AVERAGE(76,74,76)</f>
        <v>75.333333333333329</v>
      </c>
      <c r="AL10" s="149">
        <v>1</v>
      </c>
      <c r="AM10" s="48">
        <v>1</v>
      </c>
    </row>
    <row r="11" spans="1:39">
      <c r="A11" s="48">
        <v>10</v>
      </c>
      <c r="B11" s="150">
        <v>42975</v>
      </c>
      <c r="C11" s="98" t="s">
        <v>115</v>
      </c>
      <c r="D11" s="98" t="s">
        <v>35</v>
      </c>
      <c r="E11" s="98" t="s">
        <v>18</v>
      </c>
      <c r="F11" s="109">
        <v>42975.627083333333</v>
      </c>
      <c r="G11" s="109">
        <v>42975.661805555559</v>
      </c>
      <c r="H11" s="108">
        <v>42975.674305555556</v>
      </c>
      <c r="I11" s="101">
        <f t="shared" si="0"/>
        <v>4.7222222223354038E-2</v>
      </c>
      <c r="J11" s="102">
        <v>1.1000000000000001</v>
      </c>
      <c r="K11" s="102">
        <v>1.33</v>
      </c>
      <c r="L11" s="98">
        <f t="shared" si="2"/>
        <v>0.22999999999999998</v>
      </c>
      <c r="M11" s="102">
        <v>7.11</v>
      </c>
      <c r="N11" s="104">
        <f>AVERAGE(51,50,50)</f>
        <v>50.333333333333336</v>
      </c>
      <c r="O11" s="98" t="s">
        <v>117</v>
      </c>
      <c r="P11" s="98" t="s">
        <v>54</v>
      </c>
      <c r="Q11" s="98" t="s">
        <v>23</v>
      </c>
      <c r="R11" s="109">
        <v>42975.663194444445</v>
      </c>
      <c r="S11" s="108">
        <v>42975.675694444442</v>
      </c>
      <c r="T11" s="101">
        <f t="shared" si="3"/>
        <v>4.8611111109494232E-2</v>
      </c>
      <c r="U11" s="98">
        <v>1.23</v>
      </c>
      <c r="V11" s="102">
        <v>1.36</v>
      </c>
      <c r="W11" s="98">
        <f t="shared" si="1"/>
        <v>0.13000000000000012</v>
      </c>
      <c r="X11" s="102">
        <v>7.21</v>
      </c>
      <c r="Y11" s="104">
        <f>AVERAGE(46,46,46)</f>
        <v>46</v>
      </c>
      <c r="Z11" s="98" t="s">
        <v>118</v>
      </c>
      <c r="AA11" s="98" t="s">
        <v>54</v>
      </c>
      <c r="AB11" s="98" t="s">
        <v>25</v>
      </c>
      <c r="AC11" s="109">
        <v>42975.665277777778</v>
      </c>
      <c r="AD11" s="109">
        <v>42975.672222222223</v>
      </c>
      <c r="AE11" s="108">
        <v>42976.442361111112</v>
      </c>
      <c r="AF11" s="101">
        <f t="shared" si="5"/>
        <v>0.81527777777955635</v>
      </c>
      <c r="AG11" s="98">
        <v>0.37</v>
      </c>
      <c r="AH11" s="102">
        <v>0.53</v>
      </c>
      <c r="AI11" s="98">
        <f t="shared" si="4"/>
        <v>0.16000000000000003</v>
      </c>
      <c r="AJ11" s="102">
        <v>7.35</v>
      </c>
      <c r="AK11" s="104">
        <f>AVERAGE(67,52,59)</f>
        <v>59.333333333333336</v>
      </c>
      <c r="AL11" s="149">
        <v>1</v>
      </c>
      <c r="AM11" s="48">
        <v>1</v>
      </c>
    </row>
    <row r="12" spans="1:39">
      <c r="A12" s="48">
        <v>11</v>
      </c>
      <c r="B12" s="150">
        <v>42975</v>
      </c>
      <c r="C12" s="98" t="s">
        <v>119</v>
      </c>
      <c r="D12" s="98" t="s">
        <v>22</v>
      </c>
      <c r="E12" s="98" t="s">
        <v>18</v>
      </c>
      <c r="F12" s="109">
        <v>42975.597916666666</v>
      </c>
      <c r="G12" s="109">
        <v>42975.667361111111</v>
      </c>
      <c r="H12" s="108">
        <v>42975.681944444441</v>
      </c>
      <c r="I12" s="101">
        <f t="shared" si="0"/>
        <v>8.4027777775190771E-2</v>
      </c>
      <c r="J12" s="98">
        <v>2.58</v>
      </c>
      <c r="K12" s="102">
        <v>2.71</v>
      </c>
      <c r="L12" s="98">
        <f t="shared" si="2"/>
        <v>0.12999999999999989</v>
      </c>
      <c r="M12" s="102">
        <v>7.13</v>
      </c>
      <c r="N12" s="104">
        <f>AVERAGE(63,59,59)</f>
        <v>60.333333333333336</v>
      </c>
      <c r="O12" s="98" t="s">
        <v>121</v>
      </c>
      <c r="P12" s="98" t="s">
        <v>36</v>
      </c>
      <c r="Q12" s="98" t="s">
        <v>23</v>
      </c>
      <c r="R12" s="109">
        <v>42975.670138888891</v>
      </c>
      <c r="S12" s="108">
        <v>42975.681944444441</v>
      </c>
      <c r="T12" s="101">
        <f t="shared" si="3"/>
        <v>8.4027777775190771E-2</v>
      </c>
      <c r="U12" s="98">
        <v>2.83</v>
      </c>
      <c r="V12" s="102">
        <v>2.91</v>
      </c>
      <c r="W12" s="98">
        <f t="shared" si="1"/>
        <v>8.0000000000000071E-2</v>
      </c>
      <c r="X12" s="102">
        <v>7.17</v>
      </c>
      <c r="Y12" s="104">
        <f>AVERAGE(45,45,45)</f>
        <v>45</v>
      </c>
      <c r="Z12" s="98" t="s">
        <v>122</v>
      </c>
      <c r="AA12" s="98" t="s">
        <v>36</v>
      </c>
      <c r="AB12" s="98" t="s">
        <v>25</v>
      </c>
      <c r="AC12" s="109">
        <v>42975.669444444444</v>
      </c>
      <c r="AD12" s="109">
        <v>42975.672222222223</v>
      </c>
      <c r="AE12" s="108">
        <v>42976.443055555559</v>
      </c>
      <c r="AF12" s="101">
        <f t="shared" si="5"/>
        <v>0.84513888889341615</v>
      </c>
      <c r="AG12" s="98">
        <v>1.65</v>
      </c>
      <c r="AH12" s="102">
        <v>1.8</v>
      </c>
      <c r="AI12" s="98">
        <f t="shared" si="4"/>
        <v>0.15000000000000013</v>
      </c>
      <c r="AJ12" s="102">
        <v>7.37</v>
      </c>
      <c r="AK12" s="104">
        <f>AVERAGE(43,44,47)</f>
        <v>44.666666666666664</v>
      </c>
      <c r="AL12" s="149">
        <v>1</v>
      </c>
      <c r="AM12" s="48">
        <v>1</v>
      </c>
    </row>
    <row r="13" spans="1:39">
      <c r="A13" s="48">
        <v>12</v>
      </c>
      <c r="B13" s="150">
        <v>42976</v>
      </c>
      <c r="C13" s="98" t="s">
        <v>123</v>
      </c>
      <c r="D13" s="98" t="s">
        <v>35</v>
      </c>
      <c r="E13" s="98" t="s">
        <v>18</v>
      </c>
      <c r="F13" s="109">
        <v>42976.340277777781</v>
      </c>
      <c r="G13" s="109">
        <v>42976.429861111108</v>
      </c>
      <c r="H13" s="109">
        <v>42976.436805555553</v>
      </c>
      <c r="I13" s="101">
        <f t="shared" si="0"/>
        <v>9.6527777772280388E-2</v>
      </c>
      <c r="J13" s="98">
        <v>4.09</v>
      </c>
      <c r="K13" s="98">
        <v>4.26</v>
      </c>
      <c r="L13" s="98">
        <f t="shared" si="2"/>
        <v>0.16999999999999993</v>
      </c>
      <c r="M13" s="102">
        <v>7.01</v>
      </c>
      <c r="N13" s="104">
        <f>AVERAGE(54,57,55)</f>
        <v>55.333333333333336</v>
      </c>
      <c r="O13" s="98" t="s">
        <v>125</v>
      </c>
      <c r="P13" s="98" t="s">
        <v>54</v>
      </c>
      <c r="Q13" s="98" t="s">
        <v>23</v>
      </c>
      <c r="R13" s="109">
        <v>42976.434027777781</v>
      </c>
      <c r="S13" s="109">
        <v>42976.436805555553</v>
      </c>
      <c r="T13" s="101">
        <f t="shared" si="3"/>
        <v>9.6527777772280388E-2</v>
      </c>
      <c r="U13" s="98">
        <v>4.0199999999999996</v>
      </c>
      <c r="V13" s="98">
        <v>4.16</v>
      </c>
      <c r="W13" s="98">
        <f t="shared" si="1"/>
        <v>0.14000000000000057</v>
      </c>
      <c r="X13" s="102">
        <v>7.06</v>
      </c>
      <c r="Y13" s="104">
        <f>AVERAGE(51,50,54)</f>
        <v>51.666666666666664</v>
      </c>
      <c r="Z13" s="98"/>
      <c r="AA13" s="98"/>
      <c r="AB13" s="98"/>
      <c r="AC13" s="109"/>
      <c r="AD13" s="98"/>
      <c r="AE13" s="109"/>
      <c r="AF13" s="101"/>
      <c r="AG13" s="98"/>
      <c r="AH13" s="98"/>
      <c r="AI13" s="98"/>
      <c r="AJ13" s="102"/>
      <c r="AK13" s="104"/>
      <c r="AL13" s="149">
        <v>1</v>
      </c>
      <c r="AM13" s="48">
        <v>1</v>
      </c>
    </row>
    <row r="14" spans="1:39">
      <c r="A14" s="48">
        <v>13</v>
      </c>
      <c r="B14" s="150">
        <v>42976</v>
      </c>
      <c r="C14" s="98" t="s">
        <v>126</v>
      </c>
      <c r="D14" s="98" t="s">
        <v>22</v>
      </c>
      <c r="E14" s="98" t="s">
        <v>18</v>
      </c>
      <c r="F14" s="109">
        <v>42976.336805555555</v>
      </c>
      <c r="G14" s="109">
        <v>42976.425000000003</v>
      </c>
      <c r="H14" s="109">
        <v>42976.439583333333</v>
      </c>
      <c r="I14" s="101">
        <f t="shared" si="0"/>
        <v>0.10277777777810115</v>
      </c>
      <c r="J14" s="98">
        <v>1.58</v>
      </c>
      <c r="K14" s="98">
        <v>1.73</v>
      </c>
      <c r="L14" s="98">
        <f t="shared" si="2"/>
        <v>0.14999999999999991</v>
      </c>
      <c r="M14" s="102">
        <v>7.16</v>
      </c>
      <c r="N14" s="104">
        <f>AVERAGE(56,45,45)</f>
        <v>48.666666666666664</v>
      </c>
      <c r="O14" s="98" t="s">
        <v>128</v>
      </c>
      <c r="P14" s="98" t="s">
        <v>36</v>
      </c>
      <c r="Q14" s="98" t="s">
        <v>23</v>
      </c>
      <c r="R14" s="109">
        <v>42976.427777777775</v>
      </c>
      <c r="S14" s="109">
        <v>42976.44027777778</v>
      </c>
      <c r="T14" s="101">
        <f t="shared" si="3"/>
        <v>0.10347222222480923</v>
      </c>
      <c r="U14" s="98">
        <v>1.34</v>
      </c>
      <c r="V14" s="98">
        <v>1.63</v>
      </c>
      <c r="W14" s="98">
        <f t="shared" si="1"/>
        <v>0.28999999999999981</v>
      </c>
      <c r="X14" s="102">
        <v>7.18</v>
      </c>
      <c r="Y14" s="104">
        <f>AVERAGE(49,59,55)</f>
        <v>54.333333333333336</v>
      </c>
      <c r="Z14" s="98"/>
      <c r="AA14" s="98"/>
      <c r="AB14" s="98"/>
      <c r="AC14" s="109"/>
      <c r="AD14" s="98"/>
      <c r="AE14" s="109"/>
      <c r="AF14" s="101"/>
      <c r="AG14" s="98"/>
      <c r="AH14" s="98"/>
      <c r="AI14" s="98"/>
      <c r="AJ14" s="102"/>
      <c r="AK14" s="104"/>
      <c r="AL14" s="149">
        <v>1</v>
      </c>
      <c r="AM14" s="48">
        <v>1</v>
      </c>
    </row>
    <row r="15" spans="1:39">
      <c r="A15" s="48">
        <v>14</v>
      </c>
      <c r="B15" s="150">
        <v>42992</v>
      </c>
      <c r="C15" s="98" t="s">
        <v>170</v>
      </c>
      <c r="D15" s="98" t="s">
        <v>169</v>
      </c>
      <c r="E15" s="98" t="s">
        <v>189</v>
      </c>
      <c r="F15" s="109">
        <v>42992.603472222225</v>
      </c>
      <c r="G15" s="109">
        <v>42992.67291666667</v>
      </c>
      <c r="H15" s="109">
        <v>42992.71875</v>
      </c>
      <c r="I15" s="101">
        <f t="shared" si="0"/>
        <v>0.11527777777519077</v>
      </c>
      <c r="J15" s="98">
        <v>1.43</v>
      </c>
      <c r="K15" s="98">
        <v>1.52</v>
      </c>
      <c r="L15" s="98">
        <f t="shared" si="2"/>
        <v>9.000000000000008E-2</v>
      </c>
      <c r="M15" s="102">
        <v>7.16</v>
      </c>
      <c r="N15" s="104">
        <f>AVERAGE(84,83,84)</f>
        <v>83.666666666666671</v>
      </c>
      <c r="O15" s="98"/>
      <c r="P15" s="98"/>
      <c r="Q15" s="98"/>
      <c r="R15" s="109"/>
      <c r="S15" s="109"/>
      <c r="T15" s="101"/>
      <c r="U15" s="98"/>
      <c r="V15" s="98"/>
      <c r="W15" s="98"/>
      <c r="X15" s="102"/>
      <c r="Y15" s="104"/>
      <c r="Z15" s="98" t="s">
        <v>168</v>
      </c>
      <c r="AA15" s="98" t="s">
        <v>169</v>
      </c>
      <c r="AB15" s="98" t="s">
        <v>188</v>
      </c>
      <c r="AC15" s="109">
        <v>42992.672222222223</v>
      </c>
      <c r="AD15" s="109">
        <v>42992.690972222219</v>
      </c>
      <c r="AE15" s="109">
        <v>42993.670138888891</v>
      </c>
      <c r="AF15" s="101">
        <f t="shared" si="5"/>
        <v>1.0666666666656965</v>
      </c>
      <c r="AG15" s="98">
        <v>0.23</v>
      </c>
      <c r="AH15" s="98">
        <v>0.34</v>
      </c>
      <c r="AI15" s="98">
        <f t="shared" ref="AI15:AI17" si="6">AH15-AG15</f>
        <v>0.11000000000000001</v>
      </c>
      <c r="AJ15" s="102">
        <v>7.09</v>
      </c>
      <c r="AK15" s="104">
        <f>AVERAGE(118,117,117)</f>
        <v>117.33333333333333</v>
      </c>
      <c r="AL15" s="149">
        <v>2</v>
      </c>
      <c r="AM15" s="48">
        <v>1</v>
      </c>
    </row>
    <row r="16" spans="1:39">
      <c r="A16" s="48">
        <v>15</v>
      </c>
      <c r="B16" s="150">
        <v>42992</v>
      </c>
      <c r="C16" s="98" t="s">
        <v>172</v>
      </c>
      <c r="D16" s="98" t="s">
        <v>177</v>
      </c>
      <c r="E16" s="98" t="s">
        <v>189</v>
      </c>
      <c r="F16" s="109">
        <v>42992.560416666667</v>
      </c>
      <c r="G16" s="109">
        <v>42992.676388888889</v>
      </c>
      <c r="H16" s="109">
        <v>42992.71875</v>
      </c>
      <c r="I16" s="101">
        <f t="shared" si="0"/>
        <v>0.15833333333284827</v>
      </c>
      <c r="J16" s="98">
        <v>1.58</v>
      </c>
      <c r="K16" s="98">
        <v>1.69</v>
      </c>
      <c r="L16" s="98">
        <f t="shared" si="2"/>
        <v>0.10999999999999988</v>
      </c>
      <c r="M16" s="102">
        <v>7.28</v>
      </c>
      <c r="N16" s="104">
        <f>AVERAGE(90,89,89)</f>
        <v>89.333333333333329</v>
      </c>
      <c r="O16" s="98"/>
      <c r="P16" s="98"/>
      <c r="Q16" s="98"/>
      <c r="R16" s="98"/>
      <c r="S16" s="98"/>
      <c r="T16" s="101"/>
      <c r="U16" s="98"/>
      <c r="V16" s="98"/>
      <c r="W16" s="98"/>
      <c r="X16" s="102"/>
      <c r="Y16" s="98"/>
      <c r="Z16" s="98" t="s">
        <v>171</v>
      </c>
      <c r="AA16" s="98" t="s">
        <v>177</v>
      </c>
      <c r="AB16" s="98" t="s">
        <v>188</v>
      </c>
      <c r="AC16" s="109">
        <v>42992.675694444442</v>
      </c>
      <c r="AD16" s="109">
        <v>42992.690972222219</v>
      </c>
      <c r="AE16" s="109">
        <v>42993.670138888891</v>
      </c>
      <c r="AF16" s="101">
        <f t="shared" si="5"/>
        <v>1.109722222223354</v>
      </c>
      <c r="AG16" s="98">
        <v>0.55000000000000004</v>
      </c>
      <c r="AH16" s="98">
        <v>0.62</v>
      </c>
      <c r="AI16" s="98">
        <f t="shared" si="6"/>
        <v>6.9999999999999951E-2</v>
      </c>
      <c r="AJ16" s="102">
        <v>6.67</v>
      </c>
      <c r="AK16" s="104">
        <f>AVERAGE(131,129,127)</f>
        <v>129</v>
      </c>
      <c r="AL16" s="149">
        <v>2</v>
      </c>
      <c r="AM16" s="48">
        <v>1</v>
      </c>
    </row>
    <row r="17" spans="1:39">
      <c r="A17" s="48">
        <v>16</v>
      </c>
      <c r="B17" s="150">
        <v>42992</v>
      </c>
      <c r="C17" s="98" t="s">
        <v>174</v>
      </c>
      <c r="D17" s="98" t="s">
        <v>178</v>
      </c>
      <c r="E17" s="98" t="s">
        <v>189</v>
      </c>
      <c r="F17" s="109">
        <v>42992.566666666666</v>
      </c>
      <c r="G17" s="109">
        <v>42992.681250000001</v>
      </c>
      <c r="H17" s="109">
        <v>42992.71875</v>
      </c>
      <c r="I17" s="101">
        <f t="shared" si="0"/>
        <v>0.15208333333430346</v>
      </c>
      <c r="J17" s="98">
        <v>1.93</v>
      </c>
      <c r="K17" s="98">
        <v>2.1800000000000002</v>
      </c>
      <c r="L17" s="98">
        <f t="shared" si="2"/>
        <v>0.25000000000000022</v>
      </c>
      <c r="M17" s="102">
        <v>6.86</v>
      </c>
      <c r="N17" s="104">
        <f>AVERAGE(89,89,89)</f>
        <v>89</v>
      </c>
      <c r="O17" s="98"/>
      <c r="P17" s="98"/>
      <c r="Q17" s="98"/>
      <c r="R17" s="98"/>
      <c r="S17" s="98"/>
      <c r="T17" s="101"/>
      <c r="U17" s="98"/>
      <c r="V17" s="98"/>
      <c r="W17" s="98"/>
      <c r="X17" s="102"/>
      <c r="Y17" s="98"/>
      <c r="Z17" s="98" t="s">
        <v>173</v>
      </c>
      <c r="AA17" s="98" t="s">
        <v>178</v>
      </c>
      <c r="AB17" s="98" t="s">
        <v>188</v>
      </c>
      <c r="AC17" s="109">
        <v>42992.681250000001</v>
      </c>
      <c r="AD17" s="109">
        <v>42992.690972222219</v>
      </c>
      <c r="AE17" s="109">
        <v>42993.670138888891</v>
      </c>
      <c r="AF17" s="101">
        <f t="shared" si="5"/>
        <v>1.1034722222248092</v>
      </c>
      <c r="AG17" s="98">
        <v>0.48</v>
      </c>
      <c r="AH17" s="98">
        <v>0.62</v>
      </c>
      <c r="AI17" s="98">
        <f t="shared" si="6"/>
        <v>0.14000000000000001</v>
      </c>
      <c r="AJ17" s="102">
        <v>7.09</v>
      </c>
      <c r="AK17" s="104">
        <f>AVERAGE(133,135,133)</f>
        <v>133.66666666666666</v>
      </c>
      <c r="AL17" s="149">
        <v>2</v>
      </c>
      <c r="AM17" s="48">
        <v>1</v>
      </c>
    </row>
    <row r="18" spans="1:39">
      <c r="A18" s="48">
        <v>17</v>
      </c>
      <c r="B18" s="150">
        <v>42993</v>
      </c>
      <c r="C18" s="98" t="s">
        <v>186</v>
      </c>
      <c r="D18" s="98" t="s">
        <v>169</v>
      </c>
      <c r="E18" s="98" t="s">
        <v>189</v>
      </c>
      <c r="F18" s="109">
        <v>42993.515277777777</v>
      </c>
      <c r="G18" s="109">
        <v>42993.637499999997</v>
      </c>
      <c r="H18" s="109">
        <v>42993.640972222223</v>
      </c>
      <c r="I18" s="101">
        <f t="shared" si="0"/>
        <v>0.12569444444670808</v>
      </c>
      <c r="J18" s="98">
        <v>0.65</v>
      </c>
      <c r="K18" s="98">
        <v>0.8</v>
      </c>
      <c r="L18" s="98">
        <f t="shared" si="2"/>
        <v>0.15000000000000002</v>
      </c>
      <c r="M18" s="102">
        <v>7.31</v>
      </c>
      <c r="N18" s="104">
        <f>AVERAGE(91,91,91)</f>
        <v>91</v>
      </c>
      <c r="O18" s="98"/>
      <c r="P18" s="98"/>
      <c r="Q18" s="98"/>
      <c r="R18" s="98"/>
      <c r="S18" s="98"/>
      <c r="T18" s="101"/>
      <c r="U18" s="98"/>
      <c r="V18" s="98"/>
      <c r="W18" s="98"/>
      <c r="X18" s="102"/>
      <c r="Y18" s="98"/>
      <c r="Z18" s="98"/>
      <c r="AA18" s="98"/>
      <c r="AB18" s="98"/>
      <c r="AC18" s="98"/>
      <c r="AD18" s="98"/>
      <c r="AE18" s="98"/>
      <c r="AF18" s="101"/>
      <c r="AG18" s="98"/>
      <c r="AH18" s="98"/>
      <c r="AI18" s="98"/>
      <c r="AJ18" s="98"/>
      <c r="AK18" s="98"/>
      <c r="AL18" s="149">
        <v>2</v>
      </c>
      <c r="AM18" s="48">
        <v>1</v>
      </c>
    </row>
    <row r="19" spans="1:39">
      <c r="A19" s="48">
        <v>18</v>
      </c>
      <c r="B19" s="150">
        <v>42997</v>
      </c>
      <c r="C19" s="98" t="s">
        <v>199</v>
      </c>
      <c r="D19" s="98" t="s">
        <v>177</v>
      </c>
      <c r="E19" s="98" t="s">
        <v>200</v>
      </c>
      <c r="F19" s="98"/>
      <c r="G19" s="98"/>
      <c r="H19" s="98"/>
      <c r="I19" s="98"/>
      <c r="J19" s="98"/>
      <c r="K19" s="98"/>
      <c r="L19" s="98"/>
      <c r="M19" s="102"/>
      <c r="N19" s="98"/>
      <c r="O19" s="98"/>
      <c r="P19" s="98"/>
      <c r="Q19" s="98"/>
      <c r="R19" s="98"/>
      <c r="S19" s="98"/>
      <c r="T19" s="101"/>
      <c r="U19" s="98"/>
      <c r="V19" s="98"/>
      <c r="W19" s="98"/>
      <c r="X19" s="102"/>
      <c r="Y19" s="98"/>
      <c r="Z19" s="98" t="s">
        <v>199</v>
      </c>
      <c r="AA19" s="98" t="s">
        <v>177</v>
      </c>
      <c r="AB19" s="98" t="s">
        <v>200</v>
      </c>
      <c r="AC19" s="109"/>
      <c r="AD19" s="109"/>
      <c r="AE19" s="109">
        <v>42997.540277777778</v>
      </c>
      <c r="AF19" s="101"/>
      <c r="AG19" s="98">
        <v>0.06</v>
      </c>
      <c r="AH19" s="98">
        <v>0.27</v>
      </c>
      <c r="AI19" s="98">
        <f>AH19-AG19</f>
        <v>0.21000000000000002</v>
      </c>
      <c r="AJ19" s="102">
        <v>7.1</v>
      </c>
      <c r="AK19" s="104">
        <f>AVERAGE(100,98,99)</f>
        <v>99</v>
      </c>
      <c r="AL19" s="149">
        <v>2</v>
      </c>
      <c r="AM19" s="48">
        <v>1</v>
      </c>
    </row>
    <row r="20" spans="1:39">
      <c r="A20" s="48">
        <v>19</v>
      </c>
      <c r="B20" s="150">
        <v>42997</v>
      </c>
      <c r="C20" s="98" t="s">
        <v>201</v>
      </c>
      <c r="D20" s="98" t="s">
        <v>178</v>
      </c>
      <c r="E20" s="98" t="s">
        <v>202</v>
      </c>
      <c r="F20" s="98"/>
      <c r="G20" s="98"/>
      <c r="H20" s="98"/>
      <c r="I20" s="98"/>
      <c r="J20" s="98"/>
      <c r="K20" s="98"/>
      <c r="L20" s="98"/>
      <c r="M20" s="102"/>
      <c r="N20" s="98"/>
      <c r="O20" s="98"/>
      <c r="P20" s="98"/>
      <c r="Q20" s="98"/>
      <c r="R20" s="98"/>
      <c r="S20" s="98"/>
      <c r="T20" s="101"/>
      <c r="U20" s="98"/>
      <c r="V20" s="98"/>
      <c r="W20" s="98"/>
      <c r="X20" s="102"/>
      <c r="Y20" s="98"/>
      <c r="Z20" s="98" t="s">
        <v>201</v>
      </c>
      <c r="AA20" s="98" t="s">
        <v>178</v>
      </c>
      <c r="AB20" s="98" t="s">
        <v>202</v>
      </c>
      <c r="AC20" s="109"/>
      <c r="AD20" s="109"/>
      <c r="AE20" s="109">
        <v>42997.540277777778</v>
      </c>
      <c r="AF20" s="101"/>
      <c r="AG20" s="98">
        <v>0.4</v>
      </c>
      <c r="AH20" s="98">
        <v>0.72</v>
      </c>
      <c r="AI20" s="98">
        <f t="shared" ref="AI20:AI22" si="7">AH20-AG20</f>
        <v>0.31999999999999995</v>
      </c>
      <c r="AJ20" s="102">
        <v>6.9</v>
      </c>
      <c r="AK20" s="104">
        <f>AVERAGE(108,107,107)</f>
        <v>107.33333333333333</v>
      </c>
      <c r="AL20" s="149">
        <v>2</v>
      </c>
      <c r="AM20" s="48">
        <v>1</v>
      </c>
    </row>
    <row r="21" spans="1:39">
      <c r="A21" s="48">
        <v>20</v>
      </c>
      <c r="B21" s="150">
        <v>42997</v>
      </c>
      <c r="C21" s="98" t="s">
        <v>205</v>
      </c>
      <c r="D21" s="98" t="s">
        <v>177</v>
      </c>
      <c r="E21" s="98" t="s">
        <v>206</v>
      </c>
      <c r="F21" s="98"/>
      <c r="G21" s="98"/>
      <c r="H21" s="98"/>
      <c r="I21" s="98"/>
      <c r="J21" s="98"/>
      <c r="K21" s="98"/>
      <c r="L21" s="98"/>
      <c r="M21" s="102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102"/>
      <c r="Y21" s="98"/>
      <c r="Z21" s="98" t="s">
        <v>205</v>
      </c>
      <c r="AA21" s="98" t="s">
        <v>177</v>
      </c>
      <c r="AB21" s="98" t="s">
        <v>206</v>
      </c>
      <c r="AC21" s="109">
        <v>42996.511111111111</v>
      </c>
      <c r="AD21" s="109">
        <v>42996.511111111111</v>
      </c>
      <c r="AE21" s="109">
        <v>42997.540277777778</v>
      </c>
      <c r="AF21" s="101"/>
      <c r="AG21" s="98">
        <v>0.74</v>
      </c>
      <c r="AH21" s="98">
        <v>0.9</v>
      </c>
      <c r="AI21" s="98">
        <f t="shared" si="7"/>
        <v>0.16000000000000003</v>
      </c>
      <c r="AJ21" s="102">
        <v>7.5</v>
      </c>
      <c r="AK21" s="104">
        <f>AVERAGE(94,93,92)</f>
        <v>93</v>
      </c>
      <c r="AL21" s="149">
        <v>2</v>
      </c>
      <c r="AM21" s="48">
        <v>1</v>
      </c>
    </row>
    <row r="22" spans="1:39">
      <c r="A22" s="48">
        <v>21</v>
      </c>
      <c r="B22" s="150">
        <v>42997</v>
      </c>
      <c r="C22" s="98" t="s">
        <v>209</v>
      </c>
      <c r="D22" s="98" t="s">
        <v>178</v>
      </c>
      <c r="E22" s="98" t="s">
        <v>210</v>
      </c>
      <c r="F22" s="98"/>
      <c r="G22" s="98"/>
      <c r="H22" s="98"/>
      <c r="I22" s="98"/>
      <c r="J22" s="98"/>
      <c r="K22" s="98"/>
      <c r="L22" s="98"/>
      <c r="M22" s="102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102"/>
      <c r="Y22" s="98"/>
      <c r="Z22" s="98" t="s">
        <v>209</v>
      </c>
      <c r="AA22" s="98" t="s">
        <v>178</v>
      </c>
      <c r="AB22" s="98" t="s">
        <v>210</v>
      </c>
      <c r="AC22" s="109">
        <v>42996.51666666667</v>
      </c>
      <c r="AD22" s="109">
        <v>42996.51666666667</v>
      </c>
      <c r="AE22" s="109">
        <v>42997.540277777778</v>
      </c>
      <c r="AF22" s="101"/>
      <c r="AG22" s="98">
        <v>0.98</v>
      </c>
      <c r="AH22" s="98">
        <v>1.22</v>
      </c>
      <c r="AI22" s="98">
        <f t="shared" si="7"/>
        <v>0.24</v>
      </c>
      <c r="AJ22" s="102">
        <v>7.5</v>
      </c>
      <c r="AK22" s="104">
        <f>AVERAGE(89,91,89)</f>
        <v>89.666666666666671</v>
      </c>
      <c r="AL22" s="149">
        <v>2</v>
      </c>
      <c r="AM22" s="48">
        <v>1</v>
      </c>
    </row>
    <row r="23" spans="1:39">
      <c r="AF23" s="101"/>
      <c r="AL23" s="149"/>
    </row>
    <row r="24" spans="1:39">
      <c r="AF24" s="101"/>
      <c r="AL24" s="149"/>
    </row>
    <row r="25" spans="1:39">
      <c r="AF25" s="101"/>
      <c r="AL25" s="149"/>
    </row>
    <row r="26" spans="1:39">
      <c r="AL26" s="14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"/>
  <sheetViews>
    <sheetView topLeftCell="X1" workbookViewId="0">
      <selection activeCell="B9" sqref="B9"/>
    </sheetView>
  </sheetViews>
  <sheetFormatPr baseColWidth="10" defaultColWidth="11" defaultRowHeight="15" x14ac:dyDescent="0"/>
  <cols>
    <col min="1" max="1" width="9" style="48" customWidth="1"/>
    <col min="2" max="2" width="12" style="48" bestFit="1" customWidth="1"/>
    <col min="3" max="4" width="9.5" style="48" customWidth="1"/>
    <col min="5" max="5" width="59.1640625" style="48" customWidth="1"/>
    <col min="6" max="6" width="15.5" style="48" customWidth="1"/>
    <col min="7" max="7" width="16" style="48" bestFit="1" customWidth="1"/>
    <col min="8" max="8" width="14.1640625" style="48" customWidth="1"/>
    <col min="9" max="9" width="15.33203125" style="48" bestFit="1" customWidth="1"/>
    <col min="10" max="10" width="6.1640625" style="48" customWidth="1"/>
    <col min="11" max="12" width="6.33203125" style="48" customWidth="1"/>
    <col min="13" max="13" width="6.1640625" style="69" customWidth="1"/>
    <col min="14" max="14" width="7.5" style="48" customWidth="1"/>
    <col min="15" max="15" width="8.6640625" style="48" customWidth="1"/>
    <col min="16" max="16" width="9.5" style="48" customWidth="1"/>
    <col min="17" max="17" width="38.1640625" style="48" customWidth="1"/>
    <col min="18" max="18" width="16" style="48" customWidth="1"/>
    <col min="19" max="19" width="14.1640625" style="48" customWidth="1"/>
    <col min="20" max="20" width="15.33203125" style="48" bestFit="1" customWidth="1"/>
    <col min="21" max="21" width="6.1640625" style="48" customWidth="1"/>
    <col min="22" max="23" width="6.33203125" style="48" customWidth="1"/>
    <col min="24" max="24" width="6.1640625" style="69" customWidth="1"/>
    <col min="25" max="25" width="7.5" style="48" customWidth="1"/>
    <col min="26" max="27" width="9.5" style="48" customWidth="1"/>
    <col min="28" max="28" width="59.1640625" style="48" customWidth="1"/>
    <col min="29" max="29" width="16" style="48" customWidth="1"/>
    <col min="30" max="31" width="14.1640625" style="48" customWidth="1"/>
    <col min="32" max="32" width="15.33203125" style="48" customWidth="1"/>
    <col min="33" max="33" width="6.1640625" style="48" customWidth="1"/>
    <col min="34" max="35" width="6.33203125" style="48" customWidth="1"/>
    <col min="36" max="36" width="6.1640625" style="48" customWidth="1"/>
    <col min="37" max="37" width="7.5" style="48" customWidth="1"/>
    <col min="38" max="38" width="4.5" style="48" customWidth="1"/>
    <col min="39" max="16384" width="11" style="48"/>
  </cols>
  <sheetData>
    <row r="1" spans="1:39">
      <c r="A1" s="151" t="s">
        <v>133</v>
      </c>
      <c r="B1" s="106" t="s">
        <v>155</v>
      </c>
      <c r="C1" s="106" t="s">
        <v>134</v>
      </c>
      <c r="D1" s="106" t="s">
        <v>135</v>
      </c>
      <c r="E1" s="106" t="s">
        <v>136</v>
      </c>
      <c r="F1" s="106" t="s">
        <v>129</v>
      </c>
      <c r="G1" s="106" t="s">
        <v>137</v>
      </c>
      <c r="H1" s="106" t="s">
        <v>138</v>
      </c>
      <c r="I1" s="106" t="s">
        <v>139</v>
      </c>
      <c r="J1" s="106" t="s">
        <v>140</v>
      </c>
      <c r="K1" s="106" t="s">
        <v>141</v>
      </c>
      <c r="L1" s="106" t="s">
        <v>142</v>
      </c>
      <c r="M1" s="107" t="s">
        <v>143</v>
      </c>
      <c r="N1" s="106" t="s">
        <v>144</v>
      </c>
      <c r="O1" s="106" t="s">
        <v>145</v>
      </c>
      <c r="P1" s="106" t="s">
        <v>146</v>
      </c>
      <c r="Q1" s="106" t="s">
        <v>147</v>
      </c>
      <c r="R1" s="106" t="s">
        <v>148</v>
      </c>
      <c r="S1" s="106" t="s">
        <v>149</v>
      </c>
      <c r="T1" s="106" t="s">
        <v>150</v>
      </c>
      <c r="U1" s="106" t="s">
        <v>156</v>
      </c>
      <c r="V1" s="106" t="s">
        <v>151</v>
      </c>
      <c r="W1" s="106" t="s">
        <v>152</v>
      </c>
      <c r="X1" s="107" t="s">
        <v>153</v>
      </c>
      <c r="Y1" s="106" t="s">
        <v>154</v>
      </c>
      <c r="Z1" s="106" t="s">
        <v>157</v>
      </c>
      <c r="AA1" s="106" t="s">
        <v>158</v>
      </c>
      <c r="AB1" s="106" t="s">
        <v>159</v>
      </c>
      <c r="AC1" s="148" t="s">
        <v>223</v>
      </c>
      <c r="AD1" s="148" t="s">
        <v>160</v>
      </c>
      <c r="AE1" s="148" t="s">
        <v>161</v>
      </c>
      <c r="AF1" s="148" t="s">
        <v>162</v>
      </c>
      <c r="AG1" s="106" t="s">
        <v>163</v>
      </c>
      <c r="AH1" s="106" t="s">
        <v>164</v>
      </c>
      <c r="AI1" s="106" t="s">
        <v>165</v>
      </c>
      <c r="AJ1" s="107" t="s">
        <v>166</v>
      </c>
      <c r="AK1" s="106" t="s">
        <v>167</v>
      </c>
      <c r="AL1" s="106" t="s">
        <v>222</v>
      </c>
      <c r="AM1" s="106" t="s">
        <v>224</v>
      </c>
    </row>
    <row r="2" spans="1:39">
      <c r="A2" s="46">
        <v>22</v>
      </c>
      <c r="B2" s="23">
        <v>42970</v>
      </c>
      <c r="C2" s="20" t="s">
        <v>61</v>
      </c>
      <c r="D2" s="20" t="s">
        <v>62</v>
      </c>
      <c r="E2" s="20" t="s">
        <v>63</v>
      </c>
      <c r="F2" s="109">
        <v>42970.395833333336</v>
      </c>
      <c r="G2" s="109">
        <v>42970.449305555558</v>
      </c>
      <c r="H2" s="108">
        <v>42970.458333333336</v>
      </c>
      <c r="I2" s="101">
        <f>H2-F2</f>
        <v>6.25E-2</v>
      </c>
      <c r="J2" s="20">
        <v>0.8</v>
      </c>
      <c r="K2" s="20">
        <v>1.1100000000000001</v>
      </c>
      <c r="L2" s="20">
        <f t="shared" ref="L2:L4" si="0">K2-J2</f>
        <v>0.31000000000000005</v>
      </c>
      <c r="M2" s="22"/>
      <c r="N2" s="105">
        <f>AVERAGE(95.96,96)</f>
        <v>95.97999999999999</v>
      </c>
      <c r="O2" s="20" t="s">
        <v>64</v>
      </c>
      <c r="P2" s="20" t="s">
        <v>65</v>
      </c>
      <c r="Q2" s="20" t="s">
        <v>23</v>
      </c>
      <c r="R2" s="109">
        <v>42970.449305555558</v>
      </c>
      <c r="S2" s="108">
        <v>42970.458333333336</v>
      </c>
      <c r="T2" s="101">
        <f>S2-F2</f>
        <v>6.25E-2</v>
      </c>
      <c r="U2" s="20"/>
      <c r="V2" s="20"/>
      <c r="W2" s="20"/>
      <c r="X2" s="22"/>
      <c r="Y2" s="105">
        <f>AVERAGE(90,90,90)</f>
        <v>90</v>
      </c>
      <c r="Z2" s="20"/>
      <c r="AA2" s="20"/>
      <c r="AB2" s="20"/>
      <c r="AC2" s="109"/>
      <c r="AD2" s="20"/>
      <c r="AE2" s="108"/>
      <c r="AF2" s="101"/>
      <c r="AG2" s="20"/>
      <c r="AH2" s="20"/>
      <c r="AI2" s="20"/>
      <c r="AJ2" s="22"/>
      <c r="AK2" s="20"/>
      <c r="AL2" s="98">
        <v>1</v>
      </c>
      <c r="AM2" s="98">
        <v>2</v>
      </c>
    </row>
    <row r="3" spans="1:39">
      <c r="A3" s="46">
        <v>23</v>
      </c>
      <c r="B3" s="150">
        <v>42992</v>
      </c>
      <c r="C3" s="98" t="s">
        <v>175</v>
      </c>
      <c r="D3" s="98" t="s">
        <v>179</v>
      </c>
      <c r="E3" s="98" t="s">
        <v>190</v>
      </c>
      <c r="F3" s="109">
        <v>42992.50277777778</v>
      </c>
      <c r="G3" s="109">
        <v>42992.685416666667</v>
      </c>
      <c r="H3" s="109">
        <v>42992.71875</v>
      </c>
      <c r="I3" s="101">
        <f>H3-F3</f>
        <v>0.21597222222044365</v>
      </c>
      <c r="J3" s="98">
        <v>0.05</v>
      </c>
      <c r="K3" s="98">
        <v>7.0000000000000007E-2</v>
      </c>
      <c r="L3" s="98">
        <f t="shared" si="0"/>
        <v>2.0000000000000004E-2</v>
      </c>
      <c r="M3" s="102">
        <v>6.87</v>
      </c>
      <c r="N3" s="104">
        <f>AVERAGE(230,230,228)</f>
        <v>229.33333333333334</v>
      </c>
      <c r="O3" s="98" t="s">
        <v>176</v>
      </c>
      <c r="P3" s="98" t="s">
        <v>180</v>
      </c>
      <c r="Q3" s="98" t="s">
        <v>211</v>
      </c>
      <c r="R3" s="109">
        <v>42992.688888888886</v>
      </c>
      <c r="S3" s="109">
        <v>42992.71875</v>
      </c>
      <c r="T3" s="101">
        <f t="shared" ref="T3:T4" si="1">S3-F3</f>
        <v>0.21597222222044365</v>
      </c>
      <c r="U3" s="98">
        <v>0.8</v>
      </c>
      <c r="V3" s="98">
        <v>1.04</v>
      </c>
      <c r="W3" s="98">
        <f t="shared" ref="W3:W4" si="2">V3-U3</f>
        <v>0.24</v>
      </c>
      <c r="X3" s="102">
        <v>7.18</v>
      </c>
      <c r="Y3" s="104">
        <f>AVERAGE(227,228,224)</f>
        <v>226.33333333333334</v>
      </c>
      <c r="Z3" s="98" t="s">
        <v>181</v>
      </c>
      <c r="AA3" s="98" t="s">
        <v>180</v>
      </c>
      <c r="AB3" s="98" t="s">
        <v>191</v>
      </c>
      <c r="AC3" s="109">
        <v>42992.688888888886</v>
      </c>
      <c r="AD3" s="109">
        <v>42992.690972222219</v>
      </c>
      <c r="AE3" s="109">
        <v>42993.670138888891</v>
      </c>
      <c r="AF3" s="101">
        <f>AE3-F3</f>
        <v>1.1673611111109494</v>
      </c>
      <c r="AG3" s="98">
        <v>0.19</v>
      </c>
      <c r="AH3" s="98">
        <v>0.27</v>
      </c>
      <c r="AI3" s="98">
        <f t="shared" ref="AI3" si="3">AH3-AG3</f>
        <v>8.0000000000000016E-2</v>
      </c>
      <c r="AJ3" s="102">
        <v>7.07</v>
      </c>
      <c r="AK3" s="104">
        <f>AVERAGE(252,249,246)</f>
        <v>249</v>
      </c>
      <c r="AL3" s="98">
        <v>2</v>
      </c>
      <c r="AM3" s="98">
        <v>2</v>
      </c>
    </row>
    <row r="4" spans="1:39">
      <c r="A4" s="46">
        <v>24</v>
      </c>
      <c r="B4" s="150">
        <v>42993</v>
      </c>
      <c r="C4" s="98" t="s">
        <v>182</v>
      </c>
      <c r="D4" s="98" t="s">
        <v>183</v>
      </c>
      <c r="E4" s="98" t="s">
        <v>192</v>
      </c>
      <c r="F4" s="109">
        <v>42993.554861111108</v>
      </c>
      <c r="G4" s="109">
        <v>42993.633333333331</v>
      </c>
      <c r="H4" s="109">
        <v>42993.651388888888</v>
      </c>
      <c r="I4" s="101">
        <f>H4-F4</f>
        <v>9.6527777779556345E-2</v>
      </c>
      <c r="J4" s="98">
        <v>7.0000000000000007E-2</v>
      </c>
      <c r="K4" s="98">
        <v>0.56000000000000005</v>
      </c>
      <c r="L4" s="98">
        <f t="shared" si="0"/>
        <v>0.49000000000000005</v>
      </c>
      <c r="M4" s="102">
        <v>7.27</v>
      </c>
      <c r="N4" s="104">
        <f>AVERAGE(284,283,280)</f>
        <v>282.33333333333331</v>
      </c>
      <c r="O4" s="98" t="s">
        <v>184</v>
      </c>
      <c r="P4" s="98" t="s">
        <v>183</v>
      </c>
      <c r="Q4" s="98" t="s">
        <v>185</v>
      </c>
      <c r="R4" s="109">
        <v>42993.634027777778</v>
      </c>
      <c r="S4" s="109">
        <v>42993.656944444447</v>
      </c>
      <c r="T4" s="101">
        <f t="shared" si="1"/>
        <v>0.10208333333866904</v>
      </c>
      <c r="U4" s="98">
        <v>0.14000000000000001</v>
      </c>
      <c r="V4" s="98">
        <v>0.56999999999999995</v>
      </c>
      <c r="W4" s="98">
        <f t="shared" si="2"/>
        <v>0.42999999999999994</v>
      </c>
      <c r="X4" s="102">
        <v>7.18</v>
      </c>
      <c r="Y4" s="104">
        <f>AVERAGE(268,266,266)</f>
        <v>266.66666666666669</v>
      </c>
      <c r="Z4" s="98"/>
      <c r="AA4" s="98"/>
      <c r="AB4" s="98"/>
      <c r="AC4" s="109"/>
      <c r="AD4" s="109"/>
      <c r="AE4" s="109"/>
      <c r="AF4" s="101"/>
      <c r="AG4" s="102"/>
      <c r="AH4" s="102"/>
      <c r="AI4" s="102"/>
      <c r="AJ4" s="102"/>
      <c r="AK4" s="105"/>
      <c r="AL4" s="98">
        <v>2</v>
      </c>
      <c r="AM4" s="98">
        <v>2</v>
      </c>
    </row>
    <row r="5" spans="1:39">
      <c r="A5" s="46">
        <v>25</v>
      </c>
      <c r="B5" s="150">
        <v>42997</v>
      </c>
      <c r="C5" s="98" t="s">
        <v>203</v>
      </c>
      <c r="D5" s="98" t="s">
        <v>180</v>
      </c>
      <c r="E5" s="98" t="s">
        <v>204</v>
      </c>
      <c r="F5" s="109"/>
      <c r="G5" s="109"/>
      <c r="H5" s="109"/>
      <c r="I5" s="101"/>
      <c r="J5" s="102"/>
      <c r="K5" s="102"/>
      <c r="L5" s="102"/>
      <c r="M5" s="102"/>
      <c r="N5" s="105"/>
      <c r="O5" s="98"/>
      <c r="P5" s="98"/>
      <c r="Q5" s="98"/>
      <c r="R5" s="109"/>
      <c r="S5" s="109"/>
      <c r="T5" s="101"/>
      <c r="U5" s="102"/>
      <c r="V5" s="102"/>
      <c r="W5" s="102"/>
      <c r="X5" s="102"/>
      <c r="Y5" s="105"/>
      <c r="Z5" s="98" t="s">
        <v>203</v>
      </c>
      <c r="AA5" s="98" t="s">
        <v>180</v>
      </c>
      <c r="AB5" s="98" t="s">
        <v>204</v>
      </c>
      <c r="AC5" s="109">
        <v>42996.293749999997</v>
      </c>
      <c r="AD5" s="109">
        <v>42996.293749999997</v>
      </c>
      <c r="AE5" s="109">
        <v>42997.540277777778</v>
      </c>
      <c r="AF5" s="101"/>
      <c r="AG5" s="98">
        <v>7.0000000000000007E-2</v>
      </c>
      <c r="AH5" s="98">
        <v>0.27</v>
      </c>
      <c r="AI5" s="98">
        <f t="shared" ref="AI5:AI6" si="4">AH5-AG5</f>
        <v>0.2</v>
      </c>
      <c r="AJ5" s="102">
        <v>7.2</v>
      </c>
      <c r="AK5" s="104">
        <f>AVERAGE(205,205,202)</f>
        <v>204</v>
      </c>
      <c r="AL5" s="98">
        <v>2</v>
      </c>
      <c r="AM5" s="98">
        <v>2</v>
      </c>
    </row>
    <row r="6" spans="1:39">
      <c r="A6" s="46">
        <v>26</v>
      </c>
      <c r="B6" s="150">
        <v>42997</v>
      </c>
      <c r="C6" s="98" t="s">
        <v>207</v>
      </c>
      <c r="D6" s="98" t="s">
        <v>180</v>
      </c>
      <c r="E6" s="98" t="s">
        <v>208</v>
      </c>
      <c r="F6" s="109"/>
      <c r="G6" s="109"/>
      <c r="H6" s="108"/>
      <c r="I6" s="101"/>
      <c r="J6" s="102"/>
      <c r="K6" s="102"/>
      <c r="L6" s="102"/>
      <c r="M6" s="102"/>
      <c r="N6" s="105"/>
      <c r="O6" s="98"/>
      <c r="P6" s="98"/>
      <c r="Q6" s="98"/>
      <c r="R6" s="109"/>
      <c r="S6" s="108"/>
      <c r="T6" s="101"/>
      <c r="U6" s="102"/>
      <c r="V6" s="102"/>
      <c r="W6" s="102"/>
      <c r="X6" s="102"/>
      <c r="Y6" s="105"/>
      <c r="Z6" s="98" t="s">
        <v>207</v>
      </c>
      <c r="AA6" s="98" t="s">
        <v>180</v>
      </c>
      <c r="AB6" s="98" t="s">
        <v>208</v>
      </c>
      <c r="AC6" s="109">
        <v>42996.512499999997</v>
      </c>
      <c r="AD6" s="109">
        <v>42996.512499999997</v>
      </c>
      <c r="AE6" s="109">
        <v>42997.540277777778</v>
      </c>
      <c r="AF6" s="101"/>
      <c r="AG6" s="98">
        <v>0.54</v>
      </c>
      <c r="AH6" s="98">
        <v>0.73</v>
      </c>
      <c r="AI6" s="98">
        <f t="shared" si="4"/>
        <v>0.18999999999999995</v>
      </c>
      <c r="AJ6" s="102">
        <v>7.3</v>
      </c>
      <c r="AK6" s="104">
        <f>AVERAGE(201,201,201)</f>
        <v>201</v>
      </c>
      <c r="AL6" s="98">
        <v>2</v>
      </c>
      <c r="AM6" s="98">
        <v>2</v>
      </c>
    </row>
    <row r="7" spans="1:39">
      <c r="B7" s="150"/>
      <c r="C7" s="98"/>
      <c r="D7" s="98"/>
      <c r="E7" s="98"/>
      <c r="F7" s="109"/>
      <c r="G7" s="109"/>
      <c r="H7" s="108"/>
      <c r="I7" s="101"/>
      <c r="J7" s="102"/>
      <c r="K7" s="102"/>
      <c r="L7" s="102"/>
      <c r="M7" s="102"/>
      <c r="N7" s="104"/>
      <c r="O7" s="98"/>
      <c r="P7" s="98"/>
      <c r="Q7" s="98"/>
      <c r="R7" s="109"/>
      <c r="S7" s="108"/>
      <c r="T7" s="101"/>
      <c r="U7" s="102"/>
      <c r="V7" s="102"/>
      <c r="W7" s="102"/>
      <c r="X7" s="102"/>
      <c r="Y7" s="104"/>
      <c r="Z7" s="98"/>
      <c r="AA7" s="98"/>
      <c r="AB7" s="98"/>
      <c r="AC7" s="109"/>
      <c r="AD7" s="109"/>
      <c r="AE7" s="108"/>
      <c r="AF7" s="101"/>
      <c r="AG7" s="102"/>
      <c r="AH7" s="102"/>
      <c r="AI7" s="102"/>
      <c r="AJ7" s="102"/>
      <c r="AK7" s="104"/>
      <c r="AL7" s="98"/>
      <c r="AM7" s="98"/>
    </row>
    <row r="8" spans="1:39">
      <c r="B8" s="150"/>
      <c r="C8" s="98"/>
      <c r="D8" s="98"/>
      <c r="E8" s="98"/>
      <c r="F8" s="109"/>
      <c r="G8" s="109"/>
      <c r="H8" s="108"/>
      <c r="I8" s="101"/>
      <c r="J8" s="102"/>
      <c r="K8" s="102"/>
      <c r="L8" s="102"/>
      <c r="M8" s="102"/>
      <c r="N8" s="104"/>
      <c r="O8" s="98"/>
      <c r="P8" s="98"/>
      <c r="Q8" s="98"/>
      <c r="R8" s="109"/>
      <c r="S8" s="108"/>
      <c r="T8" s="101"/>
      <c r="U8" s="102"/>
      <c r="V8" s="102"/>
      <c r="W8" s="102"/>
      <c r="X8" s="102"/>
      <c r="Y8" s="104"/>
      <c r="Z8" s="98"/>
      <c r="AA8" s="98"/>
      <c r="AB8" s="98"/>
      <c r="AC8" s="109"/>
      <c r="AD8" s="109"/>
      <c r="AE8" s="108"/>
      <c r="AF8" s="101"/>
      <c r="AG8" s="102"/>
      <c r="AH8" s="102"/>
      <c r="AI8" s="102"/>
      <c r="AJ8" s="102"/>
      <c r="AK8" s="104"/>
      <c r="AL8" s="98"/>
      <c r="AM8" s="98"/>
    </row>
    <row r="9" spans="1:39">
      <c r="B9" s="150"/>
      <c r="C9" s="98"/>
      <c r="D9" s="98"/>
      <c r="E9" s="98"/>
      <c r="F9" s="109"/>
      <c r="G9" s="109"/>
      <c r="H9" s="108"/>
      <c r="I9" s="101"/>
      <c r="J9" s="102"/>
      <c r="K9" s="102"/>
      <c r="L9" s="102"/>
      <c r="M9" s="102"/>
      <c r="N9" s="104"/>
      <c r="O9" s="98"/>
      <c r="P9" s="98"/>
      <c r="Q9" s="98"/>
      <c r="R9" s="109"/>
      <c r="S9" s="108"/>
      <c r="T9" s="101"/>
      <c r="U9" s="98"/>
      <c r="V9" s="102"/>
      <c r="W9" s="98"/>
      <c r="X9" s="102"/>
      <c r="Y9" s="104"/>
      <c r="Z9" s="98"/>
      <c r="AA9" s="98"/>
      <c r="AB9" s="98"/>
      <c r="AC9" s="109"/>
      <c r="AD9" s="109"/>
      <c r="AE9" s="108"/>
      <c r="AF9" s="101"/>
      <c r="AG9" s="98"/>
      <c r="AH9" s="102"/>
      <c r="AI9" s="98"/>
      <c r="AJ9" s="102"/>
      <c r="AK9" s="104"/>
      <c r="AL9" s="98"/>
      <c r="AM9" s="98"/>
    </row>
    <row r="10" spans="1:39">
      <c r="B10" s="150"/>
      <c r="C10" s="98"/>
      <c r="D10" s="98"/>
      <c r="E10" s="98"/>
      <c r="F10" s="109"/>
      <c r="G10" s="109"/>
      <c r="H10" s="108"/>
      <c r="I10" s="101"/>
      <c r="J10" s="98"/>
      <c r="K10" s="102"/>
      <c r="L10" s="98"/>
      <c r="M10" s="102"/>
      <c r="N10" s="104"/>
      <c r="O10" s="98"/>
      <c r="P10" s="98"/>
      <c r="Q10" s="98"/>
      <c r="R10" s="109"/>
      <c r="S10" s="108"/>
      <c r="T10" s="101"/>
      <c r="U10" s="98"/>
      <c r="V10" s="102"/>
      <c r="W10" s="98"/>
      <c r="X10" s="98"/>
      <c r="Y10" s="104"/>
      <c r="Z10" s="98"/>
      <c r="AA10" s="98"/>
      <c r="AB10" s="98"/>
      <c r="AC10" s="109"/>
      <c r="AD10" s="109"/>
      <c r="AE10" s="108"/>
      <c r="AF10" s="101"/>
      <c r="AG10" s="98"/>
      <c r="AH10" s="102"/>
      <c r="AI10" s="98"/>
      <c r="AJ10" s="102"/>
      <c r="AK10" s="104"/>
      <c r="AL10" s="98"/>
      <c r="AM10" s="98"/>
    </row>
    <row r="11" spans="1:39">
      <c r="B11" s="150"/>
      <c r="C11" s="98"/>
      <c r="D11" s="98"/>
      <c r="E11" s="98"/>
      <c r="F11" s="109"/>
      <c r="G11" s="109"/>
      <c r="H11" s="108"/>
      <c r="I11" s="101"/>
      <c r="J11" s="102"/>
      <c r="K11" s="102"/>
      <c r="L11" s="98"/>
      <c r="M11" s="102"/>
      <c r="N11" s="104"/>
      <c r="O11" s="98"/>
      <c r="P11" s="98"/>
      <c r="Q11" s="98"/>
      <c r="R11" s="109"/>
      <c r="S11" s="108"/>
      <c r="T11" s="101"/>
      <c r="U11" s="98"/>
      <c r="V11" s="102"/>
      <c r="W11" s="98"/>
      <c r="X11" s="102"/>
      <c r="Y11" s="104"/>
      <c r="Z11" s="98"/>
      <c r="AA11" s="98"/>
      <c r="AB11" s="98"/>
      <c r="AC11" s="109"/>
      <c r="AD11" s="109"/>
      <c r="AE11" s="108"/>
      <c r="AF11" s="101"/>
      <c r="AG11" s="98"/>
      <c r="AH11" s="102"/>
      <c r="AI11" s="98"/>
      <c r="AJ11" s="102"/>
      <c r="AK11" s="104"/>
      <c r="AL11" s="98"/>
      <c r="AM11" s="98"/>
    </row>
    <row r="12" spans="1:39">
      <c r="B12" s="150"/>
      <c r="C12" s="98"/>
      <c r="D12" s="98"/>
      <c r="E12" s="98"/>
      <c r="F12" s="109"/>
      <c r="G12" s="109"/>
      <c r="H12" s="108"/>
      <c r="I12" s="101"/>
      <c r="J12" s="98"/>
      <c r="K12" s="102"/>
      <c r="L12" s="98"/>
      <c r="M12" s="102"/>
      <c r="N12" s="104"/>
      <c r="O12" s="98"/>
      <c r="P12" s="98"/>
      <c r="Q12" s="98"/>
      <c r="R12" s="109"/>
      <c r="S12" s="108"/>
      <c r="T12" s="101"/>
      <c r="U12" s="98"/>
      <c r="V12" s="102"/>
      <c r="W12" s="98"/>
      <c r="X12" s="102"/>
      <c r="Y12" s="104"/>
      <c r="Z12" s="98"/>
      <c r="AA12" s="98"/>
      <c r="AB12" s="98"/>
      <c r="AC12" s="109"/>
      <c r="AD12" s="109"/>
      <c r="AE12" s="108"/>
      <c r="AF12" s="101"/>
      <c r="AG12" s="98"/>
      <c r="AH12" s="102"/>
      <c r="AI12" s="98"/>
      <c r="AJ12" s="102"/>
      <c r="AK12" s="104"/>
      <c r="AL12" s="98"/>
      <c r="AM12" s="98"/>
    </row>
    <row r="13" spans="1:39">
      <c r="B13" s="150"/>
      <c r="C13" s="98"/>
      <c r="D13" s="98"/>
      <c r="E13" s="98"/>
      <c r="F13" s="109"/>
      <c r="G13" s="109"/>
      <c r="H13" s="109"/>
      <c r="I13" s="101"/>
      <c r="J13" s="98"/>
      <c r="K13" s="98"/>
      <c r="L13" s="98"/>
      <c r="M13" s="102"/>
      <c r="N13" s="104"/>
      <c r="O13" s="98"/>
      <c r="P13" s="98"/>
      <c r="Q13" s="98"/>
      <c r="R13" s="109"/>
      <c r="S13" s="109"/>
      <c r="T13" s="101"/>
      <c r="U13" s="98"/>
      <c r="V13" s="98"/>
      <c r="W13" s="98"/>
      <c r="X13" s="102"/>
      <c r="Y13" s="104"/>
      <c r="Z13" s="98"/>
      <c r="AA13" s="98"/>
      <c r="AB13" s="98"/>
      <c r="AC13" s="109"/>
      <c r="AD13" s="98"/>
      <c r="AE13" s="109"/>
      <c r="AF13" s="101"/>
      <c r="AG13" s="98"/>
      <c r="AH13" s="98"/>
      <c r="AI13" s="98"/>
      <c r="AJ13" s="102"/>
      <c r="AK13" s="104"/>
      <c r="AL13" s="98"/>
      <c r="AM13" s="98"/>
    </row>
    <row r="14" spans="1:39">
      <c r="B14" s="150"/>
      <c r="C14" s="98"/>
      <c r="D14" s="98"/>
      <c r="E14" s="98"/>
      <c r="F14" s="109"/>
      <c r="G14" s="109"/>
      <c r="H14" s="109"/>
      <c r="I14" s="101"/>
      <c r="J14" s="98"/>
      <c r="K14" s="98"/>
      <c r="L14" s="98"/>
      <c r="M14" s="102"/>
      <c r="N14" s="104"/>
      <c r="O14" s="98"/>
      <c r="P14" s="98"/>
      <c r="Q14" s="98"/>
      <c r="R14" s="109"/>
      <c r="S14" s="109"/>
      <c r="T14" s="101"/>
      <c r="U14" s="98"/>
      <c r="V14" s="98"/>
      <c r="W14" s="98"/>
      <c r="X14" s="102"/>
      <c r="Y14" s="104"/>
      <c r="Z14" s="98"/>
      <c r="AA14" s="98"/>
      <c r="AB14" s="98"/>
      <c r="AC14" s="109"/>
      <c r="AD14" s="98"/>
      <c r="AE14" s="109"/>
      <c r="AF14" s="101"/>
      <c r="AG14" s="98"/>
      <c r="AH14" s="98"/>
      <c r="AI14" s="98"/>
      <c r="AJ14" s="102"/>
      <c r="AK14" s="104"/>
      <c r="AL14" s="98"/>
      <c r="AM14" s="98"/>
    </row>
    <row r="15" spans="1:39">
      <c r="B15" s="150"/>
      <c r="C15" s="98"/>
      <c r="D15" s="98"/>
      <c r="E15" s="98"/>
      <c r="F15" s="109"/>
      <c r="G15" s="109"/>
      <c r="H15" s="109"/>
      <c r="I15" s="101"/>
      <c r="J15" s="98"/>
      <c r="K15" s="98"/>
      <c r="L15" s="98"/>
      <c r="M15" s="102"/>
      <c r="N15" s="104"/>
      <c r="O15" s="98"/>
      <c r="P15" s="98"/>
      <c r="Q15" s="98"/>
      <c r="R15" s="109"/>
      <c r="S15" s="109"/>
      <c r="T15" s="101"/>
      <c r="U15" s="98"/>
      <c r="V15" s="98"/>
      <c r="W15" s="98"/>
      <c r="X15" s="102"/>
      <c r="Y15" s="104"/>
      <c r="Z15" s="98"/>
      <c r="AA15" s="98"/>
      <c r="AB15" s="98"/>
      <c r="AC15" s="109"/>
      <c r="AD15" s="109"/>
      <c r="AE15" s="109"/>
      <c r="AF15" s="101"/>
      <c r="AG15" s="98"/>
      <c r="AH15" s="98"/>
      <c r="AI15" s="98"/>
      <c r="AJ15" s="102"/>
      <c r="AK15" s="104"/>
      <c r="AL15" s="98"/>
      <c r="AM15" s="98"/>
    </row>
    <row r="16" spans="1:39">
      <c r="B16" s="150"/>
      <c r="C16" s="98"/>
      <c r="D16" s="98"/>
      <c r="E16" s="98"/>
      <c r="F16" s="109"/>
      <c r="G16" s="109"/>
      <c r="H16" s="109"/>
      <c r="I16" s="101"/>
      <c r="J16" s="98"/>
      <c r="K16" s="98"/>
      <c r="L16" s="98"/>
      <c r="M16" s="102"/>
      <c r="N16" s="104"/>
      <c r="O16" s="98"/>
      <c r="P16" s="98"/>
      <c r="Q16" s="98"/>
      <c r="R16" s="98"/>
      <c r="S16" s="98"/>
      <c r="T16" s="98"/>
      <c r="U16" s="98"/>
      <c r="V16" s="98"/>
      <c r="W16" s="98"/>
      <c r="X16" s="102"/>
      <c r="Y16" s="98"/>
      <c r="Z16" s="98"/>
      <c r="AA16" s="98"/>
      <c r="AB16" s="98"/>
      <c r="AC16" s="109"/>
      <c r="AD16" s="109"/>
      <c r="AE16" s="109"/>
      <c r="AF16" s="101"/>
      <c r="AG16" s="98"/>
      <c r="AH16" s="98"/>
      <c r="AI16" s="98"/>
      <c r="AJ16" s="102"/>
      <c r="AK16" s="104"/>
      <c r="AL16" s="98"/>
      <c r="AM16" s="98"/>
    </row>
    <row r="17" spans="2:39">
      <c r="B17" s="150"/>
      <c r="C17" s="98"/>
      <c r="D17" s="98"/>
      <c r="E17" s="98"/>
      <c r="F17" s="109"/>
      <c r="G17" s="109"/>
      <c r="H17" s="109"/>
      <c r="I17" s="101"/>
      <c r="J17" s="98"/>
      <c r="K17" s="98"/>
      <c r="L17" s="98"/>
      <c r="M17" s="102"/>
      <c r="N17" s="104"/>
      <c r="O17" s="98"/>
      <c r="P17" s="98"/>
      <c r="Q17" s="98"/>
      <c r="R17" s="98"/>
      <c r="S17" s="98"/>
      <c r="T17" s="98"/>
      <c r="U17" s="98"/>
      <c r="V17" s="98"/>
      <c r="W17" s="98"/>
      <c r="X17" s="102"/>
      <c r="Y17" s="98"/>
      <c r="Z17" s="98"/>
      <c r="AA17" s="98"/>
      <c r="AB17" s="98"/>
      <c r="AC17" s="109"/>
      <c r="AD17" s="109"/>
      <c r="AE17" s="109"/>
      <c r="AF17" s="101"/>
      <c r="AG17" s="98"/>
      <c r="AH17" s="98"/>
      <c r="AI17" s="98"/>
      <c r="AJ17" s="102"/>
      <c r="AK17" s="104"/>
      <c r="AL17" s="98"/>
      <c r="AM17" s="98"/>
    </row>
    <row r="18" spans="2:39">
      <c r="B18" s="150"/>
      <c r="C18" s="98"/>
      <c r="D18" s="98"/>
      <c r="E18" s="98"/>
      <c r="F18" s="109"/>
      <c r="G18" s="109"/>
      <c r="H18" s="109"/>
      <c r="I18" s="101"/>
      <c r="J18" s="98"/>
      <c r="K18" s="98"/>
      <c r="L18" s="98"/>
      <c r="M18" s="102"/>
      <c r="N18" s="104"/>
      <c r="O18" s="98"/>
      <c r="P18" s="98"/>
      <c r="Q18" s="98"/>
      <c r="R18" s="98"/>
      <c r="S18" s="98"/>
      <c r="T18" s="98"/>
      <c r="U18" s="98"/>
      <c r="V18" s="98"/>
      <c r="W18" s="98"/>
      <c r="X18" s="102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</row>
    <row r="19" spans="2:39">
      <c r="B19" s="150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102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102"/>
      <c r="Y19" s="98"/>
      <c r="Z19" s="98"/>
      <c r="AA19" s="98"/>
      <c r="AB19" s="98"/>
      <c r="AC19" s="109"/>
      <c r="AD19" s="109"/>
      <c r="AE19" s="109"/>
      <c r="AF19" s="101"/>
      <c r="AG19" s="98"/>
      <c r="AH19" s="98"/>
      <c r="AI19" s="98"/>
      <c r="AJ19" s="102"/>
      <c r="AK19" s="104"/>
      <c r="AL19" s="98"/>
      <c r="AM19" s="98"/>
    </row>
    <row r="20" spans="2:39">
      <c r="B20" s="150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102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102"/>
      <c r="Y20" s="98"/>
      <c r="Z20" s="98"/>
      <c r="AA20" s="98"/>
      <c r="AB20" s="98"/>
      <c r="AC20" s="109"/>
      <c r="AD20" s="109"/>
      <c r="AE20" s="109"/>
      <c r="AF20" s="101"/>
      <c r="AG20" s="98"/>
      <c r="AH20" s="98"/>
      <c r="AI20" s="98"/>
      <c r="AJ20" s="102"/>
      <c r="AK20" s="104"/>
      <c r="AL20" s="98"/>
      <c r="AM20" s="98"/>
    </row>
    <row r="21" spans="2:39">
      <c r="B21" s="150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102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102"/>
      <c r="Y21" s="98"/>
      <c r="Z21" s="98"/>
      <c r="AA21" s="98"/>
      <c r="AB21" s="98"/>
      <c r="AC21" s="109"/>
      <c r="AD21" s="109"/>
      <c r="AE21" s="109"/>
      <c r="AF21" s="101"/>
      <c r="AG21" s="98"/>
      <c r="AH21" s="98"/>
      <c r="AI21" s="98"/>
      <c r="AJ21" s="102"/>
      <c r="AK21" s="104"/>
      <c r="AL21" s="98"/>
      <c r="AM21" s="98"/>
    </row>
    <row r="22" spans="2:39">
      <c r="B22" s="152"/>
      <c r="D22" s="98"/>
      <c r="E22" s="98"/>
      <c r="AA22" s="98"/>
      <c r="AB22" s="98"/>
      <c r="AC22" s="109"/>
      <c r="AD22" s="109"/>
      <c r="AE22" s="109"/>
      <c r="AF22" s="101"/>
      <c r="AJ22" s="69"/>
      <c r="AK22" s="10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tabSelected="1" topLeftCell="N1" workbookViewId="0">
      <selection activeCell="R18" sqref="R18"/>
    </sheetView>
  </sheetViews>
  <sheetFormatPr baseColWidth="10" defaultColWidth="11" defaultRowHeight="15" x14ac:dyDescent="0"/>
  <cols>
    <col min="1" max="1" width="9" style="48" bestFit="1" customWidth="1"/>
    <col min="2" max="2" width="12" style="48" bestFit="1" customWidth="1"/>
    <col min="3" max="4" width="9.5" style="48" bestFit="1" customWidth="1"/>
    <col min="5" max="5" width="55.5" style="48" bestFit="1" customWidth="1"/>
    <col min="6" max="6" width="15.5" style="48" bestFit="1" customWidth="1"/>
    <col min="7" max="7" width="16" style="48" bestFit="1" customWidth="1"/>
    <col min="8" max="8" width="14.1640625" style="48" customWidth="1"/>
    <col min="9" max="9" width="15.33203125" style="48" bestFit="1" customWidth="1"/>
    <col min="10" max="10" width="6.1640625" style="48" bestFit="1" customWidth="1"/>
    <col min="11" max="12" width="6.33203125" style="48" bestFit="1" customWidth="1"/>
    <col min="13" max="13" width="6.1640625" style="69" bestFit="1" customWidth="1"/>
    <col min="14" max="14" width="7.5" style="48" bestFit="1" customWidth="1"/>
    <col min="15" max="15" width="8.6640625" style="48" bestFit="1" customWidth="1"/>
    <col min="16" max="16" width="9.5" style="48" bestFit="1" customWidth="1"/>
    <col min="17" max="17" width="12.1640625" style="48" bestFit="1" customWidth="1"/>
    <col min="18" max="18" width="16" style="48" bestFit="1" customWidth="1"/>
    <col min="19" max="19" width="14.1640625" style="48" bestFit="1" customWidth="1"/>
    <col min="20" max="20" width="15.33203125" style="48" bestFit="1" customWidth="1"/>
    <col min="21" max="21" width="6.1640625" style="48" bestFit="1" customWidth="1"/>
    <col min="22" max="23" width="6.33203125" style="48" bestFit="1" customWidth="1"/>
    <col min="24" max="24" width="6.1640625" style="69" bestFit="1" customWidth="1"/>
    <col min="25" max="25" width="7.5" style="48" bestFit="1" customWidth="1"/>
    <col min="26" max="27" width="9.5" style="48" bestFit="1" customWidth="1"/>
    <col min="28" max="28" width="55.5" style="48" bestFit="1" customWidth="1"/>
    <col min="29" max="29" width="14.83203125" style="48" bestFit="1" customWidth="1"/>
    <col min="30" max="31" width="14.1640625" style="48" bestFit="1" customWidth="1"/>
    <col min="32" max="32" width="15.33203125" style="48" bestFit="1" customWidth="1"/>
    <col min="33" max="33" width="6.1640625" style="48" bestFit="1" customWidth="1"/>
    <col min="34" max="35" width="6.33203125" style="48" bestFit="1" customWidth="1"/>
    <col min="36" max="36" width="6.1640625" style="48" bestFit="1" customWidth="1"/>
    <col min="37" max="37" width="7.5" style="48" bestFit="1" customWidth="1"/>
    <col min="38" max="38" width="4.1640625" style="48" bestFit="1" customWidth="1"/>
    <col min="39" max="16384" width="11" style="48"/>
  </cols>
  <sheetData>
    <row r="1" spans="1:39">
      <c r="A1" s="147" t="s">
        <v>133</v>
      </c>
      <c r="B1" s="106" t="s">
        <v>155</v>
      </c>
      <c r="C1" s="106" t="s">
        <v>134</v>
      </c>
      <c r="D1" s="106" t="s">
        <v>135</v>
      </c>
      <c r="E1" s="106" t="s">
        <v>136</v>
      </c>
      <c r="F1" s="148" t="s">
        <v>129</v>
      </c>
      <c r="G1" s="148" t="s">
        <v>137</v>
      </c>
      <c r="H1" s="148" t="s">
        <v>138</v>
      </c>
      <c r="I1" s="148" t="s">
        <v>139</v>
      </c>
      <c r="J1" s="148" t="s">
        <v>140</v>
      </c>
      <c r="K1" s="106" t="s">
        <v>141</v>
      </c>
      <c r="L1" s="106" t="s">
        <v>142</v>
      </c>
      <c r="M1" s="107" t="s">
        <v>143</v>
      </c>
      <c r="N1" s="106" t="s">
        <v>144</v>
      </c>
      <c r="O1" s="148" t="s">
        <v>145</v>
      </c>
      <c r="P1" s="148" t="s">
        <v>146</v>
      </c>
      <c r="Q1" s="148" t="s">
        <v>147</v>
      </c>
      <c r="R1" s="148" t="s">
        <v>148</v>
      </c>
      <c r="S1" s="148" t="s">
        <v>149</v>
      </c>
      <c r="T1" s="148" t="s">
        <v>150</v>
      </c>
      <c r="U1" s="106" t="s">
        <v>156</v>
      </c>
      <c r="V1" s="106" t="s">
        <v>151</v>
      </c>
      <c r="W1" s="106" t="s">
        <v>152</v>
      </c>
      <c r="X1" s="107" t="s">
        <v>153</v>
      </c>
      <c r="Y1" s="106" t="s">
        <v>154</v>
      </c>
      <c r="Z1" s="106" t="s">
        <v>157</v>
      </c>
      <c r="AA1" s="106" t="s">
        <v>158</v>
      </c>
      <c r="AB1" s="106" t="s">
        <v>159</v>
      </c>
      <c r="AC1" s="148" t="s">
        <v>223</v>
      </c>
      <c r="AD1" s="148" t="s">
        <v>160</v>
      </c>
      <c r="AE1" s="148" t="s">
        <v>161</v>
      </c>
      <c r="AF1" s="148" t="s">
        <v>162</v>
      </c>
      <c r="AG1" s="106" t="s">
        <v>163</v>
      </c>
      <c r="AH1" s="106" t="s">
        <v>164</v>
      </c>
      <c r="AI1" s="106" t="s">
        <v>165</v>
      </c>
      <c r="AJ1" s="107" t="s">
        <v>166</v>
      </c>
      <c r="AK1" s="106" t="s">
        <v>167</v>
      </c>
      <c r="AL1" s="106" t="s">
        <v>222</v>
      </c>
      <c r="AM1" s="147" t="s">
        <v>224</v>
      </c>
    </row>
    <row r="2" spans="1:39">
      <c r="A2" s="48">
        <v>1</v>
      </c>
      <c r="B2" s="23">
        <v>42970</v>
      </c>
      <c r="C2" s="20" t="s">
        <v>57</v>
      </c>
      <c r="D2" s="20" t="s">
        <v>35</v>
      </c>
      <c r="E2" s="20" t="s">
        <v>18</v>
      </c>
      <c r="F2" s="109">
        <v>42970.395833333336</v>
      </c>
      <c r="G2" s="109">
        <v>42970.449305555558</v>
      </c>
      <c r="H2" s="108">
        <v>42970.458333333336</v>
      </c>
      <c r="I2" s="101">
        <f t="shared" ref="I2:I18" si="0">H2-F2</f>
        <v>6.25E-2</v>
      </c>
      <c r="J2" s="20">
        <v>1.42</v>
      </c>
      <c r="K2" s="20">
        <v>1.65</v>
      </c>
      <c r="L2" s="20">
        <f>K2-J2</f>
        <v>0.22999999999999998</v>
      </c>
      <c r="M2" s="22"/>
      <c r="N2" s="20">
        <f>AVERAGE(61,60,59)</f>
        <v>60</v>
      </c>
      <c r="O2" s="20" t="s">
        <v>59</v>
      </c>
      <c r="P2" s="20" t="s">
        <v>54</v>
      </c>
      <c r="Q2" s="20" t="s">
        <v>23</v>
      </c>
      <c r="R2" s="109">
        <v>42970.449305555558</v>
      </c>
      <c r="S2" s="108">
        <v>42970.458333333336</v>
      </c>
      <c r="T2" s="101">
        <f>S2-F2</f>
        <v>6.25E-2</v>
      </c>
      <c r="U2" s="20">
        <v>1.62</v>
      </c>
      <c r="V2" s="20">
        <v>1.89</v>
      </c>
      <c r="W2" s="20">
        <f t="shared" ref="W2:W14" si="1">V2-U2</f>
        <v>0.2699999999999998</v>
      </c>
      <c r="X2" s="22"/>
      <c r="Y2" s="105">
        <f>AVERAGE(41,41,42)</f>
        <v>41.333333333333336</v>
      </c>
      <c r="Z2" s="20"/>
      <c r="AA2" s="20"/>
      <c r="AB2" s="20"/>
      <c r="AC2" s="109"/>
      <c r="AD2" s="20"/>
      <c r="AE2" s="108"/>
      <c r="AF2" s="101"/>
      <c r="AG2" s="20"/>
      <c r="AH2" s="20"/>
      <c r="AI2" s="20"/>
      <c r="AJ2" s="22"/>
      <c r="AK2" s="20"/>
      <c r="AL2" s="149">
        <v>1</v>
      </c>
      <c r="AM2" s="48">
        <v>1</v>
      </c>
    </row>
    <row r="3" spans="1:39">
      <c r="A3" s="48">
        <v>2</v>
      </c>
      <c r="B3" s="150">
        <v>42971</v>
      </c>
      <c r="C3" s="98" t="s">
        <v>12</v>
      </c>
      <c r="D3" s="98" t="s">
        <v>22</v>
      </c>
      <c r="E3" s="98" t="s">
        <v>18</v>
      </c>
      <c r="F3" s="109">
        <v>42971.418055555558</v>
      </c>
      <c r="G3" s="109">
        <v>42971.443055555559</v>
      </c>
      <c r="H3" s="109">
        <v>42971.452777777777</v>
      </c>
      <c r="I3" s="101">
        <f t="shared" si="0"/>
        <v>3.4722222218988463E-2</v>
      </c>
      <c r="J3" s="102">
        <v>1.68</v>
      </c>
      <c r="K3" s="102">
        <v>1.9</v>
      </c>
      <c r="L3" s="102">
        <f t="shared" ref="L3:L18" si="2">K3-J3</f>
        <v>0.21999999999999997</v>
      </c>
      <c r="M3" s="102"/>
      <c r="N3" s="105">
        <v>46</v>
      </c>
      <c r="O3" s="98" t="s">
        <v>19</v>
      </c>
      <c r="P3" s="98" t="s">
        <v>36</v>
      </c>
      <c r="Q3" s="98" t="s">
        <v>23</v>
      </c>
      <c r="R3" s="109">
        <v>42971.443055555559</v>
      </c>
      <c r="S3" s="109">
        <v>42971.452777777777</v>
      </c>
      <c r="T3" s="101">
        <f t="shared" ref="T3:T14" si="3">S3-F3</f>
        <v>3.4722222218988463E-2</v>
      </c>
      <c r="U3" s="102">
        <v>1.77</v>
      </c>
      <c r="V3" s="102">
        <v>1.89</v>
      </c>
      <c r="W3" s="102">
        <f t="shared" si="1"/>
        <v>0.11999999999999988</v>
      </c>
      <c r="X3" s="102"/>
      <c r="Y3" s="105">
        <v>41</v>
      </c>
      <c r="Z3" s="98" t="s">
        <v>24</v>
      </c>
      <c r="AA3" s="98" t="s">
        <v>36</v>
      </c>
      <c r="AB3" s="98" t="s">
        <v>25</v>
      </c>
      <c r="AC3" s="109">
        <v>42971.444444444445</v>
      </c>
      <c r="AD3" s="109">
        <v>42971.447916666664</v>
      </c>
      <c r="AE3" s="109">
        <v>42972.439583333333</v>
      </c>
      <c r="AF3" s="101">
        <f>AE3-F3</f>
        <v>1.0215277777751908</v>
      </c>
      <c r="AG3" s="102">
        <v>0.81</v>
      </c>
      <c r="AH3" s="102">
        <v>0.88</v>
      </c>
      <c r="AI3" s="102">
        <f t="shared" ref="AI3:AI12" si="4">AH3-AG3</f>
        <v>6.9999999999999951E-2</v>
      </c>
      <c r="AJ3" s="102">
        <v>7.2</v>
      </c>
      <c r="AK3" s="105">
        <v>63</v>
      </c>
      <c r="AL3" s="104">
        <v>1</v>
      </c>
      <c r="AM3" s="48">
        <v>1</v>
      </c>
    </row>
    <row r="4" spans="1:39">
      <c r="A4" s="48">
        <v>3</v>
      </c>
      <c r="B4" s="150">
        <v>42971</v>
      </c>
      <c r="C4" s="98" t="s">
        <v>29</v>
      </c>
      <c r="D4" s="98" t="s">
        <v>35</v>
      </c>
      <c r="E4" s="98" t="s">
        <v>18</v>
      </c>
      <c r="F4" s="109">
        <v>42971.510416666664</v>
      </c>
      <c r="G4" s="109">
        <v>42971.53125</v>
      </c>
      <c r="H4" s="108">
        <v>42971.536111111112</v>
      </c>
      <c r="I4" s="101">
        <f t="shared" si="0"/>
        <v>2.5694444448163267E-2</v>
      </c>
      <c r="J4" s="102">
        <v>1.86</v>
      </c>
      <c r="K4" s="102">
        <v>2</v>
      </c>
      <c r="L4" s="102">
        <f t="shared" si="2"/>
        <v>0.1399999999999999</v>
      </c>
      <c r="M4" s="102"/>
      <c r="N4" s="105">
        <v>36</v>
      </c>
      <c r="O4" s="98" t="s">
        <v>34</v>
      </c>
      <c r="P4" s="98" t="s">
        <v>37</v>
      </c>
      <c r="Q4" s="98" t="s">
        <v>23</v>
      </c>
      <c r="R4" s="109">
        <v>42971.531944444447</v>
      </c>
      <c r="S4" s="108">
        <v>42971.536805555559</v>
      </c>
      <c r="T4" s="101">
        <f t="shared" si="3"/>
        <v>2.6388888894871343E-2</v>
      </c>
      <c r="U4" s="102">
        <v>1.99</v>
      </c>
      <c r="V4" s="102">
        <v>2.0699999999999998</v>
      </c>
      <c r="W4" s="102">
        <f t="shared" si="1"/>
        <v>7.9999999999999849E-2</v>
      </c>
      <c r="X4" s="102"/>
      <c r="Y4" s="105">
        <v>30</v>
      </c>
      <c r="Z4" s="98" t="s">
        <v>38</v>
      </c>
      <c r="AA4" s="98" t="s">
        <v>37</v>
      </c>
      <c r="AB4" s="98" t="s">
        <v>25</v>
      </c>
      <c r="AC4" s="109">
        <v>42971.53402777778</v>
      </c>
      <c r="AD4" s="109">
        <v>42971.536111111112</v>
      </c>
      <c r="AE4" s="109">
        <v>42972.441666666666</v>
      </c>
      <c r="AF4" s="101">
        <f t="shared" ref="AF4:AF17" si="5">AE4-F4</f>
        <v>0.93125000000145519</v>
      </c>
      <c r="AG4" s="102">
        <v>0.74</v>
      </c>
      <c r="AH4" s="102">
        <v>0.83</v>
      </c>
      <c r="AI4" s="102">
        <f t="shared" si="4"/>
        <v>8.9999999999999969E-2</v>
      </c>
      <c r="AJ4" s="102">
        <v>7.27</v>
      </c>
      <c r="AK4" s="105"/>
      <c r="AL4" s="149">
        <v>1</v>
      </c>
      <c r="AM4" s="48">
        <v>1</v>
      </c>
    </row>
    <row r="5" spans="1:39">
      <c r="A5" s="48">
        <v>4</v>
      </c>
      <c r="B5" s="150">
        <v>42972</v>
      </c>
      <c r="C5" s="98" t="s">
        <v>44</v>
      </c>
      <c r="D5" s="98" t="s">
        <v>35</v>
      </c>
      <c r="E5" s="98" t="s">
        <v>18</v>
      </c>
      <c r="F5" s="109">
        <v>42972.402777777781</v>
      </c>
      <c r="G5" s="109">
        <v>42972.426388888889</v>
      </c>
      <c r="H5" s="109">
        <v>42972.443055555559</v>
      </c>
      <c r="I5" s="101">
        <f t="shared" si="0"/>
        <v>4.0277777778101154E-2</v>
      </c>
      <c r="J5" s="102">
        <v>1.45</v>
      </c>
      <c r="K5" s="102">
        <v>1.63</v>
      </c>
      <c r="L5" s="102">
        <f t="shared" si="2"/>
        <v>0.17999999999999994</v>
      </c>
      <c r="M5" s="102">
        <v>7.16</v>
      </c>
      <c r="N5" s="105">
        <f>AVERAGE(52, 42, 50, 49, 43, 43)</f>
        <v>46.5</v>
      </c>
      <c r="O5" s="98" t="s">
        <v>46</v>
      </c>
      <c r="P5" s="98" t="s">
        <v>54</v>
      </c>
      <c r="Q5" s="98" t="s">
        <v>23</v>
      </c>
      <c r="R5" s="109">
        <v>42972.427777777775</v>
      </c>
      <c r="S5" s="109">
        <v>42972.444444444445</v>
      </c>
      <c r="T5" s="101">
        <f t="shared" si="3"/>
        <v>4.1666666664241347E-2</v>
      </c>
      <c r="U5" s="102">
        <v>1.42</v>
      </c>
      <c r="V5" s="102">
        <v>1.57</v>
      </c>
      <c r="W5" s="102">
        <f t="shared" si="1"/>
        <v>0.15000000000000013</v>
      </c>
      <c r="X5" s="102">
        <v>7.25</v>
      </c>
      <c r="Y5" s="105">
        <f>AVERAGE(67,66,72,68)</f>
        <v>68.25</v>
      </c>
      <c r="Z5" s="98" t="s">
        <v>49</v>
      </c>
      <c r="AA5" s="98" t="s">
        <v>54</v>
      </c>
      <c r="AB5" s="98" t="s">
        <v>25</v>
      </c>
      <c r="AC5" s="109">
        <v>42972.429861111108</v>
      </c>
      <c r="AD5" s="109">
        <v>42972.434027777781</v>
      </c>
      <c r="AE5" s="109">
        <v>42973.601388888892</v>
      </c>
      <c r="AF5" s="101">
        <f t="shared" si="5"/>
        <v>1.1986111111109494</v>
      </c>
      <c r="AG5" s="102">
        <v>0.68</v>
      </c>
      <c r="AH5" s="102">
        <v>0.84</v>
      </c>
      <c r="AI5" s="102">
        <f t="shared" si="4"/>
        <v>0.15999999999999992</v>
      </c>
      <c r="AJ5" s="102">
        <v>0.16</v>
      </c>
      <c r="AK5" s="105">
        <f>AVERAGE(70,70)</f>
        <v>70</v>
      </c>
      <c r="AL5" s="149">
        <v>1</v>
      </c>
      <c r="AM5" s="48">
        <v>1</v>
      </c>
    </row>
    <row r="6" spans="1:39">
      <c r="A6" s="48">
        <v>5</v>
      </c>
      <c r="B6" s="150">
        <v>42972</v>
      </c>
      <c r="C6" s="98" t="s">
        <v>50</v>
      </c>
      <c r="D6" s="98" t="s">
        <v>22</v>
      </c>
      <c r="E6" s="98" t="s">
        <v>18</v>
      </c>
      <c r="F6" s="109">
        <v>42972.386805555558</v>
      </c>
      <c r="G6" s="109">
        <v>42972.431250000001</v>
      </c>
      <c r="H6" s="108">
        <v>42972.444444444445</v>
      </c>
      <c r="I6" s="101">
        <f t="shared" si="0"/>
        <v>5.7638888887595385E-2</v>
      </c>
      <c r="J6" s="102">
        <v>3.08</v>
      </c>
      <c r="K6" s="102">
        <v>3.16</v>
      </c>
      <c r="L6" s="102">
        <f t="shared" si="2"/>
        <v>8.0000000000000071E-2</v>
      </c>
      <c r="M6" s="102">
        <v>7.23</v>
      </c>
      <c r="N6" s="105">
        <f>AVERAGE(67,62,62)</f>
        <v>63.666666666666664</v>
      </c>
      <c r="O6" s="98" t="s">
        <v>53</v>
      </c>
      <c r="P6" s="98" t="s">
        <v>36</v>
      </c>
      <c r="Q6" s="98" t="s">
        <v>23</v>
      </c>
      <c r="R6" s="109">
        <v>42972.43472222222</v>
      </c>
      <c r="S6" s="108">
        <v>42972.444444444445</v>
      </c>
      <c r="T6" s="101">
        <f t="shared" si="3"/>
        <v>5.7638888887595385E-2</v>
      </c>
      <c r="U6" s="102">
        <v>3.16</v>
      </c>
      <c r="V6" s="102">
        <v>3.27</v>
      </c>
      <c r="W6" s="102">
        <f t="shared" si="1"/>
        <v>0.10999999999999988</v>
      </c>
      <c r="X6" s="102">
        <v>7.28</v>
      </c>
      <c r="Y6" s="105">
        <f>AVERAGE(57,56)</f>
        <v>56.5</v>
      </c>
      <c r="Z6" s="98" t="s">
        <v>55</v>
      </c>
      <c r="AA6" s="98" t="s">
        <v>36</v>
      </c>
      <c r="AB6" s="98" t="s">
        <v>25</v>
      </c>
      <c r="AC6" s="109">
        <v>42972.43472222222</v>
      </c>
      <c r="AD6" s="109">
        <v>42972.436805555553</v>
      </c>
      <c r="AE6" s="109">
        <v>42973.599305555559</v>
      </c>
      <c r="AF6" s="101">
        <f t="shared" si="5"/>
        <v>1.2125000000014552</v>
      </c>
      <c r="AG6" s="102">
        <v>2.25</v>
      </c>
      <c r="AH6" s="102">
        <v>2.4500000000000002</v>
      </c>
      <c r="AI6" s="102">
        <f t="shared" si="4"/>
        <v>0.20000000000000018</v>
      </c>
      <c r="AJ6" s="102">
        <v>7.05</v>
      </c>
      <c r="AK6" s="105">
        <f>AVERAGE(85,85)</f>
        <v>85</v>
      </c>
      <c r="AL6" s="149">
        <v>1</v>
      </c>
      <c r="AM6" s="48">
        <v>1</v>
      </c>
    </row>
    <row r="7" spans="1:39">
      <c r="A7" s="48">
        <v>6</v>
      </c>
      <c r="B7" s="150">
        <v>42973</v>
      </c>
      <c r="C7" s="98" t="s">
        <v>81</v>
      </c>
      <c r="D7" s="98" t="s">
        <v>35</v>
      </c>
      <c r="E7" s="98" t="s">
        <v>18</v>
      </c>
      <c r="F7" s="109">
        <v>42973.563194444447</v>
      </c>
      <c r="G7" s="109">
        <v>42973.584722222222</v>
      </c>
      <c r="H7" s="108">
        <v>42973.593055555553</v>
      </c>
      <c r="I7" s="101">
        <f t="shared" si="0"/>
        <v>2.9861111106583849E-2</v>
      </c>
      <c r="J7" s="102">
        <v>0.91</v>
      </c>
      <c r="K7" s="102">
        <v>1.1000000000000001</v>
      </c>
      <c r="L7" s="102">
        <f t="shared" si="2"/>
        <v>0.19000000000000006</v>
      </c>
      <c r="M7" s="102">
        <v>6.82</v>
      </c>
      <c r="N7" s="104">
        <f>AVERAGE(47,46)</f>
        <v>46.5</v>
      </c>
      <c r="O7" s="98" t="s">
        <v>85</v>
      </c>
      <c r="P7" s="98" t="s">
        <v>54</v>
      </c>
      <c r="Q7" s="98" t="s">
        <v>23</v>
      </c>
      <c r="R7" s="109">
        <v>42973.584722222222</v>
      </c>
      <c r="S7" s="108">
        <v>42973.59375</v>
      </c>
      <c r="T7" s="101">
        <f t="shared" si="3"/>
        <v>3.0555555553291924E-2</v>
      </c>
      <c r="U7" s="102">
        <v>1.1599999999999999</v>
      </c>
      <c r="V7" s="102">
        <v>1.25</v>
      </c>
      <c r="W7" s="102">
        <f t="shared" si="1"/>
        <v>9.000000000000008E-2</v>
      </c>
      <c r="X7" s="102">
        <v>6.99</v>
      </c>
      <c r="Y7" s="104">
        <f>AVERAGE(45,43,40,39)</f>
        <v>41.75</v>
      </c>
      <c r="Z7" s="98" t="s">
        <v>86</v>
      </c>
      <c r="AA7" s="98" t="s">
        <v>54</v>
      </c>
      <c r="AB7" s="98" t="s">
        <v>25</v>
      </c>
      <c r="AC7" s="109">
        <v>42973.585416666669</v>
      </c>
      <c r="AD7" s="109">
        <v>42973.588888888888</v>
      </c>
      <c r="AE7" s="108">
        <v>42974.543055555558</v>
      </c>
      <c r="AF7" s="101">
        <f t="shared" si="5"/>
        <v>0.97986111111094942</v>
      </c>
      <c r="AG7" s="102">
        <v>0.44</v>
      </c>
      <c r="AH7" s="102">
        <v>0.6</v>
      </c>
      <c r="AI7" s="102">
        <f t="shared" si="4"/>
        <v>0.15999999999999998</v>
      </c>
      <c r="AJ7" s="102">
        <v>7.08</v>
      </c>
      <c r="AK7" s="104">
        <f>AVERAGE(63,63,62)</f>
        <v>62.666666666666664</v>
      </c>
      <c r="AL7" s="149">
        <v>1</v>
      </c>
      <c r="AM7" s="48">
        <v>1</v>
      </c>
    </row>
    <row r="8" spans="1:39">
      <c r="A8" s="48">
        <v>7</v>
      </c>
      <c r="B8" s="150">
        <v>42973</v>
      </c>
      <c r="C8" s="98" t="s">
        <v>87</v>
      </c>
      <c r="D8" s="98" t="s">
        <v>22</v>
      </c>
      <c r="E8" s="98" t="s">
        <v>18</v>
      </c>
      <c r="F8" s="109">
        <v>42973.543749999997</v>
      </c>
      <c r="G8" s="109">
        <v>42973.584722222222</v>
      </c>
      <c r="H8" s="108">
        <v>42973.595138888886</v>
      </c>
      <c r="I8" s="101">
        <f t="shared" si="0"/>
        <v>5.1388888889050577E-2</v>
      </c>
      <c r="J8" s="102">
        <v>1.29</v>
      </c>
      <c r="K8" s="102">
        <v>1.5</v>
      </c>
      <c r="L8" s="102">
        <f t="shared" si="2"/>
        <v>0.20999999999999996</v>
      </c>
      <c r="M8" s="102">
        <v>7.01</v>
      </c>
      <c r="N8" s="104">
        <f>AVERAGE(51,50,49,46)</f>
        <v>49</v>
      </c>
      <c r="O8" s="98" t="s">
        <v>89</v>
      </c>
      <c r="P8" s="98" t="s">
        <v>36</v>
      </c>
      <c r="Q8" s="98" t="s">
        <v>23</v>
      </c>
      <c r="R8" s="109">
        <v>42973.587500000001</v>
      </c>
      <c r="S8" s="108">
        <v>42973.597222222219</v>
      </c>
      <c r="T8" s="101">
        <f t="shared" si="3"/>
        <v>5.3472222221898846E-2</v>
      </c>
      <c r="U8" s="102">
        <v>1.35</v>
      </c>
      <c r="V8" s="102">
        <v>1.48</v>
      </c>
      <c r="W8" s="102">
        <f t="shared" si="1"/>
        <v>0.12999999999999989</v>
      </c>
      <c r="X8" s="102">
        <v>7.26</v>
      </c>
      <c r="Y8" s="104">
        <f>AVERAGE(47,46,46,44)</f>
        <v>45.75</v>
      </c>
      <c r="Z8" s="98" t="s">
        <v>91</v>
      </c>
      <c r="AA8" s="98" t="s">
        <v>36</v>
      </c>
      <c r="AB8" s="98" t="s">
        <v>25</v>
      </c>
      <c r="AC8" s="109">
        <v>42973.587500000001</v>
      </c>
      <c r="AD8" s="109">
        <v>42973.588888888888</v>
      </c>
      <c r="AE8" s="108">
        <v>42974.543055555558</v>
      </c>
      <c r="AF8" s="101">
        <f t="shared" si="5"/>
        <v>0.99930555556056788</v>
      </c>
      <c r="AG8" s="102">
        <v>0.71</v>
      </c>
      <c r="AH8" s="102">
        <v>0.81</v>
      </c>
      <c r="AI8" s="102">
        <f t="shared" si="4"/>
        <v>0.10000000000000009</v>
      </c>
      <c r="AJ8" s="102">
        <v>7.13</v>
      </c>
      <c r="AK8" s="104">
        <f>AVERAGE(70,69,70,67,66,65)</f>
        <v>67.833333333333329</v>
      </c>
      <c r="AL8" s="149">
        <v>1</v>
      </c>
      <c r="AM8" s="48">
        <v>1</v>
      </c>
    </row>
    <row r="9" spans="1:39">
      <c r="A9" s="48">
        <v>8</v>
      </c>
      <c r="B9" s="150">
        <v>42974</v>
      </c>
      <c r="C9" s="98" t="s">
        <v>105</v>
      </c>
      <c r="D9" s="98" t="s">
        <v>35</v>
      </c>
      <c r="E9" s="98" t="s">
        <v>18</v>
      </c>
      <c r="F9" s="109">
        <v>42974.505555555559</v>
      </c>
      <c r="G9" s="109">
        <v>42974.52847222222</v>
      </c>
      <c r="H9" s="108">
        <v>42974.547222222223</v>
      </c>
      <c r="I9" s="101">
        <f t="shared" si="0"/>
        <v>4.1666666664241347E-2</v>
      </c>
      <c r="J9" s="102">
        <v>1.35</v>
      </c>
      <c r="K9" s="102">
        <v>1.4</v>
      </c>
      <c r="L9" s="102">
        <f t="shared" si="2"/>
        <v>4.9999999999999822E-2</v>
      </c>
      <c r="M9" s="102">
        <v>7.16</v>
      </c>
      <c r="N9" s="104">
        <f>AVERAGE(42,41,40)</f>
        <v>41</v>
      </c>
      <c r="O9" s="98" t="s">
        <v>108</v>
      </c>
      <c r="P9" s="98" t="s">
        <v>54</v>
      </c>
      <c r="Q9" s="98" t="s">
        <v>23</v>
      </c>
      <c r="R9" s="109">
        <v>42974.53125</v>
      </c>
      <c r="S9" s="108">
        <v>42974.547222222223</v>
      </c>
      <c r="T9" s="101">
        <f t="shared" si="3"/>
        <v>4.1666666664241347E-2</v>
      </c>
      <c r="U9" s="98">
        <v>1.48</v>
      </c>
      <c r="V9" s="102">
        <v>1.69</v>
      </c>
      <c r="W9" s="98">
        <f t="shared" si="1"/>
        <v>0.20999999999999996</v>
      </c>
      <c r="X9" s="102">
        <v>6.77</v>
      </c>
      <c r="Y9" s="104"/>
      <c r="Z9" s="98" t="s">
        <v>110</v>
      </c>
      <c r="AA9" s="98" t="s">
        <v>54</v>
      </c>
      <c r="AB9" s="98" t="s">
        <v>25</v>
      </c>
      <c r="AC9" s="109">
        <v>42974.529861111114</v>
      </c>
      <c r="AD9" s="109">
        <v>42974.534722222219</v>
      </c>
      <c r="AE9" s="108">
        <v>42975.685416666667</v>
      </c>
      <c r="AF9" s="101">
        <f t="shared" si="5"/>
        <v>1.179861111108039</v>
      </c>
      <c r="AG9" s="98">
        <v>0.56999999999999995</v>
      </c>
      <c r="AH9" s="102">
        <v>0.74</v>
      </c>
      <c r="AI9" s="98">
        <f t="shared" si="4"/>
        <v>0.17000000000000004</v>
      </c>
      <c r="AJ9" s="102">
        <v>7.17</v>
      </c>
      <c r="AK9" s="104">
        <f>AVERAGE(64,63,63)</f>
        <v>63.333333333333336</v>
      </c>
      <c r="AL9" s="149">
        <v>1</v>
      </c>
      <c r="AM9" s="48">
        <v>1</v>
      </c>
    </row>
    <row r="10" spans="1:39">
      <c r="A10" s="48">
        <v>9</v>
      </c>
      <c r="B10" s="150">
        <v>42974</v>
      </c>
      <c r="C10" s="98" t="s">
        <v>111</v>
      </c>
      <c r="D10" s="98" t="s">
        <v>22</v>
      </c>
      <c r="E10" s="98" t="s">
        <v>18</v>
      </c>
      <c r="F10" s="109">
        <v>42974.506944444445</v>
      </c>
      <c r="G10" s="109">
        <v>42974.531944444447</v>
      </c>
      <c r="H10" s="108">
        <v>42974.547222222223</v>
      </c>
      <c r="I10" s="101">
        <f t="shared" si="0"/>
        <v>4.0277777778101154E-2</v>
      </c>
      <c r="J10" s="98">
        <v>1.79</v>
      </c>
      <c r="K10" s="102">
        <v>1.86</v>
      </c>
      <c r="L10" s="98">
        <f t="shared" si="2"/>
        <v>7.0000000000000062E-2</v>
      </c>
      <c r="M10" s="102">
        <v>7.24</v>
      </c>
      <c r="N10" s="104">
        <f>AVERAGE(52,51,55)</f>
        <v>52.666666666666664</v>
      </c>
      <c r="O10" s="98" t="s">
        <v>113</v>
      </c>
      <c r="P10" s="98" t="s">
        <v>36</v>
      </c>
      <c r="Q10" s="98" t="s">
        <v>23</v>
      </c>
      <c r="R10" s="109">
        <v>42974.531944444447</v>
      </c>
      <c r="S10" s="108">
        <v>42974.547222222223</v>
      </c>
      <c r="T10" s="101">
        <f t="shared" si="3"/>
        <v>4.0277777778101154E-2</v>
      </c>
      <c r="U10" s="98">
        <v>1.67</v>
      </c>
      <c r="V10" s="102">
        <v>1.8</v>
      </c>
      <c r="W10" s="98">
        <f t="shared" si="1"/>
        <v>0.13000000000000012</v>
      </c>
      <c r="X10" s="98">
        <v>7.33</v>
      </c>
      <c r="Y10" s="104">
        <f>AVERAGE(53,56,53)</f>
        <v>54</v>
      </c>
      <c r="Z10" s="98" t="s">
        <v>114</v>
      </c>
      <c r="AA10" s="98" t="s">
        <v>36</v>
      </c>
      <c r="AB10" s="98" t="s">
        <v>25</v>
      </c>
      <c r="AC10" s="109">
        <v>42974.531944444447</v>
      </c>
      <c r="AD10" s="109">
        <v>42974.534722222219</v>
      </c>
      <c r="AE10" s="108">
        <v>42975.683333333334</v>
      </c>
      <c r="AF10" s="101">
        <f t="shared" si="5"/>
        <v>1.1763888888890506</v>
      </c>
      <c r="AG10" s="98">
        <v>0.93</v>
      </c>
      <c r="AH10" s="102">
        <v>1.27</v>
      </c>
      <c r="AI10" s="98">
        <f t="shared" si="4"/>
        <v>0.33999999999999997</v>
      </c>
      <c r="AJ10" s="102">
        <v>7.31</v>
      </c>
      <c r="AK10" s="104">
        <f>AVERAGE(76,74,76)</f>
        <v>75.333333333333329</v>
      </c>
      <c r="AL10" s="149">
        <v>1</v>
      </c>
      <c r="AM10" s="48">
        <v>1</v>
      </c>
    </row>
    <row r="11" spans="1:39">
      <c r="A11" s="48">
        <v>10</v>
      </c>
      <c r="B11" s="150">
        <v>42975</v>
      </c>
      <c r="C11" s="98" t="s">
        <v>115</v>
      </c>
      <c r="D11" s="98" t="s">
        <v>35</v>
      </c>
      <c r="E11" s="98" t="s">
        <v>18</v>
      </c>
      <c r="F11" s="109">
        <v>42975.627083333333</v>
      </c>
      <c r="G11" s="109">
        <v>42975.661805555559</v>
      </c>
      <c r="H11" s="108">
        <v>42975.674305555556</v>
      </c>
      <c r="I11" s="101">
        <f t="shared" si="0"/>
        <v>4.7222222223354038E-2</v>
      </c>
      <c r="J11" s="102">
        <v>1.1000000000000001</v>
      </c>
      <c r="K11" s="102">
        <v>1.33</v>
      </c>
      <c r="L11" s="98">
        <f t="shared" si="2"/>
        <v>0.22999999999999998</v>
      </c>
      <c r="M11" s="102">
        <v>7.11</v>
      </c>
      <c r="N11" s="104">
        <f>AVERAGE(51,50,50)</f>
        <v>50.333333333333336</v>
      </c>
      <c r="O11" s="98" t="s">
        <v>117</v>
      </c>
      <c r="P11" s="98" t="s">
        <v>54</v>
      </c>
      <c r="Q11" s="98" t="s">
        <v>23</v>
      </c>
      <c r="R11" s="109">
        <v>42975.663194444445</v>
      </c>
      <c r="S11" s="108">
        <v>42975.675694444442</v>
      </c>
      <c r="T11" s="101">
        <f t="shared" si="3"/>
        <v>4.8611111109494232E-2</v>
      </c>
      <c r="U11" s="98">
        <v>1.23</v>
      </c>
      <c r="V11" s="102">
        <v>1.36</v>
      </c>
      <c r="W11" s="98">
        <f t="shared" si="1"/>
        <v>0.13000000000000012</v>
      </c>
      <c r="X11" s="102">
        <v>7.21</v>
      </c>
      <c r="Y11" s="104">
        <f>AVERAGE(46,46,46)</f>
        <v>46</v>
      </c>
      <c r="Z11" s="98" t="s">
        <v>118</v>
      </c>
      <c r="AA11" s="98" t="s">
        <v>54</v>
      </c>
      <c r="AB11" s="98" t="s">
        <v>25</v>
      </c>
      <c r="AC11" s="109">
        <v>42975.665277777778</v>
      </c>
      <c r="AD11" s="109">
        <v>42975.672222222223</v>
      </c>
      <c r="AE11" s="108">
        <v>42976.442361111112</v>
      </c>
      <c r="AF11" s="101">
        <f t="shared" si="5"/>
        <v>0.81527777777955635</v>
      </c>
      <c r="AG11" s="98">
        <v>0.37</v>
      </c>
      <c r="AH11" s="102">
        <v>0.53</v>
      </c>
      <c r="AI11" s="98">
        <f t="shared" si="4"/>
        <v>0.16000000000000003</v>
      </c>
      <c r="AJ11" s="102">
        <v>7.35</v>
      </c>
      <c r="AK11" s="104">
        <f>AVERAGE(67,52,59)</f>
        <v>59.333333333333336</v>
      </c>
      <c r="AL11" s="149">
        <v>1</v>
      </c>
      <c r="AM11" s="48">
        <v>1</v>
      </c>
    </row>
    <row r="12" spans="1:39">
      <c r="A12" s="48">
        <v>11</v>
      </c>
      <c r="B12" s="150">
        <v>42975</v>
      </c>
      <c r="C12" s="98" t="s">
        <v>119</v>
      </c>
      <c r="D12" s="98" t="s">
        <v>22</v>
      </c>
      <c r="E12" s="98" t="s">
        <v>18</v>
      </c>
      <c r="F12" s="109">
        <v>42975.597916666666</v>
      </c>
      <c r="G12" s="109">
        <v>42975.667361111111</v>
      </c>
      <c r="H12" s="108">
        <v>42975.681944444441</v>
      </c>
      <c r="I12" s="101">
        <f t="shared" si="0"/>
        <v>8.4027777775190771E-2</v>
      </c>
      <c r="J12" s="98">
        <v>2.58</v>
      </c>
      <c r="K12" s="102">
        <v>2.71</v>
      </c>
      <c r="L12" s="98">
        <f t="shared" si="2"/>
        <v>0.12999999999999989</v>
      </c>
      <c r="M12" s="102">
        <v>7.13</v>
      </c>
      <c r="N12" s="104">
        <f>AVERAGE(63,59,59)</f>
        <v>60.333333333333336</v>
      </c>
      <c r="O12" s="98" t="s">
        <v>121</v>
      </c>
      <c r="P12" s="98" t="s">
        <v>36</v>
      </c>
      <c r="Q12" s="98" t="s">
        <v>23</v>
      </c>
      <c r="R12" s="109">
        <v>42975.670138888891</v>
      </c>
      <c r="S12" s="108">
        <v>42975.681944444441</v>
      </c>
      <c r="T12" s="101">
        <f t="shared" si="3"/>
        <v>8.4027777775190771E-2</v>
      </c>
      <c r="U12" s="98">
        <v>2.83</v>
      </c>
      <c r="V12" s="102">
        <v>2.91</v>
      </c>
      <c r="W12" s="98">
        <f t="shared" si="1"/>
        <v>8.0000000000000071E-2</v>
      </c>
      <c r="X12" s="102">
        <v>7.17</v>
      </c>
      <c r="Y12" s="104">
        <f>AVERAGE(45,45,45)</f>
        <v>45</v>
      </c>
      <c r="Z12" s="98" t="s">
        <v>122</v>
      </c>
      <c r="AA12" s="98" t="s">
        <v>36</v>
      </c>
      <c r="AB12" s="98" t="s">
        <v>25</v>
      </c>
      <c r="AC12" s="109">
        <v>42975.669444444444</v>
      </c>
      <c r="AD12" s="109">
        <v>42975.672222222223</v>
      </c>
      <c r="AE12" s="108">
        <v>42976.443055555559</v>
      </c>
      <c r="AF12" s="101">
        <f t="shared" si="5"/>
        <v>0.84513888889341615</v>
      </c>
      <c r="AG12" s="98">
        <v>1.65</v>
      </c>
      <c r="AH12" s="102">
        <v>1.8</v>
      </c>
      <c r="AI12" s="98">
        <f t="shared" si="4"/>
        <v>0.15000000000000013</v>
      </c>
      <c r="AJ12" s="102">
        <v>7.37</v>
      </c>
      <c r="AK12" s="104">
        <f>AVERAGE(43,44,47)</f>
        <v>44.666666666666664</v>
      </c>
      <c r="AL12" s="149">
        <v>1</v>
      </c>
      <c r="AM12" s="48">
        <v>1</v>
      </c>
    </row>
    <row r="13" spans="1:39">
      <c r="A13" s="48">
        <v>12</v>
      </c>
      <c r="B13" s="150">
        <v>42976</v>
      </c>
      <c r="C13" s="98" t="s">
        <v>123</v>
      </c>
      <c r="D13" s="98" t="s">
        <v>35</v>
      </c>
      <c r="E13" s="98" t="s">
        <v>18</v>
      </c>
      <c r="F13" s="109">
        <v>42976.340277777781</v>
      </c>
      <c r="G13" s="109">
        <v>42976.429861111108</v>
      </c>
      <c r="H13" s="109">
        <v>42976.436805555553</v>
      </c>
      <c r="I13" s="101">
        <f t="shared" si="0"/>
        <v>9.6527777772280388E-2</v>
      </c>
      <c r="J13" s="98">
        <v>4.09</v>
      </c>
      <c r="K13" s="98">
        <v>4.26</v>
      </c>
      <c r="L13" s="98">
        <f t="shared" si="2"/>
        <v>0.16999999999999993</v>
      </c>
      <c r="M13" s="102">
        <v>7.01</v>
      </c>
      <c r="N13" s="104">
        <f>AVERAGE(54,57,55)</f>
        <v>55.333333333333336</v>
      </c>
      <c r="O13" s="98" t="s">
        <v>125</v>
      </c>
      <c r="P13" s="98" t="s">
        <v>54</v>
      </c>
      <c r="Q13" s="98" t="s">
        <v>23</v>
      </c>
      <c r="R13" s="109">
        <v>42976.434027777781</v>
      </c>
      <c r="S13" s="109">
        <v>42976.436805555553</v>
      </c>
      <c r="T13" s="101">
        <f t="shared" si="3"/>
        <v>9.6527777772280388E-2</v>
      </c>
      <c r="U13" s="98">
        <v>4.0199999999999996</v>
      </c>
      <c r="V13" s="98">
        <v>4.16</v>
      </c>
      <c r="W13" s="98">
        <f t="shared" si="1"/>
        <v>0.14000000000000057</v>
      </c>
      <c r="X13" s="102">
        <v>7.06</v>
      </c>
      <c r="Y13" s="104">
        <f>AVERAGE(51,50,54)</f>
        <v>51.666666666666664</v>
      </c>
      <c r="Z13" s="98"/>
      <c r="AA13" s="98"/>
      <c r="AB13" s="98"/>
      <c r="AC13" s="109"/>
      <c r="AD13" s="98"/>
      <c r="AE13" s="109"/>
      <c r="AF13" s="101"/>
      <c r="AG13" s="98"/>
      <c r="AH13" s="98"/>
      <c r="AI13" s="98"/>
      <c r="AJ13" s="102"/>
      <c r="AK13" s="104"/>
      <c r="AL13" s="149">
        <v>1</v>
      </c>
      <c r="AM13" s="48">
        <v>1</v>
      </c>
    </row>
    <row r="14" spans="1:39">
      <c r="A14" s="48">
        <v>13</v>
      </c>
      <c r="B14" s="150">
        <v>42976</v>
      </c>
      <c r="C14" s="98" t="s">
        <v>126</v>
      </c>
      <c r="D14" s="98" t="s">
        <v>22</v>
      </c>
      <c r="E14" s="98" t="s">
        <v>18</v>
      </c>
      <c r="F14" s="109">
        <v>42976.336805555555</v>
      </c>
      <c r="G14" s="109">
        <v>42976.425000000003</v>
      </c>
      <c r="H14" s="109">
        <v>42976.439583333333</v>
      </c>
      <c r="I14" s="101">
        <f t="shared" si="0"/>
        <v>0.10277777777810115</v>
      </c>
      <c r="J14" s="98">
        <v>1.58</v>
      </c>
      <c r="K14" s="98">
        <v>1.73</v>
      </c>
      <c r="L14" s="98">
        <f t="shared" si="2"/>
        <v>0.14999999999999991</v>
      </c>
      <c r="M14" s="102">
        <v>7.16</v>
      </c>
      <c r="N14" s="104">
        <f>AVERAGE(56,45,45)</f>
        <v>48.666666666666664</v>
      </c>
      <c r="O14" s="98" t="s">
        <v>128</v>
      </c>
      <c r="P14" s="98" t="s">
        <v>36</v>
      </c>
      <c r="Q14" s="98" t="s">
        <v>23</v>
      </c>
      <c r="R14" s="109">
        <v>42976.427777777775</v>
      </c>
      <c r="S14" s="109">
        <v>42976.44027777778</v>
      </c>
      <c r="T14" s="101">
        <f t="shared" si="3"/>
        <v>0.10347222222480923</v>
      </c>
      <c r="U14" s="98">
        <v>1.34</v>
      </c>
      <c r="V14" s="98">
        <v>1.63</v>
      </c>
      <c r="W14" s="98">
        <f t="shared" si="1"/>
        <v>0.28999999999999981</v>
      </c>
      <c r="X14" s="102">
        <v>7.18</v>
      </c>
      <c r="Y14" s="104">
        <f>AVERAGE(49,59,55)</f>
        <v>54.333333333333336</v>
      </c>
      <c r="Z14" s="98"/>
      <c r="AA14" s="98"/>
      <c r="AB14" s="98"/>
      <c r="AC14" s="109"/>
      <c r="AD14" s="98"/>
      <c r="AE14" s="109"/>
      <c r="AF14" s="101"/>
      <c r="AG14" s="98"/>
      <c r="AH14" s="98"/>
      <c r="AI14" s="98"/>
      <c r="AJ14" s="102"/>
      <c r="AK14" s="104"/>
      <c r="AL14" s="149">
        <v>1</v>
      </c>
      <c r="AM14" s="48">
        <v>1</v>
      </c>
    </row>
    <row r="15" spans="1:39">
      <c r="A15" s="48">
        <v>14</v>
      </c>
      <c r="B15" s="150">
        <v>42992</v>
      </c>
      <c r="C15" s="98" t="s">
        <v>170</v>
      </c>
      <c r="D15" s="98" t="s">
        <v>169</v>
      </c>
      <c r="E15" s="98" t="s">
        <v>189</v>
      </c>
      <c r="F15" s="109">
        <v>42992.603472222225</v>
      </c>
      <c r="G15" s="109">
        <v>42992.67291666667</v>
      </c>
      <c r="H15" s="109">
        <v>42992.71875</v>
      </c>
      <c r="I15" s="101">
        <f t="shared" si="0"/>
        <v>0.11527777777519077</v>
      </c>
      <c r="J15" s="98">
        <v>1.43</v>
      </c>
      <c r="K15" s="98">
        <v>1.52</v>
      </c>
      <c r="L15" s="98">
        <f t="shared" si="2"/>
        <v>9.000000000000008E-2</v>
      </c>
      <c r="M15" s="102">
        <v>7.16</v>
      </c>
      <c r="N15" s="104">
        <f>AVERAGE(84,83,84)</f>
        <v>83.666666666666671</v>
      </c>
      <c r="O15" s="98"/>
      <c r="P15" s="98"/>
      <c r="Q15" s="98"/>
      <c r="R15" s="109"/>
      <c r="S15" s="109"/>
      <c r="T15" s="101"/>
      <c r="U15" s="98"/>
      <c r="V15" s="98"/>
      <c r="W15" s="98"/>
      <c r="X15" s="102"/>
      <c r="Y15" s="104"/>
      <c r="Z15" s="98" t="s">
        <v>168</v>
      </c>
      <c r="AA15" s="98" t="s">
        <v>169</v>
      </c>
      <c r="AB15" s="98" t="s">
        <v>188</v>
      </c>
      <c r="AC15" s="109">
        <v>42992.672222222223</v>
      </c>
      <c r="AD15" s="109">
        <v>42992.690972222219</v>
      </c>
      <c r="AE15" s="109">
        <v>42993.670138888891</v>
      </c>
      <c r="AF15" s="101">
        <f t="shared" si="5"/>
        <v>1.0666666666656965</v>
      </c>
      <c r="AG15" s="98">
        <v>0.23</v>
      </c>
      <c r="AH15" s="98">
        <v>0.34</v>
      </c>
      <c r="AI15" s="98">
        <f t="shared" ref="AI15:AI17" si="6">AH15-AG15</f>
        <v>0.11000000000000001</v>
      </c>
      <c r="AJ15" s="102">
        <v>7.09</v>
      </c>
      <c r="AK15" s="104">
        <f>AVERAGE(118,117,117)</f>
        <v>117.33333333333333</v>
      </c>
      <c r="AL15" s="149">
        <v>2</v>
      </c>
      <c r="AM15" s="48">
        <v>1</v>
      </c>
    </row>
    <row r="16" spans="1:39">
      <c r="A16" s="48">
        <v>15</v>
      </c>
      <c r="B16" s="150">
        <v>42992</v>
      </c>
      <c r="C16" s="98" t="s">
        <v>172</v>
      </c>
      <c r="D16" s="98" t="s">
        <v>177</v>
      </c>
      <c r="E16" s="98" t="s">
        <v>189</v>
      </c>
      <c r="F16" s="109">
        <v>42992.560416666667</v>
      </c>
      <c r="G16" s="109">
        <v>42992.676388888889</v>
      </c>
      <c r="H16" s="109">
        <v>42992.71875</v>
      </c>
      <c r="I16" s="101">
        <f t="shared" si="0"/>
        <v>0.15833333333284827</v>
      </c>
      <c r="J16" s="98">
        <v>1.58</v>
      </c>
      <c r="K16" s="98">
        <v>1.69</v>
      </c>
      <c r="L16" s="98">
        <f t="shared" si="2"/>
        <v>0.10999999999999988</v>
      </c>
      <c r="M16" s="102">
        <v>7.28</v>
      </c>
      <c r="N16" s="104">
        <f>AVERAGE(90,89,89)</f>
        <v>89.333333333333329</v>
      </c>
      <c r="O16" s="98"/>
      <c r="P16" s="98"/>
      <c r="Q16" s="98"/>
      <c r="R16" s="98"/>
      <c r="S16" s="98"/>
      <c r="T16" s="101"/>
      <c r="U16" s="98"/>
      <c r="V16" s="98"/>
      <c r="W16" s="98"/>
      <c r="X16" s="102"/>
      <c r="Y16" s="98"/>
      <c r="Z16" s="98" t="s">
        <v>171</v>
      </c>
      <c r="AA16" s="98" t="s">
        <v>177</v>
      </c>
      <c r="AB16" s="98" t="s">
        <v>188</v>
      </c>
      <c r="AC16" s="109">
        <v>42992.675694444442</v>
      </c>
      <c r="AD16" s="109">
        <v>42992.690972222219</v>
      </c>
      <c r="AE16" s="109">
        <v>42993.670138888891</v>
      </c>
      <c r="AF16" s="101">
        <f t="shared" si="5"/>
        <v>1.109722222223354</v>
      </c>
      <c r="AG16" s="98">
        <v>0.55000000000000004</v>
      </c>
      <c r="AH16" s="98">
        <v>0.62</v>
      </c>
      <c r="AI16" s="98">
        <f t="shared" si="6"/>
        <v>6.9999999999999951E-2</v>
      </c>
      <c r="AJ16" s="102">
        <v>6.67</v>
      </c>
      <c r="AK16" s="104">
        <f>AVERAGE(131,129,127)</f>
        <v>129</v>
      </c>
      <c r="AL16" s="149">
        <v>2</v>
      </c>
      <c r="AM16" s="48">
        <v>1</v>
      </c>
    </row>
    <row r="17" spans="1:39">
      <c r="A17" s="48">
        <v>16</v>
      </c>
      <c r="B17" s="150">
        <v>42992</v>
      </c>
      <c r="C17" s="98" t="s">
        <v>174</v>
      </c>
      <c r="D17" s="98" t="s">
        <v>178</v>
      </c>
      <c r="E17" s="98" t="s">
        <v>189</v>
      </c>
      <c r="F17" s="109">
        <v>42992.566666666666</v>
      </c>
      <c r="G17" s="109">
        <v>42992.681250000001</v>
      </c>
      <c r="H17" s="109">
        <v>42992.71875</v>
      </c>
      <c r="I17" s="101">
        <f t="shared" si="0"/>
        <v>0.15208333333430346</v>
      </c>
      <c r="J17" s="98">
        <v>1.93</v>
      </c>
      <c r="K17" s="98">
        <v>2.1800000000000002</v>
      </c>
      <c r="L17" s="98">
        <f t="shared" si="2"/>
        <v>0.25000000000000022</v>
      </c>
      <c r="M17" s="102">
        <v>6.86</v>
      </c>
      <c r="N17" s="104">
        <f>AVERAGE(89,89,89)</f>
        <v>89</v>
      </c>
      <c r="O17" s="98"/>
      <c r="P17" s="98"/>
      <c r="Q17" s="98"/>
      <c r="R17" s="98"/>
      <c r="S17" s="98"/>
      <c r="T17" s="101"/>
      <c r="U17" s="98"/>
      <c r="V17" s="98"/>
      <c r="W17" s="98"/>
      <c r="X17" s="102"/>
      <c r="Y17" s="98"/>
      <c r="Z17" s="98" t="s">
        <v>173</v>
      </c>
      <c r="AA17" s="98" t="s">
        <v>178</v>
      </c>
      <c r="AB17" s="98" t="s">
        <v>188</v>
      </c>
      <c r="AC17" s="109">
        <v>42992.681250000001</v>
      </c>
      <c r="AD17" s="109">
        <v>42992.690972222219</v>
      </c>
      <c r="AE17" s="109">
        <v>42993.670138888891</v>
      </c>
      <c r="AF17" s="101">
        <f t="shared" si="5"/>
        <v>1.1034722222248092</v>
      </c>
      <c r="AG17" s="98">
        <v>0.48</v>
      </c>
      <c r="AH17" s="98">
        <v>0.62</v>
      </c>
      <c r="AI17" s="98">
        <f t="shared" si="6"/>
        <v>0.14000000000000001</v>
      </c>
      <c r="AJ17" s="102">
        <v>7.09</v>
      </c>
      <c r="AK17" s="104">
        <f>AVERAGE(133,135,133)</f>
        <v>133.66666666666666</v>
      </c>
      <c r="AL17" s="149">
        <v>2</v>
      </c>
      <c r="AM17" s="48">
        <v>1</v>
      </c>
    </row>
    <row r="18" spans="1:39">
      <c r="A18" s="48">
        <v>17</v>
      </c>
      <c r="B18" s="150">
        <v>42993</v>
      </c>
      <c r="C18" s="98" t="s">
        <v>186</v>
      </c>
      <c r="D18" s="98" t="s">
        <v>169</v>
      </c>
      <c r="E18" s="98" t="s">
        <v>189</v>
      </c>
      <c r="F18" s="109">
        <v>42993.515277777777</v>
      </c>
      <c r="G18" s="109">
        <v>42993.637499999997</v>
      </c>
      <c r="H18" s="109">
        <v>42993.640972222223</v>
      </c>
      <c r="I18" s="101">
        <f t="shared" si="0"/>
        <v>0.12569444444670808</v>
      </c>
      <c r="J18" s="98">
        <v>0.65</v>
      </c>
      <c r="K18" s="98">
        <v>0.8</v>
      </c>
      <c r="L18" s="98">
        <f t="shared" si="2"/>
        <v>0.15000000000000002</v>
      </c>
      <c r="M18" s="102">
        <v>7.31</v>
      </c>
      <c r="N18" s="104">
        <f>AVERAGE(91,91,91)</f>
        <v>91</v>
      </c>
      <c r="O18" s="98"/>
      <c r="P18" s="98"/>
      <c r="Q18" s="98"/>
      <c r="R18" s="98"/>
      <c r="S18" s="98"/>
      <c r="T18" s="101"/>
      <c r="U18" s="98"/>
      <c r="V18" s="98"/>
      <c r="W18" s="98"/>
      <c r="X18" s="102"/>
      <c r="Y18" s="98"/>
      <c r="Z18" s="98"/>
      <c r="AA18" s="98"/>
      <c r="AB18" s="98"/>
      <c r="AC18" s="98"/>
      <c r="AD18" s="98"/>
      <c r="AE18" s="98"/>
      <c r="AF18" s="101"/>
      <c r="AG18" s="98"/>
      <c r="AH18" s="98"/>
      <c r="AI18" s="98"/>
      <c r="AJ18" s="98"/>
      <c r="AK18" s="98"/>
      <c r="AL18" s="149">
        <v>2</v>
      </c>
      <c r="AM18" s="48">
        <v>1</v>
      </c>
    </row>
    <row r="19" spans="1:39">
      <c r="A19" s="48">
        <v>18</v>
      </c>
      <c r="B19" s="150">
        <v>42997</v>
      </c>
      <c r="C19" s="98" t="s">
        <v>199</v>
      </c>
      <c r="D19" s="98" t="s">
        <v>177</v>
      </c>
      <c r="E19" s="98" t="s">
        <v>200</v>
      </c>
      <c r="F19" s="98"/>
      <c r="G19" s="98"/>
      <c r="H19" s="98"/>
      <c r="I19" s="98"/>
      <c r="J19" s="98"/>
      <c r="K19" s="98"/>
      <c r="L19" s="98"/>
      <c r="M19" s="102"/>
      <c r="N19" s="98"/>
      <c r="O19" s="98"/>
      <c r="P19" s="98"/>
      <c r="Q19" s="98"/>
      <c r="R19" s="98"/>
      <c r="S19" s="98"/>
      <c r="T19" s="101"/>
      <c r="U19" s="98"/>
      <c r="V19" s="98"/>
      <c r="W19" s="98"/>
      <c r="X19" s="102"/>
      <c r="Y19" s="98"/>
      <c r="Z19" s="98" t="s">
        <v>199</v>
      </c>
      <c r="AA19" s="98" t="s">
        <v>177</v>
      </c>
      <c r="AB19" s="98" t="s">
        <v>200</v>
      </c>
      <c r="AC19" s="109"/>
      <c r="AD19" s="109"/>
      <c r="AE19" s="109">
        <v>42997.540277777778</v>
      </c>
      <c r="AF19" s="101"/>
      <c r="AG19" s="98">
        <v>0.06</v>
      </c>
      <c r="AH19" s="98">
        <v>0.27</v>
      </c>
      <c r="AI19" s="98">
        <f>AH19-AG19</f>
        <v>0.21000000000000002</v>
      </c>
      <c r="AJ19" s="102">
        <v>7.1</v>
      </c>
      <c r="AK19" s="104">
        <f>AVERAGE(100,98,99)</f>
        <v>99</v>
      </c>
      <c r="AL19" s="149">
        <v>2</v>
      </c>
      <c r="AM19" s="48">
        <v>1</v>
      </c>
    </row>
    <row r="20" spans="1:39">
      <c r="A20" s="48">
        <v>19</v>
      </c>
      <c r="B20" s="150">
        <v>42997</v>
      </c>
      <c r="C20" s="98" t="s">
        <v>201</v>
      </c>
      <c r="D20" s="98" t="s">
        <v>178</v>
      </c>
      <c r="E20" s="98" t="s">
        <v>202</v>
      </c>
      <c r="F20" s="98"/>
      <c r="G20" s="98"/>
      <c r="H20" s="98"/>
      <c r="I20" s="98"/>
      <c r="J20" s="98"/>
      <c r="K20" s="98"/>
      <c r="L20" s="98"/>
      <c r="M20" s="102"/>
      <c r="N20" s="98"/>
      <c r="O20" s="98"/>
      <c r="P20" s="98"/>
      <c r="Q20" s="98"/>
      <c r="R20" s="98"/>
      <c r="S20" s="98"/>
      <c r="T20" s="101"/>
      <c r="U20" s="98"/>
      <c r="V20" s="98"/>
      <c r="W20" s="98"/>
      <c r="X20" s="102"/>
      <c r="Y20" s="98"/>
      <c r="Z20" s="98" t="s">
        <v>201</v>
      </c>
      <c r="AA20" s="98" t="s">
        <v>178</v>
      </c>
      <c r="AB20" s="98" t="s">
        <v>202</v>
      </c>
      <c r="AC20" s="109"/>
      <c r="AD20" s="109"/>
      <c r="AE20" s="109">
        <v>42997.540277777778</v>
      </c>
      <c r="AF20" s="101"/>
      <c r="AG20" s="98">
        <v>0.4</v>
      </c>
      <c r="AH20" s="98">
        <v>0.72</v>
      </c>
      <c r="AI20" s="98">
        <f t="shared" ref="AI20:AI22" si="7">AH20-AG20</f>
        <v>0.31999999999999995</v>
      </c>
      <c r="AJ20" s="102">
        <v>6.9</v>
      </c>
      <c r="AK20" s="104">
        <f>AVERAGE(108,107,107)</f>
        <v>107.33333333333333</v>
      </c>
      <c r="AL20" s="149">
        <v>2</v>
      </c>
      <c r="AM20" s="48">
        <v>1</v>
      </c>
    </row>
    <row r="21" spans="1:39">
      <c r="A21" s="48">
        <v>20</v>
      </c>
      <c r="B21" s="150">
        <v>42997</v>
      </c>
      <c r="C21" s="98" t="s">
        <v>205</v>
      </c>
      <c r="D21" s="98" t="s">
        <v>177</v>
      </c>
      <c r="E21" s="98" t="s">
        <v>206</v>
      </c>
      <c r="F21" s="98"/>
      <c r="G21" s="98"/>
      <c r="H21" s="98"/>
      <c r="I21" s="98"/>
      <c r="J21" s="98"/>
      <c r="K21" s="98"/>
      <c r="L21" s="98"/>
      <c r="M21" s="102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102"/>
      <c r="Y21" s="98"/>
      <c r="Z21" s="98" t="s">
        <v>205</v>
      </c>
      <c r="AA21" s="98" t="s">
        <v>177</v>
      </c>
      <c r="AB21" s="98" t="s">
        <v>206</v>
      </c>
      <c r="AC21" s="109">
        <v>42996.511111111111</v>
      </c>
      <c r="AD21" s="109">
        <v>42996.511111111111</v>
      </c>
      <c r="AE21" s="109">
        <v>42997.540277777778</v>
      </c>
      <c r="AF21" s="101"/>
      <c r="AG21" s="98">
        <v>0.74</v>
      </c>
      <c r="AH21" s="98">
        <v>0.9</v>
      </c>
      <c r="AI21" s="98">
        <f t="shared" si="7"/>
        <v>0.16000000000000003</v>
      </c>
      <c r="AJ21" s="102">
        <v>7.5</v>
      </c>
      <c r="AK21" s="104">
        <f>AVERAGE(94,93,92)</f>
        <v>93</v>
      </c>
      <c r="AL21" s="149">
        <v>2</v>
      </c>
      <c r="AM21" s="48">
        <v>1</v>
      </c>
    </row>
    <row r="22" spans="1:39">
      <c r="A22" s="48">
        <v>21</v>
      </c>
      <c r="B22" s="150">
        <v>42997</v>
      </c>
      <c r="C22" s="98" t="s">
        <v>209</v>
      </c>
      <c r="D22" s="98" t="s">
        <v>178</v>
      </c>
      <c r="E22" s="98" t="s">
        <v>210</v>
      </c>
      <c r="F22" s="98"/>
      <c r="G22" s="98"/>
      <c r="H22" s="98"/>
      <c r="I22" s="98"/>
      <c r="J22" s="98"/>
      <c r="K22" s="98"/>
      <c r="L22" s="98"/>
      <c r="M22" s="102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102"/>
      <c r="Y22" s="98"/>
      <c r="Z22" s="98" t="s">
        <v>209</v>
      </c>
      <c r="AA22" s="98" t="s">
        <v>178</v>
      </c>
      <c r="AB22" s="98" t="s">
        <v>210</v>
      </c>
      <c r="AC22" s="109">
        <v>42996.51666666667</v>
      </c>
      <c r="AD22" s="109">
        <v>42996.51666666667</v>
      </c>
      <c r="AE22" s="109">
        <v>42997.540277777778</v>
      </c>
      <c r="AF22" s="101"/>
      <c r="AG22" s="98">
        <v>0.98</v>
      </c>
      <c r="AH22" s="98">
        <v>1.22</v>
      </c>
      <c r="AI22" s="98">
        <f t="shared" si="7"/>
        <v>0.24</v>
      </c>
      <c r="AJ22" s="102">
        <v>7.5</v>
      </c>
      <c r="AK22" s="104">
        <f>AVERAGE(89,91,89)</f>
        <v>89.666666666666671</v>
      </c>
      <c r="AL22" s="149">
        <v>2</v>
      </c>
      <c r="AM22" s="48">
        <v>1</v>
      </c>
    </row>
    <row r="23" spans="1:39">
      <c r="A23" s="46">
        <v>22</v>
      </c>
      <c r="B23" s="23">
        <v>42970</v>
      </c>
      <c r="C23" s="20" t="s">
        <v>61</v>
      </c>
      <c r="D23" s="20" t="s">
        <v>62</v>
      </c>
      <c r="E23" s="20" t="s">
        <v>63</v>
      </c>
      <c r="F23" s="109">
        <v>42970.395833333336</v>
      </c>
      <c r="G23" s="109">
        <v>42970.449305555558</v>
      </c>
      <c r="H23" s="108">
        <v>42970.458333333336</v>
      </c>
      <c r="I23" s="101">
        <f>H23-F23</f>
        <v>6.25E-2</v>
      </c>
      <c r="J23" s="20">
        <v>0.8</v>
      </c>
      <c r="K23" s="20">
        <v>1.1100000000000001</v>
      </c>
      <c r="L23" s="20">
        <f t="shared" ref="L23:L25" si="8">K23-J23</f>
        <v>0.31000000000000005</v>
      </c>
      <c r="M23" s="22"/>
      <c r="N23" s="105">
        <f>AVERAGE(95.96,96)</f>
        <v>95.97999999999999</v>
      </c>
      <c r="O23" s="20" t="s">
        <v>64</v>
      </c>
      <c r="P23" s="20" t="s">
        <v>65</v>
      </c>
      <c r="Q23" s="20" t="s">
        <v>23</v>
      </c>
      <c r="R23" s="109">
        <v>42970.449305555558</v>
      </c>
      <c r="S23" s="108">
        <v>42970.458333333336</v>
      </c>
      <c r="T23" s="101">
        <f>S23-F23</f>
        <v>6.25E-2</v>
      </c>
      <c r="U23" s="20"/>
      <c r="V23" s="20"/>
      <c r="W23" s="20"/>
      <c r="X23" s="22"/>
      <c r="Y23" s="105">
        <f>AVERAGE(90,90,90)</f>
        <v>90</v>
      </c>
      <c r="Z23" s="20"/>
      <c r="AA23" s="20"/>
      <c r="AB23" s="20"/>
      <c r="AC23" s="109"/>
      <c r="AD23" s="20"/>
      <c r="AE23" s="108"/>
      <c r="AF23" s="101"/>
      <c r="AG23" s="20"/>
      <c r="AH23" s="20"/>
      <c r="AI23" s="20"/>
      <c r="AJ23" s="22"/>
      <c r="AK23" s="20"/>
      <c r="AL23" s="98">
        <v>1</v>
      </c>
      <c r="AM23" s="98">
        <v>2</v>
      </c>
    </row>
    <row r="24" spans="1:39">
      <c r="A24" s="46">
        <v>23</v>
      </c>
      <c r="B24" s="150">
        <v>42992</v>
      </c>
      <c r="C24" s="98" t="s">
        <v>175</v>
      </c>
      <c r="D24" s="98" t="s">
        <v>179</v>
      </c>
      <c r="E24" s="98" t="s">
        <v>190</v>
      </c>
      <c r="F24" s="109">
        <v>42992.50277777778</v>
      </c>
      <c r="G24" s="109">
        <v>42992.685416666667</v>
      </c>
      <c r="H24" s="109">
        <v>42992.71875</v>
      </c>
      <c r="I24" s="101">
        <f>H24-F24</f>
        <v>0.21597222222044365</v>
      </c>
      <c r="J24" s="98">
        <v>0.05</v>
      </c>
      <c r="K24" s="98">
        <v>7.0000000000000007E-2</v>
      </c>
      <c r="L24" s="98">
        <f t="shared" si="8"/>
        <v>2.0000000000000004E-2</v>
      </c>
      <c r="M24" s="102">
        <v>6.87</v>
      </c>
      <c r="N24" s="104">
        <f>AVERAGE(230,230,228)</f>
        <v>229.33333333333334</v>
      </c>
      <c r="O24" s="98" t="s">
        <v>176</v>
      </c>
      <c r="P24" s="98" t="s">
        <v>180</v>
      </c>
      <c r="Q24" s="98" t="s">
        <v>211</v>
      </c>
      <c r="R24" s="109">
        <v>42992.688888888886</v>
      </c>
      <c r="S24" s="109">
        <v>42992.71875</v>
      </c>
      <c r="T24" s="101">
        <f t="shared" ref="T24:T25" si="9">S24-F24</f>
        <v>0.21597222222044365</v>
      </c>
      <c r="U24" s="98">
        <v>0.8</v>
      </c>
      <c r="V24" s="98">
        <v>1.04</v>
      </c>
      <c r="W24" s="98">
        <f t="shared" ref="W24:W25" si="10">V24-U24</f>
        <v>0.24</v>
      </c>
      <c r="X24" s="102">
        <v>7.18</v>
      </c>
      <c r="Y24" s="104">
        <f>AVERAGE(227,228,224)</f>
        <v>226.33333333333334</v>
      </c>
      <c r="Z24" s="98" t="s">
        <v>181</v>
      </c>
      <c r="AA24" s="98" t="s">
        <v>180</v>
      </c>
      <c r="AB24" s="98" t="s">
        <v>191</v>
      </c>
      <c r="AC24" s="109">
        <v>42992.688888888886</v>
      </c>
      <c r="AD24" s="109">
        <v>42992.690972222219</v>
      </c>
      <c r="AE24" s="109">
        <v>42993.670138888891</v>
      </c>
      <c r="AF24" s="101">
        <f>AE24-F24</f>
        <v>1.1673611111109494</v>
      </c>
      <c r="AG24" s="98">
        <v>0.19</v>
      </c>
      <c r="AH24" s="98">
        <v>0.27</v>
      </c>
      <c r="AI24" s="98">
        <f t="shared" ref="AI24" si="11">AH24-AG24</f>
        <v>8.0000000000000016E-2</v>
      </c>
      <c r="AJ24" s="102">
        <v>7.07</v>
      </c>
      <c r="AK24" s="104">
        <f>AVERAGE(252,249,246)</f>
        <v>249</v>
      </c>
      <c r="AL24" s="98">
        <v>2</v>
      </c>
      <c r="AM24" s="98">
        <v>2</v>
      </c>
    </row>
    <row r="25" spans="1:39">
      <c r="A25" s="46">
        <v>24</v>
      </c>
      <c r="B25" s="150">
        <v>42993</v>
      </c>
      <c r="C25" s="98" t="s">
        <v>182</v>
      </c>
      <c r="D25" s="98" t="s">
        <v>183</v>
      </c>
      <c r="E25" s="98" t="s">
        <v>192</v>
      </c>
      <c r="F25" s="109">
        <v>42993.554861111108</v>
      </c>
      <c r="G25" s="109">
        <v>42993.633333333331</v>
      </c>
      <c r="H25" s="109">
        <v>42993.651388888888</v>
      </c>
      <c r="I25" s="101">
        <f>H25-F25</f>
        <v>9.6527777779556345E-2</v>
      </c>
      <c r="J25" s="98">
        <v>7.0000000000000007E-2</v>
      </c>
      <c r="K25" s="98">
        <v>0.56000000000000005</v>
      </c>
      <c r="L25" s="98">
        <f t="shared" si="8"/>
        <v>0.49000000000000005</v>
      </c>
      <c r="M25" s="102">
        <v>7.27</v>
      </c>
      <c r="N25" s="104">
        <f>AVERAGE(284,283,280)</f>
        <v>282.33333333333331</v>
      </c>
      <c r="O25" s="98" t="s">
        <v>184</v>
      </c>
      <c r="P25" s="98" t="s">
        <v>183</v>
      </c>
      <c r="Q25" s="98" t="s">
        <v>185</v>
      </c>
      <c r="R25" s="109">
        <v>42993.634027777778</v>
      </c>
      <c r="S25" s="109">
        <v>42993.656944444447</v>
      </c>
      <c r="T25" s="101">
        <f t="shared" si="9"/>
        <v>0.10208333333866904</v>
      </c>
      <c r="U25" s="98">
        <v>0.14000000000000001</v>
      </c>
      <c r="V25" s="98">
        <v>0.56999999999999995</v>
      </c>
      <c r="W25" s="98">
        <f t="shared" si="10"/>
        <v>0.42999999999999994</v>
      </c>
      <c r="X25" s="102">
        <v>7.18</v>
      </c>
      <c r="Y25" s="104">
        <f>AVERAGE(268,266,266)</f>
        <v>266.66666666666669</v>
      </c>
      <c r="Z25" s="98"/>
      <c r="AA25" s="98"/>
      <c r="AB25" s="98"/>
      <c r="AC25" s="109"/>
      <c r="AD25" s="109"/>
      <c r="AE25" s="109"/>
      <c r="AF25" s="101"/>
      <c r="AG25" s="102"/>
      <c r="AH25" s="102"/>
      <c r="AI25" s="102"/>
      <c r="AJ25" s="102"/>
      <c r="AK25" s="105"/>
      <c r="AL25" s="98">
        <v>2</v>
      </c>
      <c r="AM25" s="98">
        <v>2</v>
      </c>
    </row>
    <row r="26" spans="1:39">
      <c r="A26" s="46">
        <v>25</v>
      </c>
      <c r="B26" s="150">
        <v>42997</v>
      </c>
      <c r="C26" s="98" t="s">
        <v>203</v>
      </c>
      <c r="D26" s="98" t="s">
        <v>180</v>
      </c>
      <c r="E26" s="98" t="s">
        <v>204</v>
      </c>
      <c r="F26" s="109"/>
      <c r="G26" s="109"/>
      <c r="H26" s="109"/>
      <c r="I26" s="101"/>
      <c r="J26" s="102"/>
      <c r="K26" s="102"/>
      <c r="L26" s="102"/>
      <c r="M26" s="102"/>
      <c r="N26" s="105"/>
      <c r="O26" s="98"/>
      <c r="P26" s="98"/>
      <c r="Q26" s="98"/>
      <c r="R26" s="109"/>
      <c r="S26" s="109"/>
      <c r="T26" s="101"/>
      <c r="U26" s="102"/>
      <c r="V26" s="102"/>
      <c r="W26" s="102"/>
      <c r="X26" s="102"/>
      <c r="Y26" s="105"/>
      <c r="Z26" s="98" t="s">
        <v>203</v>
      </c>
      <c r="AA26" s="98" t="s">
        <v>180</v>
      </c>
      <c r="AB26" s="98" t="s">
        <v>204</v>
      </c>
      <c r="AC26" s="109">
        <v>42996.293749999997</v>
      </c>
      <c r="AD26" s="109">
        <v>42996.293749999997</v>
      </c>
      <c r="AE26" s="109">
        <v>42997.540277777778</v>
      </c>
      <c r="AF26" s="101"/>
      <c r="AG26" s="98">
        <v>7.0000000000000007E-2</v>
      </c>
      <c r="AH26" s="98">
        <v>0.27</v>
      </c>
      <c r="AI26" s="98">
        <f t="shared" ref="AI26:AI27" si="12">AH26-AG26</f>
        <v>0.2</v>
      </c>
      <c r="AJ26" s="102">
        <v>7.2</v>
      </c>
      <c r="AK26" s="104">
        <f>AVERAGE(205,205,202)</f>
        <v>204</v>
      </c>
      <c r="AL26" s="98">
        <v>2</v>
      </c>
      <c r="AM26" s="98">
        <v>2</v>
      </c>
    </row>
    <row r="27" spans="1:39">
      <c r="A27" s="46">
        <v>26</v>
      </c>
      <c r="B27" s="150">
        <v>42997</v>
      </c>
      <c r="C27" s="98" t="s">
        <v>207</v>
      </c>
      <c r="D27" s="98" t="s">
        <v>180</v>
      </c>
      <c r="E27" s="98" t="s">
        <v>208</v>
      </c>
      <c r="F27" s="109"/>
      <c r="G27" s="109"/>
      <c r="H27" s="108"/>
      <c r="I27" s="101"/>
      <c r="J27" s="102"/>
      <c r="K27" s="102"/>
      <c r="L27" s="102"/>
      <c r="M27" s="102"/>
      <c r="N27" s="105"/>
      <c r="O27" s="98"/>
      <c r="P27" s="98"/>
      <c r="Q27" s="98"/>
      <c r="R27" s="109"/>
      <c r="S27" s="108"/>
      <c r="T27" s="101"/>
      <c r="U27" s="102"/>
      <c r="V27" s="102"/>
      <c r="W27" s="102"/>
      <c r="X27" s="102"/>
      <c r="Y27" s="105"/>
      <c r="Z27" s="98" t="s">
        <v>207</v>
      </c>
      <c r="AA27" s="98" t="s">
        <v>180</v>
      </c>
      <c r="AB27" s="98" t="s">
        <v>208</v>
      </c>
      <c r="AC27" s="109">
        <v>42996.512499999997</v>
      </c>
      <c r="AD27" s="109">
        <v>42996.512499999997</v>
      </c>
      <c r="AE27" s="109">
        <v>42997.540277777778</v>
      </c>
      <c r="AF27" s="101"/>
      <c r="AG27" s="98">
        <v>0.54</v>
      </c>
      <c r="AH27" s="98">
        <v>0.73</v>
      </c>
      <c r="AI27" s="98">
        <f t="shared" si="12"/>
        <v>0.18999999999999995</v>
      </c>
      <c r="AJ27" s="102">
        <v>7.3</v>
      </c>
      <c r="AK27" s="104">
        <f>AVERAGE(201,201,201)</f>
        <v>201</v>
      </c>
      <c r="AL27" s="98">
        <v>2</v>
      </c>
      <c r="AM27" s="98">
        <v>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D14" sqref="D14"/>
    </sheetView>
  </sheetViews>
  <sheetFormatPr baseColWidth="10" defaultColWidth="11" defaultRowHeight="15" x14ac:dyDescent="0"/>
  <cols>
    <col min="1" max="1" width="18.1640625" customWidth="1"/>
  </cols>
  <sheetData>
    <row r="1" spans="1:5">
      <c r="B1" s="170" t="s">
        <v>71</v>
      </c>
      <c r="C1" s="170"/>
      <c r="D1" s="170"/>
      <c r="E1" s="170"/>
    </row>
    <row r="2" spans="1:5" ht="16" thickBot="1">
      <c r="A2" s="74"/>
      <c r="B2" s="72">
        <v>1</v>
      </c>
      <c r="C2" s="72">
        <v>2</v>
      </c>
      <c r="D2" s="72">
        <v>3</v>
      </c>
      <c r="E2" s="72">
        <v>4</v>
      </c>
    </row>
    <row r="3" spans="1:5" ht="16" thickTop="1">
      <c r="A3" s="70" t="s">
        <v>72</v>
      </c>
      <c r="B3" s="48">
        <v>10</v>
      </c>
      <c r="C3" s="48">
        <v>10</v>
      </c>
      <c r="D3" s="48">
        <v>10</v>
      </c>
      <c r="E3" s="48">
        <v>10</v>
      </c>
    </row>
    <row r="4" spans="1:5">
      <c r="A4" s="70" t="s">
        <v>79</v>
      </c>
      <c r="B4" s="48">
        <v>9.9</v>
      </c>
      <c r="C4" s="48">
        <v>9.9</v>
      </c>
      <c r="D4" s="48">
        <v>9.9</v>
      </c>
      <c r="E4" s="48">
        <v>9.9</v>
      </c>
    </row>
    <row r="5" spans="1:5">
      <c r="A5" s="70" t="s">
        <v>73</v>
      </c>
      <c r="B5" s="48">
        <v>2</v>
      </c>
      <c r="C5" s="48">
        <v>3.5</v>
      </c>
      <c r="D5" s="48">
        <v>5</v>
      </c>
      <c r="E5" s="48">
        <v>7</v>
      </c>
    </row>
    <row r="6" spans="1:5">
      <c r="A6" s="70" t="s">
        <v>75</v>
      </c>
      <c r="B6" s="48">
        <v>30</v>
      </c>
      <c r="C6" s="48">
        <v>30</v>
      </c>
      <c r="D6" s="48">
        <v>30</v>
      </c>
      <c r="E6" s="48">
        <v>30</v>
      </c>
    </row>
    <row r="7" spans="1:5">
      <c r="A7" s="70" t="s">
        <v>76</v>
      </c>
      <c r="B7" s="48">
        <v>0.33</v>
      </c>
      <c r="C7" s="48">
        <v>1.39</v>
      </c>
      <c r="D7" s="48">
        <v>2.27</v>
      </c>
      <c r="E7" s="48">
        <v>4.0199999999999996</v>
      </c>
    </row>
    <row r="8" spans="1:5">
      <c r="A8" s="70" t="s">
        <v>77</v>
      </c>
      <c r="B8" s="48">
        <v>0.54</v>
      </c>
      <c r="C8" s="48">
        <v>1.76</v>
      </c>
      <c r="D8" s="48">
        <v>2.58</v>
      </c>
      <c r="E8" s="48">
        <v>4.16</v>
      </c>
    </row>
    <row r="9" spans="1:5">
      <c r="A9" s="71" t="s">
        <v>78</v>
      </c>
      <c r="B9" s="48">
        <f>B8-B7</f>
        <v>0.21000000000000002</v>
      </c>
      <c r="C9" s="48">
        <f t="shared" ref="C9:E9" si="0">C8-C7</f>
        <v>0.37000000000000011</v>
      </c>
      <c r="D9" s="48">
        <f t="shared" si="0"/>
        <v>0.31000000000000005</v>
      </c>
      <c r="E9" s="48">
        <f t="shared" si="0"/>
        <v>0.14000000000000057</v>
      </c>
    </row>
    <row r="10" spans="1:5" ht="16" thickBot="1">
      <c r="A10" s="75" t="s">
        <v>74</v>
      </c>
      <c r="B10" s="73">
        <v>106</v>
      </c>
      <c r="C10" s="73">
        <v>117</v>
      </c>
      <c r="D10" s="73">
        <v>131</v>
      </c>
      <c r="E10" s="73">
        <v>151</v>
      </c>
    </row>
    <row r="11" spans="1:5">
      <c r="B11" s="76" t="s">
        <v>90</v>
      </c>
    </row>
    <row r="12" spans="1:5">
      <c r="A12" s="77" t="s">
        <v>80</v>
      </c>
    </row>
  </sheetData>
  <mergeCells count="1">
    <mergeCell ref="B1:E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="125" zoomScaleNormal="125" zoomScalePageLayoutView="125" workbookViewId="0">
      <selection activeCell="A4" sqref="A4"/>
    </sheetView>
  </sheetViews>
  <sheetFormatPr baseColWidth="10" defaultColWidth="11" defaultRowHeight="15" x14ac:dyDescent="0"/>
  <cols>
    <col min="1" max="1" width="17.33203125" customWidth="1"/>
    <col min="2" max="8" width="11.6640625" customWidth="1"/>
  </cols>
  <sheetData>
    <row r="1" spans="1:9" ht="20">
      <c r="A1" s="82" t="s">
        <v>103</v>
      </c>
    </row>
    <row r="2" spans="1:9">
      <c r="A2" s="77" t="s">
        <v>94</v>
      </c>
      <c r="B2" t="s">
        <v>97</v>
      </c>
    </row>
    <row r="3" spans="1:9">
      <c r="A3" s="77" t="s">
        <v>104</v>
      </c>
      <c r="B3" t="s">
        <v>97</v>
      </c>
    </row>
    <row r="4" spans="1:9" ht="16" thickBot="1"/>
    <row r="5" spans="1:9" ht="25" customHeight="1">
      <c r="A5" s="85" t="s">
        <v>93</v>
      </c>
      <c r="B5" s="87"/>
      <c r="C5" s="88"/>
      <c r="D5" s="88"/>
      <c r="E5" s="88"/>
      <c r="F5" s="88"/>
      <c r="G5" s="88"/>
      <c r="H5" s="88"/>
      <c r="I5" s="89"/>
    </row>
    <row r="6" spans="1:9" ht="25" customHeight="1">
      <c r="A6" s="86" t="s">
        <v>95</v>
      </c>
      <c r="B6" s="84"/>
      <c r="C6" s="83"/>
      <c r="D6" s="83"/>
      <c r="E6" s="83"/>
      <c r="F6" s="83"/>
      <c r="G6" s="83"/>
      <c r="H6" s="83"/>
      <c r="I6" s="90"/>
    </row>
    <row r="7" spans="1:9" ht="25" customHeight="1">
      <c r="A7" s="86" t="s">
        <v>1</v>
      </c>
      <c r="B7" s="84"/>
      <c r="C7" s="83"/>
      <c r="D7" s="83"/>
      <c r="E7" s="83"/>
      <c r="F7" s="83"/>
      <c r="G7" s="83"/>
      <c r="H7" s="83"/>
      <c r="I7" s="90"/>
    </row>
    <row r="8" spans="1:9" ht="46" customHeight="1">
      <c r="A8" s="86" t="s">
        <v>2</v>
      </c>
      <c r="B8" s="84"/>
      <c r="C8" s="83"/>
      <c r="D8" s="83"/>
      <c r="E8" s="83"/>
      <c r="F8" s="83"/>
      <c r="G8" s="83"/>
      <c r="H8" s="83"/>
      <c r="I8" s="90"/>
    </row>
    <row r="9" spans="1:9" ht="25" customHeight="1">
      <c r="A9" s="86" t="s">
        <v>96</v>
      </c>
      <c r="B9" s="84"/>
      <c r="C9" s="83"/>
      <c r="D9" s="83"/>
      <c r="E9" s="83"/>
      <c r="F9" s="83"/>
      <c r="G9" s="83"/>
      <c r="H9" s="83"/>
      <c r="I9" s="90"/>
    </row>
    <row r="10" spans="1:9" ht="25" customHeight="1">
      <c r="A10" s="86" t="s">
        <v>98</v>
      </c>
      <c r="B10" s="84"/>
      <c r="C10" s="83"/>
      <c r="D10" s="83"/>
      <c r="E10" s="83"/>
      <c r="F10" s="83"/>
      <c r="G10" s="83"/>
      <c r="H10" s="83"/>
      <c r="I10" s="90"/>
    </row>
    <row r="11" spans="1:9" ht="25" customHeight="1">
      <c r="A11" s="86" t="s">
        <v>99</v>
      </c>
      <c r="B11" s="84"/>
      <c r="C11" s="83"/>
      <c r="D11" s="83"/>
      <c r="E11" s="83"/>
      <c r="F11" s="83"/>
      <c r="G11" s="83"/>
      <c r="H11" s="83"/>
      <c r="I11" s="90"/>
    </row>
    <row r="12" spans="1:9" ht="25" customHeight="1">
      <c r="A12" s="86" t="s">
        <v>100</v>
      </c>
      <c r="B12" s="84"/>
      <c r="C12" s="83"/>
      <c r="D12" s="83"/>
      <c r="E12" s="83"/>
      <c r="F12" s="83"/>
      <c r="G12" s="83"/>
      <c r="H12" s="83"/>
      <c r="I12" s="90"/>
    </row>
    <row r="13" spans="1:9" ht="25" customHeight="1">
      <c r="A13" s="86" t="s">
        <v>101</v>
      </c>
      <c r="B13" s="84"/>
      <c r="C13" s="83"/>
      <c r="D13" s="83"/>
      <c r="E13" s="83"/>
      <c r="F13" s="83"/>
      <c r="G13" s="83"/>
      <c r="H13" s="83"/>
      <c r="I13" s="90"/>
    </row>
    <row r="14" spans="1:9" ht="25" customHeight="1">
      <c r="A14" s="86" t="s">
        <v>76</v>
      </c>
      <c r="B14" s="84"/>
      <c r="C14" s="83"/>
      <c r="D14" s="83"/>
      <c r="E14" s="83"/>
      <c r="F14" s="83"/>
      <c r="G14" s="83"/>
      <c r="H14" s="83"/>
      <c r="I14" s="90"/>
    </row>
    <row r="15" spans="1:9" ht="25" customHeight="1">
      <c r="A15" s="86" t="s">
        <v>77</v>
      </c>
      <c r="B15" s="84"/>
      <c r="C15" s="83"/>
      <c r="D15" s="83"/>
      <c r="E15" s="83"/>
      <c r="F15" s="83"/>
      <c r="G15" s="83"/>
      <c r="H15" s="83"/>
      <c r="I15" s="90"/>
    </row>
    <row r="16" spans="1:9" ht="25" customHeight="1">
      <c r="A16" s="86" t="s">
        <v>8</v>
      </c>
      <c r="B16" s="84"/>
      <c r="C16" s="83"/>
      <c r="D16" s="83"/>
      <c r="E16" s="83"/>
      <c r="F16" s="83"/>
      <c r="G16" s="83"/>
      <c r="H16" s="83"/>
      <c r="I16" s="90"/>
    </row>
    <row r="17" spans="1:9" ht="25" customHeight="1">
      <c r="A17" s="86" t="s">
        <v>74</v>
      </c>
      <c r="B17" s="84"/>
      <c r="C17" s="83"/>
      <c r="D17" s="83"/>
      <c r="E17" s="83"/>
      <c r="F17" s="83"/>
      <c r="G17" s="83"/>
      <c r="H17" s="83"/>
      <c r="I17" s="90"/>
    </row>
    <row r="18" spans="1:9" ht="39" customHeight="1" thickBot="1">
      <c r="A18" s="94" t="s">
        <v>102</v>
      </c>
      <c r="B18" s="91"/>
      <c r="C18" s="92"/>
      <c r="D18" s="92"/>
      <c r="E18" s="92"/>
      <c r="F18" s="92"/>
      <c r="G18" s="92"/>
      <c r="H18" s="92"/>
      <c r="I18" s="93"/>
    </row>
  </sheetData>
  <phoneticPr fontId="8" type="noConversion"/>
  <pageMargins left="0.75" right="0.75" top="1" bottom="1" header="0.5" footer="0.5"/>
  <pageSetup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All Data (by sample)</vt:lpstr>
      <vt:lpstr>A+C Data (by batch)</vt:lpstr>
      <vt:lpstr>Pre-Clar Data (by batch)</vt:lpstr>
      <vt:lpstr>STATA import (Pre-clar)</vt:lpstr>
      <vt:lpstr>STATA import (A+C)</vt:lpstr>
      <vt:lpstr>STATA import (all)</vt:lpstr>
      <vt:lpstr>Raw Water Data</vt:lpstr>
      <vt:lpstr>Form</vt:lpstr>
    </vt:vector>
  </TitlesOfParts>
  <Company>UC Berkeley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Imran Ali</dc:creator>
  <cp:lastModifiedBy>Syed Imran Ali</cp:lastModifiedBy>
  <cp:lastPrinted>2017-08-26T15:00:06Z</cp:lastPrinted>
  <dcterms:created xsi:type="dcterms:W3CDTF">2017-08-25T11:59:24Z</dcterms:created>
  <dcterms:modified xsi:type="dcterms:W3CDTF">2018-01-23T17:01:11Z</dcterms:modified>
</cp:coreProperties>
</file>