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CParma\Acque Cile\Articolo Retta Precipitazioni Nord\semifinali\2019-03-13 submission\revisions\re-submission\second round\third round\"/>
    </mc:Choice>
  </mc:AlternateContent>
  <bookViews>
    <workbookView xWindow="0" yWindow="0" windowWidth="24000" windowHeight="9135" activeTab="6"/>
  </bookViews>
  <sheets>
    <sheet name="Station 1-9" sheetId="1" r:id="rId1"/>
    <sheet name="Station 10-11" sheetId="8" r:id="rId2"/>
    <sheet name="Station 12-24" sheetId="2" r:id="rId3"/>
    <sheet name="Station 25-27" sheetId="3" r:id="rId4"/>
    <sheet name="Station 28 " sheetId="6" r:id="rId5"/>
    <sheet name="Station 29-31" sheetId="11" r:id="rId6"/>
    <sheet name="Station 32" sheetId="9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9" l="1"/>
  <c r="L29" i="11" l="1"/>
  <c r="G27" i="11" l="1"/>
  <c r="G26" i="11"/>
  <c r="I25" i="11"/>
  <c r="H25" i="11"/>
  <c r="G25" i="11"/>
  <c r="G19" i="11"/>
  <c r="I18" i="11"/>
  <c r="I19" i="11" s="1"/>
  <c r="G18" i="11"/>
  <c r="I17" i="11"/>
  <c r="H17" i="11"/>
  <c r="G17" i="11"/>
  <c r="G12" i="11"/>
  <c r="G11" i="11"/>
  <c r="I10" i="11"/>
  <c r="H10" i="11"/>
  <c r="H11" i="11" s="1"/>
  <c r="H12" i="11" s="1"/>
  <c r="G10" i="11"/>
  <c r="I11" i="11" l="1"/>
  <c r="I12" i="11" s="1"/>
  <c r="H26" i="11"/>
  <c r="H27" i="11" s="1"/>
  <c r="H18" i="11"/>
  <c r="H19" i="11" s="1"/>
  <c r="I26" i="11"/>
  <c r="I27" i="11" s="1"/>
  <c r="E55" i="9" l="1"/>
  <c r="E56" i="9" s="1"/>
  <c r="D55" i="9"/>
  <c r="D56" i="9" s="1"/>
  <c r="E54" i="9"/>
  <c r="I47" i="2" l="1"/>
  <c r="H24" i="8" l="1"/>
  <c r="H9" i="8"/>
  <c r="H10" i="1" l="1"/>
  <c r="G48" i="1"/>
  <c r="H56" i="1"/>
  <c r="J123" i="2"/>
  <c r="J10" i="8"/>
  <c r="J25" i="8"/>
  <c r="I25" i="8"/>
  <c r="I10" i="8"/>
  <c r="J23" i="8"/>
  <c r="H25" i="8"/>
  <c r="H23" i="8"/>
  <c r="I23" i="8"/>
  <c r="I24" i="8" s="1"/>
  <c r="J8" i="8"/>
  <c r="I8" i="8"/>
  <c r="H10" i="8"/>
  <c r="H8" i="8"/>
  <c r="I93" i="2"/>
  <c r="F10" i="1"/>
  <c r="F11" i="1"/>
  <c r="F12" i="1"/>
  <c r="J9" i="8" l="1"/>
  <c r="J24" i="8"/>
  <c r="I9" i="8"/>
  <c r="G10" i="1"/>
  <c r="G9" i="6" l="1"/>
  <c r="H10" i="6"/>
  <c r="G10" i="6"/>
  <c r="H9" i="6"/>
  <c r="F25" i="3" l="1"/>
  <c r="F24" i="3"/>
  <c r="H23" i="3"/>
  <c r="G23" i="3"/>
  <c r="G24" i="3" s="1"/>
  <c r="G25" i="3" s="1"/>
  <c r="F23" i="3"/>
  <c r="H24" i="3" s="1"/>
  <c r="H25" i="3" s="1"/>
  <c r="F18" i="3"/>
  <c r="F17" i="3"/>
  <c r="H16" i="3"/>
  <c r="H17" i="3" s="1"/>
  <c r="H18" i="3" s="1"/>
  <c r="G16" i="3"/>
  <c r="G17" i="3" s="1"/>
  <c r="G18" i="3" s="1"/>
  <c r="F16" i="3"/>
  <c r="F11" i="3"/>
  <c r="F10" i="3"/>
  <c r="H9" i="3"/>
  <c r="H10" i="3" s="1"/>
  <c r="H11" i="3" s="1"/>
  <c r="G9" i="3"/>
  <c r="G10" i="3" s="1"/>
  <c r="G11" i="3" s="1"/>
  <c r="F9" i="3"/>
  <c r="H180" i="2"/>
  <c r="H113" i="2"/>
  <c r="I113" i="2" s="1"/>
  <c r="I114" i="2" s="1"/>
  <c r="I115" i="2" s="1"/>
  <c r="H114" i="2"/>
  <c r="H115" i="2"/>
  <c r="H94" i="2"/>
  <c r="H207" i="2"/>
  <c r="H209" i="2"/>
  <c r="H208" i="2"/>
  <c r="I207" i="2"/>
  <c r="J207" i="2"/>
  <c r="H200" i="2"/>
  <c r="H199" i="2"/>
  <c r="H198" i="2"/>
  <c r="J198" i="2" s="1"/>
  <c r="J199" i="2" s="1"/>
  <c r="J200" i="2" s="1"/>
  <c r="H181" i="2"/>
  <c r="I179" i="2"/>
  <c r="J179" i="2"/>
  <c r="H179" i="2"/>
  <c r="H172" i="2"/>
  <c r="H171" i="2"/>
  <c r="H170" i="2"/>
  <c r="I170" i="2" s="1"/>
  <c r="I171" i="2" s="1"/>
  <c r="I172" i="2" s="1"/>
  <c r="H157" i="2"/>
  <c r="H156" i="2"/>
  <c r="H155" i="2"/>
  <c r="I155" i="2" s="1"/>
  <c r="I156" i="2" s="1"/>
  <c r="I157" i="2" s="1"/>
  <c r="H135" i="2"/>
  <c r="H134" i="2"/>
  <c r="H133" i="2"/>
  <c r="I133" i="2" s="1"/>
  <c r="I134" i="2" s="1"/>
  <c r="I135" i="2" s="1"/>
  <c r="H125" i="2"/>
  <c r="H124" i="2"/>
  <c r="H123" i="2"/>
  <c r="I123" i="2" s="1"/>
  <c r="I124" i="2" s="1"/>
  <c r="I125" i="2" s="1"/>
  <c r="H95" i="2"/>
  <c r="J93" i="2"/>
  <c r="H93" i="2"/>
  <c r="H85" i="2"/>
  <c r="H84" i="2"/>
  <c r="H83" i="2"/>
  <c r="I83" i="2" s="1"/>
  <c r="I84" i="2" s="1"/>
  <c r="I85" i="2" s="1"/>
  <c r="H49" i="2"/>
  <c r="H48" i="2"/>
  <c r="H47" i="2"/>
  <c r="H27" i="2"/>
  <c r="H26" i="2"/>
  <c r="H25" i="2"/>
  <c r="I25" i="2" s="1"/>
  <c r="I26" i="2" s="1"/>
  <c r="I27" i="2" s="1"/>
  <c r="H13" i="2"/>
  <c r="H12" i="2"/>
  <c r="I11" i="2"/>
  <c r="J11" i="2"/>
  <c r="H11" i="2"/>
  <c r="F19" i="1"/>
  <c r="H19" i="1"/>
  <c r="G19" i="1"/>
  <c r="F20" i="1"/>
  <c r="F21" i="1"/>
  <c r="F26" i="1"/>
  <c r="H26" i="1"/>
  <c r="G26" i="1"/>
  <c r="F27" i="1"/>
  <c r="F28" i="1"/>
  <c r="F33" i="1"/>
  <c r="H33" i="1"/>
  <c r="G33" i="1"/>
  <c r="F34" i="1"/>
  <c r="F35" i="1"/>
  <c r="F48" i="1"/>
  <c r="H48" i="1"/>
  <c r="F49" i="1"/>
  <c r="F50" i="1"/>
  <c r="F56" i="1"/>
  <c r="G56" i="1"/>
  <c r="F57" i="1"/>
  <c r="F58" i="1"/>
  <c r="F66" i="1"/>
  <c r="H66" i="1"/>
  <c r="G66" i="1"/>
  <c r="F67" i="1"/>
  <c r="F68" i="1"/>
  <c r="H75" i="1"/>
  <c r="G75" i="1"/>
  <c r="F75" i="1"/>
  <c r="F76" i="1"/>
  <c r="F77" i="1"/>
  <c r="J47" i="2" l="1"/>
  <c r="J48" i="2" s="1"/>
  <c r="J49" i="2" s="1"/>
  <c r="J113" i="2"/>
  <c r="J114" i="2" s="1"/>
  <c r="J115" i="2" s="1"/>
  <c r="G67" i="1"/>
  <c r="G68" i="1" s="1"/>
  <c r="H20" i="1"/>
  <c r="H21" i="1" s="1"/>
  <c r="G76" i="1"/>
  <c r="G77" i="1" s="1"/>
  <c r="H76" i="1"/>
  <c r="H77" i="1" s="1"/>
  <c r="J180" i="2"/>
  <c r="J181" i="2" s="1"/>
  <c r="I12" i="2"/>
  <c r="I13" i="2" s="1"/>
  <c r="J12" i="2"/>
  <c r="J13" i="2" s="1"/>
  <c r="I208" i="2"/>
  <c r="I209" i="2" s="1"/>
  <c r="I198" i="2"/>
  <c r="I199" i="2" s="1"/>
  <c r="I200" i="2" s="1"/>
  <c r="J124" i="2"/>
  <c r="J125" i="2" s="1"/>
  <c r="I48" i="2"/>
  <c r="I49" i="2" s="1"/>
  <c r="I180" i="2"/>
  <c r="I181" i="2" s="1"/>
  <c r="J83" i="2"/>
  <c r="J84" i="2" s="1"/>
  <c r="J85" i="2" s="1"/>
  <c r="J155" i="2"/>
  <c r="J156" i="2" s="1"/>
  <c r="J157" i="2" s="1"/>
  <c r="I94" i="2"/>
  <c r="I95" i="2" s="1"/>
  <c r="J94" i="2"/>
  <c r="J95" i="2" s="1"/>
  <c r="J208" i="2"/>
  <c r="J209" i="2" s="1"/>
  <c r="J133" i="2"/>
  <c r="J134" i="2" s="1"/>
  <c r="J135" i="2" s="1"/>
  <c r="J25" i="2"/>
  <c r="J26" i="2" s="1"/>
  <c r="J27" i="2" s="1"/>
  <c r="J170" i="2"/>
  <c r="J171" i="2" s="1"/>
  <c r="J172" i="2" s="1"/>
  <c r="G34" i="1"/>
  <c r="G35" i="1" s="1"/>
  <c r="G49" i="1"/>
  <c r="G50" i="1" s="1"/>
  <c r="H34" i="1"/>
  <c r="H35" i="1" s="1"/>
  <c r="H57" i="1"/>
  <c r="H58" i="1" s="1"/>
  <c r="G20" i="1"/>
  <c r="G21" i="1" s="1"/>
  <c r="G11" i="1"/>
  <c r="G12" i="1" s="1"/>
  <c r="H11" i="1"/>
  <c r="H12" i="1" s="1"/>
  <c r="H49" i="1"/>
  <c r="H50" i="1" s="1"/>
  <c r="H67" i="1"/>
  <c r="H68" i="1" s="1"/>
  <c r="H27" i="1"/>
  <c r="H28" i="1" s="1"/>
  <c r="G57" i="1"/>
  <c r="G58" i="1" s="1"/>
  <c r="G27" i="1"/>
  <c r="G28" i="1" s="1"/>
</calcChain>
</file>

<file path=xl/sharedStrings.xml><?xml version="1.0" encoding="utf-8"?>
<sst xmlns="http://schemas.openxmlformats.org/spreadsheetml/2006/main" count="870" uniqueCount="334">
  <si>
    <t>measurement error</t>
  </si>
  <si>
    <t>4115 m A.S.L.</t>
  </si>
  <si>
    <t>Apacheta Mama</t>
  </si>
  <si>
    <t>combined sigma</t>
  </si>
  <si>
    <t>weigted mean</t>
  </si>
  <si>
    <t>N = 3</t>
  </si>
  <si>
    <t>Dec. 19,  1974-Apr. 15, 1975</t>
  </si>
  <si>
    <t>wt means 1974</t>
  </si>
  <si>
    <t>3300 m A.S.L.</t>
  </si>
  <si>
    <t>Jan. 10-Feb.7,1974</t>
  </si>
  <si>
    <t>Tambillos</t>
  </si>
  <si>
    <t>N = 4</t>
  </si>
  <si>
    <t>Wt. means 197 5</t>
  </si>
  <si>
    <t>Dec. 12,  1974-Apr. 16, 1975</t>
  </si>
  <si>
    <t>Apr. 9-Dec. 12,  1974</t>
  </si>
  <si>
    <t xml:space="preserve">4135 m A.S.L.           </t>
  </si>
  <si>
    <t>Indio Muerto</t>
  </si>
  <si>
    <t>Apr. 9-Dec. 19, 1974</t>
  </si>
  <si>
    <t xml:space="preserve">  Feb. 7-Apr. 9, 1974                   </t>
  </si>
  <si>
    <t xml:space="preserve">3800 m A.S.L.             </t>
  </si>
  <si>
    <t>Jan. 9-Feb. 7, 1974</t>
  </si>
  <si>
    <t>Huasco</t>
  </si>
  <si>
    <t>N = 7</t>
  </si>
  <si>
    <t>Mar. 1975</t>
  </si>
  <si>
    <t>Feb. 1975</t>
  </si>
  <si>
    <t>Jan. 1975</t>
  </si>
  <si>
    <t>Feb.  7-Mar. 20, 1974</t>
  </si>
  <si>
    <t>Jan. 10-Feb. 7, 1974</t>
  </si>
  <si>
    <t>Dec. 1973-Jan.10, 1974</t>
  </si>
  <si>
    <t xml:space="preserve">3915 m A.S.L.              </t>
  </si>
  <si>
    <t>Jan. 1973</t>
  </si>
  <si>
    <t>Collacagua</t>
  </si>
  <si>
    <t>N = 2</t>
  </si>
  <si>
    <t>Jan. 9 Feb. 20, 1974</t>
  </si>
  <si>
    <t>Mocha</t>
  </si>
  <si>
    <t xml:space="preserve"> Feb.  20-May 18, 1974             </t>
  </si>
  <si>
    <t xml:space="preserve">2590  m A.S.L.              </t>
  </si>
  <si>
    <t>Jan. 8-Feb. 20, 1974</t>
  </si>
  <si>
    <t>Alto  Mocha</t>
  </si>
  <si>
    <t xml:space="preserve">3360 m A.S.L.             </t>
  </si>
  <si>
    <t>Jan. 9-Feb. 20, 1974</t>
  </si>
  <si>
    <t>Chusmiza</t>
  </si>
  <si>
    <t>Dec. 16, 1974-Apr. 12, 1975</t>
  </si>
  <si>
    <t xml:space="preserve">4350 m A.S.L.             </t>
  </si>
  <si>
    <t>Apacheta Tapa</t>
  </si>
  <si>
    <t>Reference:</t>
  </si>
  <si>
    <t>Collaguasi</t>
  </si>
  <si>
    <t>5/Jan</t>
  </si>
  <si>
    <t>17-22.1</t>
  </si>
  <si>
    <t>17/Jan</t>
  </si>
  <si>
    <t>16.2-19.2</t>
  </si>
  <si>
    <t>12/March</t>
  </si>
  <si>
    <t>19.1-22.3</t>
  </si>
  <si>
    <t>Weighted Mean</t>
  </si>
  <si>
    <t>Feb</t>
  </si>
  <si>
    <t>March</t>
  </si>
  <si>
    <t xml:space="preserve">Weighted Mean </t>
  </si>
  <si>
    <t xml:space="preserve">N = </t>
  </si>
  <si>
    <t>Ujina</t>
  </si>
  <si>
    <t>4/Jan</t>
  </si>
  <si>
    <t>19.1-23.2</t>
  </si>
  <si>
    <t>17.2-19.2</t>
  </si>
  <si>
    <t>6/Jan</t>
  </si>
  <si>
    <t>22.1-3.0</t>
  </si>
  <si>
    <t>8/Jan</t>
  </si>
  <si>
    <t>0.1-5.0</t>
  </si>
  <si>
    <t>Nov</t>
  </si>
  <si>
    <t>Jan</t>
  </si>
  <si>
    <t>N=</t>
  </si>
  <si>
    <t>Puchuldiza</t>
  </si>
  <si>
    <t>6/Feb</t>
  </si>
  <si>
    <t>20.0-5.1</t>
  </si>
  <si>
    <t>7/Feb</t>
  </si>
  <si>
    <t>21.2-6.2</t>
  </si>
  <si>
    <t>8/Feb</t>
  </si>
  <si>
    <t>24.0-5.2</t>
  </si>
  <si>
    <t>9/Feb</t>
  </si>
  <si>
    <t>21.1-7.1</t>
  </si>
  <si>
    <t>10/Feb</t>
  </si>
  <si>
    <t>15.0-15.3</t>
  </si>
  <si>
    <t>11/Feb</t>
  </si>
  <si>
    <t>16.3-20.1</t>
  </si>
  <si>
    <t>8/Jun</t>
  </si>
  <si>
    <t>nd</t>
  </si>
  <si>
    <t>9/Jun</t>
  </si>
  <si>
    <t>10.0-19.0</t>
  </si>
  <si>
    <t>23/Jun</t>
  </si>
  <si>
    <t>14.0-17.0</t>
  </si>
  <si>
    <t>24/Jun</t>
  </si>
  <si>
    <t>8.0-20.0</t>
  </si>
  <si>
    <t>25/Jun</t>
  </si>
  <si>
    <t>Dec</t>
  </si>
  <si>
    <t>April</t>
  </si>
  <si>
    <t>17.0-5.0</t>
  </si>
  <si>
    <t>20.3-9.3</t>
  </si>
  <si>
    <t>16.1-11.0</t>
  </si>
  <si>
    <t>ND</t>
  </si>
  <si>
    <t>11/Jan</t>
  </si>
  <si>
    <t>15.2-22.2</t>
  </si>
  <si>
    <t>22/Jan</t>
  </si>
  <si>
    <t>16.0-5.0</t>
  </si>
  <si>
    <t>23/Jan</t>
  </si>
  <si>
    <t>7.3-8.3</t>
  </si>
  <si>
    <t>24/Jan</t>
  </si>
  <si>
    <t>15.3-5.0</t>
  </si>
  <si>
    <t>5/Feb</t>
  </si>
  <si>
    <t>23.0-10</t>
  </si>
  <si>
    <t>18.2-10.6</t>
  </si>
  <si>
    <t>0.5-9.3</t>
  </si>
  <si>
    <t>12/Feb</t>
  </si>
  <si>
    <t>18.4-23.0</t>
  </si>
  <si>
    <t>13/Feb</t>
  </si>
  <si>
    <t>19.5-8.4</t>
  </si>
  <si>
    <t>16/Feb</t>
  </si>
  <si>
    <t>20.1-7.5</t>
  </si>
  <si>
    <t>4/March</t>
  </si>
  <si>
    <t>19.2-22.2</t>
  </si>
  <si>
    <t>10/March</t>
  </si>
  <si>
    <t>17.2-17.5</t>
  </si>
  <si>
    <t>17/March</t>
  </si>
  <si>
    <t>4.0-10.0</t>
  </si>
  <si>
    <t>18/March</t>
  </si>
  <si>
    <t>18.3-5.0</t>
  </si>
  <si>
    <t>26/March</t>
  </si>
  <si>
    <t>18.1-18.3</t>
  </si>
  <si>
    <t>8/June</t>
  </si>
  <si>
    <t>snow</t>
  </si>
  <si>
    <t>18/June</t>
  </si>
  <si>
    <t>19/June</t>
  </si>
  <si>
    <t>25/June</t>
  </si>
  <si>
    <t>Feb/March</t>
  </si>
  <si>
    <t>12.3-18.0</t>
  </si>
  <si>
    <t>2/Jan</t>
  </si>
  <si>
    <t>24.0-5.0</t>
  </si>
  <si>
    <t>3/Jan</t>
  </si>
  <si>
    <t>16.3-17.0</t>
  </si>
  <si>
    <t>17.2-15.5</t>
  </si>
  <si>
    <t>18.0-23.0</t>
  </si>
  <si>
    <t>19.3-23.0</t>
  </si>
  <si>
    <t>18.3-20.0</t>
  </si>
  <si>
    <t>18/Feb</t>
  </si>
  <si>
    <t>17.1-18.2</t>
  </si>
  <si>
    <t>Cancosa</t>
  </si>
  <si>
    <t xml:space="preserve">N= </t>
  </si>
  <si>
    <t>Huaytane</t>
  </si>
  <si>
    <t>Copaquire</t>
  </si>
  <si>
    <t>9.0-10.3</t>
  </si>
  <si>
    <t>10.0-11.0</t>
  </si>
  <si>
    <t>14.0-14.55</t>
  </si>
  <si>
    <t>7.0-8.0</t>
  </si>
  <si>
    <t>7.0-23.0</t>
  </si>
  <si>
    <t>12/Jan</t>
  </si>
  <si>
    <t>20.0-7.10</t>
  </si>
  <si>
    <t>13/Jan</t>
  </si>
  <si>
    <t>12.05-13.1</t>
  </si>
  <si>
    <t>10.0-14.0</t>
  </si>
  <si>
    <t>17/Feb</t>
  </si>
  <si>
    <t>15.1-18.0</t>
  </si>
  <si>
    <t>10.1-16.0</t>
  </si>
  <si>
    <t>20/Feb</t>
  </si>
  <si>
    <t>14.1-17.0</t>
  </si>
  <si>
    <t>23/Feb</t>
  </si>
  <si>
    <t>21.0-14.0</t>
  </si>
  <si>
    <t>10/June</t>
  </si>
  <si>
    <t>15.0-17.0</t>
  </si>
  <si>
    <t>24/June</t>
  </si>
  <si>
    <t>18.0-22.0</t>
  </si>
  <si>
    <t>12.0-22.3</t>
  </si>
  <si>
    <t>Poroma</t>
  </si>
  <si>
    <t>5.15-9.0</t>
  </si>
  <si>
    <t>3.5-8.0</t>
  </si>
  <si>
    <t>6.25-10.0</t>
  </si>
  <si>
    <t>15/Jan</t>
  </si>
  <si>
    <t>23.0-6.0</t>
  </si>
  <si>
    <t>19/Feb</t>
  </si>
  <si>
    <t>1.0-4.0</t>
  </si>
  <si>
    <t>Parca</t>
  </si>
  <si>
    <t>Huatacondo</t>
  </si>
  <si>
    <t>16.0-20.2</t>
  </si>
  <si>
    <t>15.0-18.0</t>
  </si>
  <si>
    <t>14.0-24.0</t>
  </si>
  <si>
    <t>18.3-21.0</t>
  </si>
  <si>
    <t>5.0-6.0</t>
  </si>
  <si>
    <t>6.0-8.0</t>
  </si>
  <si>
    <t>20.0-12.0</t>
  </si>
  <si>
    <t>7/Jun</t>
  </si>
  <si>
    <t>11/Jun</t>
  </si>
  <si>
    <t>N = 12</t>
  </si>
  <si>
    <t>Camina</t>
  </si>
  <si>
    <t>10/Jan</t>
  </si>
  <si>
    <t>8.0-8.0</t>
  </si>
  <si>
    <t>22/Feb</t>
  </si>
  <si>
    <t>17.3-8.0</t>
  </si>
  <si>
    <t>9/March</t>
  </si>
  <si>
    <t>24.5-6.4</t>
  </si>
  <si>
    <t>amount sum</t>
  </si>
  <si>
    <t>amount mean</t>
  </si>
  <si>
    <t>amount median</t>
  </si>
  <si>
    <t>weighted sigma</t>
  </si>
  <si>
    <t xml:space="preserve">Sample No. </t>
  </si>
  <si>
    <t xml:space="preserve">Sillillica </t>
  </si>
  <si>
    <t xml:space="preserve">dic2009/oct2010 </t>
  </si>
  <si>
    <t xml:space="preserve">oct2010-mar2011 </t>
  </si>
  <si>
    <t xml:space="preserve">mar2011-nov2011 </t>
  </si>
  <si>
    <t xml:space="preserve">Altos del Huasco </t>
  </si>
  <si>
    <t xml:space="preserve">Diablo Marca </t>
  </si>
  <si>
    <t xml:space="preserve">amount (mm) </t>
  </si>
  <si>
    <t>Prec.Total</t>
  </si>
  <si>
    <t>δ¹⁸O[‰] W.Mean</t>
  </si>
  <si>
    <t>δ²H[‰] W.Mean</t>
  </si>
  <si>
    <t>δ¹⁸O[‰] Avg</t>
  </si>
  <si>
    <t>δ²H[‰] Avg</t>
  </si>
  <si>
    <t>d-excess[‰] W.Mean</t>
  </si>
  <si>
    <t>d-excess[‰] Avg</t>
  </si>
  <si>
    <t>AirTemp. [°C] Avg</t>
  </si>
  <si>
    <t>VP[hPa] Avg</t>
  </si>
  <si>
    <t>Tableau 333-Q, pag. III-138</t>
  </si>
  <si>
    <t>Globale (juillet 94 - mars 97)</t>
  </si>
  <si>
    <t xml:space="preserve">Partielle (juillet 94 - octobre 96) </t>
  </si>
  <si>
    <t>Saisons hivernales 1994-96</t>
  </si>
  <si>
    <t>Saisons estivales 1994-96</t>
  </si>
  <si>
    <t>Toutes saisons estivales 94-97</t>
  </si>
  <si>
    <t>weighted mean</t>
  </si>
  <si>
    <t>weigthed mean</t>
  </si>
  <si>
    <t>wt. means 1974</t>
  </si>
  <si>
    <t>wt. means 1975</t>
  </si>
  <si>
    <t>wt. means 197 4</t>
  </si>
  <si>
    <t>wt. means 1973</t>
  </si>
  <si>
    <r>
      <t xml:space="preserve">small  </t>
    </r>
    <r>
      <rPr>
        <i/>
        <sz val="9"/>
        <color indexed="8"/>
        <rFont val="Arial"/>
        <family val="2"/>
      </rPr>
      <t>q</t>
    </r>
  </si>
  <si>
    <t>Dec.1973-Jan.10, 1974</t>
  </si>
  <si>
    <t>Feb.  20-Apr. 11, 1974</t>
  </si>
  <si>
    <t xml:space="preserve">Jan.10-Feb.20, 1974              </t>
  </si>
  <si>
    <t xml:space="preserve">Feb. 20-Apr. 11,1974               </t>
  </si>
  <si>
    <t>Dec. 18, 1974-Apr. 15, 1975</t>
  </si>
  <si>
    <t>2200 m A.S.L.</t>
  </si>
  <si>
    <t>Feb.  20-Apr. 15, 1974</t>
  </si>
  <si>
    <t xml:space="preserve">Feb. 7-Apr. 9, 1974   </t>
  </si>
  <si>
    <r>
      <t>Feb.  7-May 5, 1974</t>
    </r>
    <r>
      <rPr>
        <sz val="12"/>
        <color indexed="8"/>
        <rFont val="Times New Roman"/>
        <family val="1"/>
        <charset val="204"/>
      </rPr>
      <t/>
    </r>
  </si>
  <si>
    <t>Jul.30, 1973-Dec, 1974</t>
  </si>
  <si>
    <t>ID in the ref.</t>
  </si>
  <si>
    <t>Colchane</t>
  </si>
  <si>
    <t>altitude</t>
  </si>
  <si>
    <t xml:space="preserve">accumulation period </t>
  </si>
  <si>
    <t>location</t>
  </si>
  <si>
    <t>location/altitude</t>
  </si>
  <si>
    <r>
      <t>δ</t>
    </r>
    <r>
      <rPr>
        <b/>
        <vertAlign val="superscript"/>
        <sz val="9"/>
        <color theme="1"/>
        <rFont val="Arial"/>
        <family val="2"/>
      </rPr>
      <t>18</t>
    </r>
    <r>
      <rPr>
        <b/>
        <sz val="9"/>
        <color theme="1"/>
        <rFont val="Arial"/>
        <family val="2"/>
      </rPr>
      <t>O</t>
    </r>
  </si>
  <si>
    <r>
      <t>δ</t>
    </r>
    <r>
      <rPr>
        <b/>
        <vertAlign val="superscript"/>
        <sz val="9"/>
        <color theme="1"/>
        <rFont val="Arial"/>
        <family val="2"/>
      </rPr>
      <t>2</t>
    </r>
    <r>
      <rPr>
        <b/>
        <sz val="9"/>
        <color theme="1"/>
        <rFont val="Arial"/>
        <family val="2"/>
      </rPr>
      <t>H</t>
    </r>
  </si>
  <si>
    <t>Pampa Lirima</t>
  </si>
  <si>
    <t>Pumire</t>
  </si>
  <si>
    <t>1/Jan</t>
  </si>
  <si>
    <t>14/Feb</t>
  </si>
  <si>
    <t>Coposa</t>
  </si>
  <si>
    <t>7/Feb?</t>
  </si>
  <si>
    <t>07/Jun</t>
  </si>
  <si>
    <t>12/Jun</t>
  </si>
  <si>
    <t>26/Jun</t>
  </si>
  <si>
    <t>27/Jun</t>
  </si>
  <si>
    <t>2Jan</t>
  </si>
  <si>
    <t xml:space="preserve">Feb. 1973                          </t>
  </si>
  <si>
    <t>accumulation period (year, day, month)</t>
  </si>
  <si>
    <t>accumulation period (year, day, month, hour range)</t>
  </si>
  <si>
    <t>Year</t>
  </si>
  <si>
    <t>-</t>
  </si>
  <si>
    <t>(12)</t>
  </si>
  <si>
    <t>(14.3%</t>
  </si>
  <si>
    <t>/ 1)</t>
  </si>
  <si>
    <t>(1.7%</t>
  </si>
  <si>
    <t>(93.8%</t>
  </si>
  <si>
    <t>(74.5%</t>
  </si>
  <si>
    <t>/ 2)</t>
  </si>
  <si>
    <t>(81.5%</t>
  </si>
  <si>
    <t>(63.1%</t>
  </si>
  <si>
    <t>(94.3%</t>
  </si>
  <si>
    <t>/ 3)</t>
  </si>
  <si>
    <t>(97.3%</t>
  </si>
  <si>
    <t>(100.0%</t>
  </si>
  <si>
    <t>(83.4%</t>
  </si>
  <si>
    <t>(88.1%</t>
  </si>
  <si>
    <t>(77.0%</t>
  </si>
  <si>
    <t>(34.0%</t>
  </si>
  <si>
    <t>(81.1%</t>
  </si>
  <si>
    <t>(14.2%</t>
  </si>
  <si>
    <t>(95.6%</t>
  </si>
  <si>
    <t>/ 4)</t>
  </si>
  <si>
    <t>(75.8%</t>
  </si>
  <si>
    <t>(93.0%</t>
  </si>
  <si>
    <t>standard deviation between years with 70% of annual precipitations</t>
  </si>
  <si>
    <t>included data</t>
  </si>
  <si>
    <t>Station ID: from 10 to 11 (Table 2 this work)</t>
  </si>
  <si>
    <t>Station ID: from 1 to 9 (Table 2 this work)</t>
  </si>
  <si>
    <t>Station ID: from 12 to 24 (Table 2 this work)</t>
  </si>
  <si>
    <t>Station ID: from 25 to 27 (Table 2 this work)</t>
  </si>
  <si>
    <t>note: total number of monitored monthly precipitations used in the calculations (see IAEA/WMO - GNIP dataset, "La Serena" monthly data)</t>
  </si>
  <si>
    <t>note: mean precipitation amount calculated between the 34 monthly data distributed on 14 years (see IAEA/WMO - GNIP dataset, "La Serena" monthly data)</t>
  </si>
  <si>
    <t>Station ID: 28 (Table 2 this work)</t>
  </si>
  <si>
    <t>note: total number of monitored monthly precipitations used in the calculations</t>
  </si>
  <si>
    <t>mean mm =</t>
  </si>
  <si>
    <t xml:space="preserve">mean mm = </t>
  </si>
  <si>
    <t>note: mean precipitation amount calculated between the 36 monthly data distributed on 4 years</t>
  </si>
  <si>
    <t xml:space="preserve">sample 16 - Colchane 1985 - shifted in the precipitations dataset without amount </t>
  </si>
  <si>
    <t>Station ID: 32 (Table 2 this work)</t>
  </si>
  <si>
    <t>Sample</t>
  </si>
  <si>
    <t>Type</t>
  </si>
  <si>
    <t>Altitude</t>
  </si>
  <si>
    <t>Date</t>
  </si>
  <si>
    <t xml:space="preserve"> (m asl)</t>
  </si>
  <si>
    <t>mm</t>
  </si>
  <si>
    <t>(‰ SMOW)</t>
  </si>
  <si>
    <t>Lluvia Tuyajto</t>
  </si>
  <si>
    <t>Rainfall</t>
  </si>
  <si>
    <t>2/23/2005</t>
  </si>
  <si>
    <t>Lluvia Pampa Colorada</t>
  </si>
  <si>
    <t>Lluvia Aguas Calientes-3</t>
  </si>
  <si>
    <t>Station ID: from 29 to 31 (Table 2 this work)</t>
  </si>
  <si>
    <t>amount</t>
  </si>
  <si>
    <t>notes:</t>
  </si>
  <si>
    <t xml:space="preserve"> data abnormally enriched due to excessive evaporation: discharged according to IAEA (1992) [Ref. 4]</t>
  </si>
  <si>
    <t xml:space="preserve">Figures in closed bracket below data average (column F and G) is the total number of samples validated by IAEA for a specific year. </t>
  </si>
  <si>
    <t>For details on the structure of the dataset, please see the original webpage of the station, accesible at  https://nucleus.iaea.org/wiser/index.aspx, and the volume IAEA (1992) [Ref. 4]</t>
  </si>
  <si>
    <t>N = 1</t>
  </si>
  <si>
    <t>discharged data due to low monthly annual coverage (i.e., &lt; 70%), accoring to IAEA (1992), Ref. [4].</t>
  </si>
  <si>
    <t>% on column D and E: annual coverage of the isotope data pairs, in percentage. According to IAEA (1992) [Ref. 4], only data with &gt;70% were chosen in the calculations.</t>
  </si>
  <si>
    <t>Fritz et al. 1981 [Ref. 35]</t>
  </si>
  <si>
    <t>annual weighted mean calculated by the authors [Ref. 35]</t>
  </si>
  <si>
    <t>Salazar et al. 1988 [Ref. 41], Aravena et al. 1989 [Ref. 42]</t>
  </si>
  <si>
    <t>annual weighted mean calculated by the authors [Ref. 41, 42]</t>
  </si>
  <si>
    <t>Aravena et al. 1999 (Table 1 and Table 2) [Ref. 31]</t>
  </si>
  <si>
    <t>annual weighted mean calculated by the authors [Ref. 31]</t>
  </si>
  <si>
    <t>in the original manuscript the sign of this datum was wrong (+). Here corrected by the data in Salazar et al. 1998 [Ref. 39]</t>
  </si>
  <si>
    <t>Uribe et al. 2015 [Ref. 40]</t>
  </si>
  <si>
    <t>Reference: Chaffaut 1998 [Ref. 32]</t>
  </si>
  <si>
    <t>Reference: Herrera et al. 2016 [Ref. 43]</t>
  </si>
  <si>
    <t>Reference: IAEA/WMO 2015 - "La Serena" [Ref. 37]</t>
  </si>
  <si>
    <t>note: mean error from Sánchez-Murillo et al. 2018, [Ref. 25]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</si>
</sst>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0"/>
    <numFmt numFmtId="165" formatCode="###0;###0"/>
    <numFmt numFmtId="166" formatCode="###0.00"/>
    <numFmt numFmtId="167" formatCode="###0.0;###0.0"/>
    <numFmt numFmtId="168" formatCode="###0.0"/>
    <numFmt numFmtId="169" formatCode="0.0"/>
  </numFmts>
  <fonts count="22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9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color rgb="FF333333"/>
      <name val="Calibri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b/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name val="Arial"/>
      <family val="2"/>
    </font>
    <font>
      <sz val="9"/>
      <color rgb="FF333333"/>
      <name val="Arial"/>
      <family val="2"/>
    </font>
    <font>
      <b/>
      <sz val="9"/>
      <color rgb="FF333333"/>
      <name val="Arial"/>
      <family val="2"/>
    </font>
    <font>
      <b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9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AFEFC"/>
        <bgColor indexed="64"/>
      </patternFill>
    </fill>
    <fill>
      <patternFill patternType="solid">
        <fgColor theme="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33333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4" fillId="0" borderId="0"/>
  </cellStyleXfs>
  <cellXfs count="386">
    <xf numFmtId="0" fontId="0" fillId="0" borderId="0" xfId="0"/>
    <xf numFmtId="0" fontId="5" fillId="0" borderId="0" xfId="0" applyFont="1"/>
    <xf numFmtId="0" fontId="5" fillId="5" borderId="0" xfId="0" applyFont="1" applyFill="1"/>
    <xf numFmtId="0" fontId="7" fillId="0" borderId="0" xfId="0" applyFont="1" applyAlignment="1">
      <alignment vertical="center"/>
    </xf>
    <xf numFmtId="0" fontId="7" fillId="4" borderId="11" xfId="0" applyFont="1" applyFill="1" applyBorder="1" applyAlignment="1">
      <alignment vertical="center"/>
    </xf>
    <xf numFmtId="0" fontId="7" fillId="0" borderId="6" xfId="0" applyFont="1" applyBorder="1" applyAlignment="1">
      <alignment vertical="center"/>
    </xf>
    <xf numFmtId="0" fontId="6" fillId="10" borderId="18" xfId="0" applyFont="1" applyFill="1" applyBorder="1" applyAlignment="1">
      <alignment horizontal="right" vertical="center"/>
    </xf>
    <xf numFmtId="0" fontId="7" fillId="0" borderId="4" xfId="0" applyFont="1" applyBorder="1" applyAlignment="1">
      <alignment vertical="center"/>
    </xf>
    <xf numFmtId="0" fontId="6" fillId="10" borderId="3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vertical="center"/>
    </xf>
    <xf numFmtId="0" fontId="6" fillId="5" borderId="16" xfId="0" applyFont="1" applyFill="1" applyBorder="1" applyAlignment="1">
      <alignment horizontal="right" vertical="center"/>
    </xf>
    <xf numFmtId="0" fontId="8" fillId="5" borderId="16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11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6" fillId="5" borderId="10" xfId="0" applyFont="1" applyFill="1" applyBorder="1" applyAlignment="1">
      <alignment vertical="center"/>
    </xf>
    <xf numFmtId="0" fontId="6" fillId="5" borderId="9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5" borderId="5" xfId="0" applyFont="1" applyFill="1" applyBorder="1" applyAlignment="1">
      <alignment vertical="center"/>
    </xf>
    <xf numFmtId="0" fontId="10" fillId="3" borderId="6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vertical="center"/>
    </xf>
    <xf numFmtId="0" fontId="6" fillId="5" borderId="7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167" fontId="2" fillId="5" borderId="0" xfId="0" applyNumberFormat="1" applyFont="1" applyFill="1" applyBorder="1" applyAlignment="1">
      <alignment horizontal="left" vertical="center" wrapText="1"/>
    </xf>
    <xf numFmtId="0" fontId="10" fillId="5" borderId="16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vertical="center"/>
    </xf>
    <xf numFmtId="0" fontId="2" fillId="5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vertical="center"/>
    </xf>
    <xf numFmtId="0" fontId="10" fillId="3" borderId="3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6" fillId="7" borderId="0" xfId="0" applyFont="1" applyFill="1" applyAlignment="1">
      <alignment vertical="center"/>
    </xf>
    <xf numFmtId="0" fontId="7" fillId="7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 wrapText="1"/>
    </xf>
    <xf numFmtId="169" fontId="2" fillId="3" borderId="0" xfId="0" applyNumberFormat="1" applyFont="1" applyFill="1" applyBorder="1" applyAlignment="1">
      <alignment horizontal="center" vertical="center" wrapText="1"/>
    </xf>
    <xf numFmtId="166" fontId="8" fillId="4" borderId="0" xfId="0" applyNumberFormat="1" applyFont="1" applyFill="1" applyBorder="1" applyAlignment="1">
      <alignment horizontal="center" vertical="center" wrapText="1"/>
    </xf>
    <xf numFmtId="168" fontId="8" fillId="4" borderId="0" xfId="0" applyNumberFormat="1" applyFont="1" applyFill="1" applyBorder="1" applyAlignment="1">
      <alignment horizontal="center" vertical="center" wrapText="1"/>
    </xf>
    <xf numFmtId="166" fontId="8" fillId="4" borderId="3" xfId="0" applyNumberFormat="1" applyFont="1" applyFill="1" applyBorder="1" applyAlignment="1">
      <alignment horizontal="center" vertical="center" wrapText="1"/>
    </xf>
    <xf numFmtId="168" fontId="8" fillId="4" borderId="3" xfId="0" applyNumberFormat="1" applyFont="1" applyFill="1" applyBorder="1" applyAlignment="1">
      <alignment horizontal="center" vertical="center" wrapText="1"/>
    </xf>
    <xf numFmtId="166" fontId="8" fillId="5" borderId="0" xfId="0" applyNumberFormat="1" applyFont="1" applyFill="1" applyBorder="1" applyAlignment="1">
      <alignment horizontal="center" vertical="center" wrapText="1"/>
    </xf>
    <xf numFmtId="168" fontId="8" fillId="5" borderId="0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166" fontId="8" fillId="5" borderId="16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165" fontId="9" fillId="3" borderId="10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7" fontId="2" fillId="2" borderId="2" xfId="0" applyNumberFormat="1" applyFont="1" applyFill="1" applyBorder="1" applyAlignment="1">
      <alignment horizontal="center" vertical="center" wrapText="1"/>
    </xf>
    <xf numFmtId="167" fontId="2" fillId="10" borderId="0" xfId="0" applyNumberFormat="1" applyFont="1" applyFill="1" applyBorder="1" applyAlignment="1">
      <alignment horizontal="center" vertical="center" wrapText="1"/>
    </xf>
    <xf numFmtId="167" fontId="2" fillId="10" borderId="3" xfId="0" applyNumberFormat="1" applyFont="1" applyFill="1" applyBorder="1" applyAlignment="1">
      <alignment horizontal="center" vertical="center" wrapText="1"/>
    </xf>
    <xf numFmtId="167" fontId="2" fillId="5" borderId="0" xfId="0" applyNumberFormat="1" applyFont="1" applyFill="1" applyBorder="1" applyAlignment="1">
      <alignment horizontal="center" vertical="center" wrapText="1"/>
    </xf>
    <xf numFmtId="167" fontId="2" fillId="5" borderId="16" xfId="0" applyNumberFormat="1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/>
    </xf>
    <xf numFmtId="0" fontId="7" fillId="4" borderId="6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4" borderId="11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 wrapText="1"/>
    </xf>
    <xf numFmtId="0" fontId="7" fillId="5" borderId="0" xfId="0" applyFont="1" applyFill="1" applyBorder="1" applyAlignment="1">
      <alignment vertical="center"/>
    </xf>
    <xf numFmtId="0" fontId="6" fillId="5" borderId="0" xfId="0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vertical="center"/>
    </xf>
    <xf numFmtId="0" fontId="6" fillId="5" borderId="16" xfId="0" applyFont="1" applyFill="1" applyBorder="1" applyAlignment="1">
      <alignment horizontal="right" vertical="center"/>
    </xf>
    <xf numFmtId="0" fontId="8" fillId="5" borderId="16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3" borderId="11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vertical="center"/>
    </xf>
    <xf numFmtId="0" fontId="6" fillId="5" borderId="0" xfId="0" applyFont="1" applyFill="1" applyBorder="1" applyAlignment="1">
      <alignment vertical="center"/>
    </xf>
    <xf numFmtId="0" fontId="6" fillId="5" borderId="5" xfId="0" applyFont="1" applyFill="1" applyBorder="1" applyAlignment="1">
      <alignment vertical="center"/>
    </xf>
    <xf numFmtId="0" fontId="10" fillId="3" borderId="6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0" fillId="5" borderId="16" xfId="0" applyFont="1" applyFill="1" applyBorder="1" applyAlignment="1">
      <alignment horizontal="left" vertical="center" wrapText="1"/>
    </xf>
    <xf numFmtId="0" fontId="6" fillId="5" borderId="0" xfId="0" applyFont="1" applyFill="1" applyAlignment="1">
      <alignment vertical="center"/>
    </xf>
    <xf numFmtId="0" fontId="2" fillId="5" borderId="0" xfId="0" applyFont="1" applyFill="1" applyBorder="1" applyAlignment="1">
      <alignment horizontal="left" vertical="center" wrapText="1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10" fillId="3" borderId="1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2" fontId="2" fillId="3" borderId="10" xfId="0" applyNumberFormat="1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 wrapText="1"/>
    </xf>
    <xf numFmtId="168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9" fontId="2" fillId="3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6" fontId="8" fillId="4" borderId="0" xfId="0" applyNumberFormat="1" applyFont="1" applyFill="1" applyBorder="1" applyAlignment="1">
      <alignment horizontal="center" vertical="center" wrapText="1"/>
    </xf>
    <xf numFmtId="168" fontId="8" fillId="4" borderId="0" xfId="0" applyNumberFormat="1" applyFont="1" applyFill="1" applyBorder="1" applyAlignment="1">
      <alignment horizontal="center" vertical="center" wrapText="1"/>
    </xf>
    <xf numFmtId="166" fontId="8" fillId="4" borderId="3" xfId="0" applyNumberFormat="1" applyFont="1" applyFill="1" applyBorder="1" applyAlignment="1">
      <alignment horizontal="center" vertical="center" wrapText="1"/>
    </xf>
    <xf numFmtId="168" fontId="8" fillId="4" borderId="3" xfId="0" applyNumberFormat="1" applyFont="1" applyFill="1" applyBorder="1" applyAlignment="1">
      <alignment horizontal="center" vertical="center" wrapText="1"/>
    </xf>
    <xf numFmtId="166" fontId="8" fillId="5" borderId="0" xfId="0" applyNumberFormat="1" applyFont="1" applyFill="1" applyBorder="1" applyAlignment="1">
      <alignment horizontal="center" vertical="center" wrapText="1"/>
    </xf>
    <xf numFmtId="168" fontId="8" fillId="5" borderId="0" xfId="0" applyNumberFormat="1" applyFont="1" applyFill="1" applyBorder="1" applyAlignment="1">
      <alignment horizontal="center" vertical="center" wrapText="1"/>
    </xf>
    <xf numFmtId="168" fontId="2" fillId="3" borderId="10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68" fontId="2" fillId="3" borderId="0" xfId="0" applyNumberFormat="1" applyFont="1" applyFill="1" applyBorder="1" applyAlignment="1">
      <alignment horizontal="center" vertical="center" wrapText="1"/>
    </xf>
    <xf numFmtId="164" fontId="2" fillId="3" borderId="0" xfId="0" applyNumberFormat="1" applyFont="1" applyFill="1" applyBorder="1" applyAlignment="1">
      <alignment horizontal="center" vertical="center" wrapText="1"/>
    </xf>
    <xf numFmtId="166" fontId="8" fillId="5" borderId="16" xfId="0" applyNumberFormat="1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/>
    </xf>
    <xf numFmtId="0" fontId="10" fillId="3" borderId="0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7" fontId="2" fillId="2" borderId="0" xfId="0" applyNumberFormat="1" applyFont="1" applyFill="1" applyBorder="1" applyAlignment="1">
      <alignment horizontal="center" vertical="center" wrapText="1"/>
    </xf>
    <xf numFmtId="167" fontId="2" fillId="5" borderId="0" xfId="0" applyNumberFormat="1" applyFont="1" applyFill="1" applyBorder="1" applyAlignment="1">
      <alignment horizontal="center" vertical="center" wrapText="1"/>
    </xf>
    <xf numFmtId="167" fontId="2" fillId="3" borderId="10" xfId="0" applyNumberFormat="1" applyFont="1" applyFill="1" applyBorder="1" applyAlignment="1">
      <alignment horizontal="center" vertical="center" wrapText="1"/>
    </xf>
    <xf numFmtId="167" fontId="2" fillId="3" borderId="0" xfId="0" applyNumberFormat="1" applyFont="1" applyFill="1" applyBorder="1" applyAlignment="1">
      <alignment horizontal="center" vertical="center" wrapText="1"/>
    </xf>
    <xf numFmtId="167" fontId="8" fillId="4" borderId="0" xfId="0" applyNumberFormat="1" applyFont="1" applyFill="1" applyBorder="1" applyAlignment="1">
      <alignment horizontal="center" vertical="center" wrapText="1"/>
    </xf>
    <xf numFmtId="167" fontId="2" fillId="5" borderId="16" xfId="0" applyNumberFormat="1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165" fontId="9" fillId="3" borderId="0" xfId="0" applyNumberFormat="1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2" fillId="4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/>
    </xf>
    <xf numFmtId="0" fontId="10" fillId="2" borderId="0" xfId="0" applyFont="1" applyFill="1" applyBorder="1" applyAlignment="1">
      <alignment horizontal="left" vertical="center" wrapText="1"/>
    </xf>
    <xf numFmtId="167" fontId="2" fillId="5" borderId="5" xfId="0" applyNumberFormat="1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165" fontId="2" fillId="5" borderId="10" xfId="0" applyNumberFormat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left" vertical="center" wrapText="1"/>
    </xf>
    <xf numFmtId="165" fontId="2" fillId="5" borderId="0" xfId="0" applyNumberFormat="1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165" fontId="2" fillId="5" borderId="0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167" fontId="2" fillId="5" borderId="10" xfId="0" applyNumberFormat="1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167" fontId="2" fillId="5" borderId="2" xfId="0" applyNumberFormat="1" applyFont="1" applyFill="1" applyBorder="1" applyAlignment="1">
      <alignment horizontal="left" vertical="center" wrapText="1"/>
    </xf>
    <xf numFmtId="0" fontId="6" fillId="6" borderId="0" xfId="0" applyFont="1" applyFill="1" applyAlignment="1">
      <alignment vertical="center"/>
    </xf>
    <xf numFmtId="0" fontId="6" fillId="5" borderId="6" xfId="0" applyFont="1" applyFill="1" applyBorder="1" applyAlignment="1">
      <alignment vertical="center"/>
    </xf>
    <xf numFmtId="165" fontId="2" fillId="3" borderId="0" xfId="0" applyNumberFormat="1" applyFont="1" applyFill="1" applyBorder="1" applyAlignment="1">
      <alignment horizontal="center" vertical="center" wrapText="1"/>
    </xf>
    <xf numFmtId="165" fontId="2" fillId="3" borderId="10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horizontal="center" vertical="center" wrapText="1"/>
    </xf>
    <xf numFmtId="166" fontId="2" fillId="5" borderId="0" xfId="0" applyNumberFormat="1" applyFont="1" applyFill="1" applyBorder="1" applyAlignment="1">
      <alignment horizontal="center" vertical="center" wrapText="1"/>
    </xf>
    <xf numFmtId="168" fontId="2" fillId="5" borderId="0" xfId="0" applyNumberFormat="1" applyFont="1" applyFill="1" applyBorder="1" applyAlignment="1">
      <alignment horizontal="center" vertical="center" wrapText="1"/>
    </xf>
    <xf numFmtId="167" fontId="2" fillId="8" borderId="0" xfId="0" applyNumberFormat="1" applyFont="1" applyFill="1" applyBorder="1" applyAlignment="1">
      <alignment horizontal="center" vertical="center" wrapText="1"/>
    </xf>
    <xf numFmtId="167" fontId="8" fillId="8" borderId="0" xfId="0" applyNumberFormat="1" applyFont="1" applyFill="1" applyBorder="1" applyAlignment="1">
      <alignment horizontal="center" vertical="center" wrapText="1"/>
    </xf>
    <xf numFmtId="167" fontId="2" fillId="8" borderId="3" xfId="0" applyNumberFormat="1" applyFont="1" applyFill="1" applyBorder="1" applyAlignment="1">
      <alignment horizontal="center" vertical="center" wrapText="1"/>
    </xf>
    <xf numFmtId="169" fontId="2" fillId="3" borderId="10" xfId="0" applyNumberFormat="1" applyFont="1" applyFill="1" applyBorder="1" applyAlignment="1">
      <alignment horizontal="center" vertical="center" wrapText="1"/>
    </xf>
    <xf numFmtId="169" fontId="2" fillId="8" borderId="0" xfId="0" applyNumberFormat="1" applyFont="1" applyFill="1" applyBorder="1" applyAlignment="1">
      <alignment horizontal="center" vertical="center" wrapText="1"/>
    </xf>
    <xf numFmtId="1" fontId="2" fillId="3" borderId="10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 applyBorder="1" applyAlignment="1">
      <alignment horizontal="center" vertical="center" wrapText="1"/>
    </xf>
    <xf numFmtId="169" fontId="2" fillId="6" borderId="0" xfId="0" applyNumberFormat="1" applyFont="1" applyFill="1" applyBorder="1" applyAlignment="1">
      <alignment horizontal="center" vertical="center" wrapText="1"/>
    </xf>
    <xf numFmtId="168" fontId="8" fillId="7" borderId="0" xfId="0" applyNumberFormat="1" applyFont="1" applyFill="1" applyAlignment="1">
      <alignment horizontal="center" vertical="center" wrapText="1"/>
    </xf>
    <xf numFmtId="164" fontId="8" fillId="7" borderId="0" xfId="0" applyNumberFormat="1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vertical="center"/>
    </xf>
    <xf numFmtId="1" fontId="6" fillId="0" borderId="0" xfId="0" applyNumberFormat="1" applyFont="1" applyBorder="1" applyAlignment="1">
      <alignment horizontal="center" vertical="center"/>
    </xf>
    <xf numFmtId="169" fontId="6" fillId="0" borderId="0" xfId="0" applyNumberFormat="1" applyFont="1" applyBorder="1" applyAlignment="1">
      <alignment horizontal="center" vertical="center"/>
    </xf>
    <xf numFmtId="1" fontId="6" fillId="10" borderId="0" xfId="0" applyNumberFormat="1" applyFont="1" applyFill="1" applyBorder="1" applyAlignment="1">
      <alignment vertical="center"/>
    </xf>
    <xf numFmtId="2" fontId="8" fillId="4" borderId="0" xfId="0" applyNumberFormat="1" applyFont="1" applyFill="1" applyBorder="1" applyAlignment="1">
      <alignment horizontal="center" vertical="center"/>
    </xf>
    <xf numFmtId="169" fontId="8" fillId="4" borderId="0" xfId="0" applyNumberFormat="1" applyFont="1" applyFill="1" applyBorder="1" applyAlignment="1">
      <alignment horizontal="center" vertical="center"/>
    </xf>
    <xf numFmtId="1" fontId="6" fillId="10" borderId="3" xfId="0" applyNumberFormat="1" applyFont="1" applyFill="1" applyBorder="1" applyAlignment="1">
      <alignment vertical="center"/>
    </xf>
    <xf numFmtId="2" fontId="6" fillId="0" borderId="10" xfId="0" applyNumberFormat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169" fontId="2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169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left" vertical="center" wrapText="1"/>
    </xf>
    <xf numFmtId="0" fontId="2" fillId="9" borderId="0" xfId="0" applyFont="1" applyFill="1" applyBorder="1" applyAlignment="1">
      <alignment horizontal="center" vertical="center" wrapText="1"/>
    </xf>
    <xf numFmtId="169" fontId="2" fillId="9" borderId="0" xfId="0" applyNumberFormat="1" applyFont="1" applyFill="1" applyBorder="1" applyAlignment="1">
      <alignment horizontal="center" vertical="center" wrapText="1"/>
    </xf>
    <xf numFmtId="169" fontId="2" fillId="5" borderId="0" xfId="0" applyNumberFormat="1" applyFont="1" applyFill="1" applyBorder="1" applyAlignment="1">
      <alignment horizontal="center" vertical="center" wrapText="1"/>
    </xf>
    <xf numFmtId="1" fontId="2" fillId="5" borderId="0" xfId="0" applyNumberFormat="1" applyFont="1" applyFill="1" applyBorder="1" applyAlignment="1">
      <alignment horizontal="center" vertical="center" wrapText="1"/>
    </xf>
    <xf numFmtId="169" fontId="6" fillId="5" borderId="0" xfId="0" applyNumberFormat="1" applyFont="1" applyFill="1" applyBorder="1" applyAlignment="1">
      <alignment horizontal="center" vertical="center"/>
    </xf>
    <xf numFmtId="1" fontId="6" fillId="5" borderId="0" xfId="0" applyNumberFormat="1" applyFont="1" applyFill="1" applyBorder="1" applyAlignment="1">
      <alignment horizontal="center" vertical="center"/>
    </xf>
    <xf numFmtId="2" fontId="6" fillId="5" borderId="0" xfId="0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left" vertical="center" wrapText="1"/>
    </xf>
    <xf numFmtId="0" fontId="7" fillId="4" borderId="20" xfId="0" applyFont="1" applyFill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5" fillId="9" borderId="0" xfId="0" applyFont="1" applyFill="1"/>
    <xf numFmtId="165" fontId="14" fillId="3" borderId="10" xfId="0" applyNumberFormat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wrapText="1"/>
    </xf>
    <xf numFmtId="2" fontId="14" fillId="3" borderId="10" xfId="0" applyNumberFormat="1" applyFont="1" applyFill="1" applyBorder="1" applyAlignment="1">
      <alignment horizontal="center" vertical="center" wrapText="1"/>
    </xf>
    <xf numFmtId="1" fontId="14" fillId="3" borderId="10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6" fillId="0" borderId="0" xfId="2" applyFont="1" applyAlignment="1">
      <alignment vertical="center"/>
    </xf>
    <xf numFmtId="0" fontId="16" fillId="0" borderId="0" xfId="2" applyFont="1" applyFill="1" applyBorder="1" applyAlignment="1">
      <alignment horizontal="right" vertical="center"/>
    </xf>
    <xf numFmtId="14" fontId="16" fillId="0" borderId="0" xfId="2" applyNumberFormat="1" applyFont="1" applyFill="1" applyBorder="1" applyAlignment="1">
      <alignment horizontal="right" vertical="center"/>
    </xf>
    <xf numFmtId="2" fontId="17" fillId="4" borderId="11" xfId="2" applyNumberFormat="1" applyFont="1" applyFill="1" applyBorder="1" applyAlignment="1">
      <alignment horizontal="center" vertical="center"/>
    </xf>
    <xf numFmtId="0" fontId="16" fillId="0" borderId="10" xfId="2" applyFont="1" applyFill="1" applyBorder="1" applyAlignment="1">
      <alignment horizontal="right" vertical="center"/>
    </xf>
    <xf numFmtId="0" fontId="16" fillId="0" borderId="9" xfId="2" applyFont="1" applyFill="1" applyBorder="1" applyAlignment="1">
      <alignment horizontal="right" vertical="center"/>
    </xf>
    <xf numFmtId="0" fontId="16" fillId="0" borderId="3" xfId="2" applyFont="1" applyFill="1" applyBorder="1" applyAlignment="1">
      <alignment horizontal="right" vertical="center"/>
    </xf>
    <xf numFmtId="0" fontId="16" fillId="0" borderId="12" xfId="2" applyFont="1" applyFill="1" applyBorder="1" applyAlignment="1">
      <alignment horizontal="right" vertical="center"/>
    </xf>
    <xf numFmtId="166" fontId="8" fillId="4" borderId="4" xfId="2" applyNumberFormat="1" applyFont="1" applyFill="1" applyBorder="1" applyAlignment="1">
      <alignment horizontal="center" vertical="center" wrapText="1"/>
    </xf>
    <xf numFmtId="0" fontId="17" fillId="7" borderId="0" xfId="2" applyFont="1" applyFill="1" applyAlignment="1">
      <alignment vertical="center"/>
    </xf>
    <xf numFmtId="0" fontId="17" fillId="0" borderId="0" xfId="2" applyFont="1" applyFill="1" applyBorder="1" applyAlignment="1">
      <alignment horizontal="right" vertical="center"/>
    </xf>
    <xf numFmtId="2" fontId="17" fillId="4" borderId="6" xfId="2" applyNumberFormat="1" applyFont="1" applyFill="1" applyBorder="1" applyAlignment="1">
      <alignment horizontal="center" vertical="center"/>
    </xf>
    <xf numFmtId="0" fontId="16" fillId="0" borderId="5" xfId="2" applyFont="1" applyFill="1" applyBorder="1" applyAlignment="1">
      <alignment horizontal="right" vertical="center"/>
    </xf>
    <xf numFmtId="169" fontId="17" fillId="4" borderId="10" xfId="2" applyNumberFormat="1" applyFont="1" applyFill="1" applyBorder="1" applyAlignment="1">
      <alignment horizontal="center" vertical="center"/>
    </xf>
    <xf numFmtId="169" fontId="17" fillId="4" borderId="0" xfId="2" applyNumberFormat="1" applyFont="1" applyFill="1" applyBorder="1" applyAlignment="1">
      <alignment horizontal="center" vertical="center"/>
    </xf>
    <xf numFmtId="169" fontId="8" fillId="4" borderId="3" xfId="2" applyNumberFormat="1" applyFont="1" applyFill="1" applyBorder="1" applyAlignment="1">
      <alignment horizontal="center" vertical="center" wrapText="1"/>
    </xf>
    <xf numFmtId="0" fontId="16" fillId="0" borderId="10" xfId="2" applyFont="1" applyFill="1" applyBorder="1" applyAlignment="1">
      <alignment horizontal="left" vertical="center"/>
    </xf>
    <xf numFmtId="0" fontId="16" fillId="0" borderId="0" xfId="2" applyFont="1" applyFill="1" applyBorder="1" applyAlignment="1">
      <alignment horizontal="left" vertical="center"/>
    </xf>
    <xf numFmtId="0" fontId="16" fillId="0" borderId="3" xfId="2" applyFont="1" applyFill="1" applyBorder="1" applyAlignment="1">
      <alignment horizontal="left" vertical="center"/>
    </xf>
    <xf numFmtId="0" fontId="13" fillId="0" borderId="10" xfId="2" applyFont="1" applyFill="1" applyBorder="1" applyAlignment="1">
      <alignment horizontal="left" vertical="center"/>
    </xf>
    <xf numFmtId="0" fontId="10" fillId="4" borderId="0" xfId="2" applyFont="1" applyFill="1" applyAlignment="1">
      <alignment vertical="center"/>
    </xf>
    <xf numFmtId="0" fontId="10" fillId="4" borderId="0" xfId="2" applyFont="1" applyFill="1" applyBorder="1" applyAlignment="1">
      <alignment horizontal="right" vertical="center"/>
    </xf>
    <xf numFmtId="0" fontId="16" fillId="4" borderId="0" xfId="2" applyFont="1" applyFill="1" applyAlignment="1">
      <alignment vertical="center"/>
    </xf>
    <xf numFmtId="0" fontId="17" fillId="0" borderId="0" xfId="2" applyFont="1" applyFill="1" applyBorder="1" applyAlignment="1">
      <alignment horizontal="left" vertical="center"/>
    </xf>
    <xf numFmtId="0" fontId="16" fillId="0" borderId="0" xfId="2" applyFont="1" applyAlignment="1">
      <alignment horizontal="center" vertical="center"/>
    </xf>
    <xf numFmtId="0" fontId="15" fillId="11" borderId="17" xfId="2" applyFont="1" applyFill="1" applyBorder="1" applyAlignment="1">
      <alignment horizontal="center" vertical="center"/>
    </xf>
    <xf numFmtId="0" fontId="17" fillId="0" borderId="0" xfId="2" applyFont="1" applyAlignment="1">
      <alignment horizontal="right" vertical="center"/>
    </xf>
    <xf numFmtId="169" fontId="17" fillId="0" borderId="0" xfId="2" applyNumberFormat="1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center" wrapText="1"/>
    </xf>
    <xf numFmtId="165" fontId="2" fillId="3" borderId="0" xfId="0" applyNumberFormat="1" applyFont="1" applyFill="1" applyBorder="1" applyAlignment="1">
      <alignment horizontal="right" vertical="center" wrapText="1"/>
    </xf>
    <xf numFmtId="0" fontId="7" fillId="5" borderId="0" xfId="0" applyFont="1" applyFill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2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6" fillId="9" borderId="0" xfId="0" applyFont="1" applyFill="1" applyAlignment="1">
      <alignment vertical="center"/>
    </xf>
    <xf numFmtId="165" fontId="2" fillId="5" borderId="0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0" fontId="6" fillId="0" borderId="0" xfId="0" applyFont="1" applyFill="1" applyBorder="1" applyAlignment="1">
      <alignment horizontal="right" vertical="center"/>
    </xf>
    <xf numFmtId="1" fontId="6" fillId="0" borderId="0" xfId="0" applyNumberFormat="1" applyFont="1" applyFill="1" applyBorder="1" applyAlignment="1">
      <alignment vertical="center"/>
    </xf>
    <xf numFmtId="0" fontId="18" fillId="7" borderId="0" xfId="0" applyFont="1" applyFill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14" fontId="0" fillId="0" borderId="10" xfId="0" applyNumberFormat="1" applyBorder="1"/>
    <xf numFmtId="0" fontId="0" fillId="0" borderId="9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14" fontId="0" fillId="0" borderId="0" xfId="0" applyNumberFormat="1" applyBorder="1"/>
    <xf numFmtId="0" fontId="19" fillId="0" borderId="0" xfId="0" applyFont="1" applyBorder="1"/>
    <xf numFmtId="0" fontId="0" fillId="0" borderId="5" xfId="0" applyBorder="1"/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12" xfId="0" applyBorder="1"/>
    <xf numFmtId="0" fontId="0" fillId="0" borderId="6" xfId="0" applyBorder="1"/>
    <xf numFmtId="0" fontId="0" fillId="0" borderId="4" xfId="0" applyBorder="1"/>
    <xf numFmtId="0" fontId="17" fillId="0" borderId="0" xfId="2" applyFont="1" applyAlignment="1">
      <alignment vertical="center"/>
    </xf>
    <xf numFmtId="0" fontId="16" fillId="4" borderId="0" xfId="2" applyFont="1" applyFill="1" applyBorder="1" applyAlignment="1">
      <alignment horizontal="right" vertical="center"/>
    </xf>
    <xf numFmtId="0" fontId="7" fillId="0" borderId="0" xfId="0" applyFont="1"/>
    <xf numFmtId="0" fontId="20" fillId="0" borderId="0" xfId="0" applyFont="1"/>
    <xf numFmtId="0" fontId="2" fillId="3" borderId="0" xfId="0" applyFont="1" applyFill="1" applyBorder="1" applyAlignment="1">
      <alignment horizontal="left" vertical="center" wrapText="1"/>
    </xf>
    <xf numFmtId="166" fontId="2" fillId="8" borderId="0" xfId="0" applyNumberFormat="1" applyFont="1" applyFill="1" applyBorder="1" applyAlignment="1">
      <alignment horizontal="center" vertical="center" wrapText="1"/>
    </xf>
    <xf numFmtId="168" fontId="2" fillId="8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8" fontId="8" fillId="0" borderId="0" xfId="0" applyNumberFormat="1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0" fontId="7" fillId="4" borderId="0" xfId="0" applyFont="1" applyFill="1" applyBorder="1" applyAlignment="1">
      <alignment horizontal="right" vertical="center"/>
    </xf>
    <xf numFmtId="0" fontId="6" fillId="8" borderId="18" xfId="0" applyFont="1" applyFill="1" applyBorder="1" applyAlignment="1">
      <alignment horizontal="right" vertical="center"/>
    </xf>
    <xf numFmtId="0" fontId="6" fillId="8" borderId="3" xfId="0" applyFont="1" applyFill="1" applyBorder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6" fillId="5" borderId="3" xfId="0" applyFont="1" applyFill="1" applyBorder="1" applyAlignment="1">
      <alignment vertical="center"/>
    </xf>
    <xf numFmtId="0" fontId="6" fillId="5" borderId="12" xfId="0" applyFont="1" applyFill="1" applyBorder="1" applyAlignment="1">
      <alignment vertical="center"/>
    </xf>
    <xf numFmtId="0" fontId="8" fillId="4" borderId="14" xfId="0" applyFont="1" applyFill="1" applyBorder="1" applyAlignment="1">
      <alignment horizontal="center" vertical="center" wrapText="1"/>
    </xf>
    <xf numFmtId="164" fontId="8" fillId="4" borderId="10" xfId="0" applyNumberFormat="1" applyFont="1" applyFill="1" applyBorder="1" applyAlignment="1">
      <alignment horizontal="center" vertical="center" wrapText="1"/>
    </xf>
    <xf numFmtId="165" fontId="21" fillId="4" borderId="10" xfId="0" applyNumberFormat="1" applyFont="1" applyFill="1" applyBorder="1" applyAlignment="1">
      <alignment horizontal="center" vertical="center" wrapText="1"/>
    </xf>
    <xf numFmtId="1" fontId="7" fillId="4" borderId="0" xfId="0" applyNumberFormat="1" applyFont="1" applyFill="1" applyBorder="1" applyAlignment="1">
      <alignment vertical="center"/>
    </xf>
    <xf numFmtId="169" fontId="6" fillId="8" borderId="0" xfId="0" applyNumberFormat="1" applyFont="1" applyFill="1" applyBorder="1" applyAlignment="1">
      <alignment horizontal="center" vertical="center"/>
    </xf>
    <xf numFmtId="0" fontId="6" fillId="8" borderId="0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7" fillId="4" borderId="18" xfId="0" applyFont="1" applyFill="1" applyBorder="1" applyAlignment="1">
      <alignment vertical="center"/>
    </xf>
    <xf numFmtId="0" fontId="6" fillId="4" borderId="25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8" borderId="19" xfId="0" applyFont="1" applyFill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68" fontId="8" fillId="4" borderId="2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/>
    </xf>
    <xf numFmtId="0" fontId="7" fillId="4" borderId="26" xfId="0" applyFont="1" applyFill="1" applyBorder="1" applyAlignment="1">
      <alignment vertical="center"/>
    </xf>
    <xf numFmtId="2" fontId="6" fillId="8" borderId="0" xfId="0" applyNumberFormat="1" applyFont="1" applyFill="1" applyBorder="1" applyAlignment="1">
      <alignment horizontal="center" vertical="center"/>
    </xf>
    <xf numFmtId="166" fontId="8" fillId="4" borderId="2" xfId="0" applyNumberFormat="1" applyFont="1" applyFill="1" applyBorder="1" applyAlignment="1">
      <alignment horizontal="center" vertical="center" wrapText="1"/>
    </xf>
    <xf numFmtId="169" fontId="7" fillId="4" borderId="0" xfId="0" applyNumberFormat="1" applyFont="1" applyFill="1" applyBorder="1" applyAlignment="1">
      <alignment vertical="center"/>
    </xf>
    <xf numFmtId="2" fontId="18" fillId="4" borderId="0" xfId="0" applyNumberFormat="1" applyFont="1" applyFill="1" applyBorder="1"/>
    <xf numFmtId="169" fontId="18" fillId="4" borderId="0" xfId="0" applyNumberFormat="1" applyFont="1" applyFill="1" applyBorder="1"/>
    <xf numFmtId="0" fontId="18" fillId="4" borderId="0" xfId="0" applyFont="1" applyFill="1" applyBorder="1"/>
    <xf numFmtId="2" fontId="18" fillId="4" borderId="3" xfId="0" applyNumberFormat="1" applyFont="1" applyFill="1" applyBorder="1"/>
    <xf numFmtId="169" fontId="18" fillId="4" borderId="3" xfId="0" applyNumberFormat="1" applyFont="1" applyFill="1" applyBorder="1"/>
    <xf numFmtId="0" fontId="18" fillId="4" borderId="3" xfId="0" applyFont="1" applyFill="1" applyBorder="1"/>
    <xf numFmtId="2" fontId="0" fillId="8" borderId="0" xfId="0" applyNumberFormat="1" applyFill="1" applyBorder="1"/>
    <xf numFmtId="169" fontId="0" fillId="8" borderId="0" xfId="0" applyNumberFormat="1" applyFill="1" applyBorder="1"/>
    <xf numFmtId="0" fontId="0" fillId="8" borderId="0" xfId="0" applyFill="1" applyBorder="1"/>
    <xf numFmtId="0" fontId="16" fillId="12" borderId="0" xfId="2" applyFont="1" applyFill="1" applyAlignment="1">
      <alignment vertical="center"/>
    </xf>
    <xf numFmtId="0" fontId="16" fillId="12" borderId="0" xfId="2" applyFont="1" applyFill="1" applyBorder="1" applyAlignment="1">
      <alignment horizontal="right" vertical="center"/>
    </xf>
    <xf numFmtId="0" fontId="0" fillId="12" borderId="0" xfId="0" applyFill="1" applyBorder="1"/>
    <xf numFmtId="0" fontId="2" fillId="3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3" borderId="6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>
      <alignment horizontal="left" vertical="center" wrapText="1"/>
    </xf>
    <xf numFmtId="0" fontId="2" fillId="8" borderId="0" xfId="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12" xfId="0" applyFont="1" applyFill="1" applyBorder="1" applyAlignment="1">
      <alignment horizontal="left" vertical="center" wrapText="1"/>
    </xf>
    <xf numFmtId="0" fontId="8" fillId="7" borderId="0" xfId="0" applyFont="1" applyFill="1" applyBorder="1" applyAlignment="1">
      <alignment horizontal="left" vertical="center" wrapText="1"/>
    </xf>
    <xf numFmtId="0" fontId="6" fillId="7" borderId="0" xfId="0" applyFont="1" applyFill="1" applyBorder="1" applyAlignment="1">
      <alignment vertical="center"/>
    </xf>
    <xf numFmtId="0" fontId="2" fillId="3" borderId="23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7" fillId="4" borderId="0" xfId="0" applyFont="1" applyFill="1" applyAlignment="1">
      <alignment vertical="center"/>
    </xf>
    <xf numFmtId="0" fontId="6" fillId="8" borderId="3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2" fillId="9" borderId="0" xfId="0" applyFont="1" applyFill="1" applyBorder="1" applyAlignment="1">
      <alignment horizontal="left" vertical="center" wrapText="1"/>
    </xf>
    <xf numFmtId="0" fontId="5" fillId="9" borderId="0" xfId="0" applyFont="1" applyFill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7" fontId="2" fillId="5" borderId="10" xfId="0" applyNumberFormat="1" applyFont="1" applyFill="1" applyBorder="1" applyAlignment="1">
      <alignment horizontal="left" vertical="center" wrapText="1"/>
    </xf>
    <xf numFmtId="167" fontId="2" fillId="5" borderId="9" xfId="0" applyNumberFormat="1" applyFont="1" applyFill="1" applyBorder="1" applyAlignment="1">
      <alignment horizontal="left" vertical="center" wrapText="1"/>
    </xf>
    <xf numFmtId="167" fontId="2" fillId="5" borderId="0" xfId="0" applyNumberFormat="1" applyFont="1" applyFill="1" applyBorder="1" applyAlignment="1">
      <alignment horizontal="left" vertical="center" wrapText="1"/>
    </xf>
    <xf numFmtId="167" fontId="2" fillId="5" borderId="5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8" borderId="0" xfId="0" applyFont="1" applyFill="1" applyAlignment="1">
      <alignment vertical="center"/>
    </xf>
    <xf numFmtId="0" fontId="0" fillId="0" borderId="3" xfId="0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0" fillId="3" borderId="0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165" fontId="2" fillId="5" borderId="0" xfId="0" applyNumberFormat="1" applyFont="1" applyFill="1" applyBorder="1" applyAlignment="1">
      <alignment horizontal="left" vertical="center" wrapText="1"/>
    </xf>
    <xf numFmtId="165" fontId="2" fillId="5" borderId="5" xfId="0" applyNumberFormat="1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7" fillId="8" borderId="0" xfId="0" applyFont="1" applyFill="1" applyAlignment="1">
      <alignment vertical="center"/>
    </xf>
    <xf numFmtId="0" fontId="6" fillId="10" borderId="3" xfId="0" applyFont="1" applyFill="1" applyBorder="1" applyAlignment="1">
      <alignment horizontal="right" vertical="center"/>
    </xf>
    <xf numFmtId="0" fontId="6" fillId="10" borderId="0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right" vertical="center"/>
    </xf>
    <xf numFmtId="0" fontId="6" fillId="0" borderId="0" xfId="0" applyFont="1" applyAlignment="1">
      <alignment vertical="center" wrapText="1"/>
    </xf>
    <xf numFmtId="0" fontId="17" fillId="7" borderId="0" xfId="2" applyFont="1" applyFill="1" applyAlignment="1">
      <alignment vertical="center"/>
    </xf>
  </cellXfs>
  <cellStyles count="3">
    <cellStyle name="Collegamento ipertestuale" xfId="1" builtinId="8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workbookViewId="0">
      <selection activeCell="B88" sqref="B88"/>
    </sheetView>
  </sheetViews>
  <sheetFormatPr defaultRowHeight="12" x14ac:dyDescent="0.25"/>
  <cols>
    <col min="1" max="1" width="9.140625" style="91"/>
    <col min="2" max="2" width="9.140625" style="3"/>
    <col min="3" max="3" width="14.5703125" style="16" bestFit="1" customWidth="1"/>
    <col min="4" max="4" width="10" style="48" customWidth="1"/>
    <col min="5" max="5" width="23.85546875" style="16" customWidth="1"/>
    <col min="6" max="6" width="13.7109375" style="48" bestFit="1" customWidth="1"/>
    <col min="7" max="8" width="9.140625" style="48"/>
    <col min="9" max="16384" width="9.140625" style="16"/>
  </cols>
  <sheetData>
    <row r="1" spans="1:11" x14ac:dyDescent="0.25">
      <c r="A1" s="342" t="s">
        <v>289</v>
      </c>
      <c r="B1" s="343"/>
      <c r="C1" s="3" t="s">
        <v>45</v>
      </c>
      <c r="D1" s="72" t="s">
        <v>322</v>
      </c>
      <c r="E1" s="3"/>
    </row>
    <row r="2" spans="1:11" x14ac:dyDescent="0.25">
      <c r="A2" s="343"/>
      <c r="B2" s="343"/>
      <c r="C2" s="3"/>
      <c r="D2" s="18"/>
      <c r="E2" s="3"/>
    </row>
    <row r="3" spans="1:11" ht="14.25" thickBot="1" x14ac:dyDescent="0.3">
      <c r="C3" s="82" t="s">
        <v>244</v>
      </c>
      <c r="D3" s="93" t="s">
        <v>239</v>
      </c>
      <c r="E3" s="17" t="s">
        <v>242</v>
      </c>
      <c r="F3" s="17" t="s">
        <v>206</v>
      </c>
      <c r="G3" s="93" t="s">
        <v>245</v>
      </c>
      <c r="H3" s="93" t="s">
        <v>246</v>
      </c>
    </row>
    <row r="4" spans="1:11" x14ac:dyDescent="0.25">
      <c r="B4" s="4">
        <v>1</v>
      </c>
      <c r="C4" s="19" t="s">
        <v>44</v>
      </c>
      <c r="D4" s="64">
        <v>6</v>
      </c>
      <c r="E4" s="20" t="s">
        <v>229</v>
      </c>
      <c r="F4" s="187">
        <v>11</v>
      </c>
      <c r="G4" s="187">
        <v>-11.4</v>
      </c>
      <c r="H4" s="189">
        <v>-72</v>
      </c>
      <c r="I4" s="21"/>
      <c r="J4" s="22"/>
    </row>
    <row r="5" spans="1:11" ht="15" x14ac:dyDescent="0.25">
      <c r="B5" s="5"/>
      <c r="C5" s="340" t="s">
        <v>43</v>
      </c>
      <c r="D5" s="341"/>
      <c r="E5" s="99" t="s">
        <v>231</v>
      </c>
      <c r="F5" s="218">
        <v>165.2</v>
      </c>
      <c r="G5" s="218">
        <v>-19.3</v>
      </c>
      <c r="H5" s="219">
        <v>-136</v>
      </c>
      <c r="I5" s="99"/>
      <c r="J5" s="27"/>
    </row>
    <row r="6" spans="1:11" x14ac:dyDescent="0.25">
      <c r="B6" s="5"/>
      <c r="C6" s="28"/>
      <c r="D6" s="65"/>
      <c r="E6" s="24" t="s">
        <v>230</v>
      </c>
      <c r="F6" s="117">
        <v>35.700000000000003</v>
      </c>
      <c r="G6" s="117">
        <v>-15.5</v>
      </c>
      <c r="H6" s="190">
        <v>-101</v>
      </c>
      <c r="I6" s="26"/>
      <c r="J6" s="27"/>
    </row>
    <row r="7" spans="1:11" x14ac:dyDescent="0.25">
      <c r="B7" s="5"/>
      <c r="C7" s="28"/>
      <c r="D7" s="65"/>
      <c r="E7" s="30" t="s">
        <v>224</v>
      </c>
      <c r="F7" s="206">
        <v>221</v>
      </c>
      <c r="G7" s="206">
        <v>-17.399999999999999</v>
      </c>
      <c r="H7" s="208">
        <v>-121</v>
      </c>
      <c r="I7" s="26"/>
      <c r="J7" s="27"/>
    </row>
    <row r="8" spans="1:11" x14ac:dyDescent="0.25">
      <c r="B8" s="5"/>
      <c r="C8" s="28"/>
      <c r="D8" s="65"/>
      <c r="E8" s="24" t="s">
        <v>42</v>
      </c>
      <c r="F8" s="117">
        <v>83</v>
      </c>
      <c r="G8" s="117">
        <v>-15.5</v>
      </c>
      <c r="H8" s="190">
        <v>-111</v>
      </c>
      <c r="I8" s="26"/>
      <c r="J8" s="27"/>
    </row>
    <row r="9" spans="1:11" x14ac:dyDescent="0.25">
      <c r="B9" s="5"/>
      <c r="C9" s="31"/>
      <c r="D9" s="66"/>
      <c r="E9" s="32" t="s">
        <v>225</v>
      </c>
      <c r="F9" s="210">
        <v>83</v>
      </c>
      <c r="G9" s="210">
        <v>-15.5</v>
      </c>
      <c r="H9" s="211">
        <v>-111</v>
      </c>
      <c r="I9" s="33"/>
      <c r="J9" s="34"/>
    </row>
    <row r="10" spans="1:11" x14ac:dyDescent="0.25">
      <c r="B10" s="5"/>
      <c r="C10" s="35" t="s">
        <v>11</v>
      </c>
      <c r="D10" s="67"/>
      <c r="E10" s="6" t="s">
        <v>195</v>
      </c>
      <c r="F10" s="74">
        <f>F4+F5+F6+F8</f>
        <v>294.89999999999998</v>
      </c>
      <c r="G10" s="51">
        <f>((G4*F4)+(G5*F5)+(G6*F6)+(G8*F8))/(F4+F5+F6+F8)</f>
        <v>-17.475788402848423</v>
      </c>
      <c r="H10" s="52">
        <f>((H4*F4)+(H5*F5)+(H6*F6)+(H8*F8))/(F4+F5+F6+F8)</f>
        <v>-122.33943709732111</v>
      </c>
      <c r="I10" s="345" t="s">
        <v>223</v>
      </c>
      <c r="J10" s="346"/>
    </row>
    <row r="11" spans="1:11" x14ac:dyDescent="0.25">
      <c r="B11" s="5"/>
      <c r="C11" s="35"/>
      <c r="D11" s="67"/>
      <c r="E11" s="301" t="s">
        <v>196</v>
      </c>
      <c r="F11" s="144">
        <f>AVERAGE(F4:F6,F8)</f>
        <v>73.724999999999994</v>
      </c>
      <c r="G11" s="293">
        <f>SQRT(((F4*((G4-G10)^2))+(F5*((G5-G10)^2))+(F6*((G6-G10)^2))+(F8*((G8-G10)^2)))/((4-1/4)*F10))</f>
        <v>1.1328346016110609</v>
      </c>
      <c r="H11" s="294">
        <f>SQRT(((F4*((H4-H10)^2))+(F5*((H5-H10)^2))+(F6*((H6-H10)^2))+(F8*((H8-H10)^2)))/((4-1/4)*F10))</f>
        <v>8.7996384086011101</v>
      </c>
      <c r="I11" s="347" t="s">
        <v>198</v>
      </c>
      <c r="J11" s="348"/>
    </row>
    <row r="12" spans="1:11" ht="12.75" thickBot="1" x14ac:dyDescent="0.3">
      <c r="B12" s="7"/>
      <c r="C12" s="36"/>
      <c r="D12" s="68"/>
      <c r="E12" s="8" t="s">
        <v>197</v>
      </c>
      <c r="F12" s="75">
        <f>MEDIAN(F4:F6,F8)</f>
        <v>59.35</v>
      </c>
      <c r="G12" s="53">
        <f>SQRT(((G11)^2)+(($G$84)^2))</f>
        <v>1.1427222911133268</v>
      </c>
      <c r="H12" s="54">
        <f>SQRT(((H11)^2)+(($H$84)^2))</f>
        <v>8.8562766511738946</v>
      </c>
      <c r="I12" s="349" t="s">
        <v>3</v>
      </c>
      <c r="J12" s="350"/>
    </row>
    <row r="13" spans="1:11" ht="12.75" thickBot="1" x14ac:dyDescent="0.3">
      <c r="B13" s="9"/>
      <c r="C13" s="37"/>
      <c r="D13" s="69"/>
      <c r="E13" s="10"/>
      <c r="F13" s="76"/>
      <c r="G13" s="55"/>
      <c r="H13" s="56"/>
      <c r="I13" s="11"/>
      <c r="J13" s="11"/>
      <c r="K13" s="26"/>
    </row>
    <row r="14" spans="1:11" x14ac:dyDescent="0.25">
      <c r="B14" s="4">
        <v>2</v>
      </c>
      <c r="C14" s="19" t="s">
        <v>41</v>
      </c>
      <c r="D14" s="64">
        <v>8</v>
      </c>
      <c r="E14" s="20" t="s">
        <v>40</v>
      </c>
      <c r="F14" s="113">
        <v>107.3</v>
      </c>
      <c r="G14" s="187">
        <v>-7.7</v>
      </c>
      <c r="H14" s="189">
        <v>-49</v>
      </c>
      <c r="I14" s="21"/>
      <c r="J14" s="22"/>
    </row>
    <row r="15" spans="1:11" ht="15" x14ac:dyDescent="0.25">
      <c r="B15" s="5"/>
      <c r="C15" s="340" t="s">
        <v>39</v>
      </c>
      <c r="D15" s="341"/>
      <c r="E15" s="99" t="s">
        <v>232</v>
      </c>
      <c r="F15" s="220">
        <v>29.6</v>
      </c>
      <c r="G15" s="218">
        <v>-8.1</v>
      </c>
      <c r="H15" s="219">
        <v>-48</v>
      </c>
      <c r="I15" s="26"/>
      <c r="J15" s="27"/>
    </row>
    <row r="16" spans="1:11" x14ac:dyDescent="0.25">
      <c r="B16" s="5"/>
      <c r="C16" s="28"/>
      <c r="D16" s="65"/>
      <c r="E16" s="30" t="s">
        <v>224</v>
      </c>
      <c r="F16" s="207">
        <v>136.9</v>
      </c>
      <c r="G16" s="206">
        <v>-7.8</v>
      </c>
      <c r="H16" s="208">
        <v>-49</v>
      </c>
      <c r="I16" s="26"/>
      <c r="J16" s="27"/>
    </row>
    <row r="17" spans="1:10" x14ac:dyDescent="0.25">
      <c r="B17" s="5"/>
      <c r="C17" s="28"/>
      <c r="D17" s="65"/>
      <c r="E17" s="24" t="s">
        <v>233</v>
      </c>
      <c r="F17" s="114">
        <v>174.9</v>
      </c>
      <c r="G17" s="117">
        <v>-7.3</v>
      </c>
      <c r="H17" s="190">
        <v>-49</v>
      </c>
      <c r="I17" s="26"/>
      <c r="J17" s="27"/>
    </row>
    <row r="18" spans="1:10" x14ac:dyDescent="0.25">
      <c r="B18" s="5"/>
      <c r="C18" s="31"/>
      <c r="D18" s="66"/>
      <c r="E18" s="32" t="s">
        <v>225</v>
      </c>
      <c r="F18" s="209">
        <v>174.9</v>
      </c>
      <c r="G18" s="210">
        <v>-7.3</v>
      </c>
      <c r="H18" s="211">
        <v>-49</v>
      </c>
      <c r="I18" s="26"/>
      <c r="J18" s="27"/>
    </row>
    <row r="19" spans="1:10" x14ac:dyDescent="0.25">
      <c r="B19" s="5"/>
      <c r="C19" s="35" t="s">
        <v>5</v>
      </c>
      <c r="D19" s="67"/>
      <c r="E19" s="6" t="s">
        <v>195</v>
      </c>
      <c r="F19" s="74">
        <f>F14+F15+F17</f>
        <v>311.8</v>
      </c>
      <c r="G19" s="51">
        <f>((G14*F14)+(G15*F15)+(G17*F17))/(F14+F15+F17)</f>
        <v>-7.513598460551635</v>
      </c>
      <c r="H19" s="52">
        <f>((H14*F14)+(H15*F15)+(H17*F17))/(F14+F15+F17)</f>
        <v>-48.905067350865941</v>
      </c>
      <c r="I19" s="345" t="s">
        <v>223</v>
      </c>
      <c r="J19" s="346"/>
    </row>
    <row r="20" spans="1:10" x14ac:dyDescent="0.25">
      <c r="B20" s="5"/>
      <c r="C20" s="35"/>
      <c r="D20" s="67"/>
      <c r="E20" s="301" t="s">
        <v>196</v>
      </c>
      <c r="F20" s="144">
        <f>AVERAGE(F14,F15,F17)</f>
        <v>103.93333333333334</v>
      </c>
      <c r="G20" s="293">
        <f>SQRT(((F14*((G14-G19)^2))+(F15*((G15-G19)^2))+(F17*((G17-G19)^2)))/((3-1/3)*F19))</f>
        <v>0.16224232985744458</v>
      </c>
      <c r="H20" s="293">
        <f>SQRT(((F14*((H14-H19)^2))+(F15*((H15-H19)^2))+(F17*((H17-H19)^2)))/((3-1/3)*F19))</f>
        <v>0.17949976454975822</v>
      </c>
      <c r="I20" s="347" t="s">
        <v>198</v>
      </c>
      <c r="J20" s="348"/>
    </row>
    <row r="21" spans="1:10" ht="12.75" thickBot="1" x14ac:dyDescent="0.3">
      <c r="B21" s="7"/>
      <c r="C21" s="36"/>
      <c r="D21" s="68"/>
      <c r="E21" s="8" t="s">
        <v>197</v>
      </c>
      <c r="F21" s="75">
        <f>MEDIAN(F14,F15,F17)</f>
        <v>107.3</v>
      </c>
      <c r="G21" s="53">
        <f>SQRT(((G20)^2)+(($G$84)^2))</f>
        <v>0.22095830737397462</v>
      </c>
      <c r="H21" s="53">
        <f>SQRT(((H20)^2)+(($H$84)^2))</f>
        <v>1.0159823647452837</v>
      </c>
      <c r="I21" s="349" t="s">
        <v>3</v>
      </c>
      <c r="J21" s="350"/>
    </row>
    <row r="22" spans="1:10" s="26" customFormat="1" ht="12.75" thickBot="1" x14ac:dyDescent="0.3">
      <c r="A22" s="99"/>
      <c r="B22" s="9"/>
      <c r="C22" s="37"/>
      <c r="D22" s="69"/>
      <c r="E22" s="10"/>
      <c r="F22" s="76"/>
      <c r="G22" s="55"/>
      <c r="H22" s="55"/>
      <c r="I22" s="11"/>
      <c r="J22" s="11"/>
    </row>
    <row r="23" spans="1:10" x14ac:dyDescent="0.25">
      <c r="B23" s="4">
        <v>3</v>
      </c>
      <c r="C23" s="19" t="s">
        <v>38</v>
      </c>
      <c r="D23" s="64">
        <v>9</v>
      </c>
      <c r="E23" s="20" t="s">
        <v>37</v>
      </c>
      <c r="F23" s="187">
        <v>65.3</v>
      </c>
      <c r="G23" s="187">
        <v>-7.2</v>
      </c>
      <c r="H23" s="189">
        <v>-44</v>
      </c>
      <c r="I23" s="21"/>
      <c r="J23" s="22"/>
    </row>
    <row r="24" spans="1:10" ht="15" x14ac:dyDescent="0.25">
      <c r="B24" s="5"/>
      <c r="C24" s="340" t="s">
        <v>36</v>
      </c>
      <c r="D24" s="341"/>
      <c r="E24" s="24" t="s">
        <v>35</v>
      </c>
      <c r="F24" s="199">
        <v>2.5</v>
      </c>
      <c r="G24" s="117">
        <v>-5.4</v>
      </c>
      <c r="H24" s="190">
        <v>-37</v>
      </c>
      <c r="I24" s="26"/>
      <c r="J24" s="27"/>
    </row>
    <row r="25" spans="1:10" x14ac:dyDescent="0.25">
      <c r="B25" s="5"/>
      <c r="C25" s="31"/>
      <c r="D25" s="66"/>
      <c r="E25" s="32" t="s">
        <v>226</v>
      </c>
      <c r="F25" s="210">
        <v>67.8</v>
      </c>
      <c r="G25" s="210">
        <v>-7.1</v>
      </c>
      <c r="H25" s="211">
        <v>-44</v>
      </c>
      <c r="I25" s="26"/>
      <c r="J25" s="27"/>
    </row>
    <row r="26" spans="1:10" x14ac:dyDescent="0.25">
      <c r="B26" s="5"/>
      <c r="C26" s="35" t="s">
        <v>32</v>
      </c>
      <c r="D26" s="67"/>
      <c r="E26" s="6" t="s">
        <v>195</v>
      </c>
      <c r="F26" s="74">
        <f>F23+F24</f>
        <v>67.8</v>
      </c>
      <c r="G26" s="51">
        <f>((G23*F23)+(G24*F24))/(F23+F24)</f>
        <v>-7.133628318584071</v>
      </c>
      <c r="H26" s="52">
        <f>((H23*F23)+(H24*F24))/(F23+F24)</f>
        <v>-43.74188790560472</v>
      </c>
      <c r="I26" s="345" t="s">
        <v>223</v>
      </c>
      <c r="J26" s="346"/>
    </row>
    <row r="27" spans="1:10" x14ac:dyDescent="0.25">
      <c r="B27" s="5"/>
      <c r="C27" s="35"/>
      <c r="D27" s="67"/>
      <c r="E27" s="301" t="s">
        <v>196</v>
      </c>
      <c r="F27" s="144">
        <f>AVERAGE(F23,F24)</f>
        <v>33.9</v>
      </c>
      <c r="G27" s="293">
        <f>SQRT(((F23*((G23-G26)^2))+(F24*((G24-G26)^2)))/((2-1/2)*F26))</f>
        <v>0.27696428946068719</v>
      </c>
      <c r="H27" s="293">
        <f>SQRT(((F23*((H23-H26)^2))+(F24*((H24-H26)^2)))/((2-1/2)*F26))</f>
        <v>1.0770833479026725</v>
      </c>
      <c r="I27" s="347" t="s">
        <v>198</v>
      </c>
      <c r="J27" s="348"/>
    </row>
    <row r="28" spans="1:10" ht="12.75" thickBot="1" x14ac:dyDescent="0.3">
      <c r="B28" s="7"/>
      <c r="C28" s="36"/>
      <c r="D28" s="68"/>
      <c r="E28" s="8" t="s">
        <v>197</v>
      </c>
      <c r="F28" s="75">
        <f>MEDIAN(F23,F24)</f>
        <v>33.9</v>
      </c>
      <c r="G28" s="53">
        <f>SQRT(((G27)^2)+(($G$84)^2))</f>
        <v>0.31497494763308292</v>
      </c>
      <c r="H28" s="53">
        <f>SQRT(((H27)^2)+(($H$84)^2))</f>
        <v>1.4697307706955138</v>
      </c>
      <c r="I28" s="349" t="s">
        <v>3</v>
      </c>
      <c r="J28" s="350"/>
    </row>
    <row r="29" spans="1:10" s="26" customFormat="1" ht="12.75" thickBot="1" x14ac:dyDescent="0.3">
      <c r="A29" s="99"/>
      <c r="B29" s="9"/>
      <c r="C29" s="37"/>
      <c r="D29" s="69"/>
      <c r="E29" s="10"/>
      <c r="F29" s="76"/>
      <c r="G29" s="55"/>
      <c r="H29" s="55"/>
      <c r="I29" s="11"/>
      <c r="J29" s="11"/>
    </row>
    <row r="30" spans="1:10" x14ac:dyDescent="0.25">
      <c r="B30" s="4">
        <v>4</v>
      </c>
      <c r="C30" s="19" t="s">
        <v>34</v>
      </c>
      <c r="D30" s="64">
        <v>10</v>
      </c>
      <c r="E30" s="20" t="s">
        <v>33</v>
      </c>
      <c r="F30" s="187">
        <v>52.2</v>
      </c>
      <c r="G30" s="187">
        <v>-5.7</v>
      </c>
      <c r="H30" s="189">
        <v>-35</v>
      </c>
      <c r="I30" s="21"/>
      <c r="J30" s="22"/>
    </row>
    <row r="31" spans="1:10" ht="15" x14ac:dyDescent="0.25">
      <c r="B31" s="5"/>
      <c r="C31" s="344" t="s">
        <v>234</v>
      </c>
      <c r="D31" s="341"/>
      <c r="E31" s="24" t="s">
        <v>235</v>
      </c>
      <c r="F31" s="117">
        <v>27.1</v>
      </c>
      <c r="G31" s="117">
        <v>-3.4</v>
      </c>
      <c r="H31" s="190">
        <v>-18</v>
      </c>
      <c r="I31" s="26"/>
      <c r="J31" s="27"/>
    </row>
    <row r="32" spans="1:10" x14ac:dyDescent="0.25">
      <c r="B32" s="5"/>
      <c r="C32" s="31"/>
      <c r="D32" s="66"/>
      <c r="E32" s="32" t="s">
        <v>224</v>
      </c>
      <c r="F32" s="210">
        <v>79.099999999999994</v>
      </c>
      <c r="G32" s="210">
        <v>-4.9000000000000004</v>
      </c>
      <c r="H32" s="211">
        <v>-29</v>
      </c>
      <c r="I32" s="26"/>
      <c r="J32" s="27"/>
    </row>
    <row r="33" spans="1:10" x14ac:dyDescent="0.25">
      <c r="B33" s="5"/>
      <c r="C33" s="35" t="s">
        <v>32</v>
      </c>
      <c r="D33" s="67"/>
      <c r="E33" s="302" t="s">
        <v>195</v>
      </c>
      <c r="F33" s="184">
        <f>F30+F31</f>
        <v>79.300000000000011</v>
      </c>
      <c r="G33" s="51">
        <f>((G30*F30)+(G31*F31))/(F30+F31)</f>
        <v>-4.9139974779319031</v>
      </c>
      <c r="H33" s="52">
        <f>((H30*F30)+(H31*F31))/(F30+F31)</f>
        <v>-29.190416141235811</v>
      </c>
      <c r="I33" s="345" t="s">
        <v>4</v>
      </c>
      <c r="J33" s="346"/>
    </row>
    <row r="34" spans="1:10" x14ac:dyDescent="0.25">
      <c r="B34" s="5"/>
      <c r="C34" s="35"/>
      <c r="D34" s="67"/>
      <c r="E34" s="301" t="s">
        <v>196</v>
      </c>
      <c r="F34" s="144">
        <f>AVERAGE(F30,F31)</f>
        <v>39.650000000000006</v>
      </c>
      <c r="G34" s="293">
        <f>SQRT(((F30*((G30-G33)^2))+(F31*((G31-G33)^2)))/((2-1/2)*F33))</f>
        <v>0.89069479848008282</v>
      </c>
      <c r="H34" s="293">
        <f>SQRT(((F30*((H30-H33)^2))+(F31*((H31-H33)^2)))/((2-1/2)*F33))</f>
        <v>6.5833963365919166</v>
      </c>
      <c r="I34" s="347" t="s">
        <v>198</v>
      </c>
      <c r="J34" s="348"/>
    </row>
    <row r="35" spans="1:10" ht="12.75" thickBot="1" x14ac:dyDescent="0.3">
      <c r="B35" s="7"/>
      <c r="C35" s="36"/>
      <c r="D35" s="68"/>
      <c r="E35" s="303" t="s">
        <v>197</v>
      </c>
      <c r="F35" s="186">
        <f>AVERAGE(F30,F31)</f>
        <v>39.650000000000006</v>
      </c>
      <c r="G35" s="53">
        <f>SQRT(((G34)^2)+(($G$84)^2))</f>
        <v>0.90323708074872311</v>
      </c>
      <c r="H35" s="53">
        <f>SQRT(((H34)^2)+(($H$84)^2))</f>
        <v>6.6589118724196874</v>
      </c>
      <c r="I35" s="349" t="s">
        <v>3</v>
      </c>
      <c r="J35" s="350"/>
    </row>
    <row r="36" spans="1:10" s="40" customFormat="1" ht="12.75" thickBot="1" x14ac:dyDescent="0.3">
      <c r="A36" s="107"/>
      <c r="B36" s="12"/>
      <c r="C36" s="39"/>
      <c r="D36" s="70"/>
      <c r="E36" s="13"/>
      <c r="F36" s="77"/>
      <c r="G36" s="58"/>
      <c r="H36" s="58"/>
      <c r="I36" s="14"/>
      <c r="J36" s="14"/>
    </row>
    <row r="37" spans="1:10" x14ac:dyDescent="0.25">
      <c r="B37" s="4">
        <v>5</v>
      </c>
      <c r="C37" s="19" t="s">
        <v>31</v>
      </c>
      <c r="D37" s="64">
        <v>12</v>
      </c>
      <c r="E37" s="20" t="s">
        <v>30</v>
      </c>
      <c r="F37" s="187">
        <v>85</v>
      </c>
      <c r="G37" s="187">
        <v>-12</v>
      </c>
      <c r="H37" s="189">
        <v>-87</v>
      </c>
      <c r="I37" s="21"/>
      <c r="J37" s="22"/>
    </row>
    <row r="38" spans="1:10" ht="15" x14ac:dyDescent="0.25">
      <c r="B38" s="5"/>
      <c r="C38" s="340" t="s">
        <v>29</v>
      </c>
      <c r="D38" s="341"/>
      <c r="E38" s="25" t="s">
        <v>258</v>
      </c>
      <c r="F38" s="199">
        <v>100.1</v>
      </c>
      <c r="G38" s="199">
        <v>-12.2</v>
      </c>
      <c r="H38" s="198">
        <v>-90</v>
      </c>
      <c r="I38" s="26"/>
      <c r="J38" s="27"/>
    </row>
    <row r="39" spans="1:10" x14ac:dyDescent="0.25">
      <c r="B39" s="5"/>
      <c r="C39" s="28"/>
      <c r="D39" s="65"/>
      <c r="E39" s="30" t="s">
        <v>227</v>
      </c>
      <c r="F39" s="206">
        <v>185.1</v>
      </c>
      <c r="G39" s="206">
        <v>-12.1</v>
      </c>
      <c r="H39" s="208">
        <v>-89</v>
      </c>
      <c r="I39" s="26"/>
      <c r="J39" s="27"/>
    </row>
    <row r="40" spans="1:10" x14ac:dyDescent="0.25">
      <c r="B40" s="5"/>
      <c r="C40" s="28"/>
      <c r="D40" s="65"/>
      <c r="E40" s="24" t="s">
        <v>28</v>
      </c>
      <c r="F40" s="117">
        <v>14</v>
      </c>
      <c r="G40" s="117">
        <v>-7.1</v>
      </c>
      <c r="H40" s="190">
        <v>-48</v>
      </c>
      <c r="I40" s="26"/>
      <c r="J40" s="27"/>
    </row>
    <row r="41" spans="1:10" x14ac:dyDescent="0.25">
      <c r="B41" s="5"/>
      <c r="C41" s="28"/>
      <c r="D41" s="65"/>
      <c r="E41" s="24" t="s">
        <v>27</v>
      </c>
      <c r="F41" s="117">
        <v>144</v>
      </c>
      <c r="G41" s="117">
        <v>-16.100000000000001</v>
      </c>
      <c r="H41" s="190">
        <v>-117</v>
      </c>
      <c r="I41" s="26"/>
      <c r="J41" s="27"/>
    </row>
    <row r="42" spans="1:10" x14ac:dyDescent="0.25">
      <c r="B42" s="5"/>
      <c r="C42" s="28"/>
      <c r="D42" s="65"/>
      <c r="E42" s="24" t="s">
        <v>26</v>
      </c>
      <c r="F42" s="114" t="s">
        <v>228</v>
      </c>
      <c r="G42" s="117">
        <v>-10.4</v>
      </c>
      <c r="H42" s="190">
        <v>-70</v>
      </c>
      <c r="I42" s="26"/>
      <c r="J42" s="27"/>
    </row>
    <row r="43" spans="1:10" x14ac:dyDescent="0.25">
      <c r="B43" s="5"/>
      <c r="C43" s="28"/>
      <c r="D43" s="65"/>
      <c r="E43" s="30" t="s">
        <v>224</v>
      </c>
      <c r="F43" s="206">
        <v>158</v>
      </c>
      <c r="G43" s="206">
        <v>-15.3</v>
      </c>
      <c r="H43" s="208">
        <v>-111</v>
      </c>
      <c r="I43" s="26"/>
      <c r="J43" s="27"/>
    </row>
    <row r="44" spans="1:10" x14ac:dyDescent="0.25">
      <c r="B44" s="5"/>
      <c r="C44" s="28"/>
      <c r="D44" s="65"/>
      <c r="E44" s="24" t="s">
        <v>25</v>
      </c>
      <c r="F44" s="117">
        <v>68</v>
      </c>
      <c r="G44" s="117">
        <v>-19.8</v>
      </c>
      <c r="H44" s="190">
        <v>-144</v>
      </c>
      <c r="I44" s="26"/>
      <c r="J44" s="27"/>
    </row>
    <row r="45" spans="1:10" x14ac:dyDescent="0.25">
      <c r="B45" s="5"/>
      <c r="C45" s="28"/>
      <c r="D45" s="65"/>
      <c r="E45" s="24" t="s">
        <v>24</v>
      </c>
      <c r="F45" s="117">
        <v>132.5</v>
      </c>
      <c r="G45" s="117">
        <v>-16.8</v>
      </c>
      <c r="H45" s="190">
        <v>-118</v>
      </c>
      <c r="I45" s="26"/>
      <c r="J45" s="27"/>
    </row>
    <row r="46" spans="1:10" x14ac:dyDescent="0.25">
      <c r="B46" s="5"/>
      <c r="C46" s="28"/>
      <c r="D46" s="65"/>
      <c r="E46" s="24" t="s">
        <v>23</v>
      </c>
      <c r="F46" s="117">
        <v>32</v>
      </c>
      <c r="G46" s="117">
        <v>-12.5</v>
      </c>
      <c r="H46" s="190">
        <v>-90</v>
      </c>
      <c r="I46" s="26"/>
      <c r="J46" s="27"/>
    </row>
    <row r="47" spans="1:10" x14ac:dyDescent="0.25">
      <c r="B47" s="5"/>
      <c r="C47" s="31"/>
      <c r="D47" s="66"/>
      <c r="E47" s="32" t="s">
        <v>225</v>
      </c>
      <c r="F47" s="210">
        <v>232.5</v>
      </c>
      <c r="G47" s="210">
        <v>-17.100000000000001</v>
      </c>
      <c r="H47" s="211">
        <v>-122</v>
      </c>
      <c r="I47" s="26"/>
      <c r="J47" s="27"/>
    </row>
    <row r="48" spans="1:10" x14ac:dyDescent="0.25">
      <c r="B48" s="5"/>
      <c r="C48" s="35" t="s">
        <v>22</v>
      </c>
      <c r="D48" s="67"/>
      <c r="E48" s="302" t="s">
        <v>195</v>
      </c>
      <c r="F48" s="184">
        <f>F37+F38+F40+F41+F44+F45+F46</f>
        <v>575.6</v>
      </c>
      <c r="G48" s="51">
        <f>((G37*F37)+(G38*F38)+(G40*F40)+(G41*F41)+(G44*F44)+(G45*F45)+(G46*F46))/(F37+F38+F40+F41+F44+F45+F46)</f>
        <v>-14.995517720639333</v>
      </c>
      <c r="H48" s="52">
        <f>((H37*F37)+(H38*F38)+(H40*F40)+(H41*F41)+(H44*F44)+(H45*F45)+(H46*F46))/(F37+F38+F40+F41+F44+F45+F46)</f>
        <v>-108.11501042390549</v>
      </c>
      <c r="I48" s="345" t="s">
        <v>223</v>
      </c>
      <c r="J48" s="346"/>
    </row>
    <row r="49" spans="1:11" x14ac:dyDescent="0.25">
      <c r="B49" s="5"/>
      <c r="C49" s="35"/>
      <c r="D49" s="67"/>
      <c r="E49" s="301" t="s">
        <v>196</v>
      </c>
      <c r="F49" s="144">
        <f>AVERAGE(F37,F38,F40,F41,F44,F45,F46)</f>
        <v>82.228571428571428</v>
      </c>
      <c r="G49" s="293">
        <f>SQRT(((F37*((G37-G48)^2))+(F38*((G38-G48)^2))+(F40*((G40-G48)^2))+(F41*((G41-G48)^2))+(F44*((G44-G48)^2))+(F45*((G45-G48)^2))+(F46*((G46-G48)^2))+(F47*((G47-G48)^2)))/((7-1/7)*F48))</f>
        <v>1.2146726909244141</v>
      </c>
      <c r="H49" s="294">
        <f>SQRT(((F37*((H37-H48)^2))+(F38*((H38-H48)^2))+(F40*((H40-H48)^2))+(F41*((H41-H48)^2))+(F44*((H44-H48)^2))+(F45*((H45-H48)^2))+(F46*((H46-H48)^2))+(F47*((H47-H48)^2)))/((7-1/7)*F48))</f>
        <v>8.5501580138852233</v>
      </c>
      <c r="I49" s="347" t="s">
        <v>198</v>
      </c>
      <c r="J49" s="348"/>
    </row>
    <row r="50" spans="1:11" ht="12.75" thickBot="1" x14ac:dyDescent="0.3">
      <c r="B50" s="7"/>
      <c r="C50" s="36"/>
      <c r="D50" s="68"/>
      <c r="E50" s="303" t="s">
        <v>197</v>
      </c>
      <c r="F50" s="186">
        <f>MEDIAN(F37,F38,F40,F41,F44,F45,F46)</f>
        <v>85</v>
      </c>
      <c r="G50" s="53">
        <f>SQRT(((G49)^2)+(($G$84)^2))</f>
        <v>1.2238994019434593</v>
      </c>
      <c r="H50" s="53">
        <f>SQRT(((H49)^2)+(($H$84)^2))</f>
        <v>8.6084378410026119</v>
      </c>
      <c r="I50" s="349" t="s">
        <v>3</v>
      </c>
      <c r="J50" s="350"/>
    </row>
    <row r="51" spans="1:11" s="40" customFormat="1" ht="12.75" thickBot="1" x14ac:dyDescent="0.3">
      <c r="A51" s="107"/>
      <c r="B51" s="88"/>
      <c r="C51" s="106"/>
      <c r="D51" s="138"/>
      <c r="E51" s="89"/>
      <c r="F51" s="145"/>
      <c r="G51" s="130"/>
      <c r="H51" s="130"/>
      <c r="I51" s="90"/>
      <c r="J51" s="90"/>
    </row>
    <row r="52" spans="1:11" x14ac:dyDescent="0.25">
      <c r="B52" s="4">
        <v>6</v>
      </c>
      <c r="C52" s="19" t="s">
        <v>21</v>
      </c>
      <c r="D52" s="64">
        <v>13</v>
      </c>
      <c r="E52" s="20" t="s">
        <v>20</v>
      </c>
      <c r="F52" s="187">
        <v>54.8</v>
      </c>
      <c r="G52" s="187">
        <v>-16.3</v>
      </c>
      <c r="H52" s="189">
        <v>-115</v>
      </c>
      <c r="I52" s="21"/>
      <c r="J52" s="22"/>
    </row>
    <row r="53" spans="1:11" x14ac:dyDescent="0.25">
      <c r="B53" s="5"/>
      <c r="C53" s="23" t="s">
        <v>19</v>
      </c>
      <c r="D53" s="57"/>
      <c r="E53" s="25" t="s">
        <v>18</v>
      </c>
      <c r="F53" s="199">
        <v>44.6</v>
      </c>
      <c r="G53" s="199">
        <v>-18.3</v>
      </c>
      <c r="H53" s="198">
        <v>-145</v>
      </c>
      <c r="I53" s="26"/>
      <c r="J53" s="27"/>
    </row>
    <row r="54" spans="1:11" x14ac:dyDescent="0.25">
      <c r="B54" s="5"/>
      <c r="C54" s="28"/>
      <c r="D54" s="65"/>
      <c r="E54" s="24" t="s">
        <v>17</v>
      </c>
      <c r="F54" s="117">
        <v>4.5</v>
      </c>
      <c r="G54" s="117">
        <v>-15.6</v>
      </c>
      <c r="H54" s="190">
        <v>-110</v>
      </c>
      <c r="I54" s="26"/>
      <c r="J54" s="27"/>
    </row>
    <row r="55" spans="1:11" x14ac:dyDescent="0.25">
      <c r="B55" s="5"/>
      <c r="C55" s="31"/>
      <c r="D55" s="66"/>
      <c r="E55" s="32" t="s">
        <v>224</v>
      </c>
      <c r="F55" s="73">
        <v>103.9</v>
      </c>
      <c r="G55" s="210">
        <v>-17.100000000000001</v>
      </c>
      <c r="H55" s="211">
        <v>-128</v>
      </c>
      <c r="I55" s="26"/>
      <c r="J55" s="27"/>
    </row>
    <row r="56" spans="1:11" x14ac:dyDescent="0.25">
      <c r="B56" s="5"/>
      <c r="C56" s="35" t="s">
        <v>5</v>
      </c>
      <c r="D56" s="67"/>
      <c r="E56" s="302" t="s">
        <v>195</v>
      </c>
      <c r="F56" s="184">
        <f>F52+F53+F54</f>
        <v>103.9</v>
      </c>
      <c r="G56" s="51">
        <f>((G52*F52)+(G53*F53)+(G54*F54))/(F52+F53+F54)</f>
        <v>-17.12820019249278</v>
      </c>
      <c r="H56" s="52">
        <f>((H52*F52)+(H53*F53)+(H54*F54))/(F52+F53+F54)</f>
        <v>-127.66121270452358</v>
      </c>
      <c r="I56" s="345" t="s">
        <v>4</v>
      </c>
      <c r="J56" s="346"/>
    </row>
    <row r="57" spans="1:11" x14ac:dyDescent="0.25">
      <c r="B57" s="5"/>
      <c r="C57" s="35"/>
      <c r="D57" s="67"/>
      <c r="E57" s="301" t="s">
        <v>196</v>
      </c>
      <c r="F57" s="144">
        <f>AVERAGE(F52:F54)</f>
        <v>34.633333333333333</v>
      </c>
      <c r="G57" s="293">
        <f>SQRT(((F52*((G52-G56)^2))+(F53*((G53-G56)^2))+(F54*((G54-G56)^2)))/((3-1/3)*F56))</f>
        <v>0.62819455032323313</v>
      </c>
      <c r="H57" s="294">
        <f>SQRT(((F52*((H52-H56)^2))+(F53*((H53-H56)^2))+(F54*((H54-H56)^2)))/((3-1/3)*F56))</f>
        <v>9.228545604378068</v>
      </c>
      <c r="I57" s="347" t="s">
        <v>198</v>
      </c>
      <c r="J57" s="348"/>
    </row>
    <row r="58" spans="1:11" ht="12.75" thickBot="1" x14ac:dyDescent="0.3">
      <c r="B58" s="7"/>
      <c r="C58" s="36"/>
      <c r="D58" s="68"/>
      <c r="E58" s="303" t="s">
        <v>197</v>
      </c>
      <c r="F58" s="186">
        <f>MEDIAN(F52:F54)</f>
        <v>44.6</v>
      </c>
      <c r="G58" s="53">
        <f>SQRT(((G57)^2)+(($G$84)^2))</f>
        <v>0.64585477706355099</v>
      </c>
      <c r="H58" s="53">
        <f>SQRT(((H57)^2)+(($H$84)^2))</f>
        <v>9.2825672080564949</v>
      </c>
      <c r="I58" s="349" t="s">
        <v>3</v>
      </c>
      <c r="J58" s="350"/>
    </row>
    <row r="59" spans="1:11" s="40" customFormat="1" ht="12.75" thickBot="1" x14ac:dyDescent="0.3">
      <c r="A59" s="107"/>
      <c r="B59" s="85"/>
      <c r="C59" s="105"/>
      <c r="D59" s="137"/>
      <c r="E59" s="86"/>
      <c r="F59" s="141"/>
      <c r="G59" s="123"/>
      <c r="H59" s="123"/>
      <c r="I59" s="87"/>
      <c r="J59" s="87"/>
      <c r="K59" s="99"/>
    </row>
    <row r="60" spans="1:11" x14ac:dyDescent="0.25">
      <c r="B60" s="4">
        <v>7</v>
      </c>
      <c r="C60" s="19" t="s">
        <v>16</v>
      </c>
      <c r="D60" s="64">
        <v>14</v>
      </c>
      <c r="E60" s="20" t="s">
        <v>27</v>
      </c>
      <c r="F60" s="187">
        <v>43.9</v>
      </c>
      <c r="G60" s="187">
        <v>-19.2</v>
      </c>
      <c r="H60" s="189">
        <v>-142</v>
      </c>
      <c r="I60" s="21"/>
      <c r="J60" s="22"/>
    </row>
    <row r="61" spans="1:11" ht="15" x14ac:dyDescent="0.25">
      <c r="B61" s="5"/>
      <c r="C61" s="340" t="s">
        <v>15</v>
      </c>
      <c r="D61" s="341"/>
      <c r="E61" s="24" t="s">
        <v>236</v>
      </c>
      <c r="F61" s="117">
        <v>11</v>
      </c>
      <c r="G61" s="117">
        <v>-18.2</v>
      </c>
      <c r="H61" s="190">
        <v>-127</v>
      </c>
      <c r="I61" s="26"/>
      <c r="J61" s="27"/>
    </row>
    <row r="62" spans="1:11" x14ac:dyDescent="0.25">
      <c r="B62" s="5"/>
      <c r="C62" s="28"/>
      <c r="D62" s="65"/>
      <c r="E62" s="24" t="s">
        <v>14</v>
      </c>
      <c r="F62" s="117">
        <v>5.5</v>
      </c>
      <c r="G62" s="117">
        <v>-15.7</v>
      </c>
      <c r="H62" s="190">
        <v>-118</v>
      </c>
      <c r="I62" s="26"/>
      <c r="J62" s="27"/>
    </row>
    <row r="63" spans="1:11" x14ac:dyDescent="0.25">
      <c r="B63" s="5"/>
      <c r="C63" s="28"/>
      <c r="D63" s="65"/>
      <c r="E63" s="30" t="s">
        <v>224</v>
      </c>
      <c r="F63" s="206">
        <v>60.4</v>
      </c>
      <c r="G63" s="206">
        <v>-18.7</v>
      </c>
      <c r="H63" s="208">
        <v>-137</v>
      </c>
      <c r="I63" s="26"/>
      <c r="J63" s="27"/>
    </row>
    <row r="64" spans="1:11" x14ac:dyDescent="0.25">
      <c r="B64" s="5"/>
      <c r="C64" s="28"/>
      <c r="D64" s="65"/>
      <c r="E64" s="24" t="s">
        <v>13</v>
      </c>
      <c r="F64" s="117">
        <v>151.80000000000001</v>
      </c>
      <c r="G64" s="117">
        <v>-18.100000000000001</v>
      </c>
      <c r="H64" s="190">
        <v>-127</v>
      </c>
      <c r="I64" s="26"/>
      <c r="J64" s="27"/>
    </row>
    <row r="65" spans="1:11" x14ac:dyDescent="0.25">
      <c r="B65" s="5"/>
      <c r="C65" s="31"/>
      <c r="D65" s="66"/>
      <c r="E65" s="32" t="s">
        <v>12</v>
      </c>
      <c r="F65" s="210">
        <v>151.80000000000001</v>
      </c>
      <c r="G65" s="210">
        <v>-18.100000000000001</v>
      </c>
      <c r="H65" s="211">
        <v>-127</v>
      </c>
      <c r="I65" s="26"/>
      <c r="J65" s="27"/>
    </row>
    <row r="66" spans="1:11" ht="15.75" customHeight="1" x14ac:dyDescent="0.25">
      <c r="B66" s="5"/>
      <c r="C66" s="35" t="s">
        <v>11</v>
      </c>
      <c r="D66" s="67"/>
      <c r="E66" s="302" t="s">
        <v>195</v>
      </c>
      <c r="F66" s="184">
        <f>F60+F61+F62+F64</f>
        <v>212.20000000000002</v>
      </c>
      <c r="G66" s="51">
        <f>((G60*F60)+(G61*F61)+(G62*F62)+(G64*F64))/(F60+F61+F62+F64)</f>
        <v>-18.270546654099906</v>
      </c>
      <c r="H66" s="52">
        <f>((H60*F60)+(H61*F61)+(H62*F62)+(H64*F64))/(F60+F61+F62+F64)</f>
        <v>-129.86993402450517</v>
      </c>
      <c r="I66" s="345" t="s">
        <v>223</v>
      </c>
      <c r="J66" s="346"/>
    </row>
    <row r="67" spans="1:11" x14ac:dyDescent="0.25">
      <c r="B67" s="5"/>
      <c r="C67" s="35"/>
      <c r="D67" s="67"/>
      <c r="E67" s="301" t="s">
        <v>196</v>
      </c>
      <c r="F67" s="144">
        <f>AVERAGE(F60,F61,F62,F64)</f>
        <v>53.050000000000004</v>
      </c>
      <c r="G67" s="293">
        <f>SQRT(((F60*((G60-G66)^2))+(F61*((G61-G66)^2))+(F62*((G62-G66)^2))+(F64*((G64-G66)^2)))/((4-1/4)*F66))</f>
        <v>0.31455810371601323</v>
      </c>
      <c r="H67" s="294">
        <f>SQRT(((F60*((H60-H66)^2))+(F61*((H61-H66)^2))+(F62*((H62-H66)^2))+(F64*((H64-H66)^2)))/((4-1/4)*F66))</f>
        <v>3.2827216777649668</v>
      </c>
      <c r="I67" s="347" t="s">
        <v>198</v>
      </c>
      <c r="J67" s="348"/>
    </row>
    <row r="68" spans="1:11" ht="12.75" thickBot="1" x14ac:dyDescent="0.3">
      <c r="B68" s="7"/>
      <c r="C68" s="36"/>
      <c r="D68" s="68"/>
      <c r="E68" s="303" t="s">
        <v>197</v>
      </c>
      <c r="F68" s="186">
        <f>MEDIAN(F60,F61,F62,F64)</f>
        <v>27.45</v>
      </c>
      <c r="G68" s="53">
        <f>SQRT(((G67)^2)+(($G$84)^2))</f>
        <v>0.34849218156712519</v>
      </c>
      <c r="H68" s="53">
        <f>SQRT(((H67)^2)+(($H$84)^2))</f>
        <v>3.4316558122381737</v>
      </c>
      <c r="I68" s="349" t="s">
        <v>3</v>
      </c>
      <c r="J68" s="350"/>
    </row>
    <row r="69" spans="1:11" s="40" customFormat="1" ht="12.75" thickBot="1" x14ac:dyDescent="0.3">
      <c r="A69" s="107"/>
      <c r="B69" s="85"/>
      <c r="C69" s="105"/>
      <c r="D69" s="137"/>
      <c r="E69" s="86"/>
      <c r="F69" s="141"/>
      <c r="G69" s="123"/>
      <c r="H69" s="123"/>
      <c r="I69" s="87"/>
      <c r="J69" s="87"/>
      <c r="K69" s="99"/>
    </row>
    <row r="70" spans="1:11" x14ac:dyDescent="0.25">
      <c r="B70" s="4">
        <v>8</v>
      </c>
      <c r="C70" s="19" t="s">
        <v>10</v>
      </c>
      <c r="D70" s="64">
        <v>15</v>
      </c>
      <c r="E70" s="20" t="s">
        <v>9</v>
      </c>
      <c r="F70" s="49">
        <v>102.5</v>
      </c>
      <c r="G70" s="187">
        <v>-8.3000000000000007</v>
      </c>
      <c r="H70" s="189">
        <v>-50</v>
      </c>
      <c r="I70" s="21"/>
      <c r="J70" s="22"/>
    </row>
    <row r="71" spans="1:11" ht="15" x14ac:dyDescent="0.25">
      <c r="B71" s="5"/>
      <c r="C71" s="340" t="s">
        <v>8</v>
      </c>
      <c r="D71" s="341"/>
      <c r="E71" s="41" t="s">
        <v>237</v>
      </c>
      <c r="F71" s="78">
        <v>9.6</v>
      </c>
      <c r="G71" s="216">
        <v>-9</v>
      </c>
      <c r="H71" s="217">
        <v>-64</v>
      </c>
      <c r="I71" s="26"/>
      <c r="J71" s="27"/>
    </row>
    <row r="72" spans="1:11" x14ac:dyDescent="0.25">
      <c r="B72" s="5"/>
      <c r="C72" s="23"/>
      <c r="D72" s="57"/>
      <c r="E72" s="30" t="s">
        <v>7</v>
      </c>
      <c r="F72" s="59">
        <v>112</v>
      </c>
      <c r="G72" s="206">
        <v>-8.4</v>
      </c>
      <c r="H72" s="208">
        <v>-51</v>
      </c>
      <c r="I72" s="26"/>
      <c r="J72" s="27"/>
    </row>
    <row r="73" spans="1:11" x14ac:dyDescent="0.25">
      <c r="B73" s="5"/>
      <c r="C73" s="28"/>
      <c r="D73" s="65"/>
      <c r="E73" s="24" t="s">
        <v>6</v>
      </c>
      <c r="F73" s="50">
        <v>119.3</v>
      </c>
      <c r="G73" s="117">
        <v>-7.7</v>
      </c>
      <c r="H73" s="190">
        <v>-49</v>
      </c>
      <c r="I73" s="26"/>
      <c r="J73" s="27"/>
    </row>
    <row r="74" spans="1:11" x14ac:dyDescent="0.25">
      <c r="B74" s="5"/>
      <c r="C74" s="31"/>
      <c r="D74" s="66"/>
      <c r="E74" s="32" t="s">
        <v>225</v>
      </c>
      <c r="F74" s="73">
        <v>119.3</v>
      </c>
      <c r="G74" s="210">
        <v>-7.7</v>
      </c>
      <c r="H74" s="211">
        <v>-49</v>
      </c>
      <c r="I74" s="26"/>
      <c r="J74" s="27"/>
    </row>
    <row r="75" spans="1:11" ht="15.75" customHeight="1" x14ac:dyDescent="0.25">
      <c r="B75" s="5"/>
      <c r="C75" s="35" t="s">
        <v>5</v>
      </c>
      <c r="D75" s="67"/>
      <c r="E75" s="302" t="s">
        <v>195</v>
      </c>
      <c r="F75" s="188">
        <f>F70+F71+F73</f>
        <v>231.39999999999998</v>
      </c>
      <c r="G75" s="51">
        <f>((G70*F70)+(G71*F71)+(G73*F73))/(F70+F71+F73)</f>
        <v>-8.019706136560071</v>
      </c>
      <c r="H75" s="52">
        <f>((H70*F70)+(H71*F71)+(H73*F73))/(F70+F71+F73)</f>
        <v>-50.065254969749347</v>
      </c>
      <c r="I75" s="345" t="s">
        <v>223</v>
      </c>
      <c r="J75" s="346"/>
    </row>
    <row r="76" spans="1:11" x14ac:dyDescent="0.25">
      <c r="B76" s="5"/>
      <c r="C76" s="35"/>
      <c r="D76" s="67"/>
      <c r="E76" s="301" t="s">
        <v>196</v>
      </c>
      <c r="F76" s="144">
        <f>AVERAGE(F70,F71,F73)</f>
        <v>77.133333333333326</v>
      </c>
      <c r="G76" s="293">
        <f>SQRT(((F70*((G70-G75)^2))+(F71*((G71-G75)^2))+(F73*((G73-G75)^2)))/((3-1/3)*F75))</f>
        <v>0.21854445529225863</v>
      </c>
      <c r="H76" s="293">
        <f>SQRT(((F70*((H70-H75)^2))+(F71*((H71-H75)^2))+(F73*((H73-H75)^2)))/((3-1/3)*F75))</f>
        <v>1.8002784689689439</v>
      </c>
      <c r="I76" s="347" t="s">
        <v>198</v>
      </c>
      <c r="J76" s="348"/>
    </row>
    <row r="77" spans="1:11" ht="12.75" thickBot="1" x14ac:dyDescent="0.3">
      <c r="B77" s="7"/>
      <c r="C77" s="36"/>
      <c r="D77" s="68"/>
      <c r="E77" s="303" t="s">
        <v>197</v>
      </c>
      <c r="F77" s="186">
        <f>MEDIAN(F70,F71,F73)</f>
        <v>102.5</v>
      </c>
      <c r="G77" s="53">
        <f>SQRT(((G76)^2)+(($G$84)^2))</f>
        <v>0.26506919651100547</v>
      </c>
      <c r="H77" s="53">
        <f>SQRT(((H76)^2)+(($H$84)^2))</f>
        <v>2.0593694583131907</v>
      </c>
      <c r="I77" s="349" t="s">
        <v>3</v>
      </c>
      <c r="J77" s="350"/>
    </row>
    <row r="78" spans="1:11" ht="12.75" thickBot="1" x14ac:dyDescent="0.3">
      <c r="B78" s="9"/>
      <c r="C78" s="37"/>
      <c r="D78" s="69"/>
      <c r="E78" s="10"/>
      <c r="F78" s="76"/>
      <c r="G78" s="55"/>
      <c r="H78" s="55"/>
      <c r="I78" s="11"/>
      <c r="J78" s="11"/>
    </row>
    <row r="79" spans="1:11" x14ac:dyDescent="0.25">
      <c r="B79" s="4">
        <v>9</v>
      </c>
      <c r="C79" s="42" t="s">
        <v>2</v>
      </c>
      <c r="D79" s="64">
        <v>16</v>
      </c>
      <c r="E79" s="20" t="s">
        <v>238</v>
      </c>
      <c r="F79" s="309">
        <v>77</v>
      </c>
      <c r="G79" s="307">
        <v>-19.899999999999999</v>
      </c>
      <c r="H79" s="308">
        <v>-146</v>
      </c>
      <c r="I79" s="21"/>
      <c r="J79" s="96"/>
    </row>
    <row r="80" spans="1:11" s="91" customFormat="1" x14ac:dyDescent="0.25">
      <c r="B80" s="80"/>
      <c r="C80" s="147"/>
      <c r="D80" s="148"/>
      <c r="E80" s="97"/>
      <c r="F80" s="148"/>
      <c r="G80" s="149"/>
      <c r="H80" s="129"/>
      <c r="I80" s="99"/>
      <c r="J80" s="100"/>
    </row>
    <row r="81" spans="1:10" s="91" customFormat="1" ht="15" x14ac:dyDescent="0.25">
      <c r="B81" s="80"/>
      <c r="C81" s="353" t="s">
        <v>1</v>
      </c>
      <c r="D81" s="354"/>
      <c r="E81" s="292"/>
      <c r="F81" s="148"/>
      <c r="G81" s="149"/>
      <c r="H81" s="129"/>
      <c r="I81" s="99"/>
      <c r="J81" s="100"/>
    </row>
    <row r="82" spans="1:10" ht="12.75" thickBot="1" x14ac:dyDescent="0.3">
      <c r="B82" s="7"/>
      <c r="C82" s="304" t="s">
        <v>319</v>
      </c>
      <c r="D82" s="304"/>
      <c r="E82" s="44"/>
      <c r="F82" s="61"/>
      <c r="G82" s="60"/>
      <c r="H82" s="61"/>
      <c r="I82" s="305"/>
      <c r="J82" s="306"/>
    </row>
    <row r="83" spans="1:10" x14ac:dyDescent="0.25">
      <c r="B83" s="15"/>
      <c r="C83" s="20"/>
      <c r="D83" s="71"/>
      <c r="E83" s="45"/>
      <c r="F83" s="62"/>
      <c r="G83" s="62"/>
      <c r="H83" s="62"/>
      <c r="I83" s="43"/>
      <c r="J83" s="43"/>
    </row>
    <row r="84" spans="1:10" x14ac:dyDescent="0.25">
      <c r="B84" s="81"/>
      <c r="C84" s="351" t="s">
        <v>0</v>
      </c>
      <c r="D84" s="351"/>
      <c r="E84" s="352"/>
      <c r="F84" s="79"/>
      <c r="G84" s="63">
        <v>0.15</v>
      </c>
      <c r="H84" s="63">
        <v>1</v>
      </c>
    </row>
    <row r="86" spans="1:10" s="91" customFormat="1" x14ac:dyDescent="0.2">
      <c r="A86" s="290" t="s">
        <v>315</v>
      </c>
      <c r="B86" s="82"/>
      <c r="D86" s="112"/>
      <c r="F86" s="112"/>
      <c r="G86" s="112"/>
      <c r="H86" s="112"/>
    </row>
    <row r="87" spans="1:10" x14ac:dyDescent="0.25">
      <c r="A87" s="266"/>
      <c r="B87" s="91" t="s">
        <v>323</v>
      </c>
      <c r="C87" s="91"/>
      <c r="D87" s="112"/>
      <c r="E87" s="112"/>
    </row>
  </sheetData>
  <mergeCells count="34">
    <mergeCell ref="I34:J34"/>
    <mergeCell ref="I35:J35"/>
    <mergeCell ref="I48:J48"/>
    <mergeCell ref="I49:J49"/>
    <mergeCell ref="I50:J50"/>
    <mergeCell ref="I21:J21"/>
    <mergeCell ref="I26:J26"/>
    <mergeCell ref="I27:J27"/>
    <mergeCell ref="I28:J28"/>
    <mergeCell ref="I33:J33"/>
    <mergeCell ref="I10:J10"/>
    <mergeCell ref="I11:J11"/>
    <mergeCell ref="I12:J12"/>
    <mergeCell ref="I19:J19"/>
    <mergeCell ref="I20:J20"/>
    <mergeCell ref="I77:J77"/>
    <mergeCell ref="I66:J66"/>
    <mergeCell ref="I67:J67"/>
    <mergeCell ref="I68:J68"/>
    <mergeCell ref="C84:E84"/>
    <mergeCell ref="C71:D71"/>
    <mergeCell ref="C81:D81"/>
    <mergeCell ref="I56:J56"/>
    <mergeCell ref="I57:J57"/>
    <mergeCell ref="I58:J58"/>
    <mergeCell ref="I75:J75"/>
    <mergeCell ref="I76:J76"/>
    <mergeCell ref="C38:D38"/>
    <mergeCell ref="C61:D61"/>
    <mergeCell ref="C5:D5"/>
    <mergeCell ref="A1:B2"/>
    <mergeCell ref="C15:D15"/>
    <mergeCell ref="C24:D24"/>
    <mergeCell ref="C31:D31"/>
  </mergeCells>
  <pageMargins left="0.7" right="0.7" top="0.75" bottom="0.75" header="0.3" footer="0.3"/>
  <pageSetup paperSize="9" orientation="portrait" r:id="rId1"/>
  <ignoredErrors>
    <ignoredError sqref="F11:F12 F57:F5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P12" sqref="P12"/>
    </sheetView>
  </sheetViews>
  <sheetFormatPr defaultRowHeight="14.25" x14ac:dyDescent="0.2"/>
  <cols>
    <col min="1" max="6" width="9.140625" style="1"/>
    <col min="7" max="7" width="14.140625" style="1" customWidth="1"/>
    <col min="8" max="8" width="12.28515625" style="1" bestFit="1" customWidth="1"/>
    <col min="9" max="16384" width="9.140625" style="1"/>
  </cols>
  <sheetData>
    <row r="1" spans="1:12" ht="15" x14ac:dyDescent="0.25">
      <c r="A1" s="342" t="s">
        <v>288</v>
      </c>
      <c r="B1" s="357"/>
      <c r="C1" s="290" t="s">
        <v>45</v>
      </c>
      <c r="D1" s="290" t="s">
        <v>324</v>
      </c>
      <c r="E1" s="291"/>
      <c r="F1" s="291"/>
      <c r="G1" s="291"/>
    </row>
    <row r="2" spans="1:12" x14ac:dyDescent="0.2">
      <c r="A2" s="357"/>
      <c r="B2" s="357"/>
    </row>
    <row r="3" spans="1:12" ht="15" thickBot="1" x14ac:dyDescent="0.25">
      <c r="B3" s="91"/>
      <c r="C3" s="82" t="s">
        <v>243</v>
      </c>
      <c r="D3" s="93" t="s">
        <v>241</v>
      </c>
      <c r="E3" s="362" t="s">
        <v>259</v>
      </c>
      <c r="F3" s="363"/>
      <c r="G3" s="363"/>
      <c r="H3" s="92" t="s">
        <v>206</v>
      </c>
      <c r="I3" s="93" t="s">
        <v>245</v>
      </c>
      <c r="J3" s="93" t="s">
        <v>246</v>
      </c>
      <c r="K3" s="91"/>
      <c r="L3" s="91"/>
    </row>
    <row r="4" spans="1:12" x14ac:dyDescent="0.2">
      <c r="B4" s="83">
        <v>10</v>
      </c>
      <c r="C4" s="94" t="s">
        <v>248</v>
      </c>
      <c r="D4" s="174">
        <v>4200</v>
      </c>
      <c r="E4" s="174">
        <v>1984</v>
      </c>
      <c r="F4" s="212" t="s">
        <v>249</v>
      </c>
      <c r="G4" s="95"/>
      <c r="H4" s="187">
        <v>4.5</v>
      </c>
      <c r="I4" s="187">
        <v>-3.6</v>
      </c>
      <c r="J4" s="189">
        <v>-20</v>
      </c>
      <c r="K4" s="364"/>
      <c r="L4" s="365"/>
    </row>
    <row r="5" spans="1:12" x14ac:dyDescent="0.2">
      <c r="B5" s="152"/>
      <c r="C5" s="101"/>
      <c r="D5" s="134"/>
      <c r="E5" s="134"/>
      <c r="F5" s="213" t="s">
        <v>250</v>
      </c>
      <c r="G5" s="97"/>
      <c r="H5" s="117">
        <v>6.5</v>
      </c>
      <c r="I5" s="117">
        <v>0</v>
      </c>
      <c r="J5" s="190">
        <v>-7</v>
      </c>
      <c r="K5" s="366"/>
      <c r="L5" s="367"/>
    </row>
    <row r="6" spans="1:12" x14ac:dyDescent="0.2">
      <c r="B6" s="152"/>
      <c r="C6" s="101"/>
      <c r="D6" s="134"/>
      <c r="E6" s="134"/>
      <c r="F6" s="213" t="s">
        <v>113</v>
      </c>
      <c r="G6" s="97"/>
      <c r="H6" s="117">
        <v>19</v>
      </c>
      <c r="I6" s="117">
        <v>-2.7</v>
      </c>
      <c r="J6" s="190">
        <v>-11</v>
      </c>
      <c r="K6" s="366"/>
      <c r="L6" s="367"/>
    </row>
    <row r="7" spans="1:12" x14ac:dyDescent="0.2">
      <c r="B7" s="152"/>
      <c r="C7" s="368" t="s">
        <v>53</v>
      </c>
      <c r="D7" s="369"/>
      <c r="E7" s="132"/>
      <c r="F7" s="153"/>
      <c r="G7" s="153"/>
      <c r="H7" s="206">
        <v>30</v>
      </c>
      <c r="I7" s="206">
        <v>-2.2999999999999998</v>
      </c>
      <c r="J7" s="206">
        <v>-8.5</v>
      </c>
      <c r="K7" s="38"/>
      <c r="L7" s="154"/>
    </row>
    <row r="8" spans="1:12" x14ac:dyDescent="0.2">
      <c r="B8" s="152"/>
      <c r="C8" s="103" t="s">
        <v>57</v>
      </c>
      <c r="D8" s="135">
        <v>3</v>
      </c>
      <c r="E8" s="135"/>
      <c r="F8" s="370" t="s">
        <v>195</v>
      </c>
      <c r="G8" s="370"/>
      <c r="H8" s="184">
        <f>H4+H5+H6</f>
        <v>30</v>
      </c>
      <c r="I8" s="119">
        <f>((H4*I4)+(H5*I5)+(H6*I6))/(H4+H5+H6)</f>
        <v>-2.25</v>
      </c>
      <c r="J8" s="120">
        <f>((H4*J4)+(H5*J5)+(H6*J6))/(H4+H5+H6)</f>
        <v>-11.483333333333333</v>
      </c>
      <c r="K8" s="345" t="s">
        <v>223</v>
      </c>
      <c r="L8" s="346"/>
    </row>
    <row r="9" spans="1:12" x14ac:dyDescent="0.2">
      <c r="B9" s="152"/>
      <c r="C9" s="103"/>
      <c r="D9" s="135"/>
      <c r="E9" s="135"/>
      <c r="F9" s="355" t="s">
        <v>196</v>
      </c>
      <c r="G9" s="355"/>
      <c r="H9" s="144">
        <f>AVERAGE(H4,H5,H6)</f>
        <v>10</v>
      </c>
      <c r="I9" s="293">
        <f>SQRT(((H4*((I4-I8)^2))+(H5*((I5-I8)^2))+(H6*((I6-I8)^2)))/((3-1/3)*H8))</f>
        <v>0.74962490620309574</v>
      </c>
      <c r="J9" s="294">
        <f>SQRT(((H4*((J4-J8)^2))+(H5*((J5-J8)^2))+(H6*((J6-J8)^2)))/((3-1/3)*H8))</f>
        <v>2.4018005398728124</v>
      </c>
      <c r="K9" s="347" t="s">
        <v>198</v>
      </c>
      <c r="L9" s="348"/>
    </row>
    <row r="10" spans="1:12" ht="15" thickBot="1" x14ac:dyDescent="0.25">
      <c r="B10" s="156"/>
      <c r="C10" s="104"/>
      <c r="D10" s="136"/>
      <c r="E10" s="136"/>
      <c r="F10" s="356" t="s">
        <v>197</v>
      </c>
      <c r="G10" s="356"/>
      <c r="H10" s="186">
        <f>MEDIAN(H4,H5,H6)</f>
        <v>6.5</v>
      </c>
      <c r="I10" s="121">
        <f>SQRT(((I9)^2)+(($I$27)^2))</f>
        <v>0.77584631210053456</v>
      </c>
      <c r="J10" s="122">
        <f>SQRT(((J9)^2)+(($J$27)^2))</f>
        <v>3.1254832959613355</v>
      </c>
      <c r="K10" s="349" t="s">
        <v>3</v>
      </c>
      <c r="L10" s="350"/>
    </row>
    <row r="11" spans="1:12" ht="15" thickBot="1" x14ac:dyDescent="0.25">
      <c r="C11" s="225"/>
    </row>
    <row r="12" spans="1:12" x14ac:dyDescent="0.2">
      <c r="B12" s="222">
        <v>11</v>
      </c>
      <c r="C12" s="221" t="s">
        <v>251</v>
      </c>
      <c r="D12" s="174">
        <v>3460</v>
      </c>
      <c r="E12" s="174">
        <v>1984</v>
      </c>
      <c r="F12" s="95" t="s">
        <v>134</v>
      </c>
      <c r="G12" s="95"/>
      <c r="H12" s="187">
        <v>10</v>
      </c>
      <c r="I12" s="187">
        <v>-17.5</v>
      </c>
      <c r="J12" s="189">
        <v>-131</v>
      </c>
      <c r="K12" s="165"/>
      <c r="L12" s="167"/>
    </row>
    <row r="13" spans="1:12" x14ac:dyDescent="0.2">
      <c r="B13" s="223"/>
      <c r="C13" s="29"/>
      <c r="D13" s="134"/>
      <c r="E13" s="134"/>
      <c r="F13" s="97" t="s">
        <v>97</v>
      </c>
      <c r="G13" s="97"/>
      <c r="H13" s="117">
        <v>13.1</v>
      </c>
      <c r="I13" s="117">
        <v>-19.100000000000001</v>
      </c>
      <c r="J13" s="190">
        <v>-137</v>
      </c>
      <c r="K13" s="38"/>
      <c r="L13" s="166"/>
    </row>
    <row r="14" spans="1:12" x14ac:dyDescent="0.2">
      <c r="B14" s="223"/>
      <c r="C14" s="29"/>
      <c r="D14" s="134"/>
      <c r="E14" s="134"/>
      <c r="F14" s="97" t="s">
        <v>252</v>
      </c>
      <c r="G14" s="97"/>
      <c r="H14" s="117">
        <v>15.4</v>
      </c>
      <c r="I14" s="117">
        <v>-22.8</v>
      </c>
      <c r="J14" s="190">
        <v>-169</v>
      </c>
      <c r="K14" s="38"/>
      <c r="L14" s="100"/>
    </row>
    <row r="15" spans="1:12" x14ac:dyDescent="0.2">
      <c r="B15" s="223"/>
      <c r="C15" s="29"/>
      <c r="D15" s="134"/>
      <c r="E15" s="134"/>
      <c r="F15" s="213" t="s">
        <v>156</v>
      </c>
      <c r="G15" s="97"/>
      <c r="H15" s="117">
        <v>15.1</v>
      </c>
      <c r="I15" s="117">
        <v>-22.6</v>
      </c>
      <c r="J15" s="190">
        <v>-167</v>
      </c>
      <c r="K15" s="38"/>
      <c r="L15" s="100"/>
    </row>
    <row r="16" spans="1:12" x14ac:dyDescent="0.2">
      <c r="B16" s="223"/>
      <c r="C16" s="358" t="s">
        <v>53</v>
      </c>
      <c r="D16" s="359"/>
      <c r="E16" s="214"/>
      <c r="F16" s="226"/>
      <c r="G16" s="226"/>
      <c r="H16" s="215">
        <v>53.6</v>
      </c>
      <c r="I16" s="215">
        <v>-20.9</v>
      </c>
      <c r="J16" s="215">
        <v>-153.5</v>
      </c>
      <c r="K16" s="159"/>
      <c r="L16" s="100"/>
    </row>
    <row r="17" spans="1:12" x14ac:dyDescent="0.2">
      <c r="B17" s="223"/>
      <c r="C17" s="2"/>
      <c r="D17" s="2"/>
      <c r="E17" s="2"/>
      <c r="F17" s="213" t="s">
        <v>253</v>
      </c>
      <c r="G17" s="97"/>
      <c r="H17" s="117">
        <v>5.0999999999999996</v>
      </c>
      <c r="I17" s="117">
        <v>-8.9</v>
      </c>
      <c r="J17" s="190">
        <v>-58</v>
      </c>
      <c r="K17" s="38"/>
      <c r="L17" s="100"/>
    </row>
    <row r="18" spans="1:12" x14ac:dyDescent="0.2">
      <c r="B18" s="223"/>
      <c r="C18" s="29"/>
      <c r="D18" s="134"/>
      <c r="E18" s="173"/>
      <c r="F18" s="213" t="s">
        <v>254</v>
      </c>
      <c r="G18" s="29"/>
      <c r="H18" s="117">
        <v>7.1</v>
      </c>
      <c r="I18" s="117">
        <v>-8.6999999999999993</v>
      </c>
      <c r="J18" s="190">
        <v>-57</v>
      </c>
      <c r="K18" s="159"/>
      <c r="L18" s="100"/>
    </row>
    <row r="19" spans="1:12" x14ac:dyDescent="0.2">
      <c r="B19" s="223"/>
      <c r="C19" s="29"/>
      <c r="D19" s="134"/>
      <c r="E19" s="173"/>
      <c r="F19" s="213" t="s">
        <v>90</v>
      </c>
      <c r="G19" s="29"/>
      <c r="H19" s="117">
        <v>5.0999999999999996</v>
      </c>
      <c r="I19" s="117">
        <v>-8.9</v>
      </c>
      <c r="J19" s="190">
        <v>-61</v>
      </c>
      <c r="K19" s="38"/>
      <c r="L19" s="100"/>
    </row>
    <row r="20" spans="1:12" x14ac:dyDescent="0.2">
      <c r="B20" s="223"/>
      <c r="C20" s="29"/>
      <c r="D20" s="134"/>
      <c r="E20" s="134"/>
      <c r="F20" s="213" t="s">
        <v>255</v>
      </c>
      <c r="G20" s="29"/>
      <c r="H20" s="117">
        <v>7.3</v>
      </c>
      <c r="I20" s="117">
        <v>-9.1</v>
      </c>
      <c r="J20" s="190">
        <v>-55</v>
      </c>
      <c r="K20" s="38"/>
      <c r="L20" s="100"/>
    </row>
    <row r="21" spans="1:12" x14ac:dyDescent="0.2">
      <c r="B21" s="223"/>
      <c r="C21" s="29"/>
      <c r="D21" s="134"/>
      <c r="E21" s="134"/>
      <c r="F21" s="213" t="s">
        <v>256</v>
      </c>
      <c r="G21" s="29"/>
      <c r="H21" s="117">
        <v>4.3</v>
      </c>
      <c r="I21" s="117">
        <v>-8.8000000000000007</v>
      </c>
      <c r="J21" s="190">
        <v>-57</v>
      </c>
      <c r="K21" s="38"/>
      <c r="L21" s="100"/>
    </row>
    <row r="22" spans="1:12" x14ac:dyDescent="0.2">
      <c r="B22" s="223"/>
      <c r="C22" s="360" t="s">
        <v>53</v>
      </c>
      <c r="D22" s="361"/>
      <c r="E22" s="132"/>
      <c r="F22" s="102"/>
      <c r="G22" s="102"/>
      <c r="H22" s="206">
        <v>28.9</v>
      </c>
      <c r="I22" s="206">
        <v>-8.9</v>
      </c>
      <c r="J22" s="206">
        <v>-57.4</v>
      </c>
      <c r="K22" s="108"/>
      <c r="L22" s="100"/>
    </row>
    <row r="23" spans="1:12" x14ac:dyDescent="0.2">
      <c r="B23" s="223"/>
      <c r="C23" s="84" t="s">
        <v>68</v>
      </c>
      <c r="D23" s="175">
        <v>9</v>
      </c>
      <c r="E23" s="175"/>
      <c r="F23" s="370" t="s">
        <v>195</v>
      </c>
      <c r="G23" s="370"/>
      <c r="H23" s="188">
        <f>SUM(H12:H15)+SUM(H17:H21)</f>
        <v>82.5</v>
      </c>
      <c r="I23" s="119">
        <f>((H12*I12)+(H13*I13)+(H14*I14)+(H15*I15)+(H17*I17)+(H18*I18)+(H19*I19)+(H20*I20)+(H21*I21))/(H23)</f>
        <v>-16.659515151515155</v>
      </c>
      <c r="J23" s="120">
        <f>((H12*J12)+(H13*J13)+(H14*J14)+(H15*J15)+(H17*J17)+(H18*J18)+(H19*J19)+(H20*J20)+(H21*J21))/(H23)</f>
        <v>-119.8448484848485</v>
      </c>
      <c r="K23" s="345" t="s">
        <v>223</v>
      </c>
      <c r="L23" s="346"/>
    </row>
    <row r="24" spans="1:12" x14ac:dyDescent="0.2">
      <c r="B24" s="223"/>
      <c r="C24" s="84"/>
      <c r="D24" s="175"/>
      <c r="E24" s="175"/>
      <c r="F24" s="355" t="s">
        <v>196</v>
      </c>
      <c r="G24" s="355"/>
      <c r="H24" s="144">
        <f>AVERAGE(H12:H15,H17:H21)</f>
        <v>9.1666666666666643</v>
      </c>
      <c r="I24" s="293">
        <f>SQRT(((H12*((I12-I23)^2))+(H13*((I13-I23)^2))+(H14*((I14-I23)^2))+(H15*((I15-I23)^2))+(H17*((I17-I23)^2))+(H18*((I18-I23)^2))+(H19*((I19-I23)^2))+(H20*((I20-I23)^2))+(H21*((I21-I23)^2)))/((9-1/9)*H23))</f>
        <v>2.004097432513765</v>
      </c>
      <c r="J24" s="294">
        <f>SQRT(((H12*((J12-J23)^2))+(H13*((J13-J23)^2))+(H14*((J14-J23)^2))+(H15*((J15-J23)^2))+(H17*((J17-J23)^2))+(H18*((J18-J23)^2))+(H19*((J19-J23)^2))+(H20*((J20-J23)^2))+(H21*((J21-J23)^2)))/((9-1/9)*H23))</f>
        <v>16.044192409798775</v>
      </c>
      <c r="K24" s="347" t="s">
        <v>198</v>
      </c>
      <c r="L24" s="348"/>
    </row>
    <row r="25" spans="1:12" ht="15" thickBot="1" x14ac:dyDescent="0.25">
      <c r="B25" s="224"/>
      <c r="C25" s="164"/>
      <c r="D25" s="176"/>
      <c r="E25" s="176"/>
      <c r="F25" s="356" t="s">
        <v>197</v>
      </c>
      <c r="G25" s="356"/>
      <c r="H25" s="186">
        <f>MEDIAN(H12:H15,H17:H21)</f>
        <v>7.3</v>
      </c>
      <c r="I25" s="121">
        <f>SQRT(((I24)^2)+(($I$27)^2))</f>
        <v>2.0140522632266187</v>
      </c>
      <c r="J25" s="122">
        <f>SQRT(((J24)^2)+(($J$27)^2))</f>
        <v>16.168367576309137</v>
      </c>
      <c r="K25" s="349" t="s">
        <v>3</v>
      </c>
      <c r="L25" s="350"/>
    </row>
    <row r="27" spans="1:12" x14ac:dyDescent="0.2">
      <c r="C27" s="351" t="s">
        <v>0</v>
      </c>
      <c r="D27" s="352"/>
      <c r="E27" s="352"/>
      <c r="F27" s="46"/>
      <c r="G27" s="46"/>
      <c r="H27" s="146"/>
      <c r="I27" s="192">
        <v>0.2</v>
      </c>
      <c r="J27" s="193">
        <v>2</v>
      </c>
    </row>
    <row r="28" spans="1:12" x14ac:dyDescent="0.2">
      <c r="C28" s="295"/>
      <c r="D28" s="296"/>
      <c r="E28" s="296"/>
      <c r="F28" s="297"/>
      <c r="G28" s="297"/>
      <c r="H28" s="298"/>
      <c r="I28" s="299"/>
      <c r="J28" s="300"/>
    </row>
    <row r="29" spans="1:12" x14ac:dyDescent="0.2">
      <c r="A29" s="290" t="s">
        <v>315</v>
      </c>
    </row>
    <row r="30" spans="1:12" x14ac:dyDescent="0.2">
      <c r="A30" s="266"/>
      <c r="B30" s="91" t="s">
        <v>325</v>
      </c>
      <c r="C30" s="91"/>
      <c r="D30" s="112"/>
      <c r="E30" s="112"/>
    </row>
  </sheetData>
  <mergeCells count="21">
    <mergeCell ref="F23:G23"/>
    <mergeCell ref="K23:L23"/>
    <mergeCell ref="F8:G8"/>
    <mergeCell ref="K8:L8"/>
    <mergeCell ref="F9:G9"/>
    <mergeCell ref="K9:L9"/>
    <mergeCell ref="A1:B2"/>
    <mergeCell ref="F10:G10"/>
    <mergeCell ref="K10:L10"/>
    <mergeCell ref="C16:D16"/>
    <mergeCell ref="C22:D22"/>
    <mergeCell ref="E3:G3"/>
    <mergeCell ref="K4:L4"/>
    <mergeCell ref="K5:L5"/>
    <mergeCell ref="K6:L6"/>
    <mergeCell ref="C7:D7"/>
    <mergeCell ref="F24:G24"/>
    <mergeCell ref="K24:L24"/>
    <mergeCell ref="F25:G25"/>
    <mergeCell ref="K25:L25"/>
    <mergeCell ref="C27:E2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6"/>
  <sheetViews>
    <sheetView topLeftCell="A214" zoomScaleNormal="100" workbookViewId="0">
      <selection activeCell="M219" sqref="M219"/>
    </sheetView>
  </sheetViews>
  <sheetFormatPr defaultRowHeight="12" x14ac:dyDescent="0.25"/>
  <cols>
    <col min="1" max="2" width="9.140625" style="91"/>
    <col min="3" max="3" width="13.28515625" style="91" customWidth="1"/>
    <col min="4" max="5" width="9.140625" style="112"/>
    <col min="6" max="6" width="8.5703125" style="91" bestFit="1" customWidth="1"/>
    <col min="7" max="7" width="14.140625" style="91" customWidth="1"/>
    <col min="8" max="8" width="13.7109375" style="112" bestFit="1" customWidth="1"/>
    <col min="9" max="10" width="11.28515625" style="112" bestFit="1" customWidth="1"/>
    <col min="11" max="16384" width="9.140625" style="91"/>
  </cols>
  <sheetData>
    <row r="1" spans="1:12" x14ac:dyDescent="0.25">
      <c r="A1" s="342" t="s">
        <v>290</v>
      </c>
      <c r="B1" s="343"/>
      <c r="C1" s="82" t="s">
        <v>45</v>
      </c>
      <c r="D1" s="139" t="s">
        <v>326</v>
      </c>
      <c r="E1" s="93"/>
      <c r="F1" s="82"/>
      <c r="G1" s="82"/>
    </row>
    <row r="2" spans="1:12" x14ac:dyDescent="0.25">
      <c r="A2" s="343"/>
      <c r="B2" s="343"/>
      <c r="C2" s="82"/>
      <c r="D2" s="93"/>
      <c r="E2" s="93"/>
      <c r="F2" s="82"/>
      <c r="G2" s="82"/>
    </row>
    <row r="3" spans="1:12" ht="15.75" thickBot="1" x14ac:dyDescent="0.3">
      <c r="C3" s="82" t="s">
        <v>243</v>
      </c>
      <c r="D3" s="93" t="s">
        <v>241</v>
      </c>
      <c r="E3" s="362" t="s">
        <v>260</v>
      </c>
      <c r="F3" s="371"/>
      <c r="G3" s="371"/>
      <c r="H3" s="92" t="s">
        <v>206</v>
      </c>
      <c r="I3" s="93" t="s">
        <v>245</v>
      </c>
      <c r="J3" s="93" t="s">
        <v>246</v>
      </c>
    </row>
    <row r="4" spans="1:12" x14ac:dyDescent="0.25">
      <c r="B4" s="83">
        <v>12</v>
      </c>
      <c r="C4" s="94" t="s">
        <v>46</v>
      </c>
      <c r="D4" s="174">
        <v>4250</v>
      </c>
      <c r="E4" s="174">
        <v>1984</v>
      </c>
      <c r="F4" s="95" t="s">
        <v>47</v>
      </c>
      <c r="G4" s="95" t="s">
        <v>48</v>
      </c>
      <c r="H4" s="187">
        <v>14</v>
      </c>
      <c r="I4" s="187">
        <v>-21</v>
      </c>
      <c r="J4" s="189">
        <v>-151</v>
      </c>
      <c r="K4" s="364"/>
      <c r="L4" s="365"/>
    </row>
    <row r="5" spans="1:12" x14ac:dyDescent="0.25">
      <c r="B5" s="152"/>
      <c r="C5" s="101"/>
      <c r="D5" s="134"/>
      <c r="E5" s="134"/>
      <c r="F5" s="97" t="s">
        <v>49</v>
      </c>
      <c r="G5" s="97" t="s">
        <v>50</v>
      </c>
      <c r="H5" s="117">
        <v>8</v>
      </c>
      <c r="I5" s="117">
        <v>-15.8</v>
      </c>
      <c r="J5" s="190">
        <v>-106</v>
      </c>
      <c r="K5" s="366"/>
      <c r="L5" s="367"/>
    </row>
    <row r="6" spans="1:12" x14ac:dyDescent="0.25">
      <c r="B6" s="152"/>
      <c r="C6" s="101"/>
      <c r="D6" s="134"/>
      <c r="E6" s="134"/>
      <c r="F6" s="97" t="s">
        <v>51</v>
      </c>
      <c r="G6" s="97" t="s">
        <v>52</v>
      </c>
      <c r="H6" s="117">
        <v>2</v>
      </c>
      <c r="I6" s="117">
        <v>-18.899999999999999</v>
      </c>
      <c r="J6" s="190">
        <v>-138</v>
      </c>
      <c r="K6" s="366"/>
      <c r="L6" s="367"/>
    </row>
    <row r="7" spans="1:12" ht="15" x14ac:dyDescent="0.25">
      <c r="B7" s="152"/>
      <c r="C7" s="368" t="s">
        <v>53</v>
      </c>
      <c r="D7" s="373"/>
      <c r="E7" s="132"/>
      <c r="F7" s="153"/>
      <c r="G7" s="153"/>
      <c r="H7" s="206">
        <v>24</v>
      </c>
      <c r="I7" s="206">
        <v>-19.100000000000001</v>
      </c>
      <c r="J7" s="208">
        <v>-135</v>
      </c>
      <c r="K7" s="38"/>
      <c r="L7" s="154"/>
    </row>
    <row r="8" spans="1:12" x14ac:dyDescent="0.25">
      <c r="B8" s="152"/>
      <c r="C8" s="101"/>
      <c r="D8" s="134"/>
      <c r="E8" s="173">
        <v>1986</v>
      </c>
      <c r="F8" s="97" t="s">
        <v>54</v>
      </c>
      <c r="G8" s="29"/>
      <c r="H8" s="117">
        <v>23.5</v>
      </c>
      <c r="I8" s="117">
        <v>-20</v>
      </c>
      <c r="J8" s="190">
        <v>-150</v>
      </c>
      <c r="K8" s="377"/>
      <c r="L8" s="378"/>
    </row>
    <row r="9" spans="1:12" x14ac:dyDescent="0.25">
      <c r="B9" s="152"/>
      <c r="C9" s="101"/>
      <c r="D9" s="134"/>
      <c r="E9" s="134"/>
      <c r="F9" s="97" t="s">
        <v>55</v>
      </c>
      <c r="G9" s="29"/>
      <c r="H9" s="117">
        <v>19</v>
      </c>
      <c r="I9" s="117">
        <v>-10.5</v>
      </c>
      <c r="J9" s="190">
        <v>-72</v>
      </c>
      <c r="K9" s="377"/>
      <c r="L9" s="378"/>
    </row>
    <row r="10" spans="1:12" ht="15" x14ac:dyDescent="0.25">
      <c r="B10" s="152"/>
      <c r="C10" s="368" t="s">
        <v>56</v>
      </c>
      <c r="D10" s="341"/>
      <c r="E10" s="132"/>
      <c r="F10" s="102"/>
      <c r="G10" s="102"/>
      <c r="H10" s="206">
        <v>42.5</v>
      </c>
      <c r="I10" s="206">
        <v>-15.8</v>
      </c>
      <c r="J10" s="208">
        <v>-115</v>
      </c>
      <c r="K10" s="108"/>
      <c r="L10" s="155"/>
    </row>
    <row r="11" spans="1:12" ht="15.75" customHeight="1" x14ac:dyDescent="0.25">
      <c r="B11" s="152"/>
      <c r="C11" s="103" t="s">
        <v>57</v>
      </c>
      <c r="D11" s="135">
        <v>5</v>
      </c>
      <c r="E11" s="135"/>
      <c r="F11" s="370" t="s">
        <v>195</v>
      </c>
      <c r="G11" s="370"/>
      <c r="H11" s="184">
        <f>H4+H5+H6+H8+H9</f>
        <v>66.5</v>
      </c>
      <c r="I11" s="119">
        <f>((H4*I4)+(H5*I5)+(H6*I6)+(H8*I8)+(H9*I9))/(H4+H5+H6+H8+H9)</f>
        <v>-16.957894736842107</v>
      </c>
      <c r="J11" s="120">
        <f>((H4*J4)+(H5*J5)+(H6*J6)+(H8*J8)+(H9*J9))/(H4+H5+H6+H8+H9)</f>
        <v>-122.27067669172932</v>
      </c>
      <c r="K11" s="345" t="s">
        <v>223</v>
      </c>
      <c r="L11" s="346"/>
    </row>
    <row r="12" spans="1:12" ht="15" customHeight="1" x14ac:dyDescent="0.25">
      <c r="B12" s="152"/>
      <c r="C12" s="103"/>
      <c r="D12" s="135"/>
      <c r="E12" s="135"/>
      <c r="F12" s="355" t="s">
        <v>196</v>
      </c>
      <c r="G12" s="355"/>
      <c r="H12" s="144">
        <f>AVERAGE(H4,H5,H6,H8,H9)</f>
        <v>13.3</v>
      </c>
      <c r="I12" s="293">
        <f>SQRT(((H4*((I4-I11)^2))+(H5*((I5-I11)^2))+(H6*((I6-I11)^2))+(H8*((I8-I11)^2))+(H9*((I9-I11)^2)))/((5-1/5)*H11))</f>
        <v>1.9843309331050509</v>
      </c>
      <c r="J12" s="294">
        <f>SQRT(((H4*((J4-J11)^2))+(H5*((J5-J11)^2))+(H6*((J6-J11)^2))+(H8*((J8-J11)^2))+(H9*((J9-J11)^2)))/((5-1/5)*H11))</f>
        <v>15.856215606805868</v>
      </c>
      <c r="K12" s="347" t="s">
        <v>198</v>
      </c>
      <c r="L12" s="348"/>
    </row>
    <row r="13" spans="1:12" ht="15.75" customHeight="1" thickBot="1" x14ac:dyDescent="0.3">
      <c r="B13" s="156"/>
      <c r="C13" s="104"/>
      <c r="D13" s="136"/>
      <c r="E13" s="136"/>
      <c r="F13" s="356" t="s">
        <v>197</v>
      </c>
      <c r="G13" s="356"/>
      <c r="H13" s="186">
        <f>MEDIAN(H4,H5,H6,H8,H9)</f>
        <v>14</v>
      </c>
      <c r="I13" s="121">
        <f>SQRT(((I12)^2)+(($I$211)^2))</f>
        <v>1.9943844293609903</v>
      </c>
      <c r="J13" s="122">
        <f>SQRT(((J12)^2)+(($J$211)^2))</f>
        <v>15.981851374903785</v>
      </c>
      <c r="K13" s="349" t="s">
        <v>3</v>
      </c>
      <c r="L13" s="350"/>
    </row>
    <row r="14" spans="1:12" s="99" customFormat="1" ht="15.75" customHeight="1" thickBot="1" x14ac:dyDescent="0.3">
      <c r="C14" s="105"/>
      <c r="D14" s="137"/>
      <c r="E14" s="137"/>
      <c r="H14" s="141"/>
      <c r="I14" s="182"/>
      <c r="J14" s="183"/>
      <c r="K14" s="87"/>
      <c r="L14" s="87"/>
    </row>
    <row r="15" spans="1:12" x14ac:dyDescent="0.25">
      <c r="B15" s="83">
        <v>13</v>
      </c>
      <c r="C15" s="94" t="s">
        <v>58</v>
      </c>
      <c r="D15" s="174">
        <v>4200</v>
      </c>
      <c r="E15" s="174">
        <v>1984</v>
      </c>
      <c r="F15" s="95" t="s">
        <v>59</v>
      </c>
      <c r="G15" s="95" t="s">
        <v>60</v>
      </c>
      <c r="H15" s="187">
        <v>12</v>
      </c>
      <c r="I15" s="187">
        <v>-21</v>
      </c>
      <c r="J15" s="189">
        <v>-152</v>
      </c>
      <c r="K15" s="157"/>
      <c r="L15" s="158"/>
    </row>
    <row r="16" spans="1:12" x14ac:dyDescent="0.25">
      <c r="B16" s="152"/>
      <c r="C16" s="101"/>
      <c r="D16" s="134"/>
      <c r="E16" s="134"/>
      <c r="F16" s="97" t="s">
        <v>47</v>
      </c>
      <c r="G16" s="97" t="s">
        <v>61</v>
      </c>
      <c r="H16" s="117">
        <v>3</v>
      </c>
      <c r="I16" s="117">
        <v>-21.2</v>
      </c>
      <c r="J16" s="190">
        <v>-151</v>
      </c>
      <c r="K16" s="38"/>
      <c r="L16" s="154"/>
    </row>
    <row r="17" spans="2:12" x14ac:dyDescent="0.25">
      <c r="B17" s="152"/>
      <c r="C17" s="101"/>
      <c r="D17" s="134"/>
      <c r="E17" s="134"/>
      <c r="F17" s="97" t="s">
        <v>62</v>
      </c>
      <c r="G17" s="97" t="s">
        <v>63</v>
      </c>
      <c r="H17" s="117">
        <v>8</v>
      </c>
      <c r="I17" s="117">
        <v>-21</v>
      </c>
      <c r="J17" s="190">
        <v>-151</v>
      </c>
      <c r="K17" s="159"/>
      <c r="L17" s="160"/>
    </row>
    <row r="18" spans="2:12" x14ac:dyDescent="0.25">
      <c r="B18" s="152"/>
      <c r="C18" s="101"/>
      <c r="D18" s="134"/>
      <c r="E18" s="134"/>
      <c r="F18" s="97" t="s">
        <v>64</v>
      </c>
      <c r="G18" s="97" t="s">
        <v>65</v>
      </c>
      <c r="H18" s="117">
        <v>4</v>
      </c>
      <c r="I18" s="117">
        <v>-21</v>
      </c>
      <c r="J18" s="190">
        <v>-150</v>
      </c>
      <c r="K18" s="161"/>
      <c r="L18" s="160"/>
    </row>
    <row r="19" spans="2:12" ht="15" x14ac:dyDescent="0.25">
      <c r="B19" s="152"/>
      <c r="C19" s="368" t="s">
        <v>53</v>
      </c>
      <c r="D19" s="341"/>
      <c r="E19" s="132"/>
      <c r="F19" s="102"/>
      <c r="G19" s="102"/>
      <c r="H19" s="206">
        <v>27</v>
      </c>
      <c r="I19" s="206">
        <v>-21</v>
      </c>
      <c r="J19" s="208">
        <v>-151</v>
      </c>
      <c r="K19" s="108"/>
      <c r="L19" s="155"/>
    </row>
    <row r="20" spans="2:12" x14ac:dyDescent="0.25">
      <c r="B20" s="152"/>
      <c r="C20" s="172"/>
      <c r="D20" s="173"/>
      <c r="E20" s="173">
        <v>1985</v>
      </c>
      <c r="F20" s="97" t="s">
        <v>66</v>
      </c>
      <c r="G20" s="29"/>
      <c r="H20" s="117">
        <v>15.5</v>
      </c>
      <c r="I20" s="117">
        <v>-9.6</v>
      </c>
      <c r="J20" s="190">
        <v>-57</v>
      </c>
      <c r="K20" s="366"/>
      <c r="L20" s="367"/>
    </row>
    <row r="21" spans="2:12" x14ac:dyDescent="0.25">
      <c r="B21" s="152"/>
      <c r="C21" s="172"/>
      <c r="D21" s="173"/>
      <c r="E21" s="173">
        <v>1986</v>
      </c>
      <c r="F21" s="97" t="s">
        <v>67</v>
      </c>
      <c r="G21" s="29"/>
      <c r="H21" s="117">
        <v>28</v>
      </c>
      <c r="I21" s="117">
        <v>-8.1999999999999993</v>
      </c>
      <c r="J21" s="190">
        <v>-60</v>
      </c>
      <c r="K21" s="366"/>
      <c r="L21" s="367"/>
    </row>
    <row r="22" spans="2:12" x14ac:dyDescent="0.25">
      <c r="B22" s="152"/>
      <c r="C22" s="344"/>
      <c r="D22" s="374"/>
      <c r="E22" s="374"/>
      <c r="F22" s="97" t="s">
        <v>54</v>
      </c>
      <c r="G22" s="29"/>
      <c r="H22" s="117">
        <v>14</v>
      </c>
      <c r="I22" s="117">
        <v>-8.9</v>
      </c>
      <c r="J22" s="190">
        <v>-53</v>
      </c>
      <c r="K22" s="366"/>
      <c r="L22" s="367"/>
    </row>
    <row r="23" spans="2:12" x14ac:dyDescent="0.25">
      <c r="B23" s="152"/>
      <c r="C23" s="344"/>
      <c r="D23" s="374"/>
      <c r="E23" s="374"/>
      <c r="F23" s="97" t="s">
        <v>55</v>
      </c>
      <c r="G23" s="29"/>
      <c r="H23" s="117">
        <v>65.8</v>
      </c>
      <c r="I23" s="117">
        <v>-11.1</v>
      </c>
      <c r="J23" s="190">
        <v>-78</v>
      </c>
      <c r="K23" s="366"/>
      <c r="L23" s="367"/>
    </row>
    <row r="24" spans="2:12" ht="15" x14ac:dyDescent="0.25">
      <c r="B24" s="152"/>
      <c r="C24" s="368" t="s">
        <v>53</v>
      </c>
      <c r="D24" s="341"/>
      <c r="E24" s="132"/>
      <c r="F24" s="102"/>
      <c r="G24" s="102"/>
      <c r="H24" s="206">
        <v>123.3</v>
      </c>
      <c r="I24" s="206">
        <v>-10</v>
      </c>
      <c r="J24" s="208">
        <v>-68</v>
      </c>
      <c r="K24" s="108"/>
      <c r="L24" s="155"/>
    </row>
    <row r="25" spans="2:12" ht="15.75" customHeight="1" x14ac:dyDescent="0.25">
      <c r="B25" s="152"/>
      <c r="C25" s="151" t="s">
        <v>68</v>
      </c>
      <c r="D25" s="175">
        <v>8</v>
      </c>
      <c r="E25" s="175"/>
      <c r="F25" s="370" t="s">
        <v>195</v>
      </c>
      <c r="G25" s="370"/>
      <c r="H25" s="184">
        <f>H15+H16+H17+H18+H20+H21+H22+H23</f>
        <v>150.30000000000001</v>
      </c>
      <c r="I25" s="119">
        <f>((H15*I15)+(H16*I16)+(H17*I17)+(H18*I18)+(H20*I20)+(H21*I21)+(H22*I22)+(H23*I23))/(H25)</f>
        <v>-11.982568196939454</v>
      </c>
      <c r="J25" s="120">
        <f>((H15*J15)+(H16*J16)+(H17*J17)+(H18*J18)+(H20*J20)+(H21*J21)+(H22*J22)+(H23*J23))/(H25)</f>
        <v>-83.319361277445097</v>
      </c>
      <c r="K25" s="345" t="s">
        <v>223</v>
      </c>
      <c r="L25" s="346"/>
    </row>
    <row r="26" spans="2:12" ht="15" customHeight="1" x14ac:dyDescent="0.25">
      <c r="B26" s="152"/>
      <c r="C26" s="151"/>
      <c r="D26" s="175"/>
      <c r="E26" s="175"/>
      <c r="F26" s="355" t="s">
        <v>196</v>
      </c>
      <c r="G26" s="355"/>
      <c r="H26" s="144">
        <f>AVERAGE(H15:H18,H20:H23)</f>
        <v>18.787500000000001</v>
      </c>
      <c r="I26" s="293">
        <f>SQRT(((H15*((I15-I25)^2))+(H16*((I16-I25)^2))+(H17*((I17-I25)^2))+(H18*((I18-I25)^2))+(H20*((I20-I25)^2))+(H21*((I21-I25)^2))+(H22*((I22-I25)^2))+(H23*((I23-I25)^2)))/((8-1/8)*H25))</f>
        <v>1.5596947736346412</v>
      </c>
      <c r="J26" s="294">
        <f>SQRT(((H15*((J15-J25)^2))+(H16*((J16-J25)^2))+(H17*((J17-J25)^2))+(H18*((J18-J25)^2))+(H20*((J20-J25)^2))+(H21*((J21-J25)^2))+(H22*((J22-J25)^2))+(H23*((J23-J25)^2)))/((8-1/8)*H25))</f>
        <v>11.823799437084306</v>
      </c>
      <c r="K26" s="347" t="s">
        <v>198</v>
      </c>
      <c r="L26" s="348"/>
    </row>
    <row r="27" spans="2:12" ht="15.75" customHeight="1" thickBot="1" x14ac:dyDescent="0.3">
      <c r="B27" s="156"/>
      <c r="C27" s="163"/>
      <c r="D27" s="176"/>
      <c r="E27" s="176"/>
      <c r="F27" s="356" t="s">
        <v>197</v>
      </c>
      <c r="G27" s="356"/>
      <c r="H27" s="186">
        <f>MEDIAN(H15:H18,H20:H23)</f>
        <v>13</v>
      </c>
      <c r="I27" s="121">
        <f>SQRT(((I26)^2)+(($I$211)^2))</f>
        <v>1.5724655121506528</v>
      </c>
      <c r="J27" s="122">
        <f>SQRT(((J26)^2)+(($J$211)^2))</f>
        <v>11.991756882475359</v>
      </c>
      <c r="K27" s="349" t="s">
        <v>3</v>
      </c>
      <c r="L27" s="350"/>
    </row>
    <row r="28" spans="2:12" s="99" customFormat="1" ht="15.75" customHeight="1" thickBot="1" x14ac:dyDescent="0.3">
      <c r="C28" s="108"/>
      <c r="D28" s="131"/>
      <c r="E28" s="131"/>
      <c r="H28" s="141"/>
      <c r="I28" s="182"/>
      <c r="J28" s="183"/>
      <c r="K28" s="87"/>
      <c r="L28" s="87"/>
    </row>
    <row r="29" spans="2:12" x14ac:dyDescent="0.25">
      <c r="B29" s="83">
        <v>14</v>
      </c>
      <c r="C29" s="94" t="s">
        <v>69</v>
      </c>
      <c r="D29" s="177">
        <v>4150</v>
      </c>
      <c r="E29" s="177">
        <v>1984</v>
      </c>
      <c r="F29" s="95" t="s">
        <v>70</v>
      </c>
      <c r="G29" s="95" t="s">
        <v>71</v>
      </c>
      <c r="H29" s="187">
        <v>11</v>
      </c>
      <c r="I29" s="125">
        <v>-14.5</v>
      </c>
      <c r="J29" s="126">
        <v>-90</v>
      </c>
      <c r="K29" s="157"/>
      <c r="L29" s="158"/>
    </row>
    <row r="30" spans="2:12" x14ac:dyDescent="0.25">
      <c r="B30" s="152"/>
      <c r="C30" s="101"/>
      <c r="D30" s="374"/>
      <c r="E30" s="374"/>
      <c r="F30" s="97" t="s">
        <v>72</v>
      </c>
      <c r="G30" s="97" t="s">
        <v>73</v>
      </c>
      <c r="H30" s="117">
        <v>13</v>
      </c>
      <c r="I30" s="128">
        <v>-19.3</v>
      </c>
      <c r="J30" s="129">
        <v>-137</v>
      </c>
      <c r="K30" s="38"/>
      <c r="L30" s="160"/>
    </row>
    <row r="31" spans="2:12" x14ac:dyDescent="0.25">
      <c r="B31" s="152"/>
      <c r="C31" s="101"/>
      <c r="D31" s="374"/>
      <c r="E31" s="374"/>
      <c r="F31" s="97" t="s">
        <v>74</v>
      </c>
      <c r="G31" s="97" t="s">
        <v>75</v>
      </c>
      <c r="H31" s="117">
        <v>6</v>
      </c>
      <c r="I31" s="128">
        <v>-21.3</v>
      </c>
      <c r="J31" s="190">
        <v>-151</v>
      </c>
      <c r="K31" s="38"/>
      <c r="L31" s="154"/>
    </row>
    <row r="32" spans="2:12" x14ac:dyDescent="0.25">
      <c r="B32" s="152"/>
      <c r="C32" s="101"/>
      <c r="D32" s="374"/>
      <c r="E32" s="374"/>
      <c r="F32" s="97" t="s">
        <v>76</v>
      </c>
      <c r="G32" s="97" t="s">
        <v>77</v>
      </c>
      <c r="H32" s="117">
        <v>9.5</v>
      </c>
      <c r="I32" s="117">
        <v>-17.3</v>
      </c>
      <c r="J32" s="129">
        <v>-118</v>
      </c>
      <c r="K32" s="38"/>
      <c r="L32" s="160"/>
    </row>
    <row r="33" spans="2:12" x14ac:dyDescent="0.25">
      <c r="B33" s="152"/>
      <c r="C33" s="101"/>
      <c r="D33" s="374"/>
      <c r="E33" s="374"/>
      <c r="F33" s="97" t="s">
        <v>78</v>
      </c>
      <c r="G33" s="97" t="s">
        <v>79</v>
      </c>
      <c r="H33" s="117">
        <v>3</v>
      </c>
      <c r="I33" s="128">
        <v>-19.7</v>
      </c>
      <c r="J33" s="173">
        <v>139</v>
      </c>
      <c r="K33" s="38"/>
      <c r="L33" s="160"/>
    </row>
    <row r="34" spans="2:12" x14ac:dyDescent="0.25">
      <c r="B34" s="152"/>
      <c r="C34" s="101"/>
      <c r="D34" s="374"/>
      <c r="E34" s="374"/>
      <c r="F34" s="97" t="s">
        <v>80</v>
      </c>
      <c r="G34" s="97" t="s">
        <v>81</v>
      </c>
      <c r="H34" s="117">
        <v>2</v>
      </c>
      <c r="I34" s="128">
        <v>-10.199999999999999</v>
      </c>
      <c r="J34" s="129">
        <v>-69</v>
      </c>
      <c r="K34" s="38"/>
      <c r="L34" s="160"/>
    </row>
    <row r="35" spans="2:12" ht="15" x14ac:dyDescent="0.25">
      <c r="B35" s="152"/>
      <c r="C35" s="372" t="s">
        <v>53</v>
      </c>
      <c r="D35" s="341"/>
      <c r="E35" s="341"/>
      <c r="F35" s="153"/>
      <c r="G35" s="153"/>
      <c r="H35" s="206">
        <v>44.5</v>
      </c>
      <c r="I35" s="115">
        <v>-17.600000000000001</v>
      </c>
      <c r="J35" s="116">
        <v>-120</v>
      </c>
      <c r="K35" s="38"/>
      <c r="L35" s="160"/>
    </row>
    <row r="36" spans="2:12" x14ac:dyDescent="0.25">
      <c r="B36" s="152"/>
      <c r="C36" s="101"/>
      <c r="D36" s="374"/>
      <c r="E36" s="374"/>
      <c r="F36" s="97" t="s">
        <v>82</v>
      </c>
      <c r="G36" s="97" t="s">
        <v>83</v>
      </c>
      <c r="H36" s="117">
        <v>8</v>
      </c>
      <c r="I36" s="128">
        <v>-11.2</v>
      </c>
      <c r="J36" s="129">
        <v>-80</v>
      </c>
      <c r="K36" s="38"/>
      <c r="L36" s="160"/>
    </row>
    <row r="37" spans="2:12" x14ac:dyDescent="0.25">
      <c r="B37" s="152"/>
      <c r="C37" s="101"/>
      <c r="D37" s="374"/>
      <c r="E37" s="374"/>
      <c r="F37" s="97" t="s">
        <v>84</v>
      </c>
      <c r="G37" s="97" t="s">
        <v>85</v>
      </c>
      <c r="H37" s="117">
        <v>11.9</v>
      </c>
      <c r="I37" s="128">
        <v>-10.9</v>
      </c>
      <c r="J37" s="129">
        <v>-78</v>
      </c>
      <c r="K37" s="38"/>
      <c r="L37" s="160"/>
    </row>
    <row r="38" spans="2:12" x14ac:dyDescent="0.25">
      <c r="B38" s="152"/>
      <c r="C38" s="101"/>
      <c r="D38" s="374"/>
      <c r="E38" s="374"/>
      <c r="F38" s="97" t="s">
        <v>86</v>
      </c>
      <c r="G38" s="97" t="s">
        <v>87</v>
      </c>
      <c r="H38" s="117">
        <v>1.8</v>
      </c>
      <c r="I38" s="128">
        <v>-10</v>
      </c>
      <c r="J38" s="129">
        <v>-79</v>
      </c>
      <c r="K38" s="38"/>
      <c r="L38" s="154"/>
    </row>
    <row r="39" spans="2:12" x14ac:dyDescent="0.25">
      <c r="B39" s="152"/>
      <c r="C39" s="101"/>
      <c r="D39" s="374"/>
      <c r="E39" s="374"/>
      <c r="F39" s="97" t="s">
        <v>88</v>
      </c>
      <c r="G39" s="97" t="s">
        <v>89</v>
      </c>
      <c r="H39" s="117">
        <v>6.5</v>
      </c>
      <c r="I39" s="128">
        <v>-10.9</v>
      </c>
      <c r="J39" s="129">
        <v>-75</v>
      </c>
      <c r="K39" s="38"/>
      <c r="L39" s="160"/>
    </row>
    <row r="40" spans="2:12" x14ac:dyDescent="0.25">
      <c r="B40" s="152"/>
      <c r="C40" s="101"/>
      <c r="D40" s="374"/>
      <c r="E40" s="374"/>
      <c r="F40" s="97" t="s">
        <v>90</v>
      </c>
      <c r="G40" s="97" t="s">
        <v>83</v>
      </c>
      <c r="H40" s="117">
        <v>5.5</v>
      </c>
      <c r="I40" s="128">
        <v>-11.5</v>
      </c>
      <c r="J40" s="129">
        <v>-78</v>
      </c>
      <c r="K40" s="38"/>
      <c r="L40" s="160"/>
    </row>
    <row r="41" spans="2:12" ht="15" x14ac:dyDescent="0.25">
      <c r="B41" s="152"/>
      <c r="C41" s="372" t="s">
        <v>53</v>
      </c>
      <c r="D41" s="341"/>
      <c r="E41" s="341"/>
      <c r="F41" s="153"/>
      <c r="G41" s="153"/>
      <c r="H41" s="206">
        <v>33.700000000000003</v>
      </c>
      <c r="I41" s="115">
        <v>-11.1</v>
      </c>
      <c r="J41" s="116">
        <v>-78</v>
      </c>
      <c r="K41" s="38"/>
      <c r="L41" s="160"/>
    </row>
    <row r="42" spans="2:12" x14ac:dyDescent="0.25">
      <c r="B42" s="152"/>
      <c r="C42" s="101"/>
      <c r="E42" s="173">
        <v>1985</v>
      </c>
      <c r="F42" s="97" t="s">
        <v>91</v>
      </c>
      <c r="G42" s="29"/>
      <c r="H42" s="117">
        <v>39.6</v>
      </c>
      <c r="I42" s="128">
        <v>-13.4</v>
      </c>
      <c r="J42" s="129">
        <v>-94</v>
      </c>
      <c r="K42" s="38"/>
      <c r="L42" s="160"/>
    </row>
    <row r="43" spans="2:12" x14ac:dyDescent="0.25">
      <c r="B43" s="152"/>
      <c r="C43" s="101"/>
      <c r="D43" s="374"/>
      <c r="E43" s="374"/>
      <c r="F43" s="97" t="s">
        <v>67</v>
      </c>
      <c r="G43" s="29"/>
      <c r="H43" s="117">
        <v>28.1</v>
      </c>
      <c r="I43" s="128">
        <v>-10.9</v>
      </c>
      <c r="J43" s="129">
        <v>-73</v>
      </c>
      <c r="K43" s="38"/>
      <c r="L43" s="160"/>
    </row>
    <row r="44" spans="2:12" x14ac:dyDescent="0.25">
      <c r="B44" s="152"/>
      <c r="C44" s="101"/>
      <c r="D44" s="374"/>
      <c r="E44" s="374"/>
      <c r="F44" s="97" t="s">
        <v>55</v>
      </c>
      <c r="G44" s="29"/>
      <c r="H44" s="117">
        <v>27.8</v>
      </c>
      <c r="I44" s="128">
        <v>-19.2</v>
      </c>
      <c r="J44" s="129">
        <v>-148</v>
      </c>
      <c r="K44" s="38"/>
      <c r="L44" s="160"/>
    </row>
    <row r="45" spans="2:12" x14ac:dyDescent="0.25">
      <c r="B45" s="152"/>
      <c r="C45" s="101"/>
      <c r="D45" s="374"/>
      <c r="E45" s="374"/>
      <c r="F45" s="97" t="s">
        <v>92</v>
      </c>
      <c r="G45" s="29"/>
      <c r="H45" s="117">
        <v>4.5</v>
      </c>
      <c r="I45" s="128">
        <v>-15.4</v>
      </c>
      <c r="J45" s="129">
        <v>-113</v>
      </c>
      <c r="K45" s="38"/>
      <c r="L45" s="160"/>
    </row>
    <row r="46" spans="2:12" x14ac:dyDescent="0.25">
      <c r="B46" s="152"/>
      <c r="C46" s="162" t="s">
        <v>53</v>
      </c>
      <c r="D46" s="132"/>
      <c r="E46" s="132"/>
      <c r="F46" s="102"/>
      <c r="G46" s="102"/>
      <c r="H46" s="206">
        <v>100</v>
      </c>
      <c r="I46" s="132">
        <v>-14.4</v>
      </c>
      <c r="J46" s="132">
        <v>-104</v>
      </c>
      <c r="K46" s="108"/>
      <c r="L46" s="155"/>
    </row>
    <row r="47" spans="2:12" ht="15.75" customHeight="1" x14ac:dyDescent="0.25">
      <c r="B47" s="152"/>
      <c r="C47" s="151" t="s">
        <v>68</v>
      </c>
      <c r="D47" s="175">
        <v>15</v>
      </c>
      <c r="E47" s="175"/>
      <c r="F47" s="370" t="s">
        <v>195</v>
      </c>
      <c r="G47" s="370"/>
      <c r="H47" s="184">
        <f>SUM(H29:H34)+H36+H37+H38+H39+H40+H42+H43+H44+H45</f>
        <v>178.20000000000002</v>
      </c>
      <c r="I47" s="119">
        <f>((H29*I29)+(H30*I30)+(H31*I31)+(H32*I32)+(H33*I33)+(H34*I34)+(H36*I36)+(H37*I37)+(H38*I38)+(H39*I39)+(H40*I40)+(H42*I42)+(H43*I43)+(H44*I44)+(H45*I45))/(H47)</f>
        <v>-14.553591470258134</v>
      </c>
      <c r="J47" s="120">
        <f>((H29*J29)+(H30*J30)+(H31*J31)+(H32*J32)+(H33*J33)+(H34*J34)+(H36*J36)+(H37*J37)+(H38*J38)+(H39*J39)+(H40*J40)+(H42*J42)+(H43*J43)+(H44*J44)+(H45*J45))/(H47)</f>
        <v>-98.442760942760927</v>
      </c>
      <c r="K47" s="345" t="s">
        <v>223</v>
      </c>
      <c r="L47" s="346"/>
    </row>
    <row r="48" spans="2:12" ht="15" customHeight="1" x14ac:dyDescent="0.25">
      <c r="B48" s="152"/>
      <c r="C48" s="151"/>
      <c r="D48" s="175"/>
      <c r="E48" s="175"/>
      <c r="F48" s="380" t="s">
        <v>196</v>
      </c>
      <c r="G48" s="380"/>
      <c r="H48" s="185">
        <f>AVERAGE(H29:H34,H36:H40,H42:H45)</f>
        <v>11.88</v>
      </c>
      <c r="I48" s="293">
        <f>SQRT(((H29*((I29-I47)^2))+(H30*((I30-I47)^2))+(H31*((I31-I47)^2))+(H32*((I32-I47)^2))+(H33*((I33-I47)^2))+(H34*((I34-I47)^2))+(H36*((I36-I47)^2))+(H37*((I37-I47)^2))+(H38*((I38-I47)^2))+(H39*((I39-I47)^2))+(H40*((I40-I47)^2))+(H42*((I42-I47)^2))+(H43*((I43-I47)^2))+(H44*((I44-I47)^2))+(H45*((I45-I47)^2)))/((15-1/15)*H47))</f>
        <v>0.91138803871563667</v>
      </c>
      <c r="J48" s="294">
        <f>SQRT(((H29*((J29-J47)^2))+(H30*((J30-J47)^2))+(H31*((J31-J47)^2))+(H32*((J32-J47)^2))+(H33*((J33-J47)^2))+(H34*((J34-J47)^2))+(H36*((J36-J47)^2))+(H37*((J37-J47)^2))+(H38*((J38-J47)^2))+(H39*((J39-J47)^2))+(H40*((J40-J47)^2))+(H42*((J42-J47)^2))+(H43*((J43-J47)^2))+(H44*((J44-J47)^2))+(H45*((J45-J47)^2)))/((15-1/15)*H47))</f>
        <v>10.856236995596195</v>
      </c>
      <c r="K48" s="347" t="s">
        <v>198</v>
      </c>
      <c r="L48" s="348"/>
    </row>
    <row r="49" spans="2:12" ht="15.75" customHeight="1" thickBot="1" x14ac:dyDescent="0.3">
      <c r="B49" s="156"/>
      <c r="C49" s="163"/>
      <c r="D49" s="176"/>
      <c r="E49" s="176"/>
      <c r="F49" s="356" t="s">
        <v>197</v>
      </c>
      <c r="G49" s="356"/>
      <c r="H49" s="186">
        <f>MEDIAN(H29:H34,H36:H40,H42:H45)</f>
        <v>8</v>
      </c>
      <c r="I49" s="121">
        <f>SQRT(((I48)^2)+(($I$211)^2))</f>
        <v>0.93307457210768252</v>
      </c>
      <c r="J49" s="122">
        <f>SQRT(((J48)^2)+(($J$211)^2))</f>
        <v>11.038925749571446</v>
      </c>
      <c r="K49" s="349" t="s">
        <v>3</v>
      </c>
      <c r="L49" s="350"/>
    </row>
    <row r="50" spans="2:12" s="99" customFormat="1" ht="15.75" customHeight="1" thickBot="1" x14ac:dyDescent="0.3">
      <c r="C50" s="108"/>
      <c r="D50" s="131"/>
      <c r="E50" s="131"/>
      <c r="H50" s="141"/>
      <c r="I50" s="182"/>
      <c r="J50" s="183"/>
      <c r="K50" s="87"/>
      <c r="L50" s="87"/>
    </row>
    <row r="51" spans="2:12" x14ac:dyDescent="0.25">
      <c r="B51" s="83">
        <v>15</v>
      </c>
      <c r="C51" s="94" t="s">
        <v>247</v>
      </c>
      <c r="D51" s="174">
        <v>4100</v>
      </c>
      <c r="E51" s="174">
        <v>1984</v>
      </c>
      <c r="F51" s="95" t="s">
        <v>249</v>
      </c>
      <c r="G51" s="95" t="s">
        <v>93</v>
      </c>
      <c r="H51" s="187">
        <v>6</v>
      </c>
      <c r="I51" s="187">
        <v>-11</v>
      </c>
      <c r="J51" s="189">
        <v>-75</v>
      </c>
      <c r="K51" s="165"/>
      <c r="L51" s="158"/>
    </row>
    <row r="52" spans="2:12" x14ac:dyDescent="0.25">
      <c r="B52" s="152"/>
      <c r="C52" s="101"/>
      <c r="D52" s="134"/>
      <c r="E52" s="134"/>
      <c r="F52" s="97" t="s">
        <v>257</v>
      </c>
      <c r="G52" s="97" t="s">
        <v>94</v>
      </c>
      <c r="H52" s="117">
        <v>22.5</v>
      </c>
      <c r="I52" s="117">
        <v>-22.1</v>
      </c>
      <c r="J52" s="190">
        <v>-163</v>
      </c>
      <c r="K52" s="38"/>
      <c r="L52" s="160"/>
    </row>
    <row r="53" spans="2:12" x14ac:dyDescent="0.25">
      <c r="B53" s="152"/>
      <c r="C53" s="101"/>
      <c r="D53" s="134"/>
      <c r="E53" s="134"/>
      <c r="F53" s="97" t="s">
        <v>134</v>
      </c>
      <c r="G53" s="97" t="s">
        <v>95</v>
      </c>
      <c r="H53" s="117">
        <v>20.5</v>
      </c>
      <c r="I53" s="117">
        <v>-22.6</v>
      </c>
      <c r="J53" s="190">
        <v>-162</v>
      </c>
      <c r="K53" s="38"/>
      <c r="L53" s="160"/>
    </row>
    <row r="54" spans="2:12" x14ac:dyDescent="0.25">
      <c r="B54" s="152"/>
      <c r="C54" s="101"/>
      <c r="D54" s="134"/>
      <c r="E54" s="134"/>
      <c r="F54" s="97" t="s">
        <v>59</v>
      </c>
      <c r="G54" s="97" t="s">
        <v>96</v>
      </c>
      <c r="H54" s="117">
        <v>29.5</v>
      </c>
      <c r="I54" s="117">
        <v>-26.7</v>
      </c>
      <c r="J54" s="190">
        <v>-199</v>
      </c>
      <c r="K54" s="38"/>
      <c r="L54" s="160"/>
    </row>
    <row r="55" spans="2:12" x14ac:dyDescent="0.25">
      <c r="B55" s="152"/>
      <c r="C55" s="101"/>
      <c r="D55" s="134"/>
      <c r="E55" s="134"/>
      <c r="F55" s="97" t="s">
        <v>97</v>
      </c>
      <c r="G55" s="97" t="s">
        <v>98</v>
      </c>
      <c r="H55" s="117">
        <v>13.5</v>
      </c>
      <c r="I55" s="117">
        <v>-16.600000000000001</v>
      </c>
      <c r="J55" s="190">
        <v>-116</v>
      </c>
      <c r="K55" s="38"/>
      <c r="L55" s="154"/>
    </row>
    <row r="56" spans="2:12" x14ac:dyDescent="0.25">
      <c r="B56" s="152"/>
      <c r="C56" s="101"/>
      <c r="D56" s="134"/>
      <c r="E56" s="134"/>
      <c r="F56" s="97" t="s">
        <v>99</v>
      </c>
      <c r="G56" s="97" t="s">
        <v>100</v>
      </c>
      <c r="H56" s="117">
        <v>17.5</v>
      </c>
      <c r="I56" s="117">
        <v>-19.3</v>
      </c>
      <c r="J56" s="190">
        <v>-137</v>
      </c>
      <c r="K56" s="38"/>
      <c r="L56" s="160"/>
    </row>
    <row r="57" spans="2:12" x14ac:dyDescent="0.25">
      <c r="B57" s="152"/>
      <c r="C57" s="101"/>
      <c r="D57" s="134"/>
      <c r="E57" s="134"/>
      <c r="F57" s="97" t="s">
        <v>101</v>
      </c>
      <c r="G57" s="97" t="s">
        <v>102</v>
      </c>
      <c r="H57" s="117">
        <v>13</v>
      </c>
      <c r="I57" s="117">
        <v>-24.8</v>
      </c>
      <c r="J57" s="190">
        <v>-182</v>
      </c>
      <c r="K57" s="38"/>
      <c r="L57" s="160"/>
    </row>
    <row r="58" spans="2:12" x14ac:dyDescent="0.25">
      <c r="B58" s="152"/>
      <c r="C58" s="101"/>
      <c r="D58" s="134"/>
      <c r="E58" s="134"/>
      <c r="F58" s="97" t="s">
        <v>103</v>
      </c>
      <c r="G58" s="97" t="s">
        <v>104</v>
      </c>
      <c r="H58" s="117">
        <v>3.5</v>
      </c>
      <c r="I58" s="117">
        <v>-17</v>
      </c>
      <c r="J58" s="190">
        <v>-126</v>
      </c>
      <c r="K58" s="38"/>
      <c r="L58" s="160"/>
    </row>
    <row r="59" spans="2:12" x14ac:dyDescent="0.25">
      <c r="B59" s="152"/>
      <c r="C59" s="101"/>
      <c r="D59" s="134"/>
      <c r="E59" s="134"/>
      <c r="F59" s="97" t="s">
        <v>105</v>
      </c>
      <c r="G59" s="97" t="s">
        <v>106</v>
      </c>
      <c r="H59" s="117">
        <v>4.5</v>
      </c>
      <c r="I59" s="117">
        <v>-8.6999999999999993</v>
      </c>
      <c r="J59" s="190">
        <v>-57</v>
      </c>
      <c r="K59" s="38"/>
      <c r="L59" s="160"/>
    </row>
    <row r="60" spans="2:12" x14ac:dyDescent="0.25">
      <c r="B60" s="152"/>
      <c r="C60" s="101"/>
      <c r="D60" s="134"/>
      <c r="E60" s="134"/>
      <c r="F60" s="97" t="s">
        <v>70</v>
      </c>
      <c r="G60" s="97" t="s">
        <v>107</v>
      </c>
      <c r="H60" s="117">
        <v>3</v>
      </c>
      <c r="I60" s="117">
        <v>-10.5</v>
      </c>
      <c r="J60" s="190">
        <v>-69</v>
      </c>
      <c r="K60" s="38"/>
      <c r="L60" s="160"/>
    </row>
    <row r="61" spans="2:12" x14ac:dyDescent="0.25">
      <c r="B61" s="152"/>
      <c r="C61" s="101"/>
      <c r="D61" s="134"/>
      <c r="E61" s="134"/>
      <c r="F61" s="97" t="s">
        <v>80</v>
      </c>
      <c r="G61" s="97" t="s">
        <v>108</v>
      </c>
      <c r="H61" s="117">
        <v>4.5</v>
      </c>
      <c r="I61" s="117">
        <v>-12.5</v>
      </c>
      <c r="J61" s="190">
        <v>-84</v>
      </c>
      <c r="K61" s="38"/>
      <c r="L61" s="160"/>
    </row>
    <row r="62" spans="2:12" x14ac:dyDescent="0.25">
      <c r="B62" s="152"/>
      <c r="C62" s="101"/>
      <c r="D62" s="134"/>
      <c r="E62" s="134"/>
      <c r="F62" s="97" t="s">
        <v>109</v>
      </c>
      <c r="G62" s="97" t="s">
        <v>110</v>
      </c>
      <c r="H62" s="117">
        <v>10.5</v>
      </c>
      <c r="I62" s="117">
        <v>-20.9</v>
      </c>
      <c r="J62" s="190">
        <v>-151</v>
      </c>
      <c r="K62" s="38"/>
      <c r="L62" s="154"/>
    </row>
    <row r="63" spans="2:12" x14ac:dyDescent="0.25">
      <c r="B63" s="152"/>
      <c r="C63" s="101"/>
      <c r="D63" s="134"/>
      <c r="E63" s="134"/>
      <c r="F63" s="97" t="s">
        <v>111</v>
      </c>
      <c r="G63" s="97" t="s">
        <v>112</v>
      </c>
      <c r="H63" s="117">
        <v>17.5</v>
      </c>
      <c r="I63" s="117">
        <v>-17.600000000000001</v>
      </c>
      <c r="J63" s="190">
        <v>-125</v>
      </c>
      <c r="K63" s="38"/>
      <c r="L63" s="160"/>
    </row>
    <row r="64" spans="2:12" x14ac:dyDescent="0.25">
      <c r="B64" s="152"/>
      <c r="C64" s="101"/>
      <c r="D64" s="134"/>
      <c r="E64" s="134"/>
      <c r="F64" s="97" t="s">
        <v>113</v>
      </c>
      <c r="G64" s="97" t="s">
        <v>114</v>
      </c>
      <c r="H64" s="117">
        <v>5.8</v>
      </c>
      <c r="I64" s="117">
        <v>-21.7</v>
      </c>
      <c r="J64" s="190">
        <v>-156</v>
      </c>
      <c r="K64" s="38"/>
      <c r="L64" s="160"/>
    </row>
    <row r="65" spans="2:12" x14ac:dyDescent="0.25">
      <c r="B65" s="152"/>
      <c r="C65" s="101"/>
      <c r="D65" s="134"/>
      <c r="E65" s="134"/>
      <c r="F65" s="97" t="s">
        <v>115</v>
      </c>
      <c r="G65" s="97" t="s">
        <v>116</v>
      </c>
      <c r="H65" s="117">
        <v>3</v>
      </c>
      <c r="I65" s="117">
        <v>-18.8</v>
      </c>
      <c r="J65" s="190">
        <v>-137</v>
      </c>
      <c r="K65" s="38"/>
      <c r="L65" s="160"/>
    </row>
    <row r="66" spans="2:12" x14ac:dyDescent="0.25">
      <c r="B66" s="152"/>
      <c r="C66" s="101"/>
      <c r="D66" s="134"/>
      <c r="E66" s="134"/>
      <c r="F66" s="97" t="s">
        <v>117</v>
      </c>
      <c r="G66" s="97" t="s">
        <v>118</v>
      </c>
      <c r="H66" s="117">
        <v>1.5</v>
      </c>
      <c r="I66" s="117">
        <v>-11.5</v>
      </c>
      <c r="J66" s="190">
        <v>-77</v>
      </c>
      <c r="K66" s="38"/>
      <c r="L66" s="160"/>
    </row>
    <row r="67" spans="2:12" x14ac:dyDescent="0.25">
      <c r="B67" s="152"/>
      <c r="C67" s="101"/>
      <c r="D67" s="134"/>
      <c r="E67" s="134"/>
      <c r="F67" s="97" t="s">
        <v>119</v>
      </c>
      <c r="G67" s="97" t="s">
        <v>120</v>
      </c>
      <c r="H67" s="117">
        <v>1.8</v>
      </c>
      <c r="I67" s="117">
        <v>-11.5</v>
      </c>
      <c r="J67" s="190">
        <v>-78</v>
      </c>
      <c r="K67" s="38"/>
      <c r="L67" s="160"/>
    </row>
    <row r="68" spans="2:12" x14ac:dyDescent="0.25">
      <c r="B68" s="152"/>
      <c r="C68" s="101"/>
      <c r="D68" s="134"/>
      <c r="E68" s="134"/>
      <c r="F68" s="97" t="s">
        <v>121</v>
      </c>
      <c r="G68" s="97" t="s">
        <v>122</v>
      </c>
      <c r="H68" s="117">
        <v>1.2</v>
      </c>
      <c r="I68" s="117">
        <v>-16.600000000000001</v>
      </c>
      <c r="J68" s="190">
        <v>-124</v>
      </c>
      <c r="K68" s="38"/>
      <c r="L68" s="160"/>
    </row>
    <row r="69" spans="2:12" x14ac:dyDescent="0.25">
      <c r="B69" s="152"/>
      <c r="C69" s="101"/>
      <c r="D69" s="134"/>
      <c r="E69" s="134"/>
      <c r="F69" s="97" t="s">
        <v>123</v>
      </c>
      <c r="G69" s="97" t="s">
        <v>124</v>
      </c>
      <c r="H69" s="117">
        <v>1.2</v>
      </c>
      <c r="I69" s="117">
        <v>-10.3</v>
      </c>
      <c r="J69" s="190">
        <v>-74</v>
      </c>
      <c r="K69" s="38"/>
      <c r="L69" s="160"/>
    </row>
    <row r="70" spans="2:12" ht="15" x14ac:dyDescent="0.25">
      <c r="B70" s="152"/>
      <c r="C70" s="368" t="s">
        <v>53</v>
      </c>
      <c r="D70" s="341"/>
      <c r="E70" s="132"/>
      <c r="F70" s="102"/>
      <c r="G70" s="102"/>
      <c r="H70" s="132">
        <v>182</v>
      </c>
      <c r="I70" s="132">
        <v>-20.2</v>
      </c>
      <c r="J70" s="132">
        <v>-147</v>
      </c>
      <c r="K70" s="108"/>
      <c r="L70" s="155"/>
    </row>
    <row r="71" spans="2:12" x14ac:dyDescent="0.25">
      <c r="B71" s="152"/>
      <c r="C71" s="172"/>
      <c r="D71" s="267"/>
      <c r="E71" s="173">
        <v>1984</v>
      </c>
      <c r="F71" s="97" t="s">
        <v>125</v>
      </c>
      <c r="G71" s="97" t="s">
        <v>126</v>
      </c>
      <c r="H71" s="114">
        <v>4</v>
      </c>
      <c r="I71" s="117">
        <v>-11.1</v>
      </c>
      <c r="J71" s="190">
        <v>-82</v>
      </c>
      <c r="K71" s="366"/>
      <c r="L71" s="367"/>
    </row>
    <row r="72" spans="2:12" x14ac:dyDescent="0.25">
      <c r="B72" s="152"/>
      <c r="C72" s="344"/>
      <c r="D72" s="374"/>
      <c r="E72" s="374"/>
      <c r="F72" s="97" t="s">
        <v>127</v>
      </c>
      <c r="G72" s="97" t="s">
        <v>126</v>
      </c>
      <c r="H72" s="114" t="s">
        <v>83</v>
      </c>
      <c r="I72" s="117">
        <v>-13.6</v>
      </c>
      <c r="J72" s="190">
        <v>-93</v>
      </c>
      <c r="K72" s="366"/>
      <c r="L72" s="367"/>
    </row>
    <row r="73" spans="2:12" x14ac:dyDescent="0.25">
      <c r="B73" s="152"/>
      <c r="C73" s="344"/>
      <c r="D73" s="374"/>
      <c r="E73" s="374"/>
      <c r="F73" s="97" t="s">
        <v>128</v>
      </c>
      <c r="G73" s="97" t="s">
        <v>126</v>
      </c>
      <c r="H73" s="114" t="s">
        <v>83</v>
      </c>
      <c r="I73" s="117">
        <v>-14.2</v>
      </c>
      <c r="J73" s="190">
        <v>-97</v>
      </c>
      <c r="K73" s="366"/>
      <c r="L73" s="367"/>
    </row>
    <row r="74" spans="2:12" x14ac:dyDescent="0.25">
      <c r="B74" s="152"/>
      <c r="C74" s="344"/>
      <c r="D74" s="374"/>
      <c r="E74" s="374"/>
      <c r="F74" s="97" t="s">
        <v>129</v>
      </c>
      <c r="G74" s="97" t="s">
        <v>83</v>
      </c>
      <c r="H74" s="114">
        <v>2.8</v>
      </c>
      <c r="I74" s="117">
        <v>-11.1</v>
      </c>
      <c r="J74" s="190">
        <v>-67</v>
      </c>
      <c r="K74" s="366"/>
      <c r="L74" s="367"/>
    </row>
    <row r="75" spans="2:12" x14ac:dyDescent="0.25">
      <c r="B75" s="152"/>
      <c r="C75" s="368" t="s">
        <v>53</v>
      </c>
      <c r="D75" s="360"/>
      <c r="E75" s="360"/>
      <c r="F75" s="360"/>
      <c r="G75" s="360"/>
      <c r="H75" s="360"/>
      <c r="I75" s="115">
        <v>-12.5</v>
      </c>
      <c r="J75" s="116">
        <v>-85</v>
      </c>
      <c r="K75" s="38"/>
      <c r="L75" s="154"/>
    </row>
    <row r="76" spans="2:12" x14ac:dyDescent="0.25">
      <c r="B76" s="152"/>
      <c r="C76" s="172"/>
      <c r="D76" s="261"/>
      <c r="E76" s="173">
        <v>1985</v>
      </c>
      <c r="F76" s="97" t="s">
        <v>66</v>
      </c>
      <c r="G76" s="29"/>
      <c r="H76" s="114">
        <v>7.7</v>
      </c>
      <c r="I76" s="117">
        <v>-8.8000000000000007</v>
      </c>
      <c r="J76" s="190">
        <v>-60</v>
      </c>
      <c r="K76" s="366"/>
      <c r="L76" s="367"/>
    </row>
    <row r="77" spans="2:12" x14ac:dyDescent="0.25">
      <c r="B77" s="152"/>
      <c r="C77" s="172"/>
      <c r="D77" s="260"/>
      <c r="E77" s="134"/>
      <c r="F77" s="97" t="s">
        <v>91</v>
      </c>
      <c r="G77" s="29"/>
      <c r="H77" s="114">
        <v>12.2</v>
      </c>
      <c r="I77" s="117">
        <v>-10.199999999999999</v>
      </c>
      <c r="J77" s="190">
        <v>-79</v>
      </c>
      <c r="K77" s="366"/>
      <c r="L77" s="367"/>
    </row>
    <row r="78" spans="2:12" x14ac:dyDescent="0.25">
      <c r="B78" s="152"/>
      <c r="C78" s="172"/>
      <c r="D78" s="261"/>
      <c r="E78" s="173">
        <v>1986</v>
      </c>
      <c r="F78" s="97" t="s">
        <v>67</v>
      </c>
      <c r="G78" s="29"/>
      <c r="H78" s="114">
        <v>33.6</v>
      </c>
      <c r="I78" s="117">
        <v>-8.5</v>
      </c>
      <c r="J78" s="190">
        <v>-52</v>
      </c>
      <c r="K78" s="366"/>
      <c r="L78" s="367"/>
    </row>
    <row r="79" spans="2:12" x14ac:dyDescent="0.25">
      <c r="B79" s="152"/>
      <c r="C79" s="344"/>
      <c r="D79" s="374"/>
      <c r="E79" s="374"/>
      <c r="F79" s="97" t="s">
        <v>54</v>
      </c>
      <c r="G79" s="29"/>
      <c r="H79" s="114">
        <v>7.4</v>
      </c>
      <c r="I79" s="117">
        <v>-9.5</v>
      </c>
      <c r="J79" s="190">
        <v>-65</v>
      </c>
      <c r="K79" s="366"/>
      <c r="L79" s="367"/>
    </row>
    <row r="80" spans="2:12" x14ac:dyDescent="0.25">
      <c r="B80" s="152"/>
      <c r="C80" s="344"/>
      <c r="D80" s="374"/>
      <c r="E80" s="374"/>
      <c r="F80" s="97" t="s">
        <v>55</v>
      </c>
      <c r="G80" s="29"/>
      <c r="H80" s="114">
        <v>16.7</v>
      </c>
      <c r="I80" s="117">
        <v>-12.4</v>
      </c>
      <c r="J80" s="190">
        <v>-92</v>
      </c>
      <c r="K80" s="366"/>
      <c r="L80" s="367"/>
    </row>
    <row r="81" spans="2:12" x14ac:dyDescent="0.25">
      <c r="B81" s="152"/>
      <c r="C81" s="344"/>
      <c r="D81" s="374"/>
      <c r="E81" s="374"/>
      <c r="F81" s="97" t="s">
        <v>92</v>
      </c>
      <c r="G81" s="29"/>
      <c r="H81" s="114">
        <v>1.2</v>
      </c>
      <c r="I81" s="117">
        <v>-16.600000000000001</v>
      </c>
      <c r="J81" s="190">
        <v>-126</v>
      </c>
      <c r="K81" s="366"/>
      <c r="L81" s="367"/>
    </row>
    <row r="82" spans="2:12" ht="15" x14ac:dyDescent="0.25">
      <c r="B82" s="152"/>
      <c r="C82" s="368" t="s">
        <v>53</v>
      </c>
      <c r="D82" s="341"/>
      <c r="E82" s="132"/>
      <c r="F82" s="102"/>
      <c r="G82" s="102"/>
      <c r="H82" s="132">
        <v>71.099999999999994</v>
      </c>
      <c r="I82" s="132">
        <v>-11</v>
      </c>
      <c r="J82" s="132">
        <v>-75</v>
      </c>
      <c r="K82" s="108"/>
      <c r="L82" s="155"/>
    </row>
    <row r="83" spans="2:12" ht="15.75" customHeight="1" x14ac:dyDescent="0.25">
      <c r="B83" s="152"/>
      <c r="C83" s="151" t="s">
        <v>57</v>
      </c>
      <c r="D83" s="175">
        <v>27</v>
      </c>
      <c r="E83" s="175"/>
      <c r="F83" s="370" t="s">
        <v>195</v>
      </c>
      <c r="G83" s="370"/>
      <c r="H83" s="188">
        <f>SUM(H51:H69)+H71+H74+H76+H77+H78+H79+H80+H81</f>
        <v>266.09999999999997</v>
      </c>
      <c r="I83" s="119">
        <f>((H51*I51)+(H52*I52)+(H53*I53)+(H54*I54)+(H55*I55)+(H56*I56)+(H57*I57)+(H58*I58)+(H59*I59)+(H60*I60)+(H61*I61)+(H62*I62)+(H63*I63)+(H64*I64)+(H65*I65)+(H66*I66)+(H67*I67)+(H68*I68)+(H69*I69)+(H71*I71)+(H74*I74)+(H75*I75)+(H76*I76)+(H77*I77)+(H78*I78)+(H79*I79)+(H80*I80)+(H81*I81))/(H83)</f>
        <v>-16.968695978955285</v>
      </c>
      <c r="J83" s="120">
        <f>((H51*J51)+(H52*J52)+(H53*J53)+(H54*J54)+(H55*J55)+(H56*J56)+(H57*J57)+(H58*J58)+(H59*J59)+(H60*J60)+(H61*J61)+(H62*J62)+(H63*J63)+(H64*J64)+(H65*J65)+(H66*J66)+(H67*J67)+(H68*J68)+(H69*J69)+(H71*J71)+(H74*J74)+(H75*J75)+(H76*J76)+(H77*J77)+(H78*J78)+(H79*J79)+(H80*J80)+(H81*J81))/(H83)</f>
        <v>-121.61029688087187</v>
      </c>
      <c r="K83" s="345" t="s">
        <v>223</v>
      </c>
      <c r="L83" s="346"/>
    </row>
    <row r="84" spans="2:12" ht="15" customHeight="1" x14ac:dyDescent="0.25">
      <c r="B84" s="152"/>
      <c r="C84" s="151"/>
      <c r="D84" s="175"/>
      <c r="E84" s="175"/>
      <c r="F84" s="355" t="s">
        <v>196</v>
      </c>
      <c r="G84" s="355"/>
      <c r="H84" s="144">
        <f>AVERAGE(H51:H69,H71:H74,H76:H81)</f>
        <v>9.8555555555555543</v>
      </c>
      <c r="I84" s="293">
        <f>SQRT(((H51*((I51-I83)^2))+(H52*((I52-I83)^2))+(H53*((I53-I83)^2))+(H54*((I54-I83)^2))+(H55*((I55-I83)^2))+(H56*((I56-I83)^2))+(H57*((I57-I83)^2))+(H58*((I58-I83)^2))+(H59*((I59-I83)^2))+(H60*((I60-I83)^2))+(H61*((I61-I83)^2))+(H62*((I62-I83)^2))+(H63*((I63-I83)^2))+(H64*((I64-I83)^2))+(H65*((I65-I83)^2))+(H66*((I66-I83)^2))+(H67*((I67-I83)^2))+(H68*((I68-I83)^2))+(H69*((I69-I83)^2))+(H71*((I71-I83)^2))+(H74*((I74-I83)^2))+(H76*((I76-I83)^2))+(H77*((I77-I83)^2))+(H78*((I78-I83)^2))+(H79*((I79-I83)^2))+(H80*((I80-I83)^2))+(H81*((I81-I83)^2)))/((27-1/27)*H83))</f>
        <v>1.2158645967753916</v>
      </c>
      <c r="J84" s="294">
        <f>SQRT(((H51*((J51-J83)^2))+(H52*((J52-J83)^2))+(H53*((J53-J83)^2))+(H54*((J54-J83)^2))+(H55*((J55-J83)^2))+(H56*((J56-J83)^2))+(H57*((J57-J83)^2))+(H58*((J58-J83)^2))+(H59*((J59-J83)^2))+(H60*((J60-J83)^2))+(H61*((J61-J83)^2))+(H62*((J62-J83)^2))+(H63*((J63-J83)^2))+(H64*((J64-J83)^2))+(H65*((J65-J83)^2))+(H66*((J66-J83)^2))+(H67*((J67-J83)^2))+(H68*((J68-J83)^2))+(H69*((J69-J83)^2))+(H71*((J71-J83)^2))+(H74*((J74-J83)^2))+(H76*((J76-J83)^2))+(H77*((J77-J83)^2))+(H78*((J78-J83)^2))+(H79*((J79-J83)^2))+(H80*((J80-J83)^2))+(H81*((J81-J83)^2)))/((27-1/27)*H83))</f>
        <v>9.4473827770975944</v>
      </c>
      <c r="K84" s="347" t="s">
        <v>198</v>
      </c>
      <c r="L84" s="348"/>
    </row>
    <row r="85" spans="2:12" ht="15.75" customHeight="1" thickBot="1" x14ac:dyDescent="0.3">
      <c r="B85" s="156"/>
      <c r="C85" s="163"/>
      <c r="D85" s="176"/>
      <c r="E85" s="176"/>
      <c r="F85" s="356" t="s">
        <v>197</v>
      </c>
      <c r="G85" s="356"/>
      <c r="H85" s="186">
        <f>MEDIAN(H51:H69,H71:H74,H76:H81)</f>
        <v>6</v>
      </c>
      <c r="I85" s="121">
        <f>SQRT(((I84)^2)+(($I$211)^2))</f>
        <v>1.2322040081462913</v>
      </c>
      <c r="J85" s="122">
        <f>SQRT(((J84)^2)+(($J$211)^2))</f>
        <v>9.6567614310906666</v>
      </c>
      <c r="K85" s="349" t="s">
        <v>3</v>
      </c>
      <c r="L85" s="350"/>
    </row>
    <row r="86" spans="2:12" s="99" customFormat="1" ht="15.75" customHeight="1" thickBot="1" x14ac:dyDescent="0.3">
      <c r="C86" s="108"/>
      <c r="D86" s="131"/>
      <c r="E86" s="131"/>
      <c r="H86" s="141"/>
      <c r="I86" s="123"/>
      <c r="J86" s="124"/>
      <c r="K86" s="87"/>
      <c r="L86" s="87"/>
    </row>
    <row r="87" spans="2:12" x14ac:dyDescent="0.25">
      <c r="B87" s="83">
        <v>16</v>
      </c>
      <c r="C87" s="94" t="s">
        <v>240</v>
      </c>
      <c r="D87" s="174">
        <v>3965</v>
      </c>
      <c r="E87" s="227">
        <v>1985</v>
      </c>
      <c r="F87" s="228" t="s">
        <v>66</v>
      </c>
      <c r="G87" s="228"/>
      <c r="H87" s="229"/>
      <c r="I87" s="229">
        <v>-13.6</v>
      </c>
      <c r="J87" s="230">
        <v>-90</v>
      </c>
      <c r="K87" s="364"/>
      <c r="L87" s="365"/>
    </row>
    <row r="88" spans="2:12" x14ac:dyDescent="0.25">
      <c r="B88" s="152"/>
      <c r="C88" s="101"/>
      <c r="D88" s="134"/>
      <c r="E88" s="134"/>
      <c r="F88" s="97" t="s">
        <v>91</v>
      </c>
      <c r="G88" s="29"/>
      <c r="H88" s="114">
        <v>50.6</v>
      </c>
      <c r="I88" s="114">
        <v>-9</v>
      </c>
      <c r="J88" s="190">
        <v>-56</v>
      </c>
      <c r="K88" s="366"/>
      <c r="L88" s="367"/>
    </row>
    <row r="89" spans="2:12" x14ac:dyDescent="0.25">
      <c r="B89" s="152"/>
      <c r="C89" s="101"/>
      <c r="D89" s="134"/>
      <c r="E89" s="173">
        <v>1986</v>
      </c>
      <c r="F89" s="97" t="s">
        <v>67</v>
      </c>
      <c r="G89" s="29"/>
      <c r="H89" s="114">
        <v>58</v>
      </c>
      <c r="I89" s="114">
        <v>-12.8</v>
      </c>
      <c r="J89" s="190">
        <v>-93</v>
      </c>
      <c r="K89" s="366"/>
      <c r="L89" s="367"/>
    </row>
    <row r="90" spans="2:12" ht="15" x14ac:dyDescent="0.25">
      <c r="B90" s="152"/>
      <c r="C90" s="101"/>
      <c r="D90" s="134"/>
      <c r="E90" s="134"/>
      <c r="F90" s="379" t="s">
        <v>130</v>
      </c>
      <c r="G90" s="341"/>
      <c r="H90" s="114">
        <v>91</v>
      </c>
      <c r="I90" s="114">
        <v>-19.600000000000001</v>
      </c>
      <c r="J90" s="190">
        <v>-142</v>
      </c>
      <c r="K90" s="366"/>
      <c r="L90" s="367"/>
    </row>
    <row r="91" spans="2:12" x14ac:dyDescent="0.25">
      <c r="B91" s="152"/>
      <c r="C91" s="101"/>
      <c r="D91" s="134"/>
      <c r="E91" s="134"/>
      <c r="F91" s="97" t="s">
        <v>55</v>
      </c>
      <c r="G91" s="29"/>
      <c r="H91" s="114">
        <v>8</v>
      </c>
      <c r="I91" s="114">
        <v>-15.2</v>
      </c>
      <c r="J91" s="190">
        <v>-115</v>
      </c>
      <c r="K91" s="366"/>
      <c r="L91" s="367"/>
    </row>
    <row r="92" spans="2:12" ht="15" x14ac:dyDescent="0.25">
      <c r="B92" s="152"/>
      <c r="C92" s="368" t="s">
        <v>56</v>
      </c>
      <c r="D92" s="341"/>
      <c r="E92" s="132"/>
      <c r="F92" s="102"/>
      <c r="G92" s="102"/>
      <c r="H92" s="132">
        <v>207.6</v>
      </c>
      <c r="I92" s="132">
        <v>-14.9</v>
      </c>
      <c r="J92" s="132">
        <v>-106</v>
      </c>
      <c r="K92" s="108"/>
      <c r="L92" s="155"/>
    </row>
    <row r="93" spans="2:12" ht="15" customHeight="1" x14ac:dyDescent="0.25">
      <c r="B93" s="152"/>
      <c r="C93" s="151" t="s">
        <v>57</v>
      </c>
      <c r="D93" s="175">
        <v>4</v>
      </c>
      <c r="E93" s="175"/>
      <c r="F93" s="370" t="s">
        <v>195</v>
      </c>
      <c r="G93" s="370"/>
      <c r="H93" s="184">
        <f>H88+H89+H90+H91</f>
        <v>207.6</v>
      </c>
      <c r="I93" s="119">
        <f>((H88*I88)+(H89*I89)+(H90*I90)+(H91*I91))/(H88+H89+H90+H91)</f>
        <v>-14.947013487475918</v>
      </c>
      <c r="J93" s="120">
        <f>((H88*J88)+(H89*J89)+(H90*J90)+(H91*J91))/(H88+H89+H90+H91)</f>
        <v>-106.30828516377649</v>
      </c>
      <c r="K93" s="345" t="s">
        <v>4</v>
      </c>
      <c r="L93" s="346"/>
    </row>
    <row r="94" spans="2:12" ht="15" customHeight="1" x14ac:dyDescent="0.25">
      <c r="B94" s="152"/>
      <c r="C94" s="151"/>
      <c r="D94" s="175"/>
      <c r="E94" s="175"/>
      <c r="F94" s="355" t="s">
        <v>196</v>
      </c>
      <c r="G94" s="355"/>
      <c r="H94" s="144">
        <f>AVERAGE(H88:H91)</f>
        <v>51.9</v>
      </c>
      <c r="I94" s="293">
        <f>SQRT(((H88*((I88-I93)^2))+(H89*((I89-I93)^2))+(H90*((I90-I93)^2))+(H91*((I91-I93)^2)))/((4-1/4)*H93))</f>
        <v>2.2745463029395783</v>
      </c>
      <c r="J94" s="294">
        <f>SQRT(((H88*((J88-J93)^2))+(H89*((J89-J93)^2))+(H90*((J90-J93)^2))+(H91*((J91-J93)^2)))/((4-1/4)*H93))</f>
        <v>18.093678651077997</v>
      </c>
      <c r="K94" s="347" t="s">
        <v>198</v>
      </c>
      <c r="L94" s="348"/>
    </row>
    <row r="95" spans="2:12" ht="15.75" customHeight="1" thickBot="1" x14ac:dyDescent="0.3">
      <c r="B95" s="156"/>
      <c r="C95" s="163"/>
      <c r="D95" s="176"/>
      <c r="E95" s="176"/>
      <c r="F95" s="356" t="s">
        <v>197</v>
      </c>
      <c r="G95" s="356"/>
      <c r="H95" s="186">
        <f>MEDIAN(H88:H91)</f>
        <v>54.3</v>
      </c>
      <c r="I95" s="121">
        <f>SQRT(((I94)^2)+(($I$211)^2))</f>
        <v>2.2833223347166962</v>
      </c>
      <c r="J95" s="122">
        <f>SQRT(((J94)^2)+(($J$211)^2))</f>
        <v>18.203878903367702</v>
      </c>
      <c r="K95" s="349" t="s">
        <v>3</v>
      </c>
      <c r="L95" s="350"/>
    </row>
    <row r="96" spans="2:12" s="99" customFormat="1" ht="15.75" customHeight="1" thickBot="1" x14ac:dyDescent="0.3">
      <c r="C96" s="108"/>
      <c r="D96" s="131"/>
      <c r="E96" s="131"/>
      <c r="H96" s="141"/>
      <c r="I96" s="123"/>
      <c r="J96" s="124"/>
      <c r="K96" s="87"/>
      <c r="L96" s="87"/>
    </row>
    <row r="97" spans="2:12" x14ac:dyDescent="0.25">
      <c r="B97" s="83">
        <v>17</v>
      </c>
      <c r="C97" s="94" t="s">
        <v>31</v>
      </c>
      <c r="D97" s="174">
        <v>3990</v>
      </c>
      <c r="E97" s="174">
        <v>1984</v>
      </c>
      <c r="F97" s="95" t="s">
        <v>249</v>
      </c>
      <c r="G97" s="95" t="s">
        <v>131</v>
      </c>
      <c r="H97" s="142">
        <v>6.5</v>
      </c>
      <c r="I97" s="187">
        <v>-4.7</v>
      </c>
      <c r="J97" s="189">
        <v>-25</v>
      </c>
      <c r="K97" s="165"/>
      <c r="L97" s="158"/>
    </row>
    <row r="98" spans="2:12" x14ac:dyDescent="0.25">
      <c r="B98" s="152"/>
      <c r="C98" s="101"/>
      <c r="D98" s="134"/>
      <c r="E98" s="134"/>
      <c r="F98" s="97" t="s">
        <v>132</v>
      </c>
      <c r="G98" s="97" t="s">
        <v>133</v>
      </c>
      <c r="H98" s="143">
        <v>10.5</v>
      </c>
      <c r="I98" s="117">
        <v>-16.7</v>
      </c>
      <c r="J98" s="190">
        <v>-123</v>
      </c>
      <c r="K98" s="38"/>
      <c r="L98" s="160"/>
    </row>
    <row r="99" spans="2:12" x14ac:dyDescent="0.25">
      <c r="B99" s="152"/>
      <c r="C99" s="101"/>
      <c r="D99" s="134"/>
      <c r="E99" s="134"/>
      <c r="F99" s="97" t="s">
        <v>134</v>
      </c>
      <c r="G99" s="97" t="s">
        <v>135</v>
      </c>
      <c r="H99" s="143">
        <v>12</v>
      </c>
      <c r="I99" s="117">
        <v>-18.5</v>
      </c>
      <c r="J99" s="190">
        <v>-136</v>
      </c>
      <c r="K99" s="38"/>
      <c r="L99" s="160"/>
    </row>
    <row r="100" spans="2:12" x14ac:dyDescent="0.25">
      <c r="B100" s="152"/>
      <c r="C100" s="101"/>
      <c r="D100" s="134"/>
      <c r="E100" s="134"/>
      <c r="F100" s="97" t="s">
        <v>97</v>
      </c>
      <c r="G100" s="97" t="s">
        <v>136</v>
      </c>
      <c r="H100" s="143">
        <v>5.5</v>
      </c>
      <c r="I100" s="117">
        <v>-19.2</v>
      </c>
      <c r="J100" s="190">
        <v>-138</v>
      </c>
      <c r="K100" s="38"/>
      <c r="L100" s="154"/>
    </row>
    <row r="101" spans="2:12" x14ac:dyDescent="0.25">
      <c r="B101" s="152"/>
      <c r="C101" s="101"/>
      <c r="D101" s="134"/>
      <c r="E101" s="134"/>
      <c r="F101" s="97" t="s">
        <v>99</v>
      </c>
      <c r="G101" s="97" t="s">
        <v>137</v>
      </c>
      <c r="H101" s="143">
        <v>11.5</v>
      </c>
      <c r="I101" s="117">
        <v>-20.3</v>
      </c>
      <c r="J101" s="190">
        <v>-145</v>
      </c>
      <c r="K101" s="38"/>
      <c r="L101" s="160"/>
    </row>
    <row r="102" spans="2:12" x14ac:dyDescent="0.25">
      <c r="B102" s="152"/>
      <c r="C102" s="101"/>
      <c r="D102" s="134"/>
      <c r="E102" s="134"/>
      <c r="F102" s="97" t="s">
        <v>101</v>
      </c>
      <c r="G102" s="97" t="s">
        <v>138</v>
      </c>
      <c r="H102" s="143">
        <v>13.5</v>
      </c>
      <c r="I102" s="117">
        <v>-21.9</v>
      </c>
      <c r="J102" s="190">
        <v>-163</v>
      </c>
      <c r="K102" s="38"/>
      <c r="L102" s="160"/>
    </row>
    <row r="103" spans="2:12" x14ac:dyDescent="0.25">
      <c r="B103" s="152"/>
      <c r="C103" s="101"/>
      <c r="D103" s="134"/>
      <c r="E103" s="134"/>
      <c r="F103" s="97" t="s">
        <v>78</v>
      </c>
      <c r="G103" s="97" t="s">
        <v>139</v>
      </c>
      <c r="H103" s="143">
        <v>2</v>
      </c>
      <c r="I103" s="117">
        <v>-27</v>
      </c>
      <c r="J103" s="190">
        <v>-196</v>
      </c>
      <c r="K103" s="38"/>
      <c r="L103" s="160"/>
    </row>
    <row r="104" spans="2:12" x14ac:dyDescent="0.25">
      <c r="B104" s="152"/>
      <c r="C104" s="101"/>
      <c r="D104" s="134"/>
      <c r="E104" s="134"/>
      <c r="F104" s="97" t="s">
        <v>111</v>
      </c>
      <c r="G104" s="97" t="s">
        <v>79</v>
      </c>
      <c r="H104" s="143">
        <v>1</v>
      </c>
      <c r="I104" s="117">
        <v>-17.399999999999999</v>
      </c>
      <c r="J104" s="190">
        <v>-122</v>
      </c>
      <c r="K104" s="38"/>
      <c r="L104" s="154"/>
    </row>
    <row r="105" spans="2:12" x14ac:dyDescent="0.25">
      <c r="B105" s="152"/>
      <c r="C105" s="101"/>
      <c r="D105" s="134"/>
      <c r="E105" s="134"/>
      <c r="F105" s="97" t="s">
        <v>140</v>
      </c>
      <c r="G105" s="97" t="s">
        <v>141</v>
      </c>
      <c r="H105" s="143">
        <v>1.5</v>
      </c>
      <c r="I105" s="117">
        <v>-30.4</v>
      </c>
      <c r="J105" s="190">
        <v>-216</v>
      </c>
      <c r="K105" s="38"/>
      <c r="L105" s="160"/>
    </row>
    <row r="106" spans="2:12" ht="15" x14ac:dyDescent="0.25">
      <c r="B106" s="152"/>
      <c r="C106" s="368" t="s">
        <v>53</v>
      </c>
      <c r="D106" s="341"/>
      <c r="E106" s="132"/>
      <c r="F106" s="102"/>
      <c r="G106" s="102"/>
      <c r="H106" s="132">
        <v>66</v>
      </c>
      <c r="I106" s="132">
        <v>-18.5</v>
      </c>
      <c r="J106" s="132">
        <v>-134</v>
      </c>
      <c r="K106" s="108"/>
      <c r="L106" s="155"/>
    </row>
    <row r="107" spans="2:12" x14ac:dyDescent="0.25">
      <c r="B107" s="152"/>
      <c r="C107" s="172"/>
      <c r="D107" s="261"/>
      <c r="E107" s="173">
        <v>1985</v>
      </c>
      <c r="F107" s="97" t="s">
        <v>66</v>
      </c>
      <c r="G107" s="29"/>
      <c r="H107" s="143">
        <v>14.2</v>
      </c>
      <c r="I107" s="117">
        <v>-8.9</v>
      </c>
      <c r="J107" s="190">
        <v>-59</v>
      </c>
      <c r="K107" s="366"/>
      <c r="L107" s="367"/>
    </row>
    <row r="108" spans="2:12" x14ac:dyDescent="0.25">
      <c r="B108" s="152"/>
      <c r="C108" s="172"/>
      <c r="D108" s="261"/>
      <c r="E108" s="173">
        <v>1986</v>
      </c>
      <c r="F108" s="97" t="s">
        <v>91</v>
      </c>
      <c r="G108" s="29"/>
      <c r="H108" s="143">
        <v>38</v>
      </c>
      <c r="I108" s="117">
        <v>-10.3</v>
      </c>
      <c r="J108" s="190">
        <v>-68</v>
      </c>
      <c r="K108" s="366"/>
      <c r="L108" s="367"/>
    </row>
    <row r="109" spans="2:12" x14ac:dyDescent="0.25">
      <c r="B109" s="152"/>
      <c r="C109" s="344"/>
      <c r="D109" s="374"/>
      <c r="E109" s="374"/>
      <c r="F109" s="97" t="s">
        <v>67</v>
      </c>
      <c r="G109" s="29"/>
      <c r="H109" s="143">
        <v>26</v>
      </c>
      <c r="I109" s="117">
        <v>-7.9</v>
      </c>
      <c r="J109" s="190">
        <v>-52</v>
      </c>
      <c r="K109" s="366"/>
      <c r="L109" s="367"/>
    </row>
    <row r="110" spans="2:12" x14ac:dyDescent="0.25">
      <c r="B110" s="152"/>
      <c r="C110" s="344"/>
      <c r="D110" s="374"/>
      <c r="E110" s="374"/>
      <c r="F110" s="97" t="s">
        <v>54</v>
      </c>
      <c r="G110" s="29"/>
      <c r="H110" s="143">
        <v>43.9</v>
      </c>
      <c r="I110" s="117">
        <v>-11.7</v>
      </c>
      <c r="J110" s="190">
        <v>-79</v>
      </c>
      <c r="K110" s="366"/>
      <c r="L110" s="367"/>
    </row>
    <row r="111" spans="2:12" x14ac:dyDescent="0.25">
      <c r="B111" s="152"/>
      <c r="C111" s="344"/>
      <c r="D111" s="374"/>
      <c r="E111" s="374"/>
      <c r="F111" s="97" t="s">
        <v>55</v>
      </c>
      <c r="G111" s="29"/>
      <c r="H111" s="143">
        <v>24.5</v>
      </c>
      <c r="I111" s="117">
        <v>-10.4</v>
      </c>
      <c r="J111" s="190">
        <v>-74</v>
      </c>
      <c r="K111" s="366"/>
      <c r="L111" s="367"/>
    </row>
    <row r="112" spans="2:12" ht="15" x14ac:dyDescent="0.25">
      <c r="B112" s="152"/>
      <c r="C112" s="368" t="s">
        <v>53</v>
      </c>
      <c r="D112" s="341"/>
      <c r="E112" s="132"/>
      <c r="F112" s="102"/>
      <c r="G112" s="102"/>
      <c r="H112" s="132">
        <v>146.6</v>
      </c>
      <c r="I112" s="132">
        <v>-10.199999999999999</v>
      </c>
      <c r="J112" s="132">
        <v>-69</v>
      </c>
      <c r="K112" s="108"/>
      <c r="L112" s="155"/>
    </row>
    <row r="113" spans="2:12" ht="15.75" customHeight="1" x14ac:dyDescent="0.25">
      <c r="B113" s="152"/>
      <c r="C113" s="151" t="s">
        <v>68</v>
      </c>
      <c r="D113" s="175">
        <v>14</v>
      </c>
      <c r="E113" s="175"/>
      <c r="F113" s="370" t="s">
        <v>195</v>
      </c>
      <c r="G113" s="370"/>
      <c r="H113" s="188">
        <f>SUM(H97:H105)+SUM(H107:H111)</f>
        <v>210.6</v>
      </c>
      <c r="I113" s="120">
        <f>((H97*I97)+(H98*I98)+(H99*I99)+(H100*I100)+(H101*I101)+(H102*I102)+(H103*I103)+(H104*I104)+(H105*I105)+(H107*I107)+(H108*I108)+(H109*I109)+(H110*I110)+(H111*I111))/(H113)</f>
        <v>-12.683808167141503</v>
      </c>
      <c r="J113" s="120">
        <f>((H97*J97)+(H98*J98)+(H99*J99)+(H100*J100)+(H101*J101)+(H102*J102)+(H103*J103)+(H104*J104)+(H105*J105)+(H107*J107)+(H108*J108)+(H109*J109)+(H110*J110)+(H111*J111))/(H113)</f>
        <v>-88.347103513770179</v>
      </c>
      <c r="K113" s="345" t="s">
        <v>223</v>
      </c>
      <c r="L113" s="346"/>
    </row>
    <row r="114" spans="2:12" ht="15" customHeight="1" x14ac:dyDescent="0.25">
      <c r="B114" s="152"/>
      <c r="C114" s="151"/>
      <c r="D114" s="175"/>
      <c r="E114" s="175"/>
      <c r="F114" s="355" t="s">
        <v>196</v>
      </c>
      <c r="G114" s="355"/>
      <c r="H114" s="144">
        <f>AVERAGE(H97:H105,H107:H111)</f>
        <v>15.042857142857143</v>
      </c>
      <c r="I114" s="293">
        <f>SQRT(((H97*((I97-I113)^2))+(H98*((I98-I113)^2))+(H99*((I99-I113)^2))+(H100*((I100-I113)^2))+(H101*((I101-I113)^2))+(H102*((I102-I113)^2))+(H103*((I103-I113)^2))+(H104*((I104-I113)^2))+(H105*((I105-I113)^2))+(H107*((I107-I113)^2))+(H108*((I108-I113)^2))+(H109*((I109-I113)^2))+(H110*((I110-I113)^2))+(H111*((I111-I113)^2)))/((14-1/14)*H113))</f>
        <v>1.3217132724888099</v>
      </c>
      <c r="J114" s="294">
        <f>SQRT(((H97*((J97-J113)^2))+(H98*((J98-J113)^2))+(H99*((J99-J113)^2))+(H100*((J100-J113)^2))+(H101*((J101-J113)^2))+(H102*((J102-J113)^2))+(H103*((J103-J113)^2))+(H104*((J104-J113)^2))+(H105*((J105-J113)^2))+(H107*((J107-J113)^2))+(H108*((J108-J113)^2))+(H109*((J109-J113)^2))+(H110*((J110-J113)^2))+(H111*((J111-J113)^2)))/((14-1/14)*H113))</f>
        <v>10.306466377211976</v>
      </c>
      <c r="K114" s="347" t="s">
        <v>198</v>
      </c>
      <c r="L114" s="348"/>
    </row>
    <row r="115" spans="2:12" ht="15.75" customHeight="1" thickBot="1" x14ac:dyDescent="0.3">
      <c r="B115" s="156"/>
      <c r="C115" s="163"/>
      <c r="D115" s="176"/>
      <c r="E115" s="176"/>
      <c r="F115" s="356" t="s">
        <v>197</v>
      </c>
      <c r="G115" s="356"/>
      <c r="H115" s="186">
        <f>MEDIAN(H97:H105,H107:H111)</f>
        <v>11.75</v>
      </c>
      <c r="I115" s="121">
        <f>SQRT(((I114)^2)+(($I$211)^2))</f>
        <v>1.3367595051740155</v>
      </c>
      <c r="J115" s="122">
        <f>SQRT(((J114)^2)+(($J$211)^2))</f>
        <v>10.498726074367354</v>
      </c>
      <c r="K115" s="349" t="s">
        <v>3</v>
      </c>
      <c r="L115" s="350"/>
    </row>
    <row r="116" spans="2:12" s="99" customFormat="1" ht="15.75" customHeight="1" thickBot="1" x14ac:dyDescent="0.3">
      <c r="C116" s="108"/>
      <c r="D116" s="131"/>
      <c r="E116" s="131"/>
      <c r="H116" s="141"/>
      <c r="I116" s="123"/>
      <c r="J116" s="124"/>
      <c r="K116" s="87"/>
      <c r="L116" s="87"/>
    </row>
    <row r="117" spans="2:12" x14ac:dyDescent="0.25">
      <c r="B117" s="83">
        <v>18</v>
      </c>
      <c r="C117" s="94" t="s">
        <v>142</v>
      </c>
      <c r="D117" s="174">
        <v>3800</v>
      </c>
      <c r="E117" s="174">
        <v>1985</v>
      </c>
      <c r="F117" s="95" t="s">
        <v>66</v>
      </c>
      <c r="G117" s="111"/>
      <c r="H117" s="187">
        <v>20</v>
      </c>
      <c r="I117" s="187">
        <v>-13</v>
      </c>
      <c r="J117" s="189">
        <v>-94</v>
      </c>
      <c r="K117" s="165"/>
      <c r="L117" s="158"/>
    </row>
    <row r="118" spans="2:12" x14ac:dyDescent="0.25">
      <c r="B118" s="152"/>
      <c r="C118" s="101"/>
      <c r="D118" s="134"/>
      <c r="E118" s="173">
        <v>1986</v>
      </c>
      <c r="F118" s="97" t="s">
        <v>67</v>
      </c>
      <c r="G118" s="29"/>
      <c r="H118" s="117">
        <v>39</v>
      </c>
      <c r="I118" s="117">
        <v>-11.3</v>
      </c>
      <c r="J118" s="190">
        <v>-75</v>
      </c>
      <c r="K118" s="38"/>
      <c r="L118" s="160"/>
    </row>
    <row r="119" spans="2:12" x14ac:dyDescent="0.25">
      <c r="B119" s="152"/>
      <c r="C119" s="101"/>
      <c r="D119" s="134"/>
      <c r="E119" s="134"/>
      <c r="F119" s="97" t="s">
        <v>54</v>
      </c>
      <c r="G119" s="29"/>
      <c r="H119" s="117">
        <v>29</v>
      </c>
      <c r="I119" s="117">
        <v>-6.7</v>
      </c>
      <c r="J119" s="190">
        <v>-31</v>
      </c>
      <c r="K119" s="38"/>
      <c r="L119" s="160"/>
    </row>
    <row r="120" spans="2:12" x14ac:dyDescent="0.25">
      <c r="B120" s="152"/>
      <c r="C120" s="101"/>
      <c r="D120" s="134"/>
      <c r="E120" s="134"/>
      <c r="F120" s="97" t="s">
        <v>55</v>
      </c>
      <c r="G120" s="29"/>
      <c r="H120" s="117">
        <v>53.5</v>
      </c>
      <c r="I120" s="117">
        <v>-20.399999999999999</v>
      </c>
      <c r="J120" s="190">
        <v>-149</v>
      </c>
      <c r="K120" s="38"/>
      <c r="L120" s="160"/>
    </row>
    <row r="121" spans="2:12" x14ac:dyDescent="0.25">
      <c r="B121" s="152"/>
      <c r="C121" s="101"/>
      <c r="D121" s="134"/>
      <c r="E121" s="134"/>
      <c r="F121" s="97" t="s">
        <v>92</v>
      </c>
      <c r="G121" s="29"/>
      <c r="H121" s="117">
        <v>1</v>
      </c>
      <c r="I121" s="117">
        <v>-9.3000000000000007</v>
      </c>
      <c r="J121" s="190">
        <v>-62</v>
      </c>
      <c r="K121" s="38"/>
      <c r="L121" s="160"/>
    </row>
    <row r="122" spans="2:12" ht="15" x14ac:dyDescent="0.25">
      <c r="B122" s="152"/>
      <c r="C122" s="372" t="s">
        <v>53</v>
      </c>
      <c r="D122" s="341"/>
      <c r="E122" s="132"/>
      <c r="F122" s="153"/>
      <c r="G122" s="153"/>
      <c r="H122" s="140">
        <v>142.5</v>
      </c>
      <c r="I122" s="115">
        <v>-13.6</v>
      </c>
      <c r="J122" s="116">
        <v>-96</v>
      </c>
      <c r="K122" s="38"/>
      <c r="L122" s="160"/>
    </row>
    <row r="123" spans="2:12" ht="15.75" customHeight="1" x14ac:dyDescent="0.25">
      <c r="B123" s="152"/>
      <c r="C123" s="103" t="s">
        <v>143</v>
      </c>
      <c r="D123" s="175">
        <v>5</v>
      </c>
      <c r="E123" s="175"/>
      <c r="F123" s="370" t="s">
        <v>195</v>
      </c>
      <c r="G123" s="370"/>
      <c r="H123" s="184">
        <f>H117+H118+H119+H120+H121</f>
        <v>142.5</v>
      </c>
      <c r="I123" s="120">
        <f>((H117*I117)+(H118*I118)+(H119*I119)+(H120*I120)+(H121*I121))/(H123)</f>
        <v>-14.004912280701753</v>
      </c>
      <c r="J123" s="120">
        <f>((H117*J117)+(H118*J118)+(H119*J119)+(H120*J120)+(H121*J121))/(H123)</f>
        <v>-96.403508771929822</v>
      </c>
      <c r="K123" s="345" t="s">
        <v>223</v>
      </c>
      <c r="L123" s="346"/>
    </row>
    <row r="124" spans="2:12" ht="15" customHeight="1" x14ac:dyDescent="0.25">
      <c r="B124" s="152"/>
      <c r="C124" s="103"/>
      <c r="D124" s="175"/>
      <c r="E124" s="175"/>
      <c r="F124" s="355" t="s">
        <v>196</v>
      </c>
      <c r="G124" s="355"/>
      <c r="H124" s="144">
        <f>AVERAGE(H117:H121)</f>
        <v>28.5</v>
      </c>
      <c r="I124" s="293">
        <f>SQRT(((H117*((I117-I123)^2))+(H118*((I118-I123)^2))+(H119*((I119-I123)^2))+(H120*((I120-I123)^2))+(H121*((I121-I123)^2)))/((5-1/5)*H123))</f>
        <v>2.4372734746753402</v>
      </c>
      <c r="J124" s="294">
        <f>SQRT(((H117*((J117-J123)^2))+(H118*((J118-J123)^2))+(H119*((J119-J123)^2))+(H120*((J120-J123)^2))+(H121*((J121-J123)^2)))/((5-1/5)*H123))</f>
        <v>20.633897983006506</v>
      </c>
      <c r="K124" s="347" t="s">
        <v>198</v>
      </c>
      <c r="L124" s="348"/>
    </row>
    <row r="125" spans="2:12" ht="15.75" customHeight="1" thickBot="1" x14ac:dyDescent="0.3">
      <c r="B125" s="156"/>
      <c r="C125" s="104"/>
      <c r="D125" s="176"/>
      <c r="E125" s="176"/>
      <c r="F125" s="356" t="s">
        <v>197</v>
      </c>
      <c r="G125" s="356"/>
      <c r="H125" s="186">
        <f>MEDIAN(H117:H121)</f>
        <v>29</v>
      </c>
      <c r="I125" s="121">
        <f>SQRT(((I124)^2)+(($I$211)^2))</f>
        <v>2.4454655978680226</v>
      </c>
      <c r="J125" s="122">
        <f>SQRT(((J124)^2)+(($J$211)^2))</f>
        <v>20.730599267100793</v>
      </c>
      <c r="K125" s="349" t="s">
        <v>3</v>
      </c>
      <c r="L125" s="350"/>
    </row>
    <row r="126" spans="2:12" s="99" customFormat="1" ht="15.75" customHeight="1" thickBot="1" x14ac:dyDescent="0.3">
      <c r="C126" s="105"/>
      <c r="D126" s="131"/>
      <c r="E126" s="131"/>
      <c r="H126" s="141"/>
      <c r="I126" s="123"/>
      <c r="J126" s="124"/>
      <c r="K126" s="87"/>
      <c r="L126" s="87"/>
    </row>
    <row r="127" spans="2:12" x14ac:dyDescent="0.25">
      <c r="B127" s="83">
        <v>19</v>
      </c>
      <c r="C127" s="94" t="s">
        <v>144</v>
      </c>
      <c r="D127" s="174">
        <v>3720</v>
      </c>
      <c r="E127" s="174">
        <v>1985</v>
      </c>
      <c r="F127" s="95" t="s">
        <v>66</v>
      </c>
      <c r="G127" s="111"/>
      <c r="H127" s="187">
        <v>39.5</v>
      </c>
      <c r="I127" s="187">
        <v>-15</v>
      </c>
      <c r="J127" s="189">
        <v>-109</v>
      </c>
      <c r="K127" s="165"/>
      <c r="L127" s="158"/>
    </row>
    <row r="128" spans="2:12" x14ac:dyDescent="0.25">
      <c r="B128" s="152"/>
      <c r="C128" s="101"/>
      <c r="D128" s="134"/>
      <c r="E128" s="173">
        <v>1986</v>
      </c>
      <c r="F128" s="97" t="s">
        <v>91</v>
      </c>
      <c r="G128" s="29"/>
      <c r="H128" s="117">
        <v>33.5</v>
      </c>
      <c r="I128" s="117">
        <v>-9.5</v>
      </c>
      <c r="J128" s="190">
        <v>-61</v>
      </c>
      <c r="K128" s="38"/>
      <c r="L128" s="160"/>
    </row>
    <row r="129" spans="2:12" x14ac:dyDescent="0.25">
      <c r="B129" s="152"/>
      <c r="C129" s="101"/>
      <c r="D129" s="134"/>
      <c r="E129" s="134"/>
      <c r="F129" s="97" t="s">
        <v>67</v>
      </c>
      <c r="G129" s="29"/>
      <c r="H129" s="117">
        <v>33</v>
      </c>
      <c r="I129" s="117">
        <v>-12.5</v>
      </c>
      <c r="J129" s="190">
        <v>-90</v>
      </c>
      <c r="K129" s="38"/>
      <c r="L129" s="160"/>
    </row>
    <row r="130" spans="2:12" x14ac:dyDescent="0.25">
      <c r="B130" s="152"/>
      <c r="C130" s="101"/>
      <c r="D130" s="134"/>
      <c r="E130" s="134"/>
      <c r="F130" s="97" t="s">
        <v>54</v>
      </c>
      <c r="G130" s="29"/>
      <c r="H130" s="117">
        <v>20</v>
      </c>
      <c r="I130" s="117">
        <v>-14.1</v>
      </c>
      <c r="J130" s="190">
        <v>-103</v>
      </c>
      <c r="K130" s="38"/>
      <c r="L130" s="160"/>
    </row>
    <row r="131" spans="2:12" x14ac:dyDescent="0.25">
      <c r="B131" s="152"/>
      <c r="C131" s="101"/>
      <c r="D131" s="134"/>
      <c r="E131" s="134"/>
      <c r="F131" s="97" t="s">
        <v>55</v>
      </c>
      <c r="G131" s="29"/>
      <c r="H131" s="117">
        <v>35</v>
      </c>
      <c r="I131" s="117">
        <v>-19</v>
      </c>
      <c r="J131" s="190">
        <v>-139</v>
      </c>
      <c r="K131" s="38"/>
      <c r="L131" s="160"/>
    </row>
    <row r="132" spans="2:12" ht="15" x14ac:dyDescent="0.25">
      <c r="B132" s="152"/>
      <c r="C132" s="368" t="s">
        <v>53</v>
      </c>
      <c r="D132" s="373"/>
      <c r="E132" s="132"/>
      <c r="F132" s="153"/>
      <c r="G132" s="153"/>
      <c r="H132" s="181">
        <v>161</v>
      </c>
      <c r="I132" s="115">
        <v>-14.1</v>
      </c>
      <c r="J132" s="116">
        <v>-99</v>
      </c>
      <c r="K132" s="38"/>
      <c r="L132" s="160"/>
    </row>
    <row r="133" spans="2:12" ht="15.75" customHeight="1" x14ac:dyDescent="0.25">
      <c r="B133" s="152"/>
      <c r="C133" s="151" t="s">
        <v>68</v>
      </c>
      <c r="D133" s="178">
        <v>5</v>
      </c>
      <c r="E133" s="175"/>
      <c r="F133" s="370" t="s">
        <v>195</v>
      </c>
      <c r="G133" s="370"/>
      <c r="H133" s="184">
        <f>H127+H128+H129+H130+H131</f>
        <v>161</v>
      </c>
      <c r="I133" s="120">
        <f>((H127*I127)+(H128*I128)+(H129*I129)+(H130*I130)+(H131*I131))/(H133)</f>
        <v>-14.100931677018634</v>
      </c>
      <c r="J133" s="120">
        <f>((H127*J127)+(H128*J128)+(H129*J129)+(H130*J130)+(H131*J131))/(H133)</f>
        <v>-100.8944099378882</v>
      </c>
      <c r="K133" s="345" t="s">
        <v>223</v>
      </c>
      <c r="L133" s="346"/>
    </row>
    <row r="134" spans="2:12" ht="15" customHeight="1" x14ac:dyDescent="0.25">
      <c r="B134" s="152"/>
      <c r="C134" s="151"/>
      <c r="D134" s="178"/>
      <c r="E134" s="175"/>
      <c r="F134" s="355" t="s">
        <v>196</v>
      </c>
      <c r="G134" s="355"/>
      <c r="H134" s="144">
        <f>AVERAGE(H127:H131)</f>
        <v>32.200000000000003</v>
      </c>
      <c r="I134" s="293">
        <f>SQRT(((H127*((I127-I133)^2))+(H128*((I128-I133)^2))+(H129*((I129-I133)^2))+(H130*((I130-I133)^2))+(H131*((I131-I133)^2)))/((5-1/5)*H133))</f>
        <v>1.4681244197668306</v>
      </c>
      <c r="J134" s="294">
        <f>SQRT(((H127*((J127-J133)^2))+(H128*((J128-J133)^2))+(H129*((J129-J133)^2))+(H130*((J130-J133)^2))+(H131*((J131-J133)^2)))/((5-1/5)*H133))</f>
        <v>11.970633762770504</v>
      </c>
      <c r="K134" s="347" t="s">
        <v>198</v>
      </c>
      <c r="L134" s="348"/>
    </row>
    <row r="135" spans="2:12" ht="15.75" customHeight="1" thickBot="1" x14ac:dyDescent="0.3">
      <c r="B135" s="156"/>
      <c r="C135" s="163"/>
      <c r="D135" s="179"/>
      <c r="E135" s="176"/>
      <c r="F135" s="356" t="s">
        <v>197</v>
      </c>
      <c r="G135" s="356"/>
      <c r="H135" s="186">
        <f>MEDIAN(H127:H131)</f>
        <v>33.5</v>
      </c>
      <c r="I135" s="121">
        <f>SQRT(((I134)^2)+(($I$211)^2))</f>
        <v>1.4816846195853197</v>
      </c>
      <c r="J135" s="122">
        <f>SQRT(((J134)^2)+(($J$211)^2))</f>
        <v>12.136559342844293</v>
      </c>
      <c r="K135" s="349" t="s">
        <v>3</v>
      </c>
      <c r="L135" s="350"/>
    </row>
    <row r="136" spans="2:12" s="99" customFormat="1" ht="15.75" customHeight="1" thickBot="1" x14ac:dyDescent="0.3">
      <c r="C136" s="108"/>
      <c r="D136" s="180"/>
      <c r="E136" s="131"/>
      <c r="H136" s="141"/>
      <c r="I136" s="123"/>
      <c r="J136" s="124"/>
      <c r="K136" s="87"/>
      <c r="L136" s="87"/>
    </row>
    <row r="137" spans="2:12" x14ac:dyDescent="0.25">
      <c r="B137" s="83">
        <v>20</v>
      </c>
      <c r="C137" s="94" t="s">
        <v>145</v>
      </c>
      <c r="D137" s="174">
        <v>3490</v>
      </c>
      <c r="E137" s="174">
        <v>1984</v>
      </c>
      <c r="F137" s="95" t="s">
        <v>249</v>
      </c>
      <c r="G137" s="95" t="s">
        <v>146</v>
      </c>
      <c r="H137" s="187">
        <v>1.5</v>
      </c>
      <c r="I137" s="187">
        <v>-11.9</v>
      </c>
      <c r="J137" s="189">
        <v>-83</v>
      </c>
      <c r="K137" s="165"/>
      <c r="L137" s="158"/>
    </row>
    <row r="138" spans="2:12" x14ac:dyDescent="0.25">
      <c r="B138" s="152"/>
      <c r="C138" s="101"/>
      <c r="D138" s="134"/>
      <c r="E138" s="134"/>
      <c r="F138" s="97" t="s">
        <v>47</v>
      </c>
      <c r="G138" s="97" t="s">
        <v>147</v>
      </c>
      <c r="H138" s="117">
        <v>2.5</v>
      </c>
      <c r="I138" s="117">
        <v>-5.4</v>
      </c>
      <c r="J138" s="190">
        <v>-29</v>
      </c>
      <c r="K138" s="38"/>
      <c r="L138" s="160"/>
    </row>
    <row r="139" spans="2:12" x14ac:dyDescent="0.25">
      <c r="B139" s="152"/>
      <c r="C139" s="101"/>
      <c r="D139" s="134"/>
      <c r="E139" s="134"/>
      <c r="F139" s="97" t="s">
        <v>62</v>
      </c>
      <c r="G139" s="97" t="s">
        <v>148</v>
      </c>
      <c r="H139" s="117">
        <v>3</v>
      </c>
      <c r="I139" s="117">
        <v>-3.3</v>
      </c>
      <c r="J139" s="190">
        <v>-9</v>
      </c>
      <c r="K139" s="38"/>
      <c r="L139" s="160"/>
    </row>
    <row r="140" spans="2:12" x14ac:dyDescent="0.25">
      <c r="B140" s="152"/>
      <c r="C140" s="101"/>
      <c r="D140" s="134"/>
      <c r="E140" s="134"/>
      <c r="F140" s="97" t="s">
        <v>64</v>
      </c>
      <c r="G140" s="97" t="s">
        <v>149</v>
      </c>
      <c r="H140" s="117">
        <v>3</v>
      </c>
      <c r="I140" s="117">
        <v>-4</v>
      </c>
      <c r="J140" s="190">
        <v>-15</v>
      </c>
      <c r="K140" s="159"/>
      <c r="L140" s="160"/>
    </row>
    <row r="141" spans="2:12" x14ac:dyDescent="0.25">
      <c r="B141" s="152"/>
      <c r="C141" s="101"/>
      <c r="D141" s="134"/>
      <c r="E141" s="134"/>
      <c r="F141" s="97" t="s">
        <v>97</v>
      </c>
      <c r="G141" s="97" t="s">
        <v>150</v>
      </c>
      <c r="H141" s="117">
        <v>13</v>
      </c>
      <c r="I141" s="117">
        <v>-12.1</v>
      </c>
      <c r="J141" s="190">
        <v>-83</v>
      </c>
      <c r="K141" s="38"/>
      <c r="L141" s="154"/>
    </row>
    <row r="142" spans="2:12" x14ac:dyDescent="0.25">
      <c r="B142" s="152"/>
      <c r="C142" s="101"/>
      <c r="D142" s="134"/>
      <c r="E142" s="134"/>
      <c r="F142" s="97" t="s">
        <v>151</v>
      </c>
      <c r="G142" s="97" t="s">
        <v>152</v>
      </c>
      <c r="H142" s="117">
        <v>10</v>
      </c>
      <c r="I142" s="117">
        <v>-14.8</v>
      </c>
      <c r="J142" s="190">
        <v>-106</v>
      </c>
      <c r="K142" s="38"/>
      <c r="L142" s="160"/>
    </row>
    <row r="143" spans="2:12" x14ac:dyDescent="0.25">
      <c r="B143" s="152"/>
      <c r="C143" s="101"/>
      <c r="D143" s="134"/>
      <c r="E143" s="134"/>
      <c r="F143" s="97" t="s">
        <v>153</v>
      </c>
      <c r="G143" s="97" t="s">
        <v>154</v>
      </c>
      <c r="H143" s="117">
        <v>2</v>
      </c>
      <c r="I143" s="117">
        <v>-3.7</v>
      </c>
      <c r="J143" s="190">
        <v>-18</v>
      </c>
      <c r="K143" s="38"/>
      <c r="L143" s="160"/>
    </row>
    <row r="144" spans="2:12" x14ac:dyDescent="0.25">
      <c r="B144" s="152"/>
      <c r="C144" s="101"/>
      <c r="D144" s="134"/>
      <c r="E144" s="134"/>
      <c r="F144" s="97" t="s">
        <v>72</v>
      </c>
      <c r="G144" s="97" t="s">
        <v>155</v>
      </c>
      <c r="H144" s="117">
        <v>7</v>
      </c>
      <c r="I144" s="117">
        <v>-8.8000000000000007</v>
      </c>
      <c r="J144" s="190">
        <v>-58</v>
      </c>
      <c r="K144" s="38"/>
      <c r="L144" s="160"/>
    </row>
    <row r="145" spans="2:12" x14ac:dyDescent="0.25">
      <c r="B145" s="152"/>
      <c r="C145" s="101"/>
      <c r="D145" s="134"/>
      <c r="E145" s="134"/>
      <c r="F145" s="97" t="s">
        <v>156</v>
      </c>
      <c r="G145" s="97" t="s">
        <v>157</v>
      </c>
      <c r="H145" s="117">
        <v>11</v>
      </c>
      <c r="I145" s="117">
        <v>-17.7</v>
      </c>
      <c r="J145" s="190">
        <v>-124</v>
      </c>
      <c r="K145" s="38"/>
      <c r="L145" s="160"/>
    </row>
    <row r="146" spans="2:12" x14ac:dyDescent="0.25">
      <c r="B146" s="152"/>
      <c r="C146" s="101"/>
      <c r="D146" s="134"/>
      <c r="E146" s="134"/>
      <c r="F146" s="97" t="s">
        <v>140</v>
      </c>
      <c r="G146" s="97" t="s">
        <v>158</v>
      </c>
      <c r="H146" s="117">
        <v>4</v>
      </c>
      <c r="I146" s="117">
        <v>-11</v>
      </c>
      <c r="J146" s="190">
        <v>-73</v>
      </c>
      <c r="K146" s="38"/>
      <c r="L146" s="154"/>
    </row>
    <row r="147" spans="2:12" x14ac:dyDescent="0.25">
      <c r="B147" s="152"/>
      <c r="C147" s="101"/>
      <c r="D147" s="134"/>
      <c r="E147" s="134"/>
      <c r="F147" s="97" t="s">
        <v>159</v>
      </c>
      <c r="G147" s="97" t="s">
        <v>160</v>
      </c>
      <c r="H147" s="117">
        <v>6</v>
      </c>
      <c r="I147" s="117">
        <v>-10.4</v>
      </c>
      <c r="J147" s="190">
        <v>-68</v>
      </c>
      <c r="K147" s="38"/>
      <c r="L147" s="160"/>
    </row>
    <row r="148" spans="2:12" x14ac:dyDescent="0.25">
      <c r="B148" s="152"/>
      <c r="C148" s="101"/>
      <c r="D148" s="134"/>
      <c r="E148" s="134"/>
      <c r="F148" s="97" t="s">
        <v>161</v>
      </c>
      <c r="G148" s="97" t="s">
        <v>155</v>
      </c>
      <c r="H148" s="117">
        <v>6</v>
      </c>
      <c r="I148" s="117">
        <v>-11.8</v>
      </c>
      <c r="J148" s="190">
        <v>-85</v>
      </c>
      <c r="K148" s="38"/>
      <c r="L148" s="160"/>
    </row>
    <row r="149" spans="2:12" ht="15" x14ac:dyDescent="0.25">
      <c r="B149" s="152"/>
      <c r="C149" s="368" t="s">
        <v>56</v>
      </c>
      <c r="D149" s="341"/>
      <c r="E149" s="132"/>
      <c r="F149" s="102"/>
      <c r="G149" s="102"/>
      <c r="H149" s="206">
        <v>74</v>
      </c>
      <c r="I149" s="132">
        <v>-11.1</v>
      </c>
      <c r="J149" s="132">
        <v>-76</v>
      </c>
      <c r="K149" s="108"/>
      <c r="L149" s="155"/>
    </row>
    <row r="150" spans="2:12" x14ac:dyDescent="0.25">
      <c r="B150" s="152"/>
      <c r="C150" s="152"/>
      <c r="D150" s="261"/>
      <c r="E150" s="173">
        <v>1984</v>
      </c>
      <c r="F150" s="97" t="s">
        <v>125</v>
      </c>
      <c r="G150" s="97" t="s">
        <v>162</v>
      </c>
      <c r="H150" s="117">
        <v>12</v>
      </c>
      <c r="I150" s="117">
        <v>-12.6</v>
      </c>
      <c r="J150" s="190">
        <v>-85</v>
      </c>
      <c r="K150" s="38"/>
      <c r="L150" s="160"/>
    </row>
    <row r="151" spans="2:12" x14ac:dyDescent="0.25">
      <c r="B151" s="152"/>
      <c r="C151" s="344"/>
      <c r="D151" s="374"/>
      <c r="E151" s="374"/>
      <c r="F151" s="97" t="s">
        <v>163</v>
      </c>
      <c r="G151" s="97" t="s">
        <v>164</v>
      </c>
      <c r="H151" s="117">
        <v>2.5</v>
      </c>
      <c r="I151" s="117">
        <v>-11.1</v>
      </c>
      <c r="J151" s="190">
        <v>-75</v>
      </c>
      <c r="K151" s="38"/>
      <c r="L151" s="154"/>
    </row>
    <row r="152" spans="2:12" x14ac:dyDescent="0.25">
      <c r="B152" s="152"/>
      <c r="C152" s="344"/>
      <c r="D152" s="374"/>
      <c r="E152" s="374"/>
      <c r="F152" s="97" t="s">
        <v>165</v>
      </c>
      <c r="G152" s="97" t="s">
        <v>166</v>
      </c>
      <c r="H152" s="117">
        <v>3.5</v>
      </c>
      <c r="I152" s="117">
        <v>-11.4</v>
      </c>
      <c r="J152" s="190">
        <v>-85</v>
      </c>
      <c r="K152" s="38"/>
      <c r="L152" s="160"/>
    </row>
    <row r="153" spans="2:12" x14ac:dyDescent="0.25">
      <c r="B153" s="152"/>
      <c r="C153" s="344"/>
      <c r="D153" s="374"/>
      <c r="E153" s="374"/>
      <c r="F153" s="97" t="s">
        <v>129</v>
      </c>
      <c r="G153" s="97" t="s">
        <v>167</v>
      </c>
      <c r="H153" s="117">
        <v>5</v>
      </c>
      <c r="I153" s="117">
        <v>-10.9</v>
      </c>
      <c r="J153" s="190">
        <v>-70</v>
      </c>
      <c r="K153" s="38"/>
      <c r="L153" s="160"/>
    </row>
    <row r="154" spans="2:12" x14ac:dyDescent="0.25">
      <c r="B154" s="152"/>
      <c r="C154" s="368" t="s">
        <v>53</v>
      </c>
      <c r="D154" s="360"/>
      <c r="E154" s="360"/>
      <c r="F154" s="360"/>
      <c r="G154" s="360"/>
      <c r="H154" s="206">
        <v>23</v>
      </c>
      <c r="I154" s="115">
        <v>-11.9</v>
      </c>
      <c r="J154" s="116">
        <v>-81</v>
      </c>
      <c r="K154" s="38"/>
      <c r="L154" s="166"/>
    </row>
    <row r="155" spans="2:12" ht="15.75" customHeight="1" x14ac:dyDescent="0.25">
      <c r="B155" s="152"/>
      <c r="C155" s="151" t="s">
        <v>68</v>
      </c>
      <c r="D155" s="175">
        <v>16</v>
      </c>
      <c r="E155" s="175"/>
      <c r="F155" s="370" t="s">
        <v>195</v>
      </c>
      <c r="G155" s="370"/>
      <c r="H155" s="188">
        <f>(SUM(H137:H147))+(SUM(H150:H153))</f>
        <v>86</v>
      </c>
      <c r="I155" s="120">
        <f>((H137*I137)+(H138*I138)+(H139*I139)+(H140*I140)+(H141*I141)+(H142*I142)+(H143*I143)+(H144*I144)+(H145*I145)+(H146*I146)+(H147*I147)+(H148*I148)+(H150*I150)+(H151*I151)+(H152*I152)+(H153*I153))/(H155)</f>
        <v>-12.474418604651165</v>
      </c>
      <c r="J155" s="120">
        <f>((H137*J137)+(H138*J138)+(H139*J139)+(H140*J140)+(H141*J141)+(H142*J142)+(H143*J143)+(H144*J144)+(H145*J145)+(H146*J146)+(H147*J147)+(H148*J148)+(H150*J150)+(H151*J151)+(H152*J152)+(H153*J153))/(H155)</f>
        <v>-84.639534883720927</v>
      </c>
      <c r="K155" s="345" t="s">
        <v>223</v>
      </c>
      <c r="L155" s="346"/>
    </row>
    <row r="156" spans="2:12" ht="15" customHeight="1" x14ac:dyDescent="0.25">
      <c r="B156" s="152"/>
      <c r="C156" s="151"/>
      <c r="D156" s="175"/>
      <c r="E156" s="175"/>
      <c r="F156" s="355" t="s">
        <v>196</v>
      </c>
      <c r="G156" s="355"/>
      <c r="H156" s="144">
        <f>AVERAGE(H137:H148,H150:H153)</f>
        <v>5.75</v>
      </c>
      <c r="I156" s="293">
        <f>SQRT(((H137*((I137-I155)^2))+(H138*((I138-I155)^2))+(H139*((I139-I155)^2))+(H140*((I140-I155)^2))+(H141*((I141-I155)^2))+(H142*((I142-I155)^2))+(H143*((I143-I155)^2))+(H144*((I144-I155)^2))+(H145*((I145-I155)^2))+(H146*((I146-I155)^2))+(H147*((I147-I155)^2))+(H148*((I148-I155)^2))+(H150*((I150-I155)^2))+(H151*((I151-I155)^2))+(H152*((I152-I155)^2))+(H153*((I153-I155)^2)))/((16-1/16)*H155))</f>
        <v>0.95762681208619249</v>
      </c>
      <c r="J156" s="294">
        <f>SQRT(((H137*((J137-J155)^2))+(H138*((J138-J155)^2))+(H139*((J139-J155)^2))+(H140*((J140-J155)^2))+(H141*((J141-J155)^2))+(H142*((J142-J155)^2))+(H143*((J143-J155)^2))+(H144*((J144-J155)^2))+(H145*((J145-J155)^2))+(H146*((J146-J155)^2))+(H147*((J147-J155)^2))+(H148*((J148-J155)^2))+(H150*((J150-J155)^2))+(H151*((J151-J155)^2))+(H152*((J152-J155)^2))+(H153*((J153-J155)^2)))/((16-1/16)*H155))</f>
        <v>7.5657292821108477</v>
      </c>
      <c r="K156" s="347" t="s">
        <v>198</v>
      </c>
      <c r="L156" s="348"/>
    </row>
    <row r="157" spans="2:12" ht="15.75" customHeight="1" thickBot="1" x14ac:dyDescent="0.3">
      <c r="B157" s="156"/>
      <c r="C157" s="163"/>
      <c r="D157" s="176"/>
      <c r="E157" s="176"/>
      <c r="F157" s="356" t="s">
        <v>197</v>
      </c>
      <c r="G157" s="356"/>
      <c r="H157" s="186">
        <f>MEDIAN(H137:H148,H150:H153)</f>
        <v>4.5</v>
      </c>
      <c r="I157" s="121">
        <f>SQRT(((I156)^2)+(($I$211)^2))</f>
        <v>0.9782888690087217</v>
      </c>
      <c r="J157" s="122">
        <f>SQRT(((J156)^2)+(($J$211)^2))</f>
        <v>7.82561560327298</v>
      </c>
      <c r="K157" s="349" t="s">
        <v>3</v>
      </c>
      <c r="L157" s="350"/>
    </row>
    <row r="158" spans="2:12" s="99" customFormat="1" ht="15.75" customHeight="1" thickBot="1" x14ac:dyDescent="0.3">
      <c r="C158" s="108"/>
      <c r="D158" s="131"/>
      <c r="E158" s="131"/>
      <c r="H158" s="141"/>
      <c r="I158" s="182"/>
      <c r="J158" s="183"/>
      <c r="K158" s="87"/>
      <c r="L158" s="87"/>
    </row>
    <row r="159" spans="2:12" x14ac:dyDescent="0.25">
      <c r="B159" s="83">
        <v>21</v>
      </c>
      <c r="C159" s="94" t="s">
        <v>168</v>
      </c>
      <c r="D159" s="174">
        <v>2880</v>
      </c>
      <c r="E159" s="174">
        <v>1984</v>
      </c>
      <c r="F159" s="95" t="s">
        <v>132</v>
      </c>
      <c r="G159" s="95" t="s">
        <v>169</v>
      </c>
      <c r="H159" s="187">
        <v>9</v>
      </c>
      <c r="I159" s="113">
        <v>-6.1</v>
      </c>
      <c r="J159" s="113">
        <v>-36</v>
      </c>
      <c r="K159" s="165"/>
      <c r="L159" s="167"/>
    </row>
    <row r="160" spans="2:12" x14ac:dyDescent="0.25">
      <c r="B160" s="152"/>
      <c r="C160" s="101"/>
      <c r="D160" s="134"/>
      <c r="E160" s="134"/>
      <c r="F160" s="97" t="s">
        <v>134</v>
      </c>
      <c r="G160" s="97" t="s">
        <v>170</v>
      </c>
      <c r="H160" s="117">
        <v>7</v>
      </c>
      <c r="I160" s="114">
        <v>-9.1999999999999993</v>
      </c>
      <c r="J160" s="114">
        <v>-70</v>
      </c>
      <c r="K160" s="38"/>
      <c r="L160" s="166"/>
    </row>
    <row r="161" spans="2:12" x14ac:dyDescent="0.25">
      <c r="B161" s="152"/>
      <c r="C161" s="101"/>
      <c r="D161" s="134"/>
      <c r="E161" s="134"/>
      <c r="F161" s="97" t="s">
        <v>59</v>
      </c>
      <c r="G161" s="97" t="s">
        <v>171</v>
      </c>
      <c r="H161" s="117">
        <v>2</v>
      </c>
      <c r="I161" s="114">
        <v>-5</v>
      </c>
      <c r="J161" s="114">
        <v>-32</v>
      </c>
      <c r="K161" s="38"/>
      <c r="L161" s="100"/>
    </row>
    <row r="162" spans="2:12" x14ac:dyDescent="0.25">
      <c r="B162" s="152"/>
      <c r="C162" s="101"/>
      <c r="D162" s="134"/>
      <c r="E162" s="134"/>
      <c r="F162" s="97" t="s">
        <v>172</v>
      </c>
      <c r="G162" s="97" t="s">
        <v>173</v>
      </c>
      <c r="H162" s="117">
        <v>10</v>
      </c>
      <c r="I162" s="114">
        <v>-3</v>
      </c>
      <c r="J162" s="114">
        <v>-16</v>
      </c>
      <c r="K162" s="38"/>
      <c r="L162" s="100"/>
    </row>
    <row r="163" spans="2:12" x14ac:dyDescent="0.25">
      <c r="B163" s="152"/>
      <c r="C163" s="101"/>
      <c r="D163" s="134"/>
      <c r="E163" s="134"/>
      <c r="F163" s="97" t="s">
        <v>174</v>
      </c>
      <c r="G163" s="97" t="s">
        <v>175</v>
      </c>
      <c r="H163" s="117">
        <v>3</v>
      </c>
      <c r="I163" s="114">
        <v>-6</v>
      </c>
      <c r="J163" s="114">
        <v>-35</v>
      </c>
      <c r="K163" s="159"/>
      <c r="L163" s="100"/>
    </row>
    <row r="164" spans="2:12" ht="15" x14ac:dyDescent="0.25">
      <c r="B164" s="152"/>
      <c r="C164" s="368" t="s">
        <v>53</v>
      </c>
      <c r="D164" s="373"/>
      <c r="E164" s="132"/>
      <c r="F164" s="153"/>
      <c r="G164" s="153"/>
      <c r="H164" s="206">
        <v>31</v>
      </c>
      <c r="I164" s="207">
        <v>-5.2</v>
      </c>
      <c r="J164" s="207">
        <v>-41</v>
      </c>
      <c r="K164" s="38"/>
      <c r="L164" s="100"/>
    </row>
    <row r="165" spans="2:12" x14ac:dyDescent="0.25">
      <c r="B165" s="152"/>
      <c r="C165" s="101"/>
      <c r="D165" s="134"/>
      <c r="E165" s="173">
        <v>1985</v>
      </c>
      <c r="F165" s="97" t="s">
        <v>91</v>
      </c>
      <c r="G165" s="29"/>
      <c r="H165" s="117">
        <v>10.1</v>
      </c>
      <c r="I165" s="114">
        <v>-2.5</v>
      </c>
      <c r="J165" s="114">
        <v>-6</v>
      </c>
      <c r="K165" s="159"/>
      <c r="L165" s="100"/>
    </row>
    <row r="166" spans="2:12" x14ac:dyDescent="0.25">
      <c r="B166" s="152"/>
      <c r="C166" s="101"/>
      <c r="D166" s="134"/>
      <c r="E166" s="173">
        <v>1986</v>
      </c>
      <c r="F166" s="97" t="s">
        <v>67</v>
      </c>
      <c r="G166" s="29"/>
      <c r="H166" s="117">
        <v>11</v>
      </c>
      <c r="I166" s="114">
        <v>-5.3</v>
      </c>
      <c r="J166" s="114">
        <v>-25</v>
      </c>
      <c r="K166" s="38"/>
      <c r="L166" s="100"/>
    </row>
    <row r="167" spans="2:12" x14ac:dyDescent="0.25">
      <c r="B167" s="152"/>
      <c r="C167" s="101"/>
      <c r="D167" s="134"/>
      <c r="E167" s="134"/>
      <c r="F167" s="97" t="s">
        <v>54</v>
      </c>
      <c r="G167" s="29"/>
      <c r="H167" s="117">
        <v>15</v>
      </c>
      <c r="I167" s="114">
        <v>-4.5999999999999996</v>
      </c>
      <c r="J167" s="114">
        <v>-24</v>
      </c>
      <c r="K167" s="38"/>
      <c r="L167" s="100"/>
    </row>
    <row r="168" spans="2:12" x14ac:dyDescent="0.25">
      <c r="B168" s="152"/>
      <c r="C168" s="101"/>
      <c r="D168" s="134"/>
      <c r="E168" s="134"/>
      <c r="F168" s="97" t="s">
        <v>55</v>
      </c>
      <c r="G168" s="29"/>
      <c r="H168" s="117">
        <v>5</v>
      </c>
      <c r="I168" s="114">
        <v>-6.2</v>
      </c>
      <c r="J168" s="114">
        <v>-37</v>
      </c>
      <c r="K168" s="38"/>
      <c r="L168" s="100"/>
    </row>
    <row r="169" spans="2:12" ht="15" x14ac:dyDescent="0.25">
      <c r="B169" s="152"/>
      <c r="C169" s="368" t="s">
        <v>53</v>
      </c>
      <c r="D169" s="341"/>
      <c r="E169" s="132"/>
      <c r="F169" s="102"/>
      <c r="G169" s="102"/>
      <c r="H169" s="206">
        <v>41.1</v>
      </c>
      <c r="I169" s="207">
        <v>-4.5</v>
      </c>
      <c r="J169" s="207">
        <v>-21</v>
      </c>
      <c r="K169" s="108"/>
      <c r="L169" s="100"/>
    </row>
    <row r="170" spans="2:12" ht="15.75" customHeight="1" x14ac:dyDescent="0.25">
      <c r="B170" s="152"/>
      <c r="C170" s="151" t="s">
        <v>68</v>
      </c>
      <c r="D170" s="175">
        <v>9</v>
      </c>
      <c r="E170" s="175"/>
      <c r="F170" s="370" t="s">
        <v>195</v>
      </c>
      <c r="G170" s="370"/>
      <c r="H170" s="188">
        <f>SUM(H159:H163)+SUM(H165:H168)</f>
        <v>72.099999999999994</v>
      </c>
      <c r="I170" s="119">
        <f>((H159*I159)+(H160*I160)+(H161*I161)+(H162*I162)+(H163*I163)+(H165*I165)+(H166*I166)+(H167*I167)+(H168*I168))/(H170)</f>
        <v>-5.0048543689320386</v>
      </c>
      <c r="J170" s="120">
        <f>((H159*J159)+(H160*J160)+(H161*J161)+(H162*J162)+(H163*J163)+(H165*J165)+(H166*J166)+(H167*J167)+(H168*J168))/(H170)</f>
        <v>-28.066574202496533</v>
      </c>
      <c r="K170" s="345" t="s">
        <v>223</v>
      </c>
      <c r="L170" s="346"/>
    </row>
    <row r="171" spans="2:12" ht="15" customHeight="1" x14ac:dyDescent="0.25">
      <c r="B171" s="152"/>
      <c r="C171" s="151"/>
      <c r="D171" s="175"/>
      <c r="E171" s="175"/>
      <c r="F171" s="355" t="s">
        <v>196</v>
      </c>
      <c r="G171" s="355"/>
      <c r="H171" s="144">
        <f>AVERAGE(H159:H163,H165:H168)</f>
        <v>8.0111111111111111</v>
      </c>
      <c r="I171" s="293">
        <f>SQRT(((H159*((I159-I170)^2))+(H160*((I160-I170)^2))+(H161*((I161-I170)^2))+(H162*((I162-I170)^2))+(H163*((I163-I170)^2))+(H165*((I165-I170)^2))+(H166*((I166-I170)^2))+(H167*((I167-I170)^2))+(H168*((I168-I170)^2)))/((9-1/9)*H170))</f>
        <v>0.62591814789729061</v>
      </c>
      <c r="J171" s="294">
        <f>SQRT(((H159*((J159-J170)^2))+(H160*((J160-J170)^2))+(H161*((J161-J170)^2))+(H162*((J162-J170)^2))+(H163*((J163-J170)^2))+(H165*((J165-J170)^2))+(H166*((J166-J170)^2))+(H167*((J167-J170)^2))+(H168*((J168-J170)^2)))/((9-1/9)*H170))</f>
        <v>5.6106899033742685</v>
      </c>
      <c r="K171" s="347" t="s">
        <v>198</v>
      </c>
      <c r="L171" s="348"/>
    </row>
    <row r="172" spans="2:12" ht="15.75" customHeight="1" thickBot="1" x14ac:dyDescent="0.3">
      <c r="B172" s="156"/>
      <c r="C172" s="163"/>
      <c r="D172" s="176"/>
      <c r="E172" s="176"/>
      <c r="F172" s="356" t="s">
        <v>197</v>
      </c>
      <c r="G172" s="356"/>
      <c r="H172" s="186">
        <f>MEDIAN(H159:H163,H165:H168)</f>
        <v>9</v>
      </c>
      <c r="I172" s="121">
        <f>SQRT(((I171)^2)+(($I$211)^2))</f>
        <v>0.65709476323219518</v>
      </c>
      <c r="J172" s="122">
        <f>SQRT(((J171)^2)+(($J$211)^2))</f>
        <v>5.9564957140776951</v>
      </c>
      <c r="K172" s="349" t="s">
        <v>3</v>
      </c>
      <c r="L172" s="350"/>
    </row>
    <row r="173" spans="2:12" s="99" customFormat="1" ht="15.75" customHeight="1" thickBot="1" x14ac:dyDescent="0.3">
      <c r="C173" s="108"/>
      <c r="D173" s="131"/>
      <c r="E173" s="131"/>
      <c r="H173" s="141"/>
      <c r="I173" s="182"/>
      <c r="J173" s="183"/>
      <c r="K173" s="87"/>
      <c r="L173" s="87"/>
    </row>
    <row r="174" spans="2:12" x14ac:dyDescent="0.25">
      <c r="B174" s="83">
        <v>22</v>
      </c>
      <c r="C174" s="94" t="s">
        <v>176</v>
      </c>
      <c r="D174" s="174">
        <v>2570</v>
      </c>
      <c r="E174" s="174">
        <v>1985</v>
      </c>
      <c r="F174" s="95" t="s">
        <v>91</v>
      </c>
      <c r="G174" s="111"/>
      <c r="H174" s="142">
        <v>3.5</v>
      </c>
      <c r="I174" s="125">
        <v>-4.4000000000000004</v>
      </c>
      <c r="J174" s="126">
        <v>-18</v>
      </c>
      <c r="K174" s="168"/>
      <c r="L174" s="96"/>
    </row>
    <row r="175" spans="2:12" x14ac:dyDescent="0.25">
      <c r="B175" s="152"/>
      <c r="C175" s="101"/>
      <c r="D175" s="134"/>
      <c r="E175" s="173">
        <v>1986</v>
      </c>
      <c r="F175" s="97" t="s">
        <v>67</v>
      </c>
      <c r="G175" s="29"/>
      <c r="H175" s="143">
        <v>6.5</v>
      </c>
      <c r="I175" s="128">
        <v>-5.4</v>
      </c>
      <c r="J175" s="129">
        <v>-34</v>
      </c>
      <c r="K175" s="38"/>
      <c r="L175" s="100"/>
    </row>
    <row r="176" spans="2:12" x14ac:dyDescent="0.25">
      <c r="B176" s="152"/>
      <c r="C176" s="101"/>
      <c r="D176" s="134"/>
      <c r="E176" s="134"/>
      <c r="F176" s="97" t="s">
        <v>54</v>
      </c>
      <c r="G176" s="29"/>
      <c r="H176" s="143">
        <v>7</v>
      </c>
      <c r="I176" s="128">
        <v>-8.6</v>
      </c>
      <c r="J176" s="129">
        <v>-58</v>
      </c>
      <c r="K176" s="38"/>
      <c r="L176" s="100"/>
    </row>
    <row r="177" spans="2:12" x14ac:dyDescent="0.25">
      <c r="B177" s="152"/>
      <c r="C177" s="101"/>
      <c r="D177" s="134"/>
      <c r="E177" s="134"/>
      <c r="F177" s="97" t="s">
        <v>55</v>
      </c>
      <c r="G177" s="29"/>
      <c r="H177" s="143">
        <v>2.5</v>
      </c>
      <c r="I177" s="128">
        <v>-7.5</v>
      </c>
      <c r="J177" s="129">
        <v>-43</v>
      </c>
      <c r="K177" s="38"/>
      <c r="L177" s="100"/>
    </row>
    <row r="178" spans="2:12" ht="15" x14ac:dyDescent="0.25">
      <c r="B178" s="152"/>
      <c r="C178" s="368" t="s">
        <v>53</v>
      </c>
      <c r="D178" s="373"/>
      <c r="E178" s="132"/>
      <c r="F178" s="153"/>
      <c r="G178" s="153"/>
      <c r="H178" s="140">
        <v>19.399999999999999</v>
      </c>
      <c r="I178" s="115">
        <v>-6.6</v>
      </c>
      <c r="J178" s="116">
        <v>-41</v>
      </c>
      <c r="K178" s="108"/>
      <c r="L178" s="100"/>
    </row>
    <row r="179" spans="2:12" ht="15" customHeight="1" x14ac:dyDescent="0.25">
      <c r="B179" s="152"/>
      <c r="C179" s="151" t="s">
        <v>57</v>
      </c>
      <c r="D179" s="175">
        <v>4</v>
      </c>
      <c r="E179" s="175"/>
      <c r="F179" s="370" t="s">
        <v>195</v>
      </c>
      <c r="G179" s="370"/>
      <c r="H179" s="184">
        <f>H174+H175+H176+H177</f>
        <v>19.5</v>
      </c>
      <c r="I179" s="119">
        <f>((H174*I174)+(H175*I175)+(H176*I176)+(H177*I177))/(H174+H175+H176+H177)</f>
        <v>-6.638461538461538</v>
      </c>
      <c r="J179" s="120">
        <f>((H174*J174)+(H175*J175)+(H176*J176)+(H177*J177))/(H174+H175+H176+H177)</f>
        <v>-40.897435897435898</v>
      </c>
      <c r="K179" s="345" t="s">
        <v>223</v>
      </c>
      <c r="L179" s="346"/>
    </row>
    <row r="180" spans="2:12" ht="15" customHeight="1" x14ac:dyDescent="0.25">
      <c r="B180" s="152"/>
      <c r="C180" s="151"/>
      <c r="D180" s="175"/>
      <c r="E180" s="175"/>
      <c r="F180" s="355" t="s">
        <v>196</v>
      </c>
      <c r="G180" s="355"/>
      <c r="H180" s="144">
        <f>AVERAGE(H174:H177)</f>
        <v>4.875</v>
      </c>
      <c r="I180" s="293">
        <f>SQRT(((H174*((I174-I179)^2))+(H175*((I175-I179)^2))+(H176*((I176-I179)^2))+(H177*((I177-I179)^2)))/((4-1/4)*H179))</f>
        <v>0.87741776420292272</v>
      </c>
      <c r="J180" s="294">
        <f>SQRT(((H174*((J174-J179)^2))+(H175*((J175-J179)^2))+(H176*((J176-J179)^2))+(H177*((J177-J179)^2)))/((4-1/4)*H179))</f>
        <v>7.5811686371487035</v>
      </c>
      <c r="K180" s="347" t="s">
        <v>198</v>
      </c>
      <c r="L180" s="348"/>
    </row>
    <row r="181" spans="2:12" ht="15.75" customHeight="1" thickBot="1" x14ac:dyDescent="0.3">
      <c r="B181" s="156"/>
      <c r="C181" s="163"/>
      <c r="D181" s="176"/>
      <c r="E181" s="176"/>
      <c r="F181" s="356" t="s">
        <v>197</v>
      </c>
      <c r="G181" s="356"/>
      <c r="H181" s="186">
        <f>MEDIAN(H174:H177)</f>
        <v>5</v>
      </c>
      <c r="I181" s="121">
        <f>SQRT(((I180)^2)+(($I$211)^2))</f>
        <v>0.899923292808257</v>
      </c>
      <c r="J181" s="122">
        <f>SQRT(((J180)^2)+(($J$211)^2))</f>
        <v>7.8405432149110137</v>
      </c>
      <c r="K181" s="349" t="s">
        <v>3</v>
      </c>
      <c r="L181" s="350"/>
    </row>
    <row r="182" spans="2:12" s="99" customFormat="1" ht="15.75" customHeight="1" thickBot="1" x14ac:dyDescent="0.3">
      <c r="C182" s="108"/>
      <c r="D182" s="131"/>
      <c r="E182" s="131"/>
      <c r="H182" s="141"/>
      <c r="I182" s="182"/>
      <c r="J182" s="183"/>
      <c r="K182" s="87"/>
      <c r="L182" s="87"/>
    </row>
    <row r="183" spans="2:12" x14ac:dyDescent="0.25">
      <c r="B183" s="83">
        <v>23</v>
      </c>
      <c r="C183" s="94" t="s">
        <v>177</v>
      </c>
      <c r="D183" s="174">
        <v>2460</v>
      </c>
      <c r="E183" s="174">
        <v>1984</v>
      </c>
      <c r="F183" s="95" t="s">
        <v>249</v>
      </c>
      <c r="G183" s="95" t="s">
        <v>178</v>
      </c>
      <c r="H183" s="187">
        <v>5</v>
      </c>
      <c r="I183" s="187">
        <v>-4.2</v>
      </c>
      <c r="J183" s="189">
        <v>-15</v>
      </c>
      <c r="K183" s="165"/>
      <c r="L183" s="96"/>
    </row>
    <row r="184" spans="2:12" x14ac:dyDescent="0.25">
      <c r="B184" s="152"/>
      <c r="C184" s="101"/>
      <c r="D184" s="134"/>
      <c r="E184" s="134"/>
      <c r="F184" s="97" t="s">
        <v>134</v>
      </c>
      <c r="G184" s="97" t="s">
        <v>179</v>
      </c>
      <c r="H184" s="117">
        <v>4</v>
      </c>
      <c r="I184" s="117">
        <v>-4.2</v>
      </c>
      <c r="J184" s="190">
        <v>-15</v>
      </c>
      <c r="K184" s="38"/>
      <c r="L184" s="100"/>
    </row>
    <row r="185" spans="2:12" x14ac:dyDescent="0.25">
      <c r="B185" s="152"/>
      <c r="C185" s="101"/>
      <c r="D185" s="134"/>
      <c r="E185" s="134"/>
      <c r="F185" s="97" t="s">
        <v>97</v>
      </c>
      <c r="G185" s="97" t="s">
        <v>180</v>
      </c>
      <c r="H185" s="117">
        <v>12.5</v>
      </c>
      <c r="I185" s="117">
        <v>-7</v>
      </c>
      <c r="J185" s="190">
        <v>-48</v>
      </c>
      <c r="K185" s="38"/>
      <c r="L185" s="100"/>
    </row>
    <row r="186" spans="2:12" x14ac:dyDescent="0.25">
      <c r="B186" s="152"/>
      <c r="C186" s="101"/>
      <c r="D186" s="134"/>
      <c r="E186" s="134"/>
      <c r="F186" s="97" t="s">
        <v>151</v>
      </c>
      <c r="G186" s="97" t="s">
        <v>181</v>
      </c>
      <c r="H186" s="117">
        <v>8.5</v>
      </c>
      <c r="I186" s="117">
        <v>-2.8</v>
      </c>
      <c r="J186" s="190">
        <v>-9</v>
      </c>
      <c r="K186" s="38"/>
      <c r="L186" s="100"/>
    </row>
    <row r="187" spans="2:12" x14ac:dyDescent="0.25">
      <c r="B187" s="152"/>
      <c r="C187" s="101"/>
      <c r="D187" s="134"/>
      <c r="E187" s="134"/>
      <c r="F187" s="97" t="s">
        <v>113</v>
      </c>
      <c r="G187" s="97" t="s">
        <v>182</v>
      </c>
      <c r="H187" s="117">
        <v>5</v>
      </c>
      <c r="I187" s="117">
        <v>-4.4000000000000004</v>
      </c>
      <c r="J187" s="190">
        <v>-29</v>
      </c>
      <c r="K187" s="38"/>
      <c r="L187" s="100"/>
    </row>
    <row r="188" spans="2:12" x14ac:dyDescent="0.25">
      <c r="B188" s="152"/>
      <c r="C188" s="101"/>
      <c r="D188" s="134"/>
      <c r="E188" s="134"/>
      <c r="F188" s="97" t="s">
        <v>140</v>
      </c>
      <c r="G188" s="97" t="s">
        <v>183</v>
      </c>
      <c r="H188" s="117">
        <v>1</v>
      </c>
      <c r="I188" s="117">
        <v>-4.3</v>
      </c>
      <c r="J188" s="190">
        <v>-26</v>
      </c>
      <c r="K188" s="38"/>
      <c r="L188" s="100"/>
    </row>
    <row r="189" spans="2:12" ht="15" x14ac:dyDescent="0.25">
      <c r="B189" s="152"/>
      <c r="C189" s="368" t="s">
        <v>53</v>
      </c>
      <c r="D189" s="373"/>
      <c r="E189" s="132"/>
      <c r="F189" s="153"/>
      <c r="G189" s="153"/>
      <c r="H189" s="206">
        <v>36</v>
      </c>
      <c r="I189" s="206">
        <v>-4.9000000000000004</v>
      </c>
      <c r="J189" s="208">
        <v>-27</v>
      </c>
      <c r="K189" s="38"/>
      <c r="L189" s="100"/>
    </row>
    <row r="190" spans="2:12" x14ac:dyDescent="0.25">
      <c r="B190" s="152"/>
      <c r="C190" s="101"/>
      <c r="D190" s="134"/>
      <c r="E190" s="173">
        <v>1984</v>
      </c>
      <c r="F190" s="97" t="s">
        <v>82</v>
      </c>
      <c r="G190" s="97" t="s">
        <v>184</v>
      </c>
      <c r="H190" s="117">
        <v>6</v>
      </c>
      <c r="I190" s="117">
        <v>-8.6999999999999993</v>
      </c>
      <c r="J190" s="190">
        <v>-61</v>
      </c>
      <c r="K190" s="38"/>
      <c r="L190" s="100"/>
    </row>
    <row r="191" spans="2:12" x14ac:dyDescent="0.25">
      <c r="B191" s="152"/>
      <c r="C191" s="101"/>
      <c r="D191" s="134"/>
      <c r="E191" s="134"/>
      <c r="F191" s="97" t="s">
        <v>82</v>
      </c>
      <c r="G191" s="97" t="s">
        <v>83</v>
      </c>
      <c r="H191" s="117">
        <v>12</v>
      </c>
      <c r="I191" s="117">
        <v>-12.6</v>
      </c>
      <c r="J191" s="190">
        <v>-85</v>
      </c>
      <c r="K191" s="38"/>
      <c r="L191" s="100"/>
    </row>
    <row r="192" spans="2:12" x14ac:dyDescent="0.25">
      <c r="B192" s="152"/>
      <c r="C192" s="101"/>
      <c r="D192" s="134"/>
      <c r="E192" s="134"/>
      <c r="F192" s="97" t="s">
        <v>185</v>
      </c>
      <c r="G192" s="97" t="s">
        <v>83</v>
      </c>
      <c r="H192" s="117">
        <v>3</v>
      </c>
      <c r="I192" s="117">
        <v>-12.6</v>
      </c>
      <c r="J192" s="190">
        <v>-85</v>
      </c>
      <c r="K192" s="38"/>
      <c r="L192" s="100"/>
    </row>
    <row r="193" spans="2:12" x14ac:dyDescent="0.25">
      <c r="B193" s="152"/>
      <c r="C193" s="101"/>
      <c r="D193" s="134"/>
      <c r="E193" s="134"/>
      <c r="F193" s="97" t="s">
        <v>186</v>
      </c>
      <c r="G193" s="97" t="s">
        <v>83</v>
      </c>
      <c r="H193" s="117">
        <v>2.5</v>
      </c>
      <c r="I193" s="117">
        <v>-11</v>
      </c>
      <c r="J193" s="190">
        <v>-75</v>
      </c>
      <c r="K193" s="38"/>
      <c r="L193" s="100"/>
    </row>
    <row r="194" spans="2:12" ht="15" x14ac:dyDescent="0.25">
      <c r="B194" s="152"/>
      <c r="C194" s="368" t="s">
        <v>53</v>
      </c>
      <c r="D194" s="341"/>
      <c r="E194" s="132"/>
      <c r="F194" s="102"/>
      <c r="G194" s="102"/>
      <c r="H194" s="206">
        <v>23.5</v>
      </c>
      <c r="I194" s="206">
        <v>-11.4</v>
      </c>
      <c r="J194" s="208">
        <v>-78</v>
      </c>
      <c r="K194" s="108"/>
      <c r="L194" s="100"/>
    </row>
    <row r="195" spans="2:12" x14ac:dyDescent="0.25">
      <c r="B195" s="152"/>
      <c r="C195" s="152"/>
      <c r="D195" s="261"/>
      <c r="E195" s="173">
        <v>1986</v>
      </c>
      <c r="F195" s="97" t="s">
        <v>54</v>
      </c>
      <c r="G195" s="29"/>
      <c r="H195" s="117">
        <v>4</v>
      </c>
      <c r="I195" s="117">
        <v>-2.7</v>
      </c>
      <c r="J195" s="190">
        <v>-19</v>
      </c>
      <c r="K195" s="38"/>
      <c r="L195" s="100"/>
    </row>
    <row r="196" spans="2:12" x14ac:dyDescent="0.25">
      <c r="B196" s="152"/>
      <c r="C196" s="344"/>
      <c r="D196" s="374"/>
      <c r="E196" s="374"/>
      <c r="F196" s="97" t="s">
        <v>55</v>
      </c>
      <c r="G196" s="29"/>
      <c r="H196" s="117">
        <v>11</v>
      </c>
      <c r="I196" s="117">
        <v>-14.6</v>
      </c>
      <c r="J196" s="190">
        <v>-102</v>
      </c>
      <c r="K196" s="38"/>
      <c r="L196" s="100"/>
    </row>
    <row r="197" spans="2:12" ht="15" x14ac:dyDescent="0.25">
      <c r="B197" s="152"/>
      <c r="C197" s="368" t="s">
        <v>53</v>
      </c>
      <c r="D197" s="341"/>
      <c r="E197" s="132"/>
      <c r="F197" s="102"/>
      <c r="G197" s="102"/>
      <c r="H197" s="206">
        <v>15</v>
      </c>
      <c r="I197" s="206">
        <v>-11.4</v>
      </c>
      <c r="J197" s="208">
        <v>-80</v>
      </c>
      <c r="K197" s="108"/>
      <c r="L197" s="100"/>
    </row>
    <row r="198" spans="2:12" ht="15.75" customHeight="1" x14ac:dyDescent="0.25">
      <c r="B198" s="152"/>
      <c r="C198" s="151" t="s">
        <v>187</v>
      </c>
      <c r="D198" s="175"/>
      <c r="E198" s="175"/>
      <c r="F198" s="370" t="s">
        <v>195</v>
      </c>
      <c r="G198" s="370"/>
      <c r="H198" s="184">
        <f>SUM(H183:H188)+SUM(H190:H193)+H195+H196</f>
        <v>74.5</v>
      </c>
      <c r="I198" s="119">
        <f>((H183*I183)+(H184*I184)+(H185*I185)+(H186*I186)+(H187*I187)+(H188*I188)+(H190*I190)+(H191*I191)+(H192*I192)+(H193*I193)+(H195*I195)+(H196*I196))/(H198)</f>
        <v>-8.2617449664429525</v>
      </c>
      <c r="J198" s="120">
        <f>((H183*J183)+(H184*J184)+(H185*J185)+(H186*J186)+(H187*J187)+(H188*J188)+(H190*J190)+(H191*J191)+(H192*J192)+(H193*J193)+(H195*J195)+(H196*J196))/(H198)</f>
        <v>-53.812080536912752</v>
      </c>
      <c r="K198" s="345" t="s">
        <v>223</v>
      </c>
      <c r="L198" s="346"/>
    </row>
    <row r="199" spans="2:12" ht="15" customHeight="1" x14ac:dyDescent="0.25">
      <c r="B199" s="152"/>
      <c r="C199" s="151"/>
      <c r="D199" s="175"/>
      <c r="E199" s="175"/>
      <c r="F199" s="355" t="s">
        <v>196</v>
      </c>
      <c r="G199" s="355"/>
      <c r="H199" s="144">
        <f>AVERAGE(H183:H188,H190:H193,H195:H196)</f>
        <v>6.208333333333333</v>
      </c>
      <c r="I199" s="293">
        <f>SQRT(((H183*((I183-I198)^2))+(H184*((I184-I198)^2))+(H185*((I185-I198)^2))+(H186*((I186-I198)^2))+(H187*((I187-I198)^2))+(H188*((I188-I198)^2))+(H190*((I190-I198)^2))+(H191*((I191-I198)^2))+(H192*((I192-I198)^2))+(H193*((I193-I198)^2))+(H195*((I195-I198)^2))+(H196*((I196-I198)^2)))/((12-1/12)*H198))</f>
        <v>1.2467840708582922</v>
      </c>
      <c r="J199" s="294">
        <f>SQRT(((H183*((J183-J198)^2))+(H184*((J184-J198)^2))+(H185*((J185-J198)^2))+(H186*((J186-J198)^2))+(H187*((J187-J198)^2))+(H188*((J188-J198)^2))+(H190*((J190-J198)^2))+(H191*((J191-J198)^2))+(H192*((J192-J198)^2))+(H193*((J193-J198)^2))+(H195*((J195-J198)^2))+(H196*((J196-J198)^2)))/((12-1/12)*H198))</f>
        <v>9.5702976658062724</v>
      </c>
      <c r="K199" s="347" t="s">
        <v>198</v>
      </c>
      <c r="L199" s="348"/>
    </row>
    <row r="200" spans="2:12" ht="15.75" customHeight="1" thickBot="1" x14ac:dyDescent="0.3">
      <c r="B200" s="156"/>
      <c r="C200" s="163"/>
      <c r="D200" s="176"/>
      <c r="E200" s="176"/>
      <c r="F200" s="356" t="s">
        <v>197</v>
      </c>
      <c r="G200" s="356"/>
      <c r="H200" s="186">
        <f>MEDIAN(H183:H188,H190:H193,H195:H196)</f>
        <v>5</v>
      </c>
      <c r="I200" s="121">
        <f>SQRT(((I199)^2)+(($I$211)^2))</f>
        <v>1.2627234532335159</v>
      </c>
      <c r="J200" s="122">
        <f>SQRT(((J199)^2)+(($J$211)^2))</f>
        <v>9.7770444108706478</v>
      </c>
      <c r="K200" s="349" t="s">
        <v>3</v>
      </c>
      <c r="L200" s="350"/>
    </row>
    <row r="201" spans="2:12" s="99" customFormat="1" ht="15.75" customHeight="1" thickBot="1" x14ac:dyDescent="0.3">
      <c r="C201" s="108"/>
      <c r="D201" s="131"/>
      <c r="E201" s="131"/>
      <c r="H201" s="141"/>
      <c r="I201" s="182"/>
      <c r="J201" s="183"/>
      <c r="K201" s="87"/>
      <c r="L201" s="87"/>
    </row>
    <row r="202" spans="2:12" x14ac:dyDescent="0.25">
      <c r="B202" s="83">
        <v>24</v>
      </c>
      <c r="C202" s="94" t="s">
        <v>188</v>
      </c>
      <c r="D202" s="174">
        <v>2380</v>
      </c>
      <c r="E202" s="174">
        <v>1984</v>
      </c>
      <c r="F202" s="95" t="s">
        <v>189</v>
      </c>
      <c r="G202" s="95" t="s">
        <v>190</v>
      </c>
      <c r="H202" s="187">
        <v>6</v>
      </c>
      <c r="I202" s="187">
        <v>-4.2</v>
      </c>
      <c r="J202" s="189">
        <v>-20</v>
      </c>
      <c r="K202" s="165"/>
      <c r="L202" s="96"/>
    </row>
    <row r="203" spans="2:12" x14ac:dyDescent="0.25">
      <c r="B203" s="152"/>
      <c r="C203" s="101"/>
      <c r="D203" s="134"/>
      <c r="E203" s="134"/>
      <c r="F203" s="97" t="s">
        <v>97</v>
      </c>
      <c r="G203" s="97" t="s">
        <v>190</v>
      </c>
      <c r="H203" s="117">
        <v>8</v>
      </c>
      <c r="I203" s="191">
        <v>-4.0999999999999996</v>
      </c>
      <c r="J203" s="190">
        <v>-20</v>
      </c>
      <c r="K203" s="38"/>
      <c r="L203" s="100"/>
    </row>
    <row r="204" spans="2:12" x14ac:dyDescent="0.25">
      <c r="B204" s="152"/>
      <c r="C204" s="101"/>
      <c r="D204" s="134"/>
      <c r="E204" s="134"/>
      <c r="F204" s="97" t="s">
        <v>191</v>
      </c>
      <c r="G204" s="97" t="s">
        <v>192</v>
      </c>
      <c r="H204" s="117">
        <v>6</v>
      </c>
      <c r="I204" s="117">
        <v>-8.1999999999999993</v>
      </c>
      <c r="J204" s="190">
        <v>-52</v>
      </c>
      <c r="K204" s="38"/>
      <c r="L204" s="100"/>
    </row>
    <row r="205" spans="2:12" x14ac:dyDescent="0.25">
      <c r="B205" s="152"/>
      <c r="C205" s="101"/>
      <c r="D205" s="134"/>
      <c r="E205" s="134"/>
      <c r="F205" s="97" t="s">
        <v>193</v>
      </c>
      <c r="G205" s="97" t="s">
        <v>194</v>
      </c>
      <c r="H205" s="117">
        <v>26</v>
      </c>
      <c r="I205" s="117">
        <v>-8.3000000000000007</v>
      </c>
      <c r="J205" s="190">
        <v>-53</v>
      </c>
      <c r="K205" s="38"/>
      <c r="L205" s="100"/>
    </row>
    <row r="206" spans="2:12" ht="15" x14ac:dyDescent="0.25">
      <c r="B206" s="152"/>
      <c r="C206" s="375" t="s">
        <v>53</v>
      </c>
      <c r="D206" s="376"/>
      <c r="E206" s="118"/>
      <c r="F206" s="169"/>
      <c r="G206" s="169"/>
      <c r="H206" s="210">
        <v>46</v>
      </c>
      <c r="I206" s="210">
        <v>-7</v>
      </c>
      <c r="J206" s="211">
        <v>-43</v>
      </c>
      <c r="K206" s="170"/>
      <c r="L206" s="100"/>
    </row>
    <row r="207" spans="2:12" ht="15.75" customHeight="1" x14ac:dyDescent="0.25">
      <c r="B207" s="152"/>
      <c r="C207" s="151" t="s">
        <v>68</v>
      </c>
      <c r="D207" s="178">
        <v>4</v>
      </c>
      <c r="E207" s="175"/>
      <c r="F207" s="370" t="s">
        <v>195</v>
      </c>
      <c r="G207" s="370"/>
      <c r="H207" s="184">
        <f>H202+H203+H204+H205</f>
        <v>46</v>
      </c>
      <c r="I207" s="119">
        <f>((H202*I202)+(H203*I203)+(H204*I204)+(H205*I205))/(H202+H203+H204+H205)</f>
        <v>-7.0217391304347823</v>
      </c>
      <c r="J207" s="120">
        <f>((H202*J202)+(H203*J203)+(H204*J204)+(H205*J205))/(H202+H203+H204+H205)</f>
        <v>-42.826086956521742</v>
      </c>
      <c r="K207" s="345" t="s">
        <v>223</v>
      </c>
      <c r="L207" s="346"/>
    </row>
    <row r="208" spans="2:12" ht="15.75" customHeight="1" x14ac:dyDescent="0.25">
      <c r="B208" s="152"/>
      <c r="C208" s="151"/>
      <c r="D208" s="178"/>
      <c r="E208" s="175"/>
      <c r="F208" s="355" t="s">
        <v>196</v>
      </c>
      <c r="G208" s="355"/>
      <c r="H208" s="144">
        <f>AVERAGE(H202:H205)</f>
        <v>11.5</v>
      </c>
      <c r="I208" s="293">
        <f>SQRT(((H202*((I202-I207)^2))+(H203*((I203-I207)^2))+(H204*((I204-I207)^2))+(H205*((I205-I207)^2)))/((4-1/4)*H207))</f>
        <v>0.98357013371671098</v>
      </c>
      <c r="J208" s="294">
        <f>SQRT(((H202*((J202-J207)^2))+(H203*((J203-J207)^2))+(H204*((J204-J207)^2))+(H205*((J205-J207)^2)))/((4-1/4)*H207))</f>
        <v>7.7984051493459825</v>
      </c>
      <c r="K208" s="347" t="s">
        <v>198</v>
      </c>
      <c r="L208" s="348"/>
    </row>
    <row r="209" spans="1:12" ht="15.75" customHeight="1" thickBot="1" x14ac:dyDescent="0.3">
      <c r="B209" s="156"/>
      <c r="C209" s="163"/>
      <c r="D209" s="179"/>
      <c r="E209" s="176"/>
      <c r="F209" s="356" t="s">
        <v>197</v>
      </c>
      <c r="G209" s="356"/>
      <c r="H209" s="186">
        <f>MEDIAN(H202:H205)</f>
        <v>7</v>
      </c>
      <c r="I209" s="121">
        <f>SQRT(((I208)^2)+(($I$211)^2))</f>
        <v>1.0036982653863205</v>
      </c>
      <c r="J209" s="122">
        <f>SQRT(((J208)^2)+(($J$211)^2))</f>
        <v>8.050783991223831</v>
      </c>
      <c r="K209" s="349" t="s">
        <v>3</v>
      </c>
      <c r="L209" s="350"/>
    </row>
    <row r="210" spans="1:12" s="107" customFormat="1" ht="15.75" customHeight="1" x14ac:dyDescent="0.25">
      <c r="B210" s="99"/>
      <c r="C210" s="108"/>
      <c r="D210" s="180"/>
      <c r="E210" s="131"/>
      <c r="F210" s="99"/>
      <c r="G210" s="99"/>
      <c r="H210" s="141"/>
      <c r="I210" s="182"/>
      <c r="J210" s="183"/>
      <c r="K210" s="87"/>
      <c r="L210" s="87"/>
    </row>
    <row r="211" spans="1:12" x14ac:dyDescent="0.25">
      <c r="B211" s="98"/>
      <c r="C211" s="351" t="s">
        <v>0</v>
      </c>
      <c r="D211" s="352"/>
      <c r="E211" s="352"/>
      <c r="F211" s="46"/>
      <c r="G211" s="46"/>
      <c r="H211" s="146"/>
      <c r="I211" s="192">
        <v>0.2</v>
      </c>
      <c r="J211" s="193">
        <v>2</v>
      </c>
    </row>
    <row r="212" spans="1:12" x14ac:dyDescent="0.25">
      <c r="B212" s="98"/>
      <c r="C212" s="295"/>
      <c r="D212" s="296"/>
      <c r="E212" s="296"/>
      <c r="F212" s="297"/>
      <c r="G212" s="297"/>
      <c r="H212" s="298"/>
      <c r="I212" s="299"/>
      <c r="J212" s="300"/>
    </row>
    <row r="213" spans="1:12" x14ac:dyDescent="0.25">
      <c r="A213" s="82" t="s">
        <v>315</v>
      </c>
    </row>
    <row r="214" spans="1:12" x14ac:dyDescent="0.25">
      <c r="A214" s="266"/>
      <c r="B214" s="91" t="s">
        <v>327</v>
      </c>
    </row>
    <row r="215" spans="1:12" x14ac:dyDescent="0.25">
      <c r="A215" s="231" t="s">
        <v>299</v>
      </c>
    </row>
    <row r="216" spans="1:12" x14ac:dyDescent="0.25">
      <c r="A216" s="171"/>
      <c r="B216" s="91" t="s">
        <v>328</v>
      </c>
    </row>
  </sheetData>
  <mergeCells count="162">
    <mergeCell ref="D44:E44"/>
    <mergeCell ref="D45:E45"/>
    <mergeCell ref="K20:L20"/>
    <mergeCell ref="F11:G11"/>
    <mergeCell ref="F12:G12"/>
    <mergeCell ref="F13:G13"/>
    <mergeCell ref="D30:E30"/>
    <mergeCell ref="D31:E31"/>
    <mergeCell ref="D32:E32"/>
    <mergeCell ref="D33:E33"/>
    <mergeCell ref="D36:E36"/>
    <mergeCell ref="D37:E37"/>
    <mergeCell ref="D38:E38"/>
    <mergeCell ref="D39:E39"/>
    <mergeCell ref="D40:E40"/>
    <mergeCell ref="D34:E34"/>
    <mergeCell ref="C22:E22"/>
    <mergeCell ref="C23:E23"/>
    <mergeCell ref="D43:E43"/>
    <mergeCell ref="F25:G25"/>
    <mergeCell ref="F26:G26"/>
    <mergeCell ref="F27:G27"/>
    <mergeCell ref="K21:L21"/>
    <mergeCell ref="K25:L25"/>
    <mergeCell ref="C211:E211"/>
    <mergeCell ref="F83:G83"/>
    <mergeCell ref="F84:G84"/>
    <mergeCell ref="F85:G85"/>
    <mergeCell ref="F93:G93"/>
    <mergeCell ref="F94:G94"/>
    <mergeCell ref="F95:G95"/>
    <mergeCell ref="C111:E111"/>
    <mergeCell ref="C151:E151"/>
    <mergeCell ref="C152:E152"/>
    <mergeCell ref="C153:E153"/>
    <mergeCell ref="F113:G113"/>
    <mergeCell ref="F114:G114"/>
    <mergeCell ref="F115:G115"/>
    <mergeCell ref="C109:E109"/>
    <mergeCell ref="C110:E110"/>
    <mergeCell ref="F123:G123"/>
    <mergeCell ref="F124:G124"/>
    <mergeCell ref="F181:G181"/>
    <mergeCell ref="F179:G179"/>
    <mergeCell ref="F180:G180"/>
    <mergeCell ref="F155:G155"/>
    <mergeCell ref="F156:G156"/>
    <mergeCell ref="F207:G207"/>
    <mergeCell ref="C106:D106"/>
    <mergeCell ref="C112:D112"/>
    <mergeCell ref="K123:L123"/>
    <mergeCell ref="K124:L124"/>
    <mergeCell ref="K125:L125"/>
    <mergeCell ref="C154:G154"/>
    <mergeCell ref="K81:L81"/>
    <mergeCell ref="K80:L80"/>
    <mergeCell ref="K95:L95"/>
    <mergeCell ref="F49:G49"/>
    <mergeCell ref="F157:G157"/>
    <mergeCell ref="K133:L133"/>
    <mergeCell ref="K134:L134"/>
    <mergeCell ref="K135:L135"/>
    <mergeCell ref="F133:G133"/>
    <mergeCell ref="F134:G134"/>
    <mergeCell ref="F135:G135"/>
    <mergeCell ref="F125:G125"/>
    <mergeCell ref="C75:H75"/>
    <mergeCell ref="K72:L72"/>
    <mergeCell ref="F208:G208"/>
    <mergeCell ref="F209:G209"/>
    <mergeCell ref="F198:G198"/>
    <mergeCell ref="F199:G199"/>
    <mergeCell ref="F200:G200"/>
    <mergeCell ref="K200:L200"/>
    <mergeCell ref="K199:L199"/>
    <mergeCell ref="K198:L198"/>
    <mergeCell ref="K156:L156"/>
    <mergeCell ref="F171:G171"/>
    <mergeCell ref="F172:G172"/>
    <mergeCell ref="K170:L170"/>
    <mergeCell ref="K171:L171"/>
    <mergeCell ref="K172:L172"/>
    <mergeCell ref="F170:G170"/>
    <mergeCell ref="K207:L207"/>
    <mergeCell ref="K208:L208"/>
    <mergeCell ref="K209:L209"/>
    <mergeCell ref="K181:L181"/>
    <mergeCell ref="K180:L180"/>
    <mergeCell ref="K179:L179"/>
    <mergeCell ref="K157:L157"/>
    <mergeCell ref="K4:L4"/>
    <mergeCell ref="K5:L5"/>
    <mergeCell ref="K6:L6"/>
    <mergeCell ref="K8:L8"/>
    <mergeCell ref="K9:L9"/>
    <mergeCell ref="F90:G90"/>
    <mergeCell ref="K111:L111"/>
    <mergeCell ref="K110:L110"/>
    <mergeCell ref="K109:L109"/>
    <mergeCell ref="K11:L11"/>
    <mergeCell ref="K12:L12"/>
    <mergeCell ref="K13:L13"/>
    <mergeCell ref="K89:L89"/>
    <mergeCell ref="K90:L90"/>
    <mergeCell ref="K91:L91"/>
    <mergeCell ref="K107:L107"/>
    <mergeCell ref="K93:L93"/>
    <mergeCell ref="K94:L94"/>
    <mergeCell ref="K87:L87"/>
    <mergeCell ref="K88:L88"/>
    <mergeCell ref="K108:L108"/>
    <mergeCell ref="K26:L26"/>
    <mergeCell ref="K27:L27"/>
    <mergeCell ref="K83:L83"/>
    <mergeCell ref="K71:L71"/>
    <mergeCell ref="K23:L23"/>
    <mergeCell ref="K22:L22"/>
    <mergeCell ref="K79:L79"/>
    <mergeCell ref="K78:L78"/>
    <mergeCell ref="K77:L77"/>
    <mergeCell ref="C206:D206"/>
    <mergeCell ref="C194:D194"/>
    <mergeCell ref="C197:D197"/>
    <mergeCell ref="C196:E196"/>
    <mergeCell ref="K114:L114"/>
    <mergeCell ref="K115:L115"/>
    <mergeCell ref="C81:E81"/>
    <mergeCell ref="K155:L155"/>
    <mergeCell ref="K113:L113"/>
    <mergeCell ref="C92:D92"/>
    <mergeCell ref="K84:L84"/>
    <mergeCell ref="K85:L85"/>
    <mergeCell ref="K47:L47"/>
    <mergeCell ref="K48:L48"/>
    <mergeCell ref="K49:L49"/>
    <mergeCell ref="K76:L76"/>
    <mergeCell ref="K74:L74"/>
    <mergeCell ref="K73:L73"/>
    <mergeCell ref="E3:G3"/>
    <mergeCell ref="A1:B2"/>
    <mergeCell ref="C122:D122"/>
    <mergeCell ref="C132:D132"/>
    <mergeCell ref="C149:D149"/>
    <mergeCell ref="C164:D164"/>
    <mergeCell ref="C169:D169"/>
    <mergeCell ref="C178:D178"/>
    <mergeCell ref="C189:D189"/>
    <mergeCell ref="C7:D7"/>
    <mergeCell ref="C10:D10"/>
    <mergeCell ref="C19:D19"/>
    <mergeCell ref="C24:D24"/>
    <mergeCell ref="C35:E35"/>
    <mergeCell ref="C41:E41"/>
    <mergeCell ref="C70:D70"/>
    <mergeCell ref="C82:D82"/>
    <mergeCell ref="C79:E79"/>
    <mergeCell ref="C80:E80"/>
    <mergeCell ref="C72:E72"/>
    <mergeCell ref="C73:E73"/>
    <mergeCell ref="C74:E74"/>
    <mergeCell ref="F47:G47"/>
    <mergeCell ref="F48:G48"/>
  </mergeCells>
  <pageMargins left="0.7" right="0.7" top="0.75" bottom="0.75" header="0.3" footer="0.3"/>
  <pageSetup paperSize="9" orientation="portrait" r:id="rId1"/>
  <ignoredErrors>
    <ignoredError sqref="H94:H95 H124:H125 H180:H181 H208:H209 H134:H135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D2" sqref="D2"/>
    </sheetView>
  </sheetViews>
  <sheetFormatPr defaultRowHeight="12" x14ac:dyDescent="0.25"/>
  <cols>
    <col min="1" max="2" width="9.140625" style="91"/>
    <col min="3" max="3" width="11.5703125" style="91" bestFit="1" customWidth="1"/>
    <col min="4" max="4" width="16.140625" style="91" bestFit="1" customWidth="1"/>
    <col min="5" max="5" width="20.140625" style="91" bestFit="1" customWidth="1"/>
    <col min="6" max="6" width="18.5703125" style="91" bestFit="1" customWidth="1"/>
    <col min="7" max="7" width="9.140625" style="112"/>
    <col min="8" max="8" width="7.28515625" style="112" bestFit="1" customWidth="1"/>
    <col min="9" max="16384" width="9.140625" style="91"/>
  </cols>
  <sheetData>
    <row r="1" spans="1:10" ht="12" customHeight="1" x14ac:dyDescent="0.25">
      <c r="A1" s="342" t="s">
        <v>291</v>
      </c>
      <c r="B1" s="343"/>
      <c r="C1" s="82" t="s">
        <v>45</v>
      </c>
      <c r="D1" s="82" t="s">
        <v>329</v>
      </c>
      <c r="E1" s="82"/>
    </row>
    <row r="2" spans="1:10" ht="12" customHeight="1" x14ac:dyDescent="0.25">
      <c r="A2" s="343"/>
      <c r="B2" s="343"/>
    </row>
    <row r="3" spans="1:10" ht="13.5" x14ac:dyDescent="0.25">
      <c r="C3" s="81" t="s">
        <v>199</v>
      </c>
      <c r="D3" s="81" t="s">
        <v>243</v>
      </c>
      <c r="E3" s="194" t="s">
        <v>242</v>
      </c>
      <c r="F3" s="194" t="s">
        <v>206</v>
      </c>
      <c r="G3" s="93" t="s">
        <v>245</v>
      </c>
      <c r="H3" s="93" t="s">
        <v>246</v>
      </c>
      <c r="I3" s="98"/>
      <c r="J3" s="98"/>
    </row>
    <row r="4" spans="1:10" ht="12.75" thickBot="1" x14ac:dyDescent="0.3">
      <c r="C4" s="98"/>
      <c r="D4" s="98"/>
      <c r="E4" s="98"/>
      <c r="F4" s="98"/>
      <c r="G4" s="127"/>
      <c r="H4" s="127"/>
      <c r="I4" s="98"/>
      <c r="J4" s="98"/>
    </row>
    <row r="5" spans="1:10" x14ac:dyDescent="0.25">
      <c r="B5" s="83">
        <v>25</v>
      </c>
      <c r="C5" s="195"/>
      <c r="D5" s="109"/>
      <c r="E5" s="109"/>
      <c r="F5" s="109"/>
      <c r="G5" s="196"/>
      <c r="H5" s="196"/>
      <c r="I5" s="109"/>
      <c r="J5" s="110"/>
    </row>
    <row r="6" spans="1:10" x14ac:dyDescent="0.25">
      <c r="B6" s="152"/>
      <c r="C6" s="152">
        <v>33</v>
      </c>
      <c r="D6" s="98" t="s">
        <v>200</v>
      </c>
      <c r="E6" s="98" t="s">
        <v>201</v>
      </c>
      <c r="F6" s="197">
        <v>70</v>
      </c>
      <c r="G6" s="127">
        <v>-12.9</v>
      </c>
      <c r="H6" s="198">
        <v>-88.4</v>
      </c>
      <c r="I6" s="98"/>
      <c r="J6" s="150"/>
    </row>
    <row r="7" spans="1:10" x14ac:dyDescent="0.25">
      <c r="B7" s="152"/>
      <c r="C7" s="152">
        <v>36</v>
      </c>
      <c r="D7" s="98" t="s">
        <v>200</v>
      </c>
      <c r="E7" s="98" t="s">
        <v>202</v>
      </c>
      <c r="F7" s="197">
        <v>187.5</v>
      </c>
      <c r="G7" s="199">
        <v>-17</v>
      </c>
      <c r="H7" s="198">
        <v>-118.1</v>
      </c>
      <c r="I7" s="98"/>
      <c r="J7" s="150"/>
    </row>
    <row r="8" spans="1:10" x14ac:dyDescent="0.25">
      <c r="B8" s="152"/>
      <c r="C8" s="152">
        <v>39</v>
      </c>
      <c r="D8" s="98" t="s">
        <v>200</v>
      </c>
      <c r="E8" s="98" t="s">
        <v>203</v>
      </c>
      <c r="F8" s="197">
        <v>28.4</v>
      </c>
      <c r="G8" s="127">
        <v>-16.600000000000001</v>
      </c>
      <c r="H8" s="198">
        <v>-119.1</v>
      </c>
      <c r="I8" s="98"/>
      <c r="J8" s="150"/>
    </row>
    <row r="9" spans="1:10" ht="15.75" customHeight="1" x14ac:dyDescent="0.25">
      <c r="B9" s="152"/>
      <c r="C9" s="152" t="s">
        <v>5</v>
      </c>
      <c r="D9" s="382" t="s">
        <v>195</v>
      </c>
      <c r="E9" s="382"/>
      <c r="F9" s="200">
        <f>SUM(F6:F8)</f>
        <v>285.89999999999998</v>
      </c>
      <c r="G9" s="201">
        <f>((F6*G6)+(F7*G7)+(F8*G8))/(F6+F7+F8)</f>
        <v>-15.956418328086743</v>
      </c>
      <c r="H9" s="202">
        <f>((F6*H6)+(F7*H7)+(F8*H8))/(F6+F7+F8)</f>
        <v>-110.92756208464499</v>
      </c>
      <c r="I9" s="345" t="s">
        <v>223</v>
      </c>
      <c r="J9" s="346"/>
    </row>
    <row r="10" spans="1:10" x14ac:dyDescent="0.25">
      <c r="B10" s="152"/>
      <c r="C10" s="152"/>
      <c r="D10" s="383" t="s">
        <v>196</v>
      </c>
      <c r="E10" s="383"/>
      <c r="F10" s="310">
        <f>AVERAGE(F6:F8)</f>
        <v>95.3</v>
      </c>
      <c r="G10" s="293">
        <f>SQRT(((F6*((G6-G9)^2))+(F7*((G7-G9)^2))+(F8*((G8-G9)^2)))/((3-1/3)*F9))</f>
        <v>1.0681653154316701</v>
      </c>
      <c r="H10" s="294">
        <f>SQRT(((F6*((H6-H9)^2))+(F7*((H7-H9)^2))+(F8*((H8-H9)^2)))/((3-1/3)*F9))</f>
        <v>7.8571735900515653</v>
      </c>
      <c r="I10" s="347" t="s">
        <v>198</v>
      </c>
      <c r="J10" s="348"/>
    </row>
    <row r="11" spans="1:10" ht="12.75" thickBot="1" x14ac:dyDescent="0.3">
      <c r="B11" s="156"/>
      <c r="C11" s="156"/>
      <c r="D11" s="381" t="s">
        <v>197</v>
      </c>
      <c r="E11" s="381"/>
      <c r="F11" s="203">
        <f>MEDIAN(F6:F8)</f>
        <v>70</v>
      </c>
      <c r="G11" s="121">
        <f>SQRT(((G10)^2)+(($G$27)^2))</f>
        <v>1.0728360271221504</v>
      </c>
      <c r="H11" s="122">
        <f>SQRT(((H10)^2)+(($H$27)^2))</f>
        <v>7.920554073055988</v>
      </c>
      <c r="I11" s="349" t="s">
        <v>3</v>
      </c>
      <c r="J11" s="350"/>
    </row>
    <row r="12" spans="1:10" ht="12.75" thickBot="1" x14ac:dyDescent="0.3"/>
    <row r="13" spans="1:10" x14ac:dyDescent="0.25">
      <c r="B13" s="83">
        <v>26</v>
      </c>
      <c r="C13" s="195">
        <v>34</v>
      </c>
      <c r="D13" s="109" t="s">
        <v>204</v>
      </c>
      <c r="E13" s="109" t="s">
        <v>201</v>
      </c>
      <c r="F13" s="109">
        <v>45</v>
      </c>
      <c r="G13" s="196">
        <v>-10.9</v>
      </c>
      <c r="H13" s="196">
        <v>-74.8</v>
      </c>
      <c r="I13" s="109"/>
      <c r="J13" s="110"/>
    </row>
    <row r="14" spans="1:10" x14ac:dyDescent="0.25">
      <c r="B14" s="152"/>
      <c r="C14" s="152">
        <v>37</v>
      </c>
      <c r="D14" s="98" t="s">
        <v>204</v>
      </c>
      <c r="E14" s="98" t="s">
        <v>202</v>
      </c>
      <c r="F14" s="98">
        <v>75</v>
      </c>
      <c r="G14" s="199">
        <v>-16</v>
      </c>
      <c r="H14" s="127">
        <v>-112.4</v>
      </c>
      <c r="I14" s="98"/>
      <c r="J14" s="150"/>
    </row>
    <row r="15" spans="1:10" x14ac:dyDescent="0.25">
      <c r="B15" s="152"/>
      <c r="C15" s="152">
        <v>40</v>
      </c>
      <c r="D15" s="98" t="s">
        <v>204</v>
      </c>
      <c r="E15" s="98" t="s">
        <v>203</v>
      </c>
      <c r="F15" s="98">
        <v>35.4</v>
      </c>
      <c r="G15" s="127">
        <v>-17.3</v>
      </c>
      <c r="H15" s="127">
        <v>-126.7</v>
      </c>
      <c r="I15" s="98"/>
      <c r="J15" s="150"/>
    </row>
    <row r="16" spans="1:10" ht="15.75" customHeight="1" x14ac:dyDescent="0.25">
      <c r="B16" s="152"/>
      <c r="C16" s="152" t="s">
        <v>5</v>
      </c>
      <c r="D16" s="382" t="s">
        <v>195</v>
      </c>
      <c r="E16" s="382"/>
      <c r="F16" s="200">
        <f>SUM(F13:F15)</f>
        <v>155.4</v>
      </c>
      <c r="G16" s="201">
        <f>((F13*G13)+(F14*G14)+(F15*G15))/(F13+F14+F15)</f>
        <v>-14.81930501930502</v>
      </c>
      <c r="H16" s="202">
        <f>((F13*H13)+(F14*H14)+(F15*H15))/(F13+F14+F15)</f>
        <v>-104.76949806949807</v>
      </c>
      <c r="I16" s="345" t="s">
        <v>223</v>
      </c>
      <c r="J16" s="346"/>
    </row>
    <row r="17" spans="2:10" x14ac:dyDescent="0.25">
      <c r="B17" s="152"/>
      <c r="C17" s="152"/>
      <c r="D17" s="383" t="s">
        <v>196</v>
      </c>
      <c r="E17" s="383"/>
      <c r="F17" s="310">
        <f>AVERAGE(F13:F15)</f>
        <v>51.800000000000004</v>
      </c>
      <c r="G17" s="293">
        <f>SQRT(((F13*((G13-G16)^2))+(F14*((G14-G16)^2))+(F15*((G15-G16)^2)))/((3-1/3)*F16))</f>
        <v>1.563984495534841</v>
      </c>
      <c r="H17" s="294">
        <f>SQRT(((F13*((H13-H16)^2))+(F14*((H14-H16)^2))+(F15*((H15-H16)^2)))/((3-1/3)*F16))</f>
        <v>12.212924492692647</v>
      </c>
      <c r="I17" s="347" t="s">
        <v>198</v>
      </c>
      <c r="J17" s="348"/>
    </row>
    <row r="18" spans="2:10" ht="12.75" thickBot="1" x14ac:dyDescent="0.3">
      <c r="B18" s="156"/>
      <c r="C18" s="156"/>
      <c r="D18" s="381" t="s">
        <v>197</v>
      </c>
      <c r="E18" s="381"/>
      <c r="F18" s="203">
        <f>MEDIAN(F13:F15)</f>
        <v>45</v>
      </c>
      <c r="G18" s="121">
        <f>SQRT(((G17)^2)+(($G$27)^2))</f>
        <v>1.567178197357713</v>
      </c>
      <c r="H18" s="122">
        <f>SQRT(((H17)^2)+(($H$27)^2))</f>
        <v>12.253796336817906</v>
      </c>
      <c r="I18" s="349" t="s">
        <v>3</v>
      </c>
      <c r="J18" s="350"/>
    </row>
    <row r="19" spans="2:10" ht="12.75" thickBot="1" x14ac:dyDescent="0.3"/>
    <row r="20" spans="2:10" x14ac:dyDescent="0.25">
      <c r="B20" s="83">
        <v>27</v>
      </c>
      <c r="C20" s="195">
        <v>35</v>
      </c>
      <c r="D20" s="109" t="s">
        <v>205</v>
      </c>
      <c r="E20" s="109" t="s">
        <v>201</v>
      </c>
      <c r="F20" s="109">
        <v>51</v>
      </c>
      <c r="G20" s="204">
        <v>-14</v>
      </c>
      <c r="H20" s="196">
        <v>-95.1</v>
      </c>
      <c r="I20" s="109"/>
      <c r="J20" s="110"/>
    </row>
    <row r="21" spans="2:10" x14ac:dyDescent="0.25">
      <c r="B21" s="152"/>
      <c r="C21" s="152">
        <v>38</v>
      </c>
      <c r="D21" s="98" t="s">
        <v>205</v>
      </c>
      <c r="E21" s="98" t="s">
        <v>202</v>
      </c>
      <c r="F21" s="98">
        <v>165</v>
      </c>
      <c r="G21" s="127">
        <v>-20.100000000000001</v>
      </c>
      <c r="H21" s="127">
        <v>-141</v>
      </c>
      <c r="I21" s="98"/>
      <c r="J21" s="150"/>
    </row>
    <row r="22" spans="2:10" x14ac:dyDescent="0.25">
      <c r="B22" s="152"/>
      <c r="C22" s="152">
        <v>41</v>
      </c>
      <c r="D22" s="98" t="s">
        <v>205</v>
      </c>
      <c r="E22" s="98" t="s">
        <v>203</v>
      </c>
      <c r="F22" s="98">
        <v>19.8</v>
      </c>
      <c r="G22" s="127">
        <v>-15.9</v>
      </c>
      <c r="H22" s="127">
        <v>-114</v>
      </c>
      <c r="I22" s="98"/>
      <c r="J22" s="150"/>
    </row>
    <row r="23" spans="2:10" ht="15.75" customHeight="1" x14ac:dyDescent="0.25">
      <c r="B23" s="152"/>
      <c r="C23" s="152" t="s">
        <v>5</v>
      </c>
      <c r="D23" s="382" t="s">
        <v>195</v>
      </c>
      <c r="E23" s="382"/>
      <c r="F23" s="200">
        <f>SUM(F20:F22)</f>
        <v>235.8</v>
      </c>
      <c r="G23" s="201">
        <f>((F20*G20)+(F21*G21)+(F22*G22))/(F20+F21+F22)</f>
        <v>-18.427989821882953</v>
      </c>
      <c r="H23" s="202">
        <f>((F20*H20)+(F21*H21)+(F22*H22))/(F20+F21+F22)</f>
        <v>-128.80534351145036</v>
      </c>
      <c r="I23" s="345" t="s">
        <v>223</v>
      </c>
      <c r="J23" s="346"/>
    </row>
    <row r="24" spans="2:10" x14ac:dyDescent="0.25">
      <c r="B24" s="152"/>
      <c r="C24" s="152"/>
      <c r="D24" s="383" t="s">
        <v>196</v>
      </c>
      <c r="E24" s="383"/>
      <c r="F24" s="310">
        <f>AVERAGE(F20:F22)</f>
        <v>78.600000000000009</v>
      </c>
      <c r="G24" s="293">
        <f>SQRT(((F20*((G20-G23)^2))+(F21*((G21-G23)^2))+(F22*((G22-G23)^2)))/((3-1/3)*F23))</f>
        <v>1.5890525142646874</v>
      </c>
      <c r="H24" s="294">
        <f>SQRT(((F20*((H20-H23)^2))+(F21*((H21-H23)^2))+(F22*((H22-H23)^2)))/((3-1/3)*F23))</f>
        <v>11.750140440066422</v>
      </c>
      <c r="I24" s="347" t="s">
        <v>198</v>
      </c>
      <c r="J24" s="348"/>
    </row>
    <row r="25" spans="2:10" ht="12.75" thickBot="1" x14ac:dyDescent="0.3">
      <c r="B25" s="156"/>
      <c r="C25" s="156"/>
      <c r="D25" s="381" t="s">
        <v>197</v>
      </c>
      <c r="E25" s="381"/>
      <c r="F25" s="203">
        <f>MEDIAN(F20:F22)</f>
        <v>51</v>
      </c>
      <c r="G25" s="121">
        <f>SQRT(((G24)^2)+(($G$27)^2))</f>
        <v>1.5921959342652914</v>
      </c>
      <c r="H25" s="122">
        <f>SQRT(((H24)^2)+(($H$27)^2))</f>
        <v>11.792616349279085</v>
      </c>
      <c r="I25" s="349" t="s">
        <v>3</v>
      </c>
      <c r="J25" s="350"/>
    </row>
    <row r="27" spans="2:10" x14ac:dyDescent="0.25">
      <c r="F27" s="47" t="s">
        <v>0</v>
      </c>
      <c r="G27" s="133">
        <v>0.1</v>
      </c>
      <c r="H27" s="133">
        <v>1</v>
      </c>
    </row>
    <row r="29" spans="2:10" x14ac:dyDescent="0.25">
      <c r="B29" s="205"/>
    </row>
  </sheetData>
  <mergeCells count="19">
    <mergeCell ref="D11:E11"/>
    <mergeCell ref="D16:E16"/>
    <mergeCell ref="D17:E17"/>
    <mergeCell ref="A1:B2"/>
    <mergeCell ref="D24:E24"/>
    <mergeCell ref="D9:E9"/>
    <mergeCell ref="D10:E10"/>
    <mergeCell ref="D25:E25"/>
    <mergeCell ref="I23:J23"/>
    <mergeCell ref="I24:J24"/>
    <mergeCell ref="I25:J25"/>
    <mergeCell ref="D18:E18"/>
    <mergeCell ref="D23:E23"/>
    <mergeCell ref="I18:J18"/>
    <mergeCell ref="I9:J9"/>
    <mergeCell ref="I11:J11"/>
    <mergeCell ref="I10:J10"/>
    <mergeCell ref="I16:J16"/>
    <mergeCell ref="I17:J1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C2" sqref="C2"/>
    </sheetView>
  </sheetViews>
  <sheetFormatPr defaultRowHeight="12" x14ac:dyDescent="0.25"/>
  <cols>
    <col min="1" max="16384" width="9.140625" style="91"/>
  </cols>
  <sheetData>
    <row r="1" spans="1:10" x14ac:dyDescent="0.25">
      <c r="A1" s="342" t="s">
        <v>294</v>
      </c>
      <c r="B1" s="384"/>
      <c r="C1" s="82" t="s">
        <v>330</v>
      </c>
    </row>
    <row r="2" spans="1:10" x14ac:dyDescent="0.25">
      <c r="A2" s="384"/>
      <c r="B2" s="384"/>
    </row>
    <row r="3" spans="1:10" ht="13.5" x14ac:dyDescent="0.25">
      <c r="C3" s="82" t="s">
        <v>216</v>
      </c>
      <c r="G3" s="93" t="s">
        <v>245</v>
      </c>
      <c r="H3" s="93" t="s">
        <v>246</v>
      </c>
    </row>
    <row r="4" spans="1:10" x14ac:dyDescent="0.25">
      <c r="C4" s="313" t="s">
        <v>217</v>
      </c>
      <c r="D4" s="314"/>
      <c r="E4" s="314"/>
      <c r="F4" s="314"/>
      <c r="G4" s="315">
        <v>-13.4</v>
      </c>
      <c r="H4" s="315">
        <v>-91.05</v>
      </c>
      <c r="I4" s="315" t="s">
        <v>222</v>
      </c>
      <c r="J4" s="316"/>
    </row>
    <row r="5" spans="1:10" x14ac:dyDescent="0.25">
      <c r="C5" s="317" t="s">
        <v>218</v>
      </c>
      <c r="D5" s="98"/>
      <c r="E5" s="98"/>
      <c r="F5" s="98"/>
      <c r="G5" s="99">
        <v>-10.199999999999999</v>
      </c>
      <c r="H5" s="99">
        <v>-63.02</v>
      </c>
      <c r="I5" s="98"/>
      <c r="J5" s="318"/>
    </row>
    <row r="6" spans="1:10" x14ac:dyDescent="0.25">
      <c r="C6" s="317" t="s">
        <v>219</v>
      </c>
      <c r="D6" s="98"/>
      <c r="E6" s="98"/>
      <c r="F6" s="98"/>
      <c r="G6" s="99">
        <v>-10.6</v>
      </c>
      <c r="H6" s="99">
        <v>-73.540000000000006</v>
      </c>
      <c r="I6" s="98"/>
      <c r="J6" s="318"/>
    </row>
    <row r="7" spans="1:10" x14ac:dyDescent="0.25">
      <c r="C7" s="317" t="s">
        <v>220</v>
      </c>
      <c r="D7" s="98"/>
      <c r="E7" s="98"/>
      <c r="F7" s="98"/>
      <c r="G7" s="99">
        <v>-10.1</v>
      </c>
      <c r="H7" s="99">
        <v>-61.25</v>
      </c>
      <c r="I7" s="98"/>
      <c r="J7" s="318"/>
    </row>
    <row r="8" spans="1:10" x14ac:dyDescent="0.25">
      <c r="C8" s="317" t="s">
        <v>221</v>
      </c>
      <c r="D8" s="98"/>
      <c r="E8" s="98"/>
      <c r="F8" s="98"/>
      <c r="G8" s="99">
        <v>-13.6</v>
      </c>
      <c r="H8" s="99">
        <v>-92.32</v>
      </c>
      <c r="I8" s="98"/>
      <c r="J8" s="318"/>
    </row>
    <row r="9" spans="1:10" x14ac:dyDescent="0.25">
      <c r="C9" s="317"/>
      <c r="D9" s="98"/>
      <c r="E9" s="98"/>
      <c r="F9" s="98"/>
      <c r="G9" s="325">
        <f>STDEV(G5:G8)</f>
        <v>1.6640813281407401</v>
      </c>
      <c r="H9" s="311">
        <f>STDEV(H5:H8)</f>
        <v>14.263504419788795</v>
      </c>
      <c r="I9" s="312" t="s">
        <v>198</v>
      </c>
      <c r="J9" s="319"/>
    </row>
    <row r="10" spans="1:10" x14ac:dyDescent="0.25">
      <c r="C10" s="320"/>
      <c r="D10" s="321"/>
      <c r="E10" s="321"/>
      <c r="F10" s="321"/>
      <c r="G10" s="326">
        <f>SQRT(((G9)^2)+((G12)^2))</f>
        <v>1.6708281379802798</v>
      </c>
      <c r="H10" s="322">
        <f>SQRT(((H9)^2)+((H12)^2))</f>
        <v>14.403039899039872</v>
      </c>
      <c r="I10" s="323" t="s">
        <v>3</v>
      </c>
      <c r="J10" s="324"/>
    </row>
    <row r="11" spans="1:10" x14ac:dyDescent="0.25">
      <c r="G11" s="123"/>
      <c r="H11" s="124"/>
      <c r="I11" s="262"/>
      <c r="J11" s="262"/>
    </row>
    <row r="12" spans="1:10" x14ac:dyDescent="0.25">
      <c r="E12" s="47" t="s">
        <v>0</v>
      </c>
      <c r="F12" s="47"/>
      <c r="G12" s="133">
        <v>0.15</v>
      </c>
      <c r="H12" s="133">
        <v>2</v>
      </c>
    </row>
    <row r="16" spans="1:10" x14ac:dyDescent="0.25">
      <c r="B16" s="98"/>
      <c r="C16" s="98"/>
      <c r="D16" s="263" t="s">
        <v>57</v>
      </c>
      <c r="E16" s="265">
        <v>36</v>
      </c>
      <c r="F16" s="249" t="s">
        <v>295</v>
      </c>
      <c r="G16" s="98"/>
    </row>
    <row r="17" spans="2:7" x14ac:dyDescent="0.25">
      <c r="B17" s="264"/>
      <c r="C17" s="264"/>
      <c r="D17" s="264" t="s">
        <v>297</v>
      </c>
      <c r="E17" s="265">
        <v>14.3</v>
      </c>
      <c r="F17" s="98" t="s">
        <v>298</v>
      </c>
      <c r="G17" s="98"/>
    </row>
  </sheetData>
  <mergeCells count="1">
    <mergeCell ref="A1:B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opLeftCell="A13" workbookViewId="0">
      <selection activeCell="P16" sqref="P16"/>
    </sheetView>
  </sheetViews>
  <sheetFormatPr defaultRowHeight="15" x14ac:dyDescent="0.25"/>
  <cols>
    <col min="3" max="3" width="22.7109375" bestFit="1" customWidth="1"/>
    <col min="5" max="5" width="14.85546875" bestFit="1" customWidth="1"/>
    <col min="6" max="6" width="10.7109375" bestFit="1" customWidth="1"/>
    <col min="8" max="9" width="11.140625" bestFit="1" customWidth="1"/>
  </cols>
  <sheetData>
    <row r="1" spans="1:14" ht="15" customHeight="1" x14ac:dyDescent="0.25">
      <c r="A1" s="342" t="s">
        <v>313</v>
      </c>
      <c r="B1" s="343"/>
      <c r="C1" s="82" t="s">
        <v>331</v>
      </c>
    </row>
    <row r="2" spans="1:14" x14ac:dyDescent="0.25">
      <c r="A2" s="343"/>
      <c r="B2" s="343"/>
    </row>
    <row r="4" spans="1:14" x14ac:dyDescent="0.25">
      <c r="C4" s="273" t="s">
        <v>301</v>
      </c>
      <c r="D4" s="273" t="s">
        <v>302</v>
      </c>
      <c r="E4" s="273" t="s">
        <v>303</v>
      </c>
      <c r="F4" s="273" t="s">
        <v>304</v>
      </c>
      <c r="G4" s="273" t="s">
        <v>314</v>
      </c>
      <c r="H4" s="93" t="s">
        <v>245</v>
      </c>
      <c r="I4" s="93" t="s">
        <v>246</v>
      </c>
    </row>
    <row r="5" spans="1:14" x14ac:dyDescent="0.25">
      <c r="D5" s="272"/>
      <c r="E5" s="272" t="s">
        <v>305</v>
      </c>
      <c r="G5" s="272" t="s">
        <v>306</v>
      </c>
      <c r="H5" t="s">
        <v>307</v>
      </c>
      <c r="I5" t="s">
        <v>307</v>
      </c>
    </row>
    <row r="6" spans="1:14" ht="15.75" thickBot="1" x14ac:dyDescent="0.3">
      <c r="D6" s="272"/>
    </row>
    <row r="7" spans="1:14" x14ac:dyDescent="0.25">
      <c r="B7" s="83">
        <v>29</v>
      </c>
      <c r="C7" s="274" t="s">
        <v>308</v>
      </c>
      <c r="D7" s="275" t="s">
        <v>309</v>
      </c>
      <c r="E7" s="274">
        <v>4040</v>
      </c>
      <c r="F7" s="276">
        <v>38014</v>
      </c>
      <c r="G7" s="274">
        <v>0.6</v>
      </c>
      <c r="H7" s="274">
        <v>-2.23</v>
      </c>
      <c r="I7" s="274">
        <v>-8.8000000000000007</v>
      </c>
      <c r="J7" s="274"/>
      <c r="K7" s="274"/>
      <c r="L7" s="274"/>
      <c r="M7" s="274"/>
      <c r="N7" s="277"/>
    </row>
    <row r="8" spans="1:14" x14ac:dyDescent="0.25">
      <c r="B8" s="152"/>
      <c r="C8" s="278" t="s">
        <v>308</v>
      </c>
      <c r="D8" s="279" t="s">
        <v>309</v>
      </c>
      <c r="E8" s="278">
        <v>4040</v>
      </c>
      <c r="F8" s="280">
        <v>38051</v>
      </c>
      <c r="G8" s="278"/>
      <c r="H8" s="339"/>
      <c r="I8" s="339"/>
      <c r="J8" s="281" t="s">
        <v>316</v>
      </c>
      <c r="K8" s="278"/>
      <c r="L8" s="278"/>
      <c r="M8" s="278"/>
      <c r="N8" s="282"/>
    </row>
    <row r="9" spans="1:14" x14ac:dyDescent="0.25">
      <c r="B9" s="152"/>
      <c r="C9" s="278" t="s">
        <v>308</v>
      </c>
      <c r="D9" s="279" t="s">
        <v>309</v>
      </c>
      <c r="E9" s="278">
        <v>4040</v>
      </c>
      <c r="F9" s="278" t="s">
        <v>310</v>
      </c>
      <c r="G9" s="278">
        <v>26</v>
      </c>
      <c r="H9" s="278">
        <v>-6.32</v>
      </c>
      <c r="I9" s="278">
        <v>-32.9</v>
      </c>
      <c r="J9" s="278"/>
      <c r="K9" s="278"/>
      <c r="L9" s="278"/>
      <c r="M9" s="278"/>
      <c r="N9" s="282"/>
    </row>
    <row r="10" spans="1:14" x14ac:dyDescent="0.25">
      <c r="B10" s="152"/>
      <c r="C10" s="278"/>
      <c r="D10" s="279"/>
      <c r="E10" s="382" t="s">
        <v>195</v>
      </c>
      <c r="F10" s="382"/>
      <c r="G10" s="200">
        <f>SUM(G7:G9)</f>
        <v>26.6</v>
      </c>
      <c r="H10" s="328">
        <f>((G7*H7)+(G8*H8)+(G9*H9))/(G7+G8+G9)</f>
        <v>-6.2277443609022551</v>
      </c>
      <c r="I10" s="329">
        <f>((G7*I7)+(G8*I8)+(G9*I9))/(G7+G8+G9)</f>
        <v>-32.356390977443603</v>
      </c>
      <c r="J10" s="330" t="s">
        <v>223</v>
      </c>
      <c r="K10" s="330"/>
      <c r="L10" s="278"/>
      <c r="M10" s="278"/>
      <c r="N10" s="282"/>
    </row>
    <row r="11" spans="1:14" x14ac:dyDescent="0.25">
      <c r="B11" s="152"/>
      <c r="C11" s="278"/>
      <c r="D11" s="279"/>
      <c r="E11" s="383" t="s">
        <v>196</v>
      </c>
      <c r="F11" s="383"/>
      <c r="G11" s="327">
        <f>AVERAGE(G7:G9)</f>
        <v>13.3</v>
      </c>
      <c r="H11" s="334">
        <f>SQRT(((G7*((H7-H10)^2))+(G8*((H8-H10)^2))+(G9*((H9-H10)^2)))/((2-1/2)*G10))</f>
        <v>0.49585916076001602</v>
      </c>
      <c r="I11" s="335">
        <f>SQRT(((G7*((I7-I10)^2))+(G8*((I8-I10)^2))+(G9*((I9-I10)^2)))/((2-1/2)*G10))</f>
        <v>2.9218107027668423</v>
      </c>
      <c r="J11" s="336" t="s">
        <v>198</v>
      </c>
      <c r="K11" s="336"/>
      <c r="L11" s="278"/>
      <c r="M11" s="278"/>
      <c r="N11" s="282"/>
    </row>
    <row r="12" spans="1:14" ht="15.75" thickBot="1" x14ac:dyDescent="0.3">
      <c r="B12" s="156"/>
      <c r="C12" s="283"/>
      <c r="D12" s="284"/>
      <c r="E12" s="381" t="s">
        <v>197</v>
      </c>
      <c r="F12" s="381"/>
      <c r="G12" s="203">
        <f>MEDIAN(G7:G9)</f>
        <v>13.299999999999999</v>
      </c>
      <c r="H12" s="331">
        <f>SQRT(((H11)^2)+(($H$30)^2))</f>
        <v>0.49837366233542818</v>
      </c>
      <c r="I12" s="332">
        <f>SQRT(((I11)^2)+(($I$30)^2))</f>
        <v>3.08819976407014</v>
      </c>
      <c r="J12" s="333" t="s">
        <v>3</v>
      </c>
      <c r="K12" s="333"/>
      <c r="L12" s="283"/>
      <c r="M12" s="283"/>
      <c r="N12" s="285"/>
    </row>
    <row r="13" spans="1:14" ht="15.75" thickBot="1" x14ac:dyDescent="0.3">
      <c r="B13" s="98"/>
      <c r="D13" s="272"/>
    </row>
    <row r="14" spans="1:14" x14ac:dyDescent="0.25">
      <c r="B14" s="83">
        <v>30</v>
      </c>
      <c r="C14" s="274" t="s">
        <v>311</v>
      </c>
      <c r="D14" s="275" t="s">
        <v>309</v>
      </c>
      <c r="E14" s="274">
        <v>4426</v>
      </c>
      <c r="F14" s="276">
        <v>38014</v>
      </c>
      <c r="G14" s="274">
        <v>3.5</v>
      </c>
      <c r="H14" s="274">
        <v>-5.0599999999999996</v>
      </c>
      <c r="I14" s="274">
        <v>-21.7</v>
      </c>
      <c r="J14" s="274"/>
      <c r="K14" s="274"/>
      <c r="L14" s="274"/>
      <c r="M14" s="274"/>
      <c r="N14" s="277"/>
    </row>
    <row r="15" spans="1:14" x14ac:dyDescent="0.25">
      <c r="B15" s="286"/>
      <c r="C15" s="278" t="s">
        <v>311</v>
      </c>
      <c r="D15" s="279" t="s">
        <v>309</v>
      </c>
      <c r="E15" s="278">
        <v>4426</v>
      </c>
      <c r="F15" s="280">
        <v>38051</v>
      </c>
      <c r="G15" s="278">
        <v>36</v>
      </c>
      <c r="H15" s="278">
        <v>-10.31</v>
      </c>
      <c r="I15" s="278">
        <v>-64.900000000000006</v>
      </c>
      <c r="J15" s="278"/>
      <c r="K15" s="278"/>
      <c r="L15" s="278"/>
      <c r="M15" s="278"/>
      <c r="N15" s="282"/>
    </row>
    <row r="16" spans="1:14" x14ac:dyDescent="0.25">
      <c r="B16" s="286"/>
      <c r="C16" s="278" t="s">
        <v>311</v>
      </c>
      <c r="D16" s="279" t="s">
        <v>309</v>
      </c>
      <c r="E16" s="278">
        <v>4426</v>
      </c>
      <c r="F16" s="278" t="s">
        <v>310</v>
      </c>
      <c r="G16" s="278">
        <v>46</v>
      </c>
      <c r="H16" s="278">
        <v>-7.9</v>
      </c>
      <c r="I16" s="278">
        <v>-43</v>
      </c>
      <c r="J16" s="278"/>
      <c r="K16" s="278"/>
      <c r="L16" s="278"/>
      <c r="M16" s="278"/>
      <c r="N16" s="282"/>
    </row>
    <row r="17" spans="2:14" x14ac:dyDescent="0.25">
      <c r="B17" s="286"/>
      <c r="C17" s="278"/>
      <c r="D17" s="279"/>
      <c r="E17" s="382" t="s">
        <v>195</v>
      </c>
      <c r="F17" s="382"/>
      <c r="G17" s="200">
        <f>SUM(G14:G16)</f>
        <v>85.5</v>
      </c>
      <c r="H17" s="328">
        <f>((G14*H14)+(G15*H15)+(G16*H16))/(G14+G15+G16)</f>
        <v>-8.7984795321637428</v>
      </c>
      <c r="I17" s="329">
        <f>((G14*I14)+(G15*I15)+(G16*I16))/(G14+G15+G16)</f>
        <v>-51.349122807017551</v>
      </c>
      <c r="J17" s="330" t="s">
        <v>223</v>
      </c>
      <c r="K17" s="330"/>
      <c r="L17" s="278"/>
      <c r="M17" s="278"/>
      <c r="N17" s="282"/>
    </row>
    <row r="18" spans="2:14" x14ac:dyDescent="0.25">
      <c r="B18" s="286"/>
      <c r="C18" s="278"/>
      <c r="D18" s="279"/>
      <c r="E18" s="383" t="s">
        <v>196</v>
      </c>
      <c r="F18" s="383"/>
      <c r="G18" s="327">
        <f>AVERAGE(G14:G16)</f>
        <v>28.5</v>
      </c>
      <c r="H18" s="334">
        <f>SQRT(((G14*((H14-H17)^2))+(G15*((H15-H17)^2))+(G16*((H16-H17)^2)))/((3-1/3)*G17))</f>
        <v>0.85916116357550132</v>
      </c>
      <c r="I18" s="335">
        <f>SQRT(((G14*((I14-I17)^2))+(G15*((I15-I17)^2))+(G16*((I16-I17)^2)))/((3-1/3)*G17))</f>
        <v>7.5201057069052322</v>
      </c>
      <c r="J18" s="336" t="s">
        <v>198</v>
      </c>
      <c r="K18" s="336"/>
      <c r="L18" s="278"/>
      <c r="M18" s="278"/>
      <c r="N18" s="282"/>
    </row>
    <row r="19" spans="2:14" ht="15.75" thickBot="1" x14ac:dyDescent="0.3">
      <c r="B19" s="287"/>
      <c r="C19" s="283"/>
      <c r="D19" s="284"/>
      <c r="E19" s="381" t="s">
        <v>197</v>
      </c>
      <c r="F19" s="381"/>
      <c r="G19" s="203">
        <f>MEDIAN(G14:G16)</f>
        <v>36</v>
      </c>
      <c r="H19" s="331">
        <f>SQRT(((H18)^2)+(($H$30)^2))</f>
        <v>0.86061484125967136</v>
      </c>
      <c r="I19" s="332">
        <f>SQRT(((I18)^2)+(($I$30)^2))</f>
        <v>7.5863027782331915</v>
      </c>
      <c r="J19" s="333" t="s">
        <v>3</v>
      </c>
      <c r="K19" s="333"/>
      <c r="L19" s="283"/>
      <c r="M19" s="283"/>
      <c r="N19" s="285"/>
    </row>
    <row r="20" spans="2:14" ht="15.75" thickBot="1" x14ac:dyDescent="0.3">
      <c r="D20" s="272"/>
      <c r="E20" s="269"/>
      <c r="F20" s="269"/>
      <c r="G20" s="270"/>
      <c r="H20" s="268"/>
      <c r="I20" s="268"/>
    </row>
    <row r="21" spans="2:14" x14ac:dyDescent="0.25">
      <c r="B21" s="83">
        <v>31</v>
      </c>
      <c r="C21" s="274" t="s">
        <v>312</v>
      </c>
      <c r="D21" s="275" t="s">
        <v>309</v>
      </c>
      <c r="E21" s="274">
        <v>3900</v>
      </c>
      <c r="F21" s="276">
        <v>38014</v>
      </c>
      <c r="G21" s="274">
        <v>3</v>
      </c>
      <c r="H21" s="274">
        <v>-1.84</v>
      </c>
      <c r="I21" s="274">
        <v>0.4</v>
      </c>
      <c r="J21" s="274"/>
      <c r="K21" s="274"/>
      <c r="L21" s="274"/>
      <c r="M21" s="274"/>
      <c r="N21" s="277"/>
    </row>
    <row r="22" spans="2:14" x14ac:dyDescent="0.25">
      <c r="B22" s="286"/>
      <c r="C22" s="278" t="s">
        <v>312</v>
      </c>
      <c r="D22" s="279" t="s">
        <v>309</v>
      </c>
      <c r="E22" s="278">
        <v>3900</v>
      </c>
      <c r="F22" s="280">
        <v>38051</v>
      </c>
      <c r="G22" s="278">
        <v>20</v>
      </c>
      <c r="H22" s="278">
        <v>-5.71</v>
      </c>
      <c r="I22" s="278">
        <v>-36.9</v>
      </c>
      <c r="J22" s="278"/>
      <c r="K22" s="278"/>
      <c r="L22" s="278"/>
      <c r="M22" s="278"/>
      <c r="N22" s="282"/>
    </row>
    <row r="23" spans="2:14" x14ac:dyDescent="0.25">
      <c r="B23" s="286"/>
      <c r="C23" s="278" t="s">
        <v>312</v>
      </c>
      <c r="D23" s="279" t="s">
        <v>309</v>
      </c>
      <c r="E23" s="278">
        <v>3900</v>
      </c>
      <c r="F23" s="280">
        <v>38110</v>
      </c>
      <c r="G23" s="278"/>
      <c r="H23" s="339"/>
      <c r="I23" s="339"/>
      <c r="J23" s="281" t="s">
        <v>316</v>
      </c>
      <c r="K23" s="278"/>
      <c r="L23" s="278"/>
      <c r="M23" s="278"/>
      <c r="N23" s="282"/>
    </row>
    <row r="24" spans="2:14" x14ac:dyDescent="0.25">
      <c r="B24" s="286"/>
      <c r="C24" s="278" t="s">
        <v>312</v>
      </c>
      <c r="D24" s="279" t="s">
        <v>309</v>
      </c>
      <c r="E24" s="278">
        <v>3900</v>
      </c>
      <c r="F24" s="278" t="s">
        <v>310</v>
      </c>
      <c r="G24" s="278">
        <v>42</v>
      </c>
      <c r="H24" s="278">
        <v>-6.44</v>
      </c>
      <c r="I24" s="278">
        <v>-36.700000000000003</v>
      </c>
      <c r="J24" s="278"/>
      <c r="K24" s="278"/>
      <c r="L24" s="278"/>
      <c r="M24" s="278"/>
      <c r="N24" s="282"/>
    </row>
    <row r="25" spans="2:14" x14ac:dyDescent="0.25">
      <c r="B25" s="286"/>
      <c r="C25" s="278"/>
      <c r="D25" s="278"/>
      <c r="E25" s="382" t="s">
        <v>195</v>
      </c>
      <c r="F25" s="382"/>
      <c r="G25" s="200">
        <f>SUM(G21:G24)</f>
        <v>65</v>
      </c>
      <c r="H25" s="328">
        <f>((G21*H21)+(G22*H22)+(G23*H23)+(G24*H24))/(G21+G22+G23+G24)</f>
        <v>-6.0030769230769234</v>
      </c>
      <c r="I25" s="329">
        <f>((H21*I21)+(H22*I22)+(H23*I23)+(H24*I24))/(H21+H22+H23+H24)</f>
        <v>-31.90214438884918</v>
      </c>
      <c r="J25" s="330" t="s">
        <v>223</v>
      </c>
      <c r="K25" s="330"/>
      <c r="L25" s="278"/>
      <c r="M25" s="278"/>
      <c r="N25" s="282"/>
    </row>
    <row r="26" spans="2:14" x14ac:dyDescent="0.25">
      <c r="B26" s="286"/>
      <c r="C26" s="278"/>
      <c r="D26" s="278"/>
      <c r="E26" s="383" t="s">
        <v>196</v>
      </c>
      <c r="F26" s="383"/>
      <c r="G26" s="327">
        <f>AVERAGE(G21:G24)</f>
        <v>21.666666666666668</v>
      </c>
      <c r="H26" s="334">
        <f>SQRT(((G21*((H21-H25)^2))+(G22*((H22-H25)^2))+(G23*((H23-H25)^2))+(G24*((H24-H25)^2)))/((4-1/4)*G25))</f>
        <v>0.50323827099739715</v>
      </c>
      <c r="I26" s="335">
        <f>SQRT(((G21*((I21-I25)^2))+(G22*((I22-I25)^2))+(G23*((I23-I25)^2))+(G24*((I24-I25)^2)))/((4-1/4)*G25))</f>
        <v>4.3425963573036794</v>
      </c>
      <c r="J26" s="336" t="s">
        <v>198</v>
      </c>
      <c r="K26" s="336"/>
      <c r="L26" s="278"/>
      <c r="M26" s="278"/>
      <c r="N26" s="282"/>
    </row>
    <row r="27" spans="2:14" ht="15.75" thickBot="1" x14ac:dyDescent="0.3">
      <c r="B27" s="287"/>
      <c r="C27" s="283"/>
      <c r="D27" s="283"/>
      <c r="E27" s="381" t="s">
        <v>197</v>
      </c>
      <c r="F27" s="381"/>
      <c r="G27" s="203">
        <f>MEDIAN(G21:G24)</f>
        <v>20</v>
      </c>
      <c r="H27" s="331">
        <f>SQRT(((H26)^2)+(($H$30)^2))</f>
        <v>0.50571608378263955</v>
      </c>
      <c r="I27" s="332">
        <f>SQRT(((I26)^2)+(($I$30)^2))</f>
        <v>4.4562476504865822</v>
      </c>
      <c r="J27" s="333" t="s">
        <v>3</v>
      </c>
      <c r="K27" s="333"/>
      <c r="L27" s="283"/>
      <c r="M27" s="283"/>
      <c r="N27" s="285"/>
    </row>
    <row r="29" spans="2:14" x14ac:dyDescent="0.25">
      <c r="L29">
        <f>-P2</f>
        <v>0</v>
      </c>
    </row>
    <row r="30" spans="2:14" x14ac:dyDescent="0.25">
      <c r="E30" s="271" t="s">
        <v>0</v>
      </c>
      <c r="F30" s="271"/>
      <c r="G30" s="271"/>
      <c r="H30" s="271">
        <v>0.05</v>
      </c>
      <c r="I30" s="271">
        <v>1</v>
      </c>
    </row>
  </sheetData>
  <mergeCells count="10">
    <mergeCell ref="E25:F25"/>
    <mergeCell ref="E26:F26"/>
    <mergeCell ref="E27:F27"/>
    <mergeCell ref="A1:B2"/>
    <mergeCell ref="E10:F10"/>
    <mergeCell ref="E11:F11"/>
    <mergeCell ref="E12:F12"/>
    <mergeCell ref="E17:F17"/>
    <mergeCell ref="E18:F18"/>
    <mergeCell ref="E19:F1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workbookViewId="0">
      <selection activeCell="M52" sqref="M52"/>
    </sheetView>
  </sheetViews>
  <sheetFormatPr defaultRowHeight="12" x14ac:dyDescent="0.25"/>
  <cols>
    <col min="1" max="1" width="9.140625" style="232"/>
    <col min="2" max="2" width="11.7109375" style="232" bestFit="1" customWidth="1"/>
    <col min="3" max="3" width="9.140625" style="233"/>
    <col min="4" max="4" width="14.28515625" style="233" bestFit="1" customWidth="1"/>
    <col min="5" max="5" width="13.5703125" style="233" bestFit="1" customWidth="1"/>
    <col min="6" max="6" width="10.5703125" style="233" bestFit="1" customWidth="1"/>
    <col min="7" max="7" width="9.85546875" style="233" bestFit="1" customWidth="1"/>
    <col min="8" max="8" width="18.5703125" style="233" bestFit="1" customWidth="1"/>
    <col min="9" max="9" width="14.85546875" style="233" bestFit="1" customWidth="1"/>
    <col min="10" max="10" width="15.28515625" style="233" bestFit="1" customWidth="1"/>
    <col min="11" max="11" width="11" style="233" bestFit="1" customWidth="1"/>
    <col min="12" max="16384" width="9.140625" style="232"/>
  </cols>
  <sheetData>
    <row r="1" spans="1:11" ht="12" customHeight="1" x14ac:dyDescent="0.25">
      <c r="A1" s="342" t="s">
        <v>300</v>
      </c>
      <c r="B1" s="343"/>
      <c r="C1" s="255" t="s">
        <v>332</v>
      </c>
    </row>
    <row r="2" spans="1:11" ht="12" customHeight="1" x14ac:dyDescent="0.25">
      <c r="A2" s="343"/>
      <c r="B2" s="343"/>
    </row>
    <row r="5" spans="1:11" s="256" customFormat="1" x14ac:dyDescent="0.25">
      <c r="B5" s="257" t="s">
        <v>261</v>
      </c>
      <c r="C5" s="257" t="s">
        <v>207</v>
      </c>
      <c r="D5" s="257" t="s">
        <v>208</v>
      </c>
      <c r="E5" s="257" t="s">
        <v>209</v>
      </c>
      <c r="F5" s="257" t="s">
        <v>210</v>
      </c>
      <c r="G5" s="257" t="s">
        <v>211</v>
      </c>
      <c r="H5" s="257" t="s">
        <v>212</v>
      </c>
      <c r="I5" s="257" t="s">
        <v>213</v>
      </c>
      <c r="J5" s="257" t="s">
        <v>214</v>
      </c>
      <c r="K5" s="257" t="s">
        <v>215</v>
      </c>
    </row>
    <row r="6" spans="1:11" x14ac:dyDescent="0.25">
      <c r="B6" s="337">
        <v>1988</v>
      </c>
      <c r="C6" s="338">
        <v>7</v>
      </c>
      <c r="D6" s="338">
        <v>-3.2</v>
      </c>
      <c r="E6" s="338">
        <v>-36</v>
      </c>
      <c r="F6" s="233">
        <v>-3.2</v>
      </c>
      <c r="G6" s="233">
        <v>-36</v>
      </c>
      <c r="H6" s="233">
        <v>-10.4</v>
      </c>
      <c r="I6" s="233">
        <v>-10.4</v>
      </c>
      <c r="J6" s="233">
        <v>13.1</v>
      </c>
      <c r="K6" s="233">
        <v>12.8</v>
      </c>
    </row>
    <row r="7" spans="1:11" x14ac:dyDescent="0.25">
      <c r="B7" s="337"/>
      <c r="C7" s="338"/>
      <c r="D7" s="338" t="s">
        <v>264</v>
      </c>
      <c r="E7" s="338" t="s">
        <v>264</v>
      </c>
      <c r="F7" s="233" t="s">
        <v>265</v>
      </c>
      <c r="G7" s="233" t="s">
        <v>265</v>
      </c>
      <c r="H7" s="233" t="s">
        <v>264</v>
      </c>
      <c r="I7" s="233" t="s">
        <v>265</v>
      </c>
      <c r="J7" s="233" t="s">
        <v>263</v>
      </c>
      <c r="K7" s="233" t="s">
        <v>263</v>
      </c>
    </row>
    <row r="8" spans="1:11" x14ac:dyDescent="0.25">
      <c r="B8" s="337">
        <v>1989</v>
      </c>
      <c r="C8" s="338">
        <v>59</v>
      </c>
      <c r="D8" s="338">
        <v>-0.6</v>
      </c>
      <c r="E8" s="338">
        <v>-4</v>
      </c>
      <c r="F8" s="233">
        <v>-0.6</v>
      </c>
      <c r="G8" s="233">
        <v>-4</v>
      </c>
      <c r="H8" s="233">
        <v>0.8</v>
      </c>
      <c r="I8" s="233">
        <v>0.8</v>
      </c>
      <c r="J8" s="233">
        <v>13.7</v>
      </c>
      <c r="K8" s="233">
        <v>13.2</v>
      </c>
    </row>
    <row r="9" spans="1:11" x14ac:dyDescent="0.25">
      <c r="B9" s="337"/>
      <c r="C9" s="338"/>
      <c r="D9" s="338" t="s">
        <v>266</v>
      </c>
      <c r="E9" s="338" t="s">
        <v>266</v>
      </c>
      <c r="F9" s="233" t="s">
        <v>265</v>
      </c>
      <c r="G9" s="233" t="s">
        <v>265</v>
      </c>
      <c r="H9" s="233" t="s">
        <v>266</v>
      </c>
      <c r="I9" s="233" t="s">
        <v>265</v>
      </c>
      <c r="J9" s="233" t="s">
        <v>263</v>
      </c>
      <c r="K9" s="233" t="s">
        <v>263</v>
      </c>
    </row>
    <row r="10" spans="1:11" x14ac:dyDescent="0.25">
      <c r="B10" s="252">
        <v>1990</v>
      </c>
      <c r="C10" s="253">
        <v>16</v>
      </c>
      <c r="D10" s="253">
        <v>-6.9</v>
      </c>
      <c r="E10" s="253">
        <v>-49</v>
      </c>
      <c r="F10" s="233">
        <v>-6.9</v>
      </c>
      <c r="G10" s="233">
        <v>-49</v>
      </c>
      <c r="H10" s="233">
        <v>6.2</v>
      </c>
      <c r="I10" s="233">
        <v>6.2</v>
      </c>
      <c r="J10" s="233">
        <v>13.2</v>
      </c>
      <c r="K10" s="233">
        <v>12.2</v>
      </c>
    </row>
    <row r="11" spans="1:11" x14ac:dyDescent="0.25">
      <c r="D11" s="233" t="s">
        <v>267</v>
      </c>
      <c r="E11" s="233" t="s">
        <v>267</v>
      </c>
      <c r="F11" s="233" t="s">
        <v>265</v>
      </c>
      <c r="G11" s="233" t="s">
        <v>265</v>
      </c>
      <c r="H11" s="233" t="s">
        <v>267</v>
      </c>
      <c r="I11" s="233" t="s">
        <v>265</v>
      </c>
      <c r="J11" s="233" t="s">
        <v>263</v>
      </c>
      <c r="K11" s="233" t="s">
        <v>263</v>
      </c>
    </row>
    <row r="12" spans="1:11" x14ac:dyDescent="0.25">
      <c r="B12" s="252">
        <v>1991</v>
      </c>
      <c r="C12" s="253">
        <v>106</v>
      </c>
      <c r="D12" s="253">
        <v>-7.96</v>
      </c>
      <c r="E12" s="253">
        <v>-55</v>
      </c>
      <c r="F12" s="233">
        <v>-7.96</v>
      </c>
      <c r="G12" s="233">
        <v>-55</v>
      </c>
      <c r="H12" s="233">
        <v>8.6999999999999993</v>
      </c>
      <c r="I12" s="233">
        <v>8.6999999999999993</v>
      </c>
      <c r="J12" s="233">
        <v>13.9</v>
      </c>
      <c r="K12" s="233">
        <v>13.2</v>
      </c>
    </row>
    <row r="13" spans="1:11" x14ac:dyDescent="0.25">
      <c r="D13" s="233" t="s">
        <v>268</v>
      </c>
      <c r="E13" s="233" t="s">
        <v>268</v>
      </c>
      <c r="F13" s="233" t="s">
        <v>265</v>
      </c>
      <c r="G13" s="233" t="s">
        <v>265</v>
      </c>
      <c r="H13" s="233" t="s">
        <v>268</v>
      </c>
      <c r="I13" s="233" t="s">
        <v>265</v>
      </c>
      <c r="J13" s="233" t="s">
        <v>263</v>
      </c>
      <c r="K13" s="233" t="s">
        <v>263</v>
      </c>
    </row>
    <row r="14" spans="1:11" x14ac:dyDescent="0.25">
      <c r="B14" s="252">
        <v>1992</v>
      </c>
      <c r="C14" s="253">
        <v>195</v>
      </c>
      <c r="D14" s="253">
        <v>-5.7</v>
      </c>
      <c r="E14" s="253">
        <v>-30.7</v>
      </c>
      <c r="F14" s="233">
        <v>-5.7</v>
      </c>
      <c r="G14" s="233">
        <v>-30.7</v>
      </c>
      <c r="H14" s="233">
        <v>14.9</v>
      </c>
      <c r="I14" s="233">
        <v>14.9</v>
      </c>
      <c r="J14" s="233">
        <v>13.9</v>
      </c>
      <c r="K14" s="233">
        <v>13.4</v>
      </c>
    </row>
    <row r="15" spans="1:11" x14ac:dyDescent="0.25">
      <c r="D15" s="233" t="s">
        <v>270</v>
      </c>
      <c r="E15" s="233" t="s">
        <v>270</v>
      </c>
      <c r="F15" s="233" t="s">
        <v>265</v>
      </c>
      <c r="G15" s="233" t="s">
        <v>265</v>
      </c>
      <c r="H15" s="233" t="s">
        <v>270</v>
      </c>
      <c r="I15" s="233" t="s">
        <v>265</v>
      </c>
      <c r="J15" s="233" t="s">
        <v>263</v>
      </c>
      <c r="K15" s="233" t="s">
        <v>263</v>
      </c>
    </row>
    <row r="16" spans="1:11" x14ac:dyDescent="0.25">
      <c r="B16" s="232">
        <v>1993</v>
      </c>
      <c r="C16" s="233">
        <v>64.599999999999994</v>
      </c>
      <c r="D16" s="233" t="s">
        <v>262</v>
      </c>
      <c r="E16" s="233" t="s">
        <v>262</v>
      </c>
      <c r="F16" s="233" t="s">
        <v>262</v>
      </c>
      <c r="G16" s="233" t="s">
        <v>262</v>
      </c>
      <c r="H16" s="233" t="s">
        <v>262</v>
      </c>
      <c r="I16" s="233" t="s">
        <v>262</v>
      </c>
      <c r="J16" s="233">
        <v>13.5</v>
      </c>
      <c r="K16" s="233">
        <v>12.8</v>
      </c>
    </row>
    <row r="17" spans="2:11" x14ac:dyDescent="0.25">
      <c r="J17" s="233" t="s">
        <v>263</v>
      </c>
      <c r="K17" s="233" t="s">
        <v>263</v>
      </c>
    </row>
    <row r="18" spans="2:11" x14ac:dyDescent="0.25">
      <c r="B18" s="232">
        <v>1994</v>
      </c>
      <c r="C18" s="233">
        <v>42.1</v>
      </c>
      <c r="D18" s="233" t="s">
        <v>262</v>
      </c>
      <c r="E18" s="233" t="s">
        <v>262</v>
      </c>
      <c r="F18" s="233" t="s">
        <v>262</v>
      </c>
      <c r="G18" s="233" t="s">
        <v>262</v>
      </c>
      <c r="H18" s="233" t="s">
        <v>262</v>
      </c>
      <c r="I18" s="233" t="s">
        <v>262</v>
      </c>
      <c r="J18" s="233">
        <v>13.7</v>
      </c>
      <c r="K18" s="233">
        <v>12.8</v>
      </c>
    </row>
    <row r="19" spans="2:11" x14ac:dyDescent="0.25">
      <c r="J19" s="233" t="s">
        <v>263</v>
      </c>
      <c r="K19" s="233" t="s">
        <v>263</v>
      </c>
    </row>
    <row r="20" spans="2:11" x14ac:dyDescent="0.25">
      <c r="B20" s="337">
        <v>1997</v>
      </c>
      <c r="C20" s="338">
        <v>195</v>
      </c>
      <c r="D20" s="338">
        <v>-4.6399999999999997</v>
      </c>
      <c r="E20" s="338">
        <v>-24.1</v>
      </c>
      <c r="F20" s="233">
        <v>-4.68</v>
      </c>
      <c r="G20" s="233">
        <v>-22.2</v>
      </c>
      <c r="H20" s="233">
        <v>13</v>
      </c>
      <c r="I20" s="233">
        <v>15.3</v>
      </c>
      <c r="J20" s="233">
        <v>15.1</v>
      </c>
      <c r="K20" s="233">
        <v>14.4</v>
      </c>
    </row>
    <row r="21" spans="2:11" x14ac:dyDescent="0.25">
      <c r="B21" s="337"/>
      <c r="C21" s="338"/>
      <c r="D21" s="338" t="s">
        <v>271</v>
      </c>
      <c r="E21" s="338" t="s">
        <v>271</v>
      </c>
      <c r="F21" s="233" t="s">
        <v>269</v>
      </c>
      <c r="G21" s="233" t="s">
        <v>269</v>
      </c>
      <c r="H21" s="233" t="s">
        <v>271</v>
      </c>
      <c r="I21" s="233" t="s">
        <v>269</v>
      </c>
      <c r="J21" s="233" t="s">
        <v>263</v>
      </c>
      <c r="K21" s="233" t="s">
        <v>263</v>
      </c>
    </row>
    <row r="22" spans="2:11" x14ac:dyDescent="0.25">
      <c r="B22" s="232">
        <v>1998</v>
      </c>
      <c r="C22" s="233">
        <v>25</v>
      </c>
      <c r="D22" s="233" t="s">
        <v>262</v>
      </c>
      <c r="E22" s="233" t="s">
        <v>262</v>
      </c>
      <c r="F22" s="233" t="s">
        <v>262</v>
      </c>
      <c r="G22" s="233" t="s">
        <v>262</v>
      </c>
      <c r="H22" s="233" t="s">
        <v>262</v>
      </c>
      <c r="I22" s="233" t="s">
        <v>262</v>
      </c>
      <c r="J22" s="233">
        <v>14.1</v>
      </c>
      <c r="K22" s="233">
        <v>13.4</v>
      </c>
    </row>
    <row r="23" spans="2:11" x14ac:dyDescent="0.25">
      <c r="J23" s="233" t="s">
        <v>263</v>
      </c>
      <c r="K23" s="233" t="s">
        <v>263</v>
      </c>
    </row>
    <row r="24" spans="2:11" x14ac:dyDescent="0.25">
      <c r="B24" s="232">
        <v>1999</v>
      </c>
      <c r="C24" s="233">
        <v>77.8</v>
      </c>
      <c r="D24" s="233" t="s">
        <v>262</v>
      </c>
      <c r="E24" s="233" t="s">
        <v>262</v>
      </c>
      <c r="F24" s="233" t="s">
        <v>262</v>
      </c>
      <c r="G24" s="233" t="s">
        <v>262</v>
      </c>
      <c r="H24" s="233" t="s">
        <v>262</v>
      </c>
      <c r="I24" s="233" t="s">
        <v>262</v>
      </c>
      <c r="J24" s="233">
        <v>13.7</v>
      </c>
      <c r="K24" s="233">
        <v>13</v>
      </c>
    </row>
    <row r="25" spans="2:11" x14ac:dyDescent="0.25">
      <c r="J25" s="233" t="s">
        <v>263</v>
      </c>
      <c r="K25" s="233" t="s">
        <v>263</v>
      </c>
    </row>
    <row r="26" spans="2:11" x14ac:dyDescent="0.25">
      <c r="B26" s="252">
        <v>2000</v>
      </c>
      <c r="C26" s="253">
        <v>101.3</v>
      </c>
      <c r="D26" s="253">
        <v>-6</v>
      </c>
      <c r="E26" s="253">
        <v>-35.799999999999997</v>
      </c>
      <c r="F26" s="233">
        <v>-6.88</v>
      </c>
      <c r="G26" s="233">
        <v>-44.6</v>
      </c>
      <c r="H26" s="233">
        <v>12.2</v>
      </c>
      <c r="I26" s="233">
        <v>10.4</v>
      </c>
      <c r="J26" s="233">
        <v>13.5</v>
      </c>
      <c r="K26" s="233">
        <v>12.7</v>
      </c>
    </row>
    <row r="27" spans="2:11" x14ac:dyDescent="0.25">
      <c r="D27" s="233" t="s">
        <v>272</v>
      </c>
      <c r="E27" s="233" t="s">
        <v>272</v>
      </c>
      <c r="F27" s="233" t="s">
        <v>273</v>
      </c>
      <c r="G27" s="233" t="s">
        <v>273</v>
      </c>
      <c r="H27" s="233" t="s">
        <v>272</v>
      </c>
      <c r="I27" s="233" t="s">
        <v>273</v>
      </c>
      <c r="J27" s="233" t="s">
        <v>263</v>
      </c>
      <c r="K27" s="233" t="s">
        <v>263</v>
      </c>
    </row>
    <row r="28" spans="2:11" x14ac:dyDescent="0.25">
      <c r="B28" s="252">
        <v>2001</v>
      </c>
      <c r="C28" s="253">
        <v>139.5</v>
      </c>
      <c r="D28" s="253">
        <v>-5.33</v>
      </c>
      <c r="E28" s="253">
        <v>-31.4</v>
      </c>
      <c r="F28" s="233">
        <v>-6</v>
      </c>
      <c r="G28" s="233">
        <v>-35</v>
      </c>
      <c r="H28" s="233">
        <v>11.2</v>
      </c>
      <c r="I28" s="233">
        <v>13</v>
      </c>
      <c r="J28" s="233">
        <v>13.8</v>
      </c>
      <c r="K28" s="233">
        <v>12.6</v>
      </c>
    </row>
    <row r="29" spans="2:11" x14ac:dyDescent="0.25">
      <c r="D29" s="233" t="s">
        <v>274</v>
      </c>
      <c r="E29" s="233" t="s">
        <v>274</v>
      </c>
      <c r="F29" s="233" t="s">
        <v>273</v>
      </c>
      <c r="G29" s="233" t="s">
        <v>273</v>
      </c>
      <c r="H29" s="233" t="s">
        <v>274</v>
      </c>
      <c r="I29" s="233" t="s">
        <v>273</v>
      </c>
      <c r="J29" s="233" t="s">
        <v>263</v>
      </c>
      <c r="K29" s="233" t="s">
        <v>263</v>
      </c>
    </row>
    <row r="30" spans="2:11" x14ac:dyDescent="0.25">
      <c r="B30" s="252">
        <v>2002</v>
      </c>
      <c r="C30" s="253">
        <v>165</v>
      </c>
      <c r="D30" s="253">
        <v>-5.25</v>
      </c>
      <c r="E30" s="253">
        <v>-31</v>
      </c>
      <c r="F30" s="233">
        <v>-5.69</v>
      </c>
      <c r="G30" s="233">
        <v>-34.700000000000003</v>
      </c>
      <c r="H30" s="233">
        <v>11</v>
      </c>
      <c r="I30" s="233">
        <v>10.8</v>
      </c>
      <c r="J30" s="233">
        <v>14</v>
      </c>
      <c r="K30" s="233">
        <v>12.7</v>
      </c>
    </row>
    <row r="31" spans="2:11" x14ac:dyDescent="0.25">
      <c r="D31" s="233" t="s">
        <v>275</v>
      </c>
      <c r="E31" s="233" t="s">
        <v>275</v>
      </c>
      <c r="F31" s="233" t="s">
        <v>273</v>
      </c>
      <c r="G31" s="233" t="s">
        <v>273</v>
      </c>
      <c r="H31" s="233" t="s">
        <v>275</v>
      </c>
      <c r="I31" s="233" t="s">
        <v>273</v>
      </c>
      <c r="J31" s="233" t="s">
        <v>263</v>
      </c>
      <c r="K31" s="233" t="s">
        <v>263</v>
      </c>
    </row>
    <row r="32" spans="2:11" x14ac:dyDescent="0.25">
      <c r="B32" s="252">
        <v>2004</v>
      </c>
      <c r="C32" s="253">
        <v>159.30000000000001</v>
      </c>
      <c r="D32" s="253">
        <v>-6.99</v>
      </c>
      <c r="E32" s="253">
        <v>-38.5</v>
      </c>
      <c r="F32" s="233">
        <v>-5.75</v>
      </c>
      <c r="G32" s="233">
        <v>-30.7</v>
      </c>
      <c r="H32" s="233">
        <v>17.399999999999999</v>
      </c>
      <c r="I32" s="233">
        <v>15.4</v>
      </c>
      <c r="J32" s="233">
        <v>13.6</v>
      </c>
      <c r="K32" s="233">
        <v>13</v>
      </c>
    </row>
    <row r="33" spans="2:11" x14ac:dyDescent="0.25">
      <c r="D33" s="233" t="s">
        <v>276</v>
      </c>
      <c r="E33" s="233" t="s">
        <v>276</v>
      </c>
      <c r="F33" s="233" t="s">
        <v>273</v>
      </c>
      <c r="G33" s="233" t="s">
        <v>273</v>
      </c>
      <c r="H33" s="233" t="s">
        <v>276</v>
      </c>
      <c r="I33" s="233" t="s">
        <v>273</v>
      </c>
      <c r="J33" s="233" t="s">
        <v>263</v>
      </c>
      <c r="K33" s="233" t="s">
        <v>263</v>
      </c>
    </row>
    <row r="34" spans="2:11" x14ac:dyDescent="0.25">
      <c r="B34" s="252">
        <v>2007</v>
      </c>
      <c r="C34" s="253">
        <v>27</v>
      </c>
      <c r="D34" s="253">
        <v>-6.3</v>
      </c>
      <c r="E34" s="253">
        <v>-41.7</v>
      </c>
      <c r="F34" s="233">
        <v>-6.11</v>
      </c>
      <c r="G34" s="233">
        <v>-40.299999999999997</v>
      </c>
      <c r="H34" s="233">
        <v>8.6</v>
      </c>
      <c r="I34" s="233">
        <v>8.6</v>
      </c>
      <c r="J34" s="233">
        <v>13</v>
      </c>
      <c r="K34" s="233">
        <v>11.7</v>
      </c>
    </row>
    <row r="35" spans="2:11" x14ac:dyDescent="0.25">
      <c r="D35" s="233" t="s">
        <v>277</v>
      </c>
      <c r="E35" s="233" t="s">
        <v>277</v>
      </c>
      <c r="F35" s="233" t="s">
        <v>269</v>
      </c>
      <c r="G35" s="233" t="s">
        <v>269</v>
      </c>
      <c r="H35" s="233" t="s">
        <v>277</v>
      </c>
      <c r="I35" s="233" t="s">
        <v>269</v>
      </c>
      <c r="J35" s="233" t="s">
        <v>263</v>
      </c>
      <c r="K35" s="233" t="s">
        <v>263</v>
      </c>
    </row>
    <row r="36" spans="2:11" x14ac:dyDescent="0.25">
      <c r="B36" s="252">
        <v>2008</v>
      </c>
      <c r="C36" s="253">
        <v>108</v>
      </c>
      <c r="D36" s="253">
        <v>-6.36</v>
      </c>
      <c r="E36" s="253">
        <v>-43.4</v>
      </c>
      <c r="F36" s="233">
        <v>-6.34</v>
      </c>
      <c r="G36" s="233">
        <v>-43.1</v>
      </c>
      <c r="H36" s="233">
        <v>7.5</v>
      </c>
      <c r="I36" s="233">
        <v>7.6</v>
      </c>
      <c r="J36" s="233">
        <v>13.7</v>
      </c>
      <c r="K36" s="233">
        <v>12.5</v>
      </c>
    </row>
    <row r="37" spans="2:11" x14ac:dyDescent="0.25">
      <c r="D37" s="233" t="s">
        <v>278</v>
      </c>
      <c r="E37" s="233" t="s">
        <v>278</v>
      </c>
      <c r="F37" s="233" t="s">
        <v>273</v>
      </c>
      <c r="G37" s="233" t="s">
        <v>273</v>
      </c>
      <c r="H37" s="233" t="s">
        <v>278</v>
      </c>
      <c r="I37" s="233" t="s">
        <v>273</v>
      </c>
      <c r="J37" s="233" t="s">
        <v>263</v>
      </c>
      <c r="K37" s="233" t="s">
        <v>263</v>
      </c>
    </row>
    <row r="38" spans="2:11" x14ac:dyDescent="0.25">
      <c r="B38" s="337">
        <v>2009</v>
      </c>
      <c r="C38" s="338">
        <v>53</v>
      </c>
      <c r="D38" s="338">
        <v>-8.8800000000000008</v>
      </c>
      <c r="E38" s="338">
        <v>-63.6</v>
      </c>
      <c r="F38" s="233">
        <v>-8.8800000000000008</v>
      </c>
      <c r="G38" s="233">
        <v>-63.6</v>
      </c>
      <c r="H38" s="233">
        <v>7.4</v>
      </c>
      <c r="I38" s="233">
        <v>7.4</v>
      </c>
      <c r="J38" s="233">
        <v>13.3</v>
      </c>
      <c r="K38" s="233">
        <v>12.4</v>
      </c>
    </row>
    <row r="39" spans="2:11" x14ac:dyDescent="0.25">
      <c r="B39" s="337"/>
      <c r="C39" s="338"/>
      <c r="D39" s="338" t="s">
        <v>279</v>
      </c>
      <c r="E39" s="338" t="s">
        <v>279</v>
      </c>
      <c r="F39" s="233" t="s">
        <v>265</v>
      </c>
      <c r="G39" s="233" t="s">
        <v>265</v>
      </c>
      <c r="H39" s="233" t="s">
        <v>279</v>
      </c>
      <c r="I39" s="233" t="s">
        <v>265</v>
      </c>
      <c r="J39" s="233" t="s">
        <v>263</v>
      </c>
      <c r="K39" s="233" t="s">
        <v>263</v>
      </c>
    </row>
    <row r="40" spans="2:11" x14ac:dyDescent="0.25">
      <c r="B40" s="254">
        <v>2010</v>
      </c>
      <c r="C40" s="289">
        <v>68.3</v>
      </c>
      <c r="D40" s="289">
        <v>-4.28</v>
      </c>
      <c r="E40" s="289">
        <v>-28.2</v>
      </c>
      <c r="F40" s="233">
        <v>-4.45</v>
      </c>
      <c r="G40" s="233">
        <v>-29</v>
      </c>
      <c r="H40" s="233">
        <v>6.1</v>
      </c>
      <c r="I40" s="233">
        <v>6.7</v>
      </c>
      <c r="J40" s="233">
        <v>13.3</v>
      </c>
      <c r="K40" s="233">
        <v>12.6</v>
      </c>
    </row>
    <row r="41" spans="2:11" x14ac:dyDescent="0.25">
      <c r="D41" s="233" t="s">
        <v>280</v>
      </c>
      <c r="E41" s="233" t="s">
        <v>280</v>
      </c>
      <c r="F41" s="233" t="s">
        <v>269</v>
      </c>
      <c r="G41" s="233" t="s">
        <v>269</v>
      </c>
      <c r="H41" s="233" t="s">
        <v>280</v>
      </c>
      <c r="I41" s="233" t="s">
        <v>269</v>
      </c>
      <c r="J41" s="233" t="s">
        <v>263</v>
      </c>
      <c r="K41" s="233" t="s">
        <v>263</v>
      </c>
    </row>
    <row r="42" spans="2:11" x14ac:dyDescent="0.25">
      <c r="B42" s="337">
        <v>2011</v>
      </c>
      <c r="C42" s="338">
        <v>124.6</v>
      </c>
      <c r="D42" s="338">
        <v>-7.04</v>
      </c>
      <c r="E42" s="338">
        <v>-42.5</v>
      </c>
      <c r="F42" s="233">
        <v>-7.04</v>
      </c>
      <c r="G42" s="233">
        <v>-42.5</v>
      </c>
      <c r="H42" s="233">
        <v>13.8</v>
      </c>
      <c r="I42" s="233">
        <v>13.8</v>
      </c>
      <c r="J42" s="233">
        <v>13.7</v>
      </c>
      <c r="K42" s="233">
        <v>12.8</v>
      </c>
    </row>
    <row r="43" spans="2:11" x14ac:dyDescent="0.25">
      <c r="B43" s="337"/>
      <c r="C43" s="338"/>
      <c r="D43" s="338" t="s">
        <v>281</v>
      </c>
      <c r="E43" s="338" t="s">
        <v>281</v>
      </c>
      <c r="F43" s="233" t="s">
        <v>265</v>
      </c>
      <c r="G43" s="233" t="s">
        <v>265</v>
      </c>
      <c r="H43" s="233" t="s">
        <v>281</v>
      </c>
      <c r="I43" s="233" t="s">
        <v>265</v>
      </c>
      <c r="J43" s="233" t="s">
        <v>263</v>
      </c>
      <c r="K43" s="233" t="s">
        <v>263</v>
      </c>
    </row>
    <row r="44" spans="2:11" x14ac:dyDescent="0.25">
      <c r="B44" s="252">
        <v>2012</v>
      </c>
      <c r="C44" s="253">
        <v>25.1</v>
      </c>
      <c r="D44" s="253">
        <v>-3.48</v>
      </c>
      <c r="E44" s="253">
        <v>-20.8</v>
      </c>
      <c r="F44" s="233">
        <v>-2.88</v>
      </c>
      <c r="G44" s="233">
        <v>-12.8</v>
      </c>
      <c r="H44" s="233">
        <v>7.1</v>
      </c>
      <c r="I44" s="233">
        <v>10.3</v>
      </c>
      <c r="J44" s="233">
        <v>14</v>
      </c>
      <c r="K44" s="233" t="s">
        <v>262</v>
      </c>
    </row>
    <row r="45" spans="2:11" x14ac:dyDescent="0.25">
      <c r="D45" s="233" t="s">
        <v>282</v>
      </c>
      <c r="E45" s="233" t="s">
        <v>282</v>
      </c>
      <c r="F45" s="233" t="s">
        <v>273</v>
      </c>
      <c r="G45" s="233" t="s">
        <v>273</v>
      </c>
      <c r="H45" s="233" t="s">
        <v>282</v>
      </c>
      <c r="I45" s="233" t="s">
        <v>273</v>
      </c>
      <c r="J45" s="233" t="s">
        <v>263</v>
      </c>
    </row>
    <row r="46" spans="2:11" x14ac:dyDescent="0.25">
      <c r="B46" s="252">
        <v>2013</v>
      </c>
      <c r="C46" s="253">
        <v>39.200000000000003</v>
      </c>
      <c r="D46" s="253">
        <v>-4.16</v>
      </c>
      <c r="E46" s="253">
        <v>-22.3</v>
      </c>
      <c r="F46" s="233">
        <v>-4.3099999999999996</v>
      </c>
      <c r="G46" s="233">
        <v>-22.8</v>
      </c>
      <c r="H46" s="233">
        <v>10.9</v>
      </c>
      <c r="I46" s="233">
        <v>11.7</v>
      </c>
      <c r="J46" s="233">
        <v>13.7</v>
      </c>
      <c r="K46" s="233" t="s">
        <v>262</v>
      </c>
    </row>
    <row r="47" spans="2:11" x14ac:dyDescent="0.25">
      <c r="D47" s="233" t="s">
        <v>275</v>
      </c>
      <c r="E47" s="233" t="s">
        <v>275</v>
      </c>
      <c r="F47" s="233" t="s">
        <v>283</v>
      </c>
      <c r="G47" s="233" t="s">
        <v>283</v>
      </c>
      <c r="H47" s="233" t="s">
        <v>275</v>
      </c>
      <c r="I47" s="233" t="s">
        <v>283</v>
      </c>
      <c r="J47" s="233" t="s">
        <v>263</v>
      </c>
    </row>
    <row r="48" spans="2:11" x14ac:dyDescent="0.25">
      <c r="B48" s="252">
        <v>2014</v>
      </c>
      <c r="C48" s="253">
        <v>82.8</v>
      </c>
      <c r="D48" s="253">
        <v>-7.38</v>
      </c>
      <c r="E48" s="253">
        <v>-44.2</v>
      </c>
      <c r="F48" s="233">
        <v>-7.38</v>
      </c>
      <c r="G48" s="233">
        <v>-44.2</v>
      </c>
      <c r="H48" s="233">
        <v>14.8</v>
      </c>
      <c r="I48" s="233">
        <v>14.8</v>
      </c>
      <c r="J48" s="233">
        <v>13.5</v>
      </c>
      <c r="K48" s="233" t="s">
        <v>262</v>
      </c>
    </row>
    <row r="49" spans="2:11" x14ac:dyDescent="0.25">
      <c r="D49" s="233" t="s">
        <v>284</v>
      </c>
      <c r="E49" s="233" t="s">
        <v>284</v>
      </c>
      <c r="F49" s="233" t="s">
        <v>265</v>
      </c>
      <c r="G49" s="233" t="s">
        <v>265</v>
      </c>
      <c r="H49" s="233" t="s">
        <v>284</v>
      </c>
      <c r="I49" s="233" t="s">
        <v>265</v>
      </c>
      <c r="J49" s="233" t="s">
        <v>263</v>
      </c>
    </row>
    <row r="50" spans="2:11" x14ac:dyDescent="0.25">
      <c r="B50" s="252">
        <v>2015</v>
      </c>
      <c r="C50" s="253">
        <v>111</v>
      </c>
      <c r="D50" s="253">
        <v>-4.79</v>
      </c>
      <c r="E50" s="253">
        <v>-30.8</v>
      </c>
      <c r="F50" s="233">
        <v>-4.7699999999999996</v>
      </c>
      <c r="G50" s="233">
        <v>-32</v>
      </c>
      <c r="H50" s="233">
        <v>7.6</v>
      </c>
      <c r="I50" s="233">
        <v>6.2</v>
      </c>
      <c r="J50" s="233">
        <v>14.4</v>
      </c>
      <c r="K50" s="233" t="s">
        <v>262</v>
      </c>
    </row>
    <row r="51" spans="2:11" x14ac:dyDescent="0.25">
      <c r="D51" s="233" t="s">
        <v>285</v>
      </c>
      <c r="E51" s="233" t="s">
        <v>285</v>
      </c>
      <c r="F51" s="233" t="s">
        <v>283</v>
      </c>
      <c r="G51" s="233" t="s">
        <v>283</v>
      </c>
      <c r="H51" s="233" t="s">
        <v>285</v>
      </c>
      <c r="I51" s="233" t="s">
        <v>283</v>
      </c>
      <c r="J51" s="233" t="s">
        <v>263</v>
      </c>
    </row>
    <row r="53" spans="2:11" s="233" customFormat="1" ht="12.75" thickBot="1" x14ac:dyDescent="0.3">
      <c r="B53" s="232"/>
      <c r="H53" s="234"/>
    </row>
    <row r="54" spans="2:11" s="233" customFormat="1" x14ac:dyDescent="0.25">
      <c r="B54" s="232"/>
      <c r="D54" s="235">
        <f>AVERAGE(D10,D12,D14,D26,D28,D30,D32,D34,D36,D40,D44,D46,D48,D50)</f>
        <v>-5.7771428571428567</v>
      </c>
      <c r="E54" s="245">
        <f>AVERAGE(E10,E12,E14,E26,E28,E30,E32,E34,E36,E40,E44,E46,E48,E50)</f>
        <v>-35.914285714285711</v>
      </c>
      <c r="F54" s="248" t="s">
        <v>223</v>
      </c>
      <c r="G54" s="236"/>
      <c r="H54" s="251"/>
      <c r="I54" s="237"/>
    </row>
    <row r="55" spans="2:11" s="233" customFormat="1" x14ac:dyDescent="0.25">
      <c r="B55" s="232"/>
      <c r="D55" s="243">
        <f>STDEV(D10,D12,D14,D26,D28,D30,D32,D34,D36,D40,D44,D46,D48,D50)</f>
        <v>1.3103225003582362</v>
      </c>
      <c r="E55" s="246">
        <f>STDEV(E10,E12,E14,E26,E28,E30,E32,E34,E36,E40,E44,E46,E48,E50)</f>
        <v>9.8899216099294414</v>
      </c>
      <c r="F55" s="249" t="s">
        <v>286</v>
      </c>
      <c r="I55" s="244"/>
    </row>
    <row r="56" spans="2:11" s="233" customFormat="1" ht="12.75" thickBot="1" x14ac:dyDescent="0.3">
      <c r="B56" s="232"/>
      <c r="D56" s="240">
        <f>SQRT(((D55)^2)+((D58)^2))</f>
        <v>1.3177803515552431</v>
      </c>
      <c r="E56" s="247">
        <f>SQRT(((E55)^2)+((E58)^2))</f>
        <v>9.9403495638005293</v>
      </c>
      <c r="F56" s="250" t="s">
        <v>3</v>
      </c>
      <c r="G56" s="238"/>
      <c r="H56" s="238"/>
      <c r="I56" s="239"/>
    </row>
    <row r="58" spans="2:11" ht="15" x14ac:dyDescent="0.25">
      <c r="B58" s="385" t="s">
        <v>0</v>
      </c>
      <c r="C58" s="373"/>
      <c r="D58" s="241">
        <v>0.14000000000000001</v>
      </c>
      <c r="E58" s="241">
        <v>1</v>
      </c>
      <c r="F58" s="232" t="s">
        <v>333</v>
      </c>
      <c r="G58" s="232"/>
      <c r="H58" s="232"/>
      <c r="I58" s="242"/>
    </row>
    <row r="60" spans="2:11" x14ac:dyDescent="0.25">
      <c r="B60" s="337"/>
      <c r="C60" s="249" t="s">
        <v>320</v>
      </c>
    </row>
    <row r="61" spans="2:11" x14ac:dyDescent="0.25">
      <c r="B61" s="254"/>
      <c r="C61" s="249" t="s">
        <v>287</v>
      </c>
    </row>
    <row r="63" spans="2:11" x14ac:dyDescent="0.25">
      <c r="B63" s="242" t="s">
        <v>57</v>
      </c>
      <c r="C63" s="255">
        <v>34</v>
      </c>
      <c r="D63" s="249" t="s">
        <v>292</v>
      </c>
    </row>
    <row r="64" spans="2:11" x14ac:dyDescent="0.25">
      <c r="B64" s="258" t="s">
        <v>296</v>
      </c>
      <c r="C64" s="259">
        <v>43.078571428571422</v>
      </c>
      <c r="D64" s="249" t="s">
        <v>293</v>
      </c>
    </row>
    <row r="67" spans="1:1" x14ac:dyDescent="0.25">
      <c r="A67" s="288" t="s">
        <v>315</v>
      </c>
    </row>
    <row r="68" spans="1:1" x14ac:dyDescent="0.25">
      <c r="A68" s="232" t="s">
        <v>321</v>
      </c>
    </row>
    <row r="69" spans="1:1" x14ac:dyDescent="0.25">
      <c r="A69" s="232" t="s">
        <v>317</v>
      </c>
    </row>
    <row r="70" spans="1:1" x14ac:dyDescent="0.25">
      <c r="A70" s="232" t="s">
        <v>318</v>
      </c>
    </row>
  </sheetData>
  <mergeCells count="2">
    <mergeCell ref="B58:C58"/>
    <mergeCell ref="A1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Station 1-9</vt:lpstr>
      <vt:lpstr>Station 10-11</vt:lpstr>
      <vt:lpstr>Station 12-24</vt:lpstr>
      <vt:lpstr>Station 25-27</vt:lpstr>
      <vt:lpstr>Station 28 </vt:lpstr>
      <vt:lpstr>Station 29-31</vt:lpstr>
      <vt:lpstr>Station 32</vt:lpstr>
    </vt:vector>
  </TitlesOfParts>
  <Company>Università di Parma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tiz bos</dc:creator>
  <cp:lastModifiedBy>tiz bos</cp:lastModifiedBy>
  <dcterms:created xsi:type="dcterms:W3CDTF">2019-01-21T08:29:08Z</dcterms:created>
  <dcterms:modified xsi:type="dcterms:W3CDTF">2019-04-11T06:35:40Z</dcterms:modified>
</cp:coreProperties>
</file>