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comments10.xml" ContentType="application/vnd.openxmlformats-officedocument.spreadsheetml.comments+xml"/>
  <Override PartName="/xl/threadedComments/threadedComment10.xml" ContentType="application/vnd.ms-excel.threadedcomments+xml"/>
  <Override PartName="/xl/comments11.xml" ContentType="application/vnd.openxmlformats-officedocument.spreadsheetml.comments+xml"/>
  <Override PartName="/xl/threadedComments/threadedComment11.xml" ContentType="application/vnd.ms-excel.threadedcomments+xml"/>
  <Override PartName="/xl/comments12.xml" ContentType="application/vnd.openxmlformats-officedocument.spreadsheetml.comments+xml"/>
  <Override PartName="/xl/threadedComments/threadedComment12.xml" ContentType="application/vnd.ms-excel.threadedcomments+xml"/>
  <Override PartName="/xl/comments13.xml" ContentType="application/vnd.openxmlformats-officedocument.spreadsheetml.comments+xml"/>
  <Override PartName="/xl/threadedComments/threadedComment1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PeSCS\Journal articles\2 GJO Column\For Journal Submission\Resubmission\"/>
    </mc:Choice>
  </mc:AlternateContent>
  <xr:revisionPtr revIDLastSave="0" documentId="8_{5845FA8C-5530-47B3-9B7A-352012521CFD}" xr6:coauthVersionLast="46" xr6:coauthVersionMax="46" xr10:uidLastSave="{00000000-0000-0000-0000-000000000000}"/>
  <bookViews>
    <workbookView xWindow="-110" yWindow="-110" windowWidth="25820" windowHeight="14020" tabRatio="713" firstSheet="13" activeTab="16" xr2:uid="{00000000-000D-0000-FFFF-FFFF00000000}"/>
  </bookViews>
  <sheets>
    <sheet name="S&amp;G Composite Masses" sheetId="2" r:id="rId1"/>
    <sheet name="Vadose Composite Masses" sheetId="42" r:id="rId2"/>
    <sheet name="Extraction Results" sheetId="3" r:id="rId3"/>
    <sheet name="Influent Results" sheetId="14" r:id="rId4"/>
    <sheet name="Influent Results After Degass" sheetId="39" r:id="rId5"/>
    <sheet name="Influent Results Master" sheetId="45" r:id="rId6"/>
    <sheet name="Column 1 " sheetId="4" r:id="rId7"/>
    <sheet name="Column 2" sheetId="15" r:id="rId8"/>
    <sheet name="Column 3" sheetId="16" r:id="rId9"/>
    <sheet name="Column 4" sheetId="17" r:id="rId10"/>
    <sheet name="Column 5" sheetId="18" r:id="rId11"/>
    <sheet name="Column 6" sheetId="19" r:id="rId12"/>
    <sheet name="Column 7" sheetId="20" r:id="rId13"/>
    <sheet name="Column 8" sheetId="21" r:id="rId14"/>
    <sheet name="Column 9" sheetId="22" r:id="rId15"/>
    <sheet name="Column 10" sheetId="43" r:id="rId16"/>
    <sheet name="Column 11" sheetId="24" r:id="rId17"/>
    <sheet name="Column 12" sheetId="25" r:id="rId18"/>
    <sheet name="Column 13" sheetId="26" r:id="rId19"/>
    <sheet name="Column 14" sheetId="27" r:id="rId20"/>
    <sheet name="Column 15" sheetId="28" r:id="rId21"/>
    <sheet name="Column 16" sheetId="29" r:id="rId22"/>
    <sheet name="Column 17" sheetId="30" r:id="rId23"/>
    <sheet name="Column 18" sheetId="31" r:id="rId24"/>
    <sheet name="Column 19" sheetId="32" r:id="rId25"/>
    <sheet name="Column 20" sheetId="33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5" i="33" l="1"/>
  <c r="G52" i="33"/>
  <c r="G46" i="33"/>
  <c r="G47" i="33"/>
  <c r="G31" i="33"/>
  <c r="G21" i="33"/>
  <c r="G22" i="33" s="1"/>
  <c r="G23" i="33" s="1"/>
  <c r="G24" i="33" s="1"/>
  <c r="G25" i="33" s="1"/>
  <c r="G26" i="33" s="1"/>
  <c r="H51" i="32" l="1"/>
  <c r="H41" i="32"/>
  <c r="H14" i="32"/>
  <c r="I40" i="31"/>
  <c r="I13" i="31"/>
  <c r="I29" i="30"/>
  <c r="I40" i="29"/>
  <c r="I13" i="29"/>
  <c r="I38" i="28" l="1"/>
  <c r="I37" i="27"/>
  <c r="I13" i="27"/>
  <c r="I29" i="26"/>
  <c r="U51" i="32"/>
  <c r="V51" i="32"/>
  <c r="W51" i="32"/>
  <c r="X51" i="32"/>
  <c r="Y51" i="32"/>
  <c r="Z51" i="32"/>
  <c r="U62" i="33"/>
  <c r="V62" i="33"/>
  <c r="W62" i="33"/>
  <c r="X62" i="33"/>
  <c r="Y62" i="33"/>
  <c r="Z62" i="33"/>
  <c r="H61" i="45"/>
  <c r="L51" i="32" s="1"/>
  <c r="I61" i="45"/>
  <c r="M51" i="32" s="1"/>
  <c r="J61" i="45"/>
  <c r="N51" i="32" s="1"/>
  <c r="K61" i="45"/>
  <c r="O51" i="32" s="1"/>
  <c r="L61" i="45"/>
  <c r="P51" i="32" s="1"/>
  <c r="M61" i="45"/>
  <c r="Q51" i="32" s="1"/>
  <c r="N61" i="45"/>
  <c r="R62" i="33" s="1"/>
  <c r="O61" i="45"/>
  <c r="S51" i="32" s="1"/>
  <c r="P61" i="45"/>
  <c r="T62" i="33" s="1"/>
  <c r="G61" i="45"/>
  <c r="K51" i="32" s="1"/>
  <c r="F61" i="45"/>
  <c r="J51" i="32" s="1"/>
  <c r="D61" i="45"/>
  <c r="I51" i="32" s="1"/>
  <c r="C61" i="45"/>
  <c r="E14" i="45"/>
  <c r="T51" i="32" l="1"/>
  <c r="L62" i="33"/>
  <c r="R51" i="32"/>
  <c r="O62" i="33"/>
  <c r="Q62" i="33"/>
  <c r="I62" i="33"/>
  <c r="P62" i="33"/>
  <c r="J62" i="33"/>
  <c r="N62" i="33"/>
  <c r="M62" i="33"/>
  <c r="K62" i="33"/>
  <c r="S62" i="33"/>
  <c r="I40" i="25"/>
  <c r="I51" i="25"/>
  <c r="I22" i="25"/>
  <c r="I12" i="25"/>
  <c r="I40" i="24"/>
  <c r="I51" i="24"/>
  <c r="I22" i="24"/>
  <c r="I48" i="43"/>
  <c r="I37" i="43"/>
  <c r="I22" i="43"/>
  <c r="I12" i="43"/>
  <c r="H60" i="45"/>
  <c r="D30" i="45"/>
  <c r="C30" i="45"/>
  <c r="D29" i="45"/>
  <c r="C29" i="45"/>
  <c r="D28" i="45"/>
  <c r="C28" i="45"/>
  <c r="D27" i="45"/>
  <c r="C27" i="45"/>
  <c r="D26" i="45"/>
  <c r="C26" i="45"/>
  <c r="M54" i="29" l="1"/>
  <c r="L27" i="32"/>
  <c r="L28" i="33"/>
  <c r="M50" i="27"/>
  <c r="M54" i="31"/>
  <c r="AC36" i="20"/>
  <c r="AB36" i="20"/>
  <c r="AB35" i="20"/>
  <c r="V60" i="45" l="1"/>
  <c r="V59" i="45"/>
  <c r="V58" i="45"/>
  <c r="AA40" i="29" s="1"/>
  <c r="V57" i="45"/>
  <c r="AA37" i="27" s="1"/>
  <c r="F57" i="45"/>
  <c r="K37" i="27" s="1"/>
  <c r="G57" i="45"/>
  <c r="L37" i="27" s="1"/>
  <c r="H57" i="45"/>
  <c r="M37" i="27" s="1"/>
  <c r="I57" i="45"/>
  <c r="J57" i="45"/>
  <c r="O37" i="27" s="1"/>
  <c r="K57" i="45"/>
  <c r="P37" i="27" s="1"/>
  <c r="L57" i="45"/>
  <c r="M57" i="45"/>
  <c r="R37" i="27" s="1"/>
  <c r="N57" i="45"/>
  <c r="S37" i="27" s="1"/>
  <c r="O57" i="45"/>
  <c r="T37" i="27" s="1"/>
  <c r="P57" i="45"/>
  <c r="U37" i="27" s="1"/>
  <c r="Q57" i="45"/>
  <c r="V29" i="26" s="1"/>
  <c r="R57" i="45"/>
  <c r="W37" i="27" s="1"/>
  <c r="S57" i="45"/>
  <c r="X37" i="27" s="1"/>
  <c r="T57" i="45"/>
  <c r="Y37" i="27" s="1"/>
  <c r="U57" i="45"/>
  <c r="Z37" i="27" s="1"/>
  <c r="F58" i="45"/>
  <c r="K38" i="28" s="1"/>
  <c r="G58" i="45"/>
  <c r="L40" i="29" s="1"/>
  <c r="H58" i="45"/>
  <c r="M40" i="29" s="1"/>
  <c r="I58" i="45"/>
  <c r="N40" i="29" s="1"/>
  <c r="J58" i="45"/>
  <c r="O40" i="29" s="1"/>
  <c r="K58" i="45"/>
  <c r="P40" i="29" s="1"/>
  <c r="L58" i="45"/>
  <c r="M58" i="45"/>
  <c r="R38" i="28" s="1"/>
  <c r="N58" i="45"/>
  <c r="S40" i="29" s="1"/>
  <c r="O58" i="45"/>
  <c r="T40" i="29" s="1"/>
  <c r="P58" i="45"/>
  <c r="U40" i="29" s="1"/>
  <c r="Q58" i="45"/>
  <c r="V40" i="29" s="1"/>
  <c r="R58" i="45"/>
  <c r="W40" i="29" s="1"/>
  <c r="S58" i="45"/>
  <c r="X40" i="29" s="1"/>
  <c r="T58" i="45"/>
  <c r="Y38" i="28" s="1"/>
  <c r="U58" i="45"/>
  <c r="Z40" i="29" s="1"/>
  <c r="F59" i="45"/>
  <c r="G59" i="45"/>
  <c r="H59" i="45"/>
  <c r="I59" i="45"/>
  <c r="J59" i="45"/>
  <c r="K59" i="45"/>
  <c r="L59" i="45"/>
  <c r="M59" i="45"/>
  <c r="N59" i="45"/>
  <c r="O59" i="45"/>
  <c r="P59" i="45"/>
  <c r="Q59" i="45"/>
  <c r="R59" i="45"/>
  <c r="S59" i="45"/>
  <c r="T59" i="45"/>
  <c r="U59" i="45"/>
  <c r="F60" i="45"/>
  <c r="G60" i="45"/>
  <c r="I60" i="45"/>
  <c r="J60" i="45"/>
  <c r="K60" i="45"/>
  <c r="L60" i="45"/>
  <c r="M60" i="45"/>
  <c r="N60" i="45"/>
  <c r="O60" i="45"/>
  <c r="P60" i="45"/>
  <c r="Q60" i="45"/>
  <c r="R60" i="45"/>
  <c r="S60" i="45"/>
  <c r="T60" i="45"/>
  <c r="U60" i="45"/>
  <c r="D57" i="45"/>
  <c r="D58" i="45"/>
  <c r="D59" i="45"/>
  <c r="D60" i="45"/>
  <c r="C60" i="45"/>
  <c r="C59" i="45"/>
  <c r="C58" i="45"/>
  <c r="C57" i="45"/>
  <c r="V27" i="32" l="1"/>
  <c r="V28" i="33"/>
  <c r="U28" i="33"/>
  <c r="U27" i="32"/>
  <c r="T27" i="32"/>
  <c r="T28" i="33"/>
  <c r="AA40" i="31"/>
  <c r="Z14" i="32"/>
  <c r="Z49" i="33"/>
  <c r="Z12" i="33"/>
  <c r="Z41" i="32"/>
  <c r="S27" i="32"/>
  <c r="S28" i="33"/>
  <c r="W29" i="30"/>
  <c r="V14" i="32"/>
  <c r="V49" i="33"/>
  <c r="V12" i="33"/>
  <c r="V41" i="32"/>
  <c r="K40" i="31"/>
  <c r="J41" i="32"/>
  <c r="J12" i="33"/>
  <c r="J49" i="33"/>
  <c r="J14" i="32"/>
  <c r="Z27" i="32"/>
  <c r="Z28" i="33"/>
  <c r="R27" i="32"/>
  <c r="R28" i="33"/>
  <c r="V40" i="31"/>
  <c r="U14" i="32"/>
  <c r="U49" i="33"/>
  <c r="U12" i="33"/>
  <c r="U41" i="32"/>
  <c r="M29" i="30"/>
  <c r="L41" i="32"/>
  <c r="L49" i="33"/>
  <c r="L12" i="33"/>
  <c r="L14" i="32"/>
  <c r="I27" i="32"/>
  <c r="I28" i="33"/>
  <c r="U29" i="30"/>
  <c r="T14" i="32"/>
  <c r="T49" i="33"/>
  <c r="T12" i="33"/>
  <c r="T41" i="32"/>
  <c r="T29" i="30"/>
  <c r="S14" i="32"/>
  <c r="S49" i="33"/>
  <c r="S12" i="33"/>
  <c r="S41" i="32"/>
  <c r="O27" i="32"/>
  <c r="O28" i="33"/>
  <c r="S29" i="30"/>
  <c r="R14" i="32"/>
  <c r="R49" i="33"/>
  <c r="R12" i="33"/>
  <c r="R41" i="32"/>
  <c r="Z40" i="31"/>
  <c r="Y14" i="32"/>
  <c r="Y49" i="33"/>
  <c r="Y12" i="33"/>
  <c r="Y41" i="32"/>
  <c r="L29" i="30"/>
  <c r="K41" i="32"/>
  <c r="K14" i="32"/>
  <c r="K49" i="33"/>
  <c r="K12" i="33"/>
  <c r="Q27" i="32"/>
  <c r="Q28" i="33"/>
  <c r="P27" i="32"/>
  <c r="P28" i="33"/>
  <c r="N27" i="32"/>
  <c r="N28" i="33"/>
  <c r="R29" i="30"/>
  <c r="Q14" i="32"/>
  <c r="Q49" i="33"/>
  <c r="Q12" i="33"/>
  <c r="Q41" i="32"/>
  <c r="Y27" i="32"/>
  <c r="Y28" i="33"/>
  <c r="M27" i="32"/>
  <c r="M28" i="33"/>
  <c r="Q40" i="31"/>
  <c r="P14" i="32"/>
  <c r="P49" i="33"/>
  <c r="P12" i="33"/>
  <c r="P41" i="32"/>
  <c r="X29" i="30"/>
  <c r="W41" i="32"/>
  <c r="W14" i="32"/>
  <c r="W49" i="33"/>
  <c r="W12" i="33"/>
  <c r="I41" i="32"/>
  <c r="I14" i="32"/>
  <c r="I49" i="33"/>
  <c r="I12" i="33"/>
  <c r="X27" i="32"/>
  <c r="X28" i="33"/>
  <c r="K27" i="32"/>
  <c r="K28" i="33"/>
  <c r="P29" i="30"/>
  <c r="O49" i="33"/>
  <c r="O41" i="32"/>
  <c r="O14" i="32"/>
  <c r="O12" i="33"/>
  <c r="W27" i="32"/>
  <c r="W28" i="33"/>
  <c r="J28" i="33"/>
  <c r="J27" i="32"/>
  <c r="O40" i="31"/>
  <c r="N49" i="33"/>
  <c r="N41" i="32"/>
  <c r="N14" i="32"/>
  <c r="N12" i="33"/>
  <c r="Y29" i="30"/>
  <c r="X41" i="32"/>
  <c r="X14" i="32"/>
  <c r="X49" i="33"/>
  <c r="X12" i="33"/>
  <c r="N40" i="31"/>
  <c r="M14" i="32"/>
  <c r="M49" i="33"/>
  <c r="M12" i="33"/>
  <c r="M41" i="32"/>
  <c r="AA13" i="27"/>
  <c r="AA50" i="27"/>
  <c r="AA54" i="31"/>
  <c r="AA54" i="29"/>
  <c r="X13" i="27"/>
  <c r="X54" i="31"/>
  <c r="X50" i="27"/>
  <c r="X54" i="29"/>
  <c r="P13" i="27"/>
  <c r="P54" i="31"/>
  <c r="P50" i="27"/>
  <c r="P54" i="29"/>
  <c r="W13" i="27"/>
  <c r="W54" i="31"/>
  <c r="W54" i="29"/>
  <c r="W50" i="27"/>
  <c r="O13" i="31"/>
  <c r="O54" i="31"/>
  <c r="O54" i="29"/>
  <c r="O50" i="27"/>
  <c r="K29" i="26"/>
  <c r="P29" i="26"/>
  <c r="L13" i="27"/>
  <c r="L54" i="29"/>
  <c r="L54" i="31"/>
  <c r="L50" i="27"/>
  <c r="Y13" i="27"/>
  <c r="Y54" i="31"/>
  <c r="Y50" i="27"/>
  <c r="Y54" i="29"/>
  <c r="N13" i="27"/>
  <c r="N50" i="27"/>
  <c r="N54" i="31"/>
  <c r="N54" i="29"/>
  <c r="U13" i="31"/>
  <c r="U54" i="29"/>
  <c r="U50" i="27"/>
  <c r="U54" i="31"/>
  <c r="J38" i="28"/>
  <c r="J40" i="29"/>
  <c r="T13" i="27"/>
  <c r="T54" i="29"/>
  <c r="T54" i="31"/>
  <c r="T50" i="27"/>
  <c r="K13" i="27"/>
  <c r="K54" i="29"/>
  <c r="K54" i="31"/>
  <c r="K50" i="27"/>
  <c r="P13" i="31"/>
  <c r="V13" i="31"/>
  <c r="V50" i="27"/>
  <c r="V54" i="31"/>
  <c r="V54" i="29"/>
  <c r="J29" i="30"/>
  <c r="J40" i="31"/>
  <c r="J29" i="26"/>
  <c r="J37" i="27"/>
  <c r="S13" i="31"/>
  <c r="S54" i="29"/>
  <c r="S50" i="27"/>
  <c r="S54" i="31"/>
  <c r="Q13" i="29"/>
  <c r="Q54" i="31"/>
  <c r="Q50" i="27"/>
  <c r="Q54" i="29"/>
  <c r="J13" i="31"/>
  <c r="J50" i="27"/>
  <c r="J13" i="27"/>
  <c r="J54" i="29"/>
  <c r="J13" i="29"/>
  <c r="J54" i="31"/>
  <c r="Z13" i="29"/>
  <c r="Z54" i="29"/>
  <c r="Z50" i="27"/>
  <c r="Z54" i="31"/>
  <c r="R13" i="29"/>
  <c r="R54" i="29"/>
  <c r="R50" i="27"/>
  <c r="R54" i="31"/>
  <c r="T40" i="31"/>
  <c r="X38" i="28"/>
  <c r="P13" i="29"/>
  <c r="S40" i="31"/>
  <c r="W38" i="28"/>
  <c r="X29" i="26"/>
  <c r="L38" i="28"/>
  <c r="P40" i="31"/>
  <c r="Y29" i="26"/>
  <c r="O13" i="29"/>
  <c r="W29" i="26"/>
  <c r="K13" i="29"/>
  <c r="O29" i="30"/>
  <c r="AA13" i="29"/>
  <c r="AA13" i="31"/>
  <c r="O29" i="26"/>
  <c r="Y13" i="29"/>
  <c r="O13" i="27"/>
  <c r="S13" i="29"/>
  <c r="X58" i="45"/>
  <c r="M29" i="26"/>
  <c r="K13" i="31"/>
  <c r="L29" i="26"/>
  <c r="Q13" i="27"/>
  <c r="Y60" i="45"/>
  <c r="Q29" i="30"/>
  <c r="Y59" i="45"/>
  <c r="Q38" i="28"/>
  <c r="Y58" i="45"/>
  <c r="Q37" i="27"/>
  <c r="Y57" i="45"/>
  <c r="U29" i="26"/>
  <c r="T38" i="28"/>
  <c r="X13" i="29"/>
  <c r="L13" i="29"/>
  <c r="X13" i="31"/>
  <c r="Y40" i="31"/>
  <c r="T29" i="26"/>
  <c r="S38" i="28"/>
  <c r="W13" i="29"/>
  <c r="K40" i="29"/>
  <c r="W13" i="31"/>
  <c r="X40" i="31"/>
  <c r="M40" i="31"/>
  <c r="K29" i="30"/>
  <c r="X59" i="45"/>
  <c r="S29" i="26"/>
  <c r="P38" i="28"/>
  <c r="U13" i="29"/>
  <c r="AA29" i="30"/>
  <c r="T13" i="31"/>
  <c r="W40" i="31"/>
  <c r="L40" i="31"/>
  <c r="L13" i="31"/>
  <c r="Q29" i="26"/>
  <c r="S13" i="27"/>
  <c r="O38" i="28"/>
  <c r="T13" i="29"/>
  <c r="U40" i="31"/>
  <c r="N37" i="27"/>
  <c r="X57" i="45"/>
  <c r="M13" i="31"/>
  <c r="X60" i="45"/>
  <c r="M13" i="29"/>
  <c r="V37" i="27"/>
  <c r="R40" i="29"/>
  <c r="V13" i="27"/>
  <c r="Y40" i="29"/>
  <c r="Q40" i="29"/>
  <c r="Z29" i="30"/>
  <c r="AA29" i="26"/>
  <c r="U13" i="27"/>
  <c r="M13" i="27"/>
  <c r="V38" i="28"/>
  <c r="N38" i="28"/>
  <c r="Z13" i="31"/>
  <c r="R13" i="31"/>
  <c r="Z29" i="26"/>
  <c r="R29" i="26"/>
  <c r="U38" i="28"/>
  <c r="M38" i="28"/>
  <c r="V13" i="29"/>
  <c r="N13" i="29"/>
  <c r="Y13" i="31"/>
  <c r="Q13" i="31"/>
  <c r="R40" i="31"/>
  <c r="AA38" i="28"/>
  <c r="V29" i="30"/>
  <c r="Z13" i="27"/>
  <c r="R13" i="27"/>
  <c r="N29" i="30"/>
  <c r="Z38" i="28"/>
  <c r="N13" i="31"/>
  <c r="N29" i="26"/>
  <c r="I12" i="24"/>
  <c r="V46" i="45"/>
  <c r="V53" i="45" s="1"/>
  <c r="D46" i="45"/>
  <c r="F46" i="45"/>
  <c r="F53" i="45" s="1"/>
  <c r="G46" i="45"/>
  <c r="G53" i="45" s="1"/>
  <c r="H46" i="45"/>
  <c r="I46" i="45"/>
  <c r="I53" i="45" s="1"/>
  <c r="J46" i="45"/>
  <c r="J53" i="45" s="1"/>
  <c r="K46" i="45"/>
  <c r="K53" i="45" s="1"/>
  <c r="L46" i="45"/>
  <c r="M46" i="45"/>
  <c r="M53" i="45" s="1"/>
  <c r="N46" i="45"/>
  <c r="N53" i="45" s="1"/>
  <c r="O46" i="45"/>
  <c r="O53" i="45" s="1"/>
  <c r="P46" i="45"/>
  <c r="P53" i="45" s="1"/>
  <c r="Q46" i="45"/>
  <c r="Q53" i="45" s="1"/>
  <c r="R46" i="45"/>
  <c r="R53" i="45" s="1"/>
  <c r="S46" i="45"/>
  <c r="S53" i="45" s="1"/>
  <c r="T46" i="45"/>
  <c r="T53" i="45" s="1"/>
  <c r="U46" i="45"/>
  <c r="U53" i="45" s="1"/>
  <c r="C46" i="45"/>
  <c r="C53" i="45" s="1"/>
  <c r="Y45" i="45"/>
  <c r="X45" i="45"/>
  <c r="Y44" i="45"/>
  <c r="X44" i="45"/>
  <c r="Y43" i="45"/>
  <c r="X43" i="45"/>
  <c r="Y42" i="45"/>
  <c r="X42" i="45"/>
  <c r="Y41" i="45"/>
  <c r="X41" i="45"/>
  <c r="Z43" i="45" l="1"/>
  <c r="Z22" i="24"/>
  <c r="J22" i="24"/>
  <c r="Z60" i="45"/>
  <c r="Z44" i="45"/>
  <c r="Z57" i="45"/>
  <c r="L53" i="45"/>
  <c r="Y46" i="45"/>
  <c r="Z59" i="45"/>
  <c r="Z58" i="45"/>
  <c r="H53" i="45"/>
  <c r="X46" i="45"/>
  <c r="Z41" i="45"/>
  <c r="Z42" i="45"/>
  <c r="N22" i="24"/>
  <c r="N22" i="43"/>
  <c r="N22" i="25"/>
  <c r="M22" i="24"/>
  <c r="M22" i="25"/>
  <c r="M22" i="43"/>
  <c r="T22" i="24"/>
  <c r="T22" i="25"/>
  <c r="T22" i="43"/>
  <c r="S22" i="24"/>
  <c r="S22" i="43"/>
  <c r="S22" i="25"/>
  <c r="K22" i="24"/>
  <c r="K22" i="25"/>
  <c r="K22" i="43"/>
  <c r="Y22" i="24"/>
  <c r="Y22" i="43"/>
  <c r="Y22" i="25"/>
  <c r="V22" i="24"/>
  <c r="V22" i="43"/>
  <c r="V22" i="25"/>
  <c r="U22" i="24"/>
  <c r="U22" i="25"/>
  <c r="U22" i="43"/>
  <c r="R22" i="24"/>
  <c r="R22" i="25"/>
  <c r="R22" i="43"/>
  <c r="Q22" i="24"/>
  <c r="Q22" i="43"/>
  <c r="Q22" i="25"/>
  <c r="X22" i="24"/>
  <c r="X22" i="43"/>
  <c r="X22" i="25"/>
  <c r="W22" i="24"/>
  <c r="W22" i="43"/>
  <c r="W22" i="25"/>
  <c r="O22" i="24"/>
  <c r="O22" i="43"/>
  <c r="O22" i="25"/>
  <c r="J22" i="43"/>
  <c r="Z22" i="43"/>
  <c r="Z45" i="45"/>
  <c r="J22" i="25"/>
  <c r="Z22" i="25"/>
  <c r="F30" i="45"/>
  <c r="F29" i="45"/>
  <c r="F28" i="45"/>
  <c r="F27" i="45"/>
  <c r="F26" i="45"/>
  <c r="Y53" i="45" l="1"/>
  <c r="X53" i="45"/>
  <c r="P22" i="43"/>
  <c r="P22" i="25"/>
  <c r="P22" i="24"/>
  <c r="Z46" i="45"/>
  <c r="L22" i="25"/>
  <c r="L22" i="43"/>
  <c r="L22" i="24"/>
  <c r="V11" i="45"/>
  <c r="V12" i="45"/>
  <c r="V13" i="45"/>
  <c r="V14" i="45"/>
  <c r="V15" i="45"/>
  <c r="V10" i="45"/>
  <c r="D10" i="45"/>
  <c r="E10" i="45"/>
  <c r="F10" i="45"/>
  <c r="G10" i="45"/>
  <c r="H10" i="45"/>
  <c r="I10" i="45"/>
  <c r="J10" i="45"/>
  <c r="K10" i="45"/>
  <c r="L10" i="45"/>
  <c r="M10" i="45"/>
  <c r="N10" i="45"/>
  <c r="O10" i="45"/>
  <c r="P10" i="45"/>
  <c r="Q10" i="45"/>
  <c r="R10" i="45"/>
  <c r="S10" i="45"/>
  <c r="T10" i="45"/>
  <c r="U10" i="45"/>
  <c r="D11" i="45"/>
  <c r="E11" i="45"/>
  <c r="F11" i="45"/>
  <c r="G11" i="45"/>
  <c r="H11" i="45"/>
  <c r="I11" i="45"/>
  <c r="J11" i="45"/>
  <c r="K11" i="45"/>
  <c r="L11" i="45"/>
  <c r="M11" i="45"/>
  <c r="N11" i="45"/>
  <c r="O11" i="45"/>
  <c r="P11" i="45"/>
  <c r="Q11" i="45"/>
  <c r="R11" i="45"/>
  <c r="S11" i="45"/>
  <c r="T11" i="45"/>
  <c r="U11" i="45"/>
  <c r="D12" i="45"/>
  <c r="E12" i="45"/>
  <c r="F12" i="45"/>
  <c r="G12" i="45"/>
  <c r="H12" i="45"/>
  <c r="I12" i="45"/>
  <c r="J12" i="45"/>
  <c r="K12" i="45"/>
  <c r="L12" i="45"/>
  <c r="M12" i="45"/>
  <c r="N12" i="45"/>
  <c r="O12" i="45"/>
  <c r="P12" i="45"/>
  <c r="Q12" i="45"/>
  <c r="R12" i="45"/>
  <c r="S12" i="45"/>
  <c r="T12" i="45"/>
  <c r="U12" i="45"/>
  <c r="D13" i="45"/>
  <c r="E13" i="45"/>
  <c r="F13" i="45"/>
  <c r="G13" i="45"/>
  <c r="H13" i="45"/>
  <c r="I13" i="45"/>
  <c r="J13" i="45"/>
  <c r="K13" i="45"/>
  <c r="L13" i="45"/>
  <c r="M13" i="45"/>
  <c r="N13" i="45"/>
  <c r="O13" i="45"/>
  <c r="P13" i="45"/>
  <c r="Q13" i="45"/>
  <c r="R13" i="45"/>
  <c r="S13" i="45"/>
  <c r="T13" i="45"/>
  <c r="U13" i="45"/>
  <c r="D14" i="45"/>
  <c r="F14" i="45"/>
  <c r="G14" i="45"/>
  <c r="H14" i="45"/>
  <c r="I14" i="45"/>
  <c r="J14" i="45"/>
  <c r="K14" i="45"/>
  <c r="L14" i="45"/>
  <c r="M14" i="45"/>
  <c r="N14" i="45"/>
  <c r="O14" i="45"/>
  <c r="P14" i="45"/>
  <c r="Q14" i="45"/>
  <c r="R14" i="45"/>
  <c r="S14" i="45"/>
  <c r="T14" i="45"/>
  <c r="U14" i="45"/>
  <c r="D15" i="45"/>
  <c r="E15" i="45"/>
  <c r="E38" i="45" s="1"/>
  <c r="F15" i="45"/>
  <c r="G15" i="45"/>
  <c r="H15" i="45"/>
  <c r="I15" i="45"/>
  <c r="J15" i="45"/>
  <c r="K15" i="45"/>
  <c r="L15" i="45"/>
  <c r="M15" i="45"/>
  <c r="N15" i="45"/>
  <c r="O15" i="45"/>
  <c r="P15" i="45"/>
  <c r="Q15" i="45"/>
  <c r="R15" i="45"/>
  <c r="S15" i="45"/>
  <c r="T15" i="45"/>
  <c r="U15" i="45"/>
  <c r="C15" i="45"/>
  <c r="C14" i="45"/>
  <c r="C13" i="45"/>
  <c r="C12" i="45"/>
  <c r="C11" i="45"/>
  <c r="C10" i="45"/>
  <c r="D18" i="45"/>
  <c r="E18" i="45"/>
  <c r="F18" i="45"/>
  <c r="G18" i="45"/>
  <c r="H18" i="45"/>
  <c r="I18" i="45"/>
  <c r="J18" i="45"/>
  <c r="K18" i="45"/>
  <c r="L18" i="45"/>
  <c r="M18" i="45"/>
  <c r="N18" i="45"/>
  <c r="O18" i="45"/>
  <c r="P18" i="45"/>
  <c r="Q18" i="45"/>
  <c r="R18" i="45"/>
  <c r="S18" i="45"/>
  <c r="T18" i="45"/>
  <c r="U18" i="45"/>
  <c r="V18" i="45"/>
  <c r="D19" i="45"/>
  <c r="E19" i="45"/>
  <c r="F19" i="45"/>
  <c r="G19" i="45"/>
  <c r="H19" i="45"/>
  <c r="I19" i="45"/>
  <c r="J19" i="45"/>
  <c r="K19" i="45"/>
  <c r="L19" i="45"/>
  <c r="M19" i="45"/>
  <c r="N19" i="45"/>
  <c r="O19" i="45"/>
  <c r="P19" i="45"/>
  <c r="Q19" i="45"/>
  <c r="R19" i="45"/>
  <c r="S19" i="45"/>
  <c r="T19" i="45"/>
  <c r="U19" i="45"/>
  <c r="V19" i="45"/>
  <c r="D20" i="45"/>
  <c r="E20" i="45"/>
  <c r="F20" i="45"/>
  <c r="G20" i="45"/>
  <c r="H20" i="45"/>
  <c r="I20" i="45"/>
  <c r="J20" i="45"/>
  <c r="K20" i="45"/>
  <c r="L20" i="45"/>
  <c r="M20" i="45"/>
  <c r="N20" i="45"/>
  <c r="O20" i="45"/>
  <c r="P20" i="45"/>
  <c r="Q20" i="45"/>
  <c r="R20" i="45"/>
  <c r="S20" i="45"/>
  <c r="T20" i="45"/>
  <c r="U20" i="45"/>
  <c r="V20" i="45"/>
  <c r="D21" i="45"/>
  <c r="E21" i="45"/>
  <c r="F21" i="45"/>
  <c r="G21" i="45"/>
  <c r="H21" i="45"/>
  <c r="I21" i="45"/>
  <c r="J21" i="45"/>
  <c r="K21" i="45"/>
  <c r="L21" i="45"/>
  <c r="M21" i="45"/>
  <c r="N21" i="45"/>
  <c r="O21" i="45"/>
  <c r="P21" i="45"/>
  <c r="Q21" i="45"/>
  <c r="R21" i="45"/>
  <c r="S21" i="45"/>
  <c r="T21" i="45"/>
  <c r="U21" i="45"/>
  <c r="V21" i="45"/>
  <c r="D22" i="45"/>
  <c r="E22" i="45"/>
  <c r="E37" i="45" s="1"/>
  <c r="F22" i="45"/>
  <c r="G22" i="45"/>
  <c r="H22" i="45"/>
  <c r="I22" i="45"/>
  <c r="J22" i="45"/>
  <c r="K22" i="45"/>
  <c r="L22" i="45"/>
  <c r="M22" i="45"/>
  <c r="N22" i="45"/>
  <c r="O22" i="45"/>
  <c r="P22" i="45"/>
  <c r="Q22" i="45"/>
  <c r="R22" i="45"/>
  <c r="S22" i="45"/>
  <c r="T22" i="45"/>
  <c r="U22" i="45"/>
  <c r="V22" i="45"/>
  <c r="D23" i="45"/>
  <c r="F23" i="45"/>
  <c r="G23" i="45"/>
  <c r="H23" i="45"/>
  <c r="I23" i="45"/>
  <c r="J23" i="45"/>
  <c r="K23" i="45"/>
  <c r="L23" i="45"/>
  <c r="M23" i="45"/>
  <c r="N23" i="45"/>
  <c r="O23" i="45"/>
  <c r="P23" i="45"/>
  <c r="Q23" i="45"/>
  <c r="R23" i="45"/>
  <c r="S23" i="45"/>
  <c r="T23" i="45"/>
  <c r="U23" i="45"/>
  <c r="V23" i="45"/>
  <c r="I54" i="45" l="1"/>
  <c r="G38" i="45"/>
  <c r="K51" i="20" s="1"/>
  <c r="F38" i="45"/>
  <c r="J51" i="20" s="1"/>
  <c r="F54" i="45"/>
  <c r="F49" i="45"/>
  <c r="J40" i="24" s="1"/>
  <c r="Z53" i="45"/>
  <c r="D33" i="45"/>
  <c r="F33" i="45"/>
  <c r="T54" i="45"/>
  <c r="D37" i="45"/>
  <c r="F37" i="45"/>
  <c r="J22" i="21" s="1"/>
  <c r="D35" i="45"/>
  <c r="F50" i="45"/>
  <c r="J40" i="25" s="1"/>
  <c r="E34" i="45"/>
  <c r="T38" i="45"/>
  <c r="X51" i="22" s="1"/>
  <c r="L54" i="45"/>
  <c r="D38" i="45"/>
  <c r="E33" i="45"/>
  <c r="S38" i="45"/>
  <c r="W51" i="21" s="1"/>
  <c r="S54" i="45"/>
  <c r="X13" i="45"/>
  <c r="F52" i="45"/>
  <c r="R38" i="45"/>
  <c r="R54" i="45"/>
  <c r="E36" i="45"/>
  <c r="J38" i="45"/>
  <c r="N51" i="22" s="1"/>
  <c r="J54" i="45"/>
  <c r="F34" i="45"/>
  <c r="Q38" i="45"/>
  <c r="Q54" i="45"/>
  <c r="I38" i="45"/>
  <c r="Y13" i="45"/>
  <c r="D36" i="45"/>
  <c r="X12" i="45"/>
  <c r="F51" i="45"/>
  <c r="V38" i="45"/>
  <c r="V54" i="45"/>
  <c r="K38" i="45"/>
  <c r="K54" i="45"/>
  <c r="P38" i="45"/>
  <c r="P54" i="45"/>
  <c r="H38" i="45"/>
  <c r="L51" i="21" s="1"/>
  <c r="H54" i="45"/>
  <c r="E35" i="45"/>
  <c r="O38" i="45"/>
  <c r="O54" i="45"/>
  <c r="G54" i="45"/>
  <c r="N38" i="45"/>
  <c r="N54" i="45"/>
  <c r="U38" i="45"/>
  <c r="U54" i="45"/>
  <c r="M38" i="45"/>
  <c r="Q51" i="22" s="1"/>
  <c r="M54" i="45"/>
  <c r="D34" i="45"/>
  <c r="W51" i="20"/>
  <c r="Y14" i="45"/>
  <c r="Y12" i="45"/>
  <c r="X11" i="45"/>
  <c r="F36" i="45"/>
  <c r="Y11" i="45"/>
  <c r="X10" i="45"/>
  <c r="X15" i="45"/>
  <c r="Y15" i="45"/>
  <c r="X14" i="45"/>
  <c r="F35" i="45"/>
  <c r="Y10" i="45"/>
  <c r="L38" i="45"/>
  <c r="K51" i="22" l="1"/>
  <c r="K51" i="21"/>
  <c r="J22" i="20"/>
  <c r="V51" i="22"/>
  <c r="V52" i="4"/>
  <c r="V52" i="19"/>
  <c r="V52" i="18"/>
  <c r="V52" i="17"/>
  <c r="V52" i="16"/>
  <c r="V52" i="15"/>
  <c r="J52" i="19"/>
  <c r="J52" i="18"/>
  <c r="J52" i="17"/>
  <c r="J52" i="16"/>
  <c r="J52" i="15"/>
  <c r="J52" i="4"/>
  <c r="Y38" i="45"/>
  <c r="P52" i="4"/>
  <c r="P52" i="17"/>
  <c r="P52" i="18"/>
  <c r="P52" i="19"/>
  <c r="P52" i="16"/>
  <c r="P52" i="15"/>
  <c r="J13" i="19"/>
  <c r="J41" i="19"/>
  <c r="X51" i="20"/>
  <c r="Q51" i="20"/>
  <c r="Q52" i="4"/>
  <c r="Q52" i="19"/>
  <c r="Q52" i="18"/>
  <c r="Q52" i="17"/>
  <c r="Q52" i="16"/>
  <c r="Q52" i="15"/>
  <c r="O51" i="21"/>
  <c r="O52" i="19"/>
  <c r="O52" i="18"/>
  <c r="O52" i="17"/>
  <c r="O52" i="16"/>
  <c r="O52" i="15"/>
  <c r="O52" i="4"/>
  <c r="J12" i="43"/>
  <c r="J37" i="43"/>
  <c r="K52" i="4"/>
  <c r="K52" i="18"/>
  <c r="K52" i="15"/>
  <c r="K52" i="17"/>
  <c r="K52" i="19"/>
  <c r="K52" i="16"/>
  <c r="J13" i="15"/>
  <c r="J40" i="20"/>
  <c r="J41" i="15"/>
  <c r="J13" i="4"/>
  <c r="J41" i="4"/>
  <c r="M52" i="15"/>
  <c r="M52" i="17"/>
  <c r="M52" i="19"/>
  <c r="M52" i="16"/>
  <c r="M52" i="18"/>
  <c r="M52" i="4"/>
  <c r="U51" i="22"/>
  <c r="U52" i="4"/>
  <c r="U52" i="19"/>
  <c r="U52" i="16"/>
  <c r="U52" i="15"/>
  <c r="U52" i="18"/>
  <c r="U52" i="17"/>
  <c r="I40" i="21"/>
  <c r="I12" i="21"/>
  <c r="I41" i="16"/>
  <c r="I13" i="17"/>
  <c r="I41" i="17"/>
  <c r="I13" i="16"/>
  <c r="I12" i="20"/>
  <c r="I41" i="15"/>
  <c r="I41" i="4"/>
  <c r="I40" i="20"/>
  <c r="I13" i="15"/>
  <c r="I13" i="4"/>
  <c r="S51" i="20"/>
  <c r="S52" i="4"/>
  <c r="S52" i="17"/>
  <c r="S52" i="19"/>
  <c r="S52" i="16"/>
  <c r="S52" i="18"/>
  <c r="S52" i="15"/>
  <c r="J13" i="18"/>
  <c r="J12" i="22"/>
  <c r="J40" i="22"/>
  <c r="J41" i="18"/>
  <c r="S51" i="22"/>
  <c r="Y51" i="22"/>
  <c r="Y52" i="4"/>
  <c r="Y52" i="19"/>
  <c r="Y52" i="18"/>
  <c r="Y52" i="17"/>
  <c r="Y52" i="16"/>
  <c r="Y52" i="15"/>
  <c r="Z51" i="22"/>
  <c r="Z52" i="19"/>
  <c r="Z52" i="18"/>
  <c r="Z52" i="17"/>
  <c r="Z52" i="16"/>
  <c r="Z52" i="15"/>
  <c r="Z52" i="4"/>
  <c r="J13" i="17"/>
  <c r="J13" i="16"/>
  <c r="J41" i="17"/>
  <c r="J40" i="21"/>
  <c r="J41" i="16"/>
  <c r="I40" i="22"/>
  <c r="I41" i="18"/>
  <c r="I12" i="22"/>
  <c r="I13" i="18"/>
  <c r="T51" i="22"/>
  <c r="T52" i="19"/>
  <c r="T52" i="18"/>
  <c r="T52" i="17"/>
  <c r="T52" i="16"/>
  <c r="T52" i="15"/>
  <c r="T52" i="4"/>
  <c r="T51" i="20"/>
  <c r="X52" i="19"/>
  <c r="X52" i="16"/>
  <c r="X52" i="18"/>
  <c r="X52" i="4"/>
  <c r="X52" i="15"/>
  <c r="X52" i="17"/>
  <c r="X51" i="21"/>
  <c r="V51" i="21"/>
  <c r="J51" i="21"/>
  <c r="W51" i="22"/>
  <c r="W52" i="19"/>
  <c r="W52" i="18"/>
  <c r="W52" i="17"/>
  <c r="W52" i="16"/>
  <c r="W52" i="15"/>
  <c r="W52" i="4"/>
  <c r="J22" i="22"/>
  <c r="J23" i="18"/>
  <c r="J23" i="16"/>
  <c r="J23" i="15"/>
  <c r="J23" i="17"/>
  <c r="J23" i="19"/>
  <c r="J23" i="4"/>
  <c r="L51" i="22"/>
  <c r="L52" i="19"/>
  <c r="L52" i="18"/>
  <c r="L52" i="17"/>
  <c r="L52" i="16"/>
  <c r="L52" i="15"/>
  <c r="L52" i="4"/>
  <c r="N51" i="21"/>
  <c r="N52" i="4"/>
  <c r="N52" i="19"/>
  <c r="N52" i="18"/>
  <c r="N52" i="17"/>
  <c r="N52" i="16"/>
  <c r="N52" i="15"/>
  <c r="I23" i="19"/>
  <c r="I23" i="17"/>
  <c r="I22" i="22"/>
  <c r="I23" i="4"/>
  <c r="I22" i="20"/>
  <c r="I23" i="18"/>
  <c r="I23" i="16"/>
  <c r="I22" i="21"/>
  <c r="I23" i="15"/>
  <c r="J51" i="22"/>
  <c r="Q51" i="21"/>
  <c r="R51" i="21"/>
  <c r="R52" i="19"/>
  <c r="R52" i="18"/>
  <c r="R52" i="17"/>
  <c r="R52" i="16"/>
  <c r="R52" i="15"/>
  <c r="R52" i="4"/>
  <c r="I13" i="19"/>
  <c r="I41" i="19"/>
  <c r="I51" i="22"/>
  <c r="I51" i="21"/>
  <c r="I52" i="19"/>
  <c r="I52" i="18"/>
  <c r="I52" i="17"/>
  <c r="I52" i="16"/>
  <c r="I52" i="15"/>
  <c r="I52" i="4"/>
  <c r="I51" i="20"/>
  <c r="N51" i="20"/>
  <c r="L51" i="20"/>
  <c r="J12" i="25"/>
  <c r="J12" i="21"/>
  <c r="J12" i="24"/>
  <c r="J12" i="20"/>
  <c r="Z12" i="45"/>
  <c r="O51" i="22"/>
  <c r="Y54" i="45"/>
  <c r="X54" i="45"/>
  <c r="O51" i="20"/>
  <c r="M51" i="22"/>
  <c r="X38" i="45"/>
  <c r="Z15" i="45"/>
  <c r="Z10" i="45"/>
  <c r="Z13" i="45"/>
  <c r="Z11" i="45"/>
  <c r="U51" i="20"/>
  <c r="T51" i="21"/>
  <c r="Y51" i="20"/>
  <c r="U51" i="21"/>
  <c r="Y51" i="21"/>
  <c r="R51" i="22"/>
  <c r="Z51" i="20"/>
  <c r="J51" i="25"/>
  <c r="J51" i="24"/>
  <c r="J48" i="43"/>
  <c r="O48" i="43"/>
  <c r="O51" i="24"/>
  <c r="O51" i="25"/>
  <c r="W51" i="25"/>
  <c r="W51" i="24"/>
  <c r="W48" i="43"/>
  <c r="M51" i="20"/>
  <c r="Z51" i="21"/>
  <c r="L51" i="25"/>
  <c r="L51" i="24"/>
  <c r="L48" i="43"/>
  <c r="U51" i="25"/>
  <c r="U51" i="24"/>
  <c r="U48" i="43"/>
  <c r="R51" i="20"/>
  <c r="M51" i="21"/>
  <c r="R51" i="25"/>
  <c r="R51" i="24"/>
  <c r="R48" i="43"/>
  <c r="Z51" i="25"/>
  <c r="Z51" i="24"/>
  <c r="Z48" i="43"/>
  <c r="V48" i="43"/>
  <c r="V51" i="25"/>
  <c r="V51" i="24"/>
  <c r="T48" i="43"/>
  <c r="T51" i="25"/>
  <c r="T51" i="24"/>
  <c r="V51" i="20"/>
  <c r="K51" i="25"/>
  <c r="K51" i="24"/>
  <c r="K48" i="43"/>
  <c r="P48" i="43"/>
  <c r="P51" i="25"/>
  <c r="P51" i="24"/>
  <c r="S51" i="21"/>
  <c r="Q51" i="25"/>
  <c r="Q51" i="24"/>
  <c r="Q48" i="43"/>
  <c r="Y48" i="43"/>
  <c r="Y51" i="25"/>
  <c r="Y51" i="24"/>
  <c r="N48" i="43"/>
  <c r="N51" i="25"/>
  <c r="N51" i="24"/>
  <c r="X48" i="43"/>
  <c r="X51" i="25"/>
  <c r="X51" i="24"/>
  <c r="S51" i="25"/>
  <c r="S51" i="24"/>
  <c r="S48" i="43"/>
  <c r="M51" i="25"/>
  <c r="M48" i="43"/>
  <c r="M51" i="24"/>
  <c r="P51" i="22"/>
  <c r="P51" i="21"/>
  <c r="P51" i="20"/>
  <c r="Z14" i="45"/>
  <c r="X21" i="45"/>
  <c r="V30" i="45"/>
  <c r="V37" i="45" s="1"/>
  <c r="U30" i="45"/>
  <c r="U37" i="45" s="1"/>
  <c r="T30" i="45"/>
  <c r="T37" i="45" s="1"/>
  <c r="S30" i="45"/>
  <c r="S37" i="45" s="1"/>
  <c r="R30" i="45"/>
  <c r="R37" i="45" s="1"/>
  <c r="Q30" i="45"/>
  <c r="Q37" i="45" s="1"/>
  <c r="P30" i="45"/>
  <c r="P37" i="45" s="1"/>
  <c r="O30" i="45"/>
  <c r="O37" i="45" s="1"/>
  <c r="N30" i="45"/>
  <c r="N37" i="45" s="1"/>
  <c r="M30" i="45"/>
  <c r="M37" i="45" s="1"/>
  <c r="L30" i="45"/>
  <c r="L37" i="45" s="1"/>
  <c r="K30" i="45"/>
  <c r="K37" i="45" s="1"/>
  <c r="J30" i="45"/>
  <c r="J37" i="45" s="1"/>
  <c r="I30" i="45"/>
  <c r="I37" i="45" s="1"/>
  <c r="H30" i="45"/>
  <c r="H37" i="45" s="1"/>
  <c r="G30" i="45"/>
  <c r="G37" i="45" s="1"/>
  <c r="V29" i="45"/>
  <c r="U29" i="45"/>
  <c r="T29" i="45"/>
  <c r="S29" i="45"/>
  <c r="S52" i="45" s="1"/>
  <c r="R29" i="45"/>
  <c r="Q29" i="45"/>
  <c r="P29" i="45"/>
  <c r="O29" i="45"/>
  <c r="N29" i="45"/>
  <c r="M29" i="45"/>
  <c r="L29" i="45"/>
  <c r="K29" i="45"/>
  <c r="J29" i="45"/>
  <c r="I29" i="45"/>
  <c r="H29" i="45"/>
  <c r="G29" i="45"/>
  <c r="V28" i="45"/>
  <c r="U28" i="45"/>
  <c r="T28" i="45"/>
  <c r="S28" i="45"/>
  <c r="S35" i="45" s="1"/>
  <c r="R28" i="45"/>
  <c r="Q28" i="45"/>
  <c r="P28" i="45"/>
  <c r="O28" i="45"/>
  <c r="N28" i="45"/>
  <c r="M28" i="45"/>
  <c r="L28" i="45"/>
  <c r="K28" i="45"/>
  <c r="J28" i="45"/>
  <c r="I28" i="45"/>
  <c r="H28" i="45"/>
  <c r="G28" i="45"/>
  <c r="V27" i="45"/>
  <c r="U27" i="45"/>
  <c r="T27" i="45"/>
  <c r="S27" i="45"/>
  <c r="R27" i="45"/>
  <c r="R50" i="45" s="1"/>
  <c r="V40" i="25" s="1"/>
  <c r="Q27" i="45"/>
  <c r="P27" i="45"/>
  <c r="O27" i="45"/>
  <c r="N27" i="45"/>
  <c r="M27" i="45"/>
  <c r="L27" i="45"/>
  <c r="K27" i="45"/>
  <c r="J27" i="45"/>
  <c r="I27" i="45"/>
  <c r="H27" i="45"/>
  <c r="G27" i="45"/>
  <c r="V26" i="45"/>
  <c r="U26" i="45"/>
  <c r="T26" i="45"/>
  <c r="S26" i="45"/>
  <c r="R26" i="45"/>
  <c r="Q26" i="45"/>
  <c r="P26" i="45"/>
  <c r="O26" i="45"/>
  <c r="N26" i="45"/>
  <c r="M26" i="45"/>
  <c r="L26" i="45"/>
  <c r="K26" i="45"/>
  <c r="J26" i="45"/>
  <c r="I26" i="45"/>
  <c r="H26" i="45"/>
  <c r="G26" i="45"/>
  <c r="Y23" i="45"/>
  <c r="X23" i="45"/>
  <c r="C23" i="45"/>
  <c r="Y22" i="45"/>
  <c r="X22" i="45"/>
  <c r="C22" i="45"/>
  <c r="C37" i="45" s="1"/>
  <c r="Y21" i="45"/>
  <c r="C21" i="45"/>
  <c r="Y20" i="45"/>
  <c r="X20" i="45"/>
  <c r="C20" i="45"/>
  <c r="Y19" i="45"/>
  <c r="X19" i="45"/>
  <c r="C19" i="45"/>
  <c r="Y18" i="45"/>
  <c r="X18" i="45"/>
  <c r="C18" i="45"/>
  <c r="AA45" i="14"/>
  <c r="AA46" i="14"/>
  <c r="AA47" i="14"/>
  <c r="C36" i="45" l="1"/>
  <c r="C52" i="45"/>
  <c r="G49" i="45"/>
  <c r="K40" i="24" s="1"/>
  <c r="G33" i="45"/>
  <c r="K12" i="20" s="1"/>
  <c r="K22" i="22"/>
  <c r="K23" i="19"/>
  <c r="K23" i="17"/>
  <c r="K23" i="18"/>
  <c r="K23" i="16"/>
  <c r="K23" i="15"/>
  <c r="K23" i="4"/>
  <c r="S22" i="22"/>
  <c r="S23" i="19"/>
  <c r="S23" i="17"/>
  <c r="S23" i="18"/>
  <c r="S23" i="16"/>
  <c r="S23" i="15"/>
  <c r="S23" i="4"/>
  <c r="H50" i="45"/>
  <c r="L40" i="25" s="1"/>
  <c r="H34" i="45"/>
  <c r="L23" i="19"/>
  <c r="L23" i="17"/>
  <c r="L23" i="15"/>
  <c r="L23" i="16"/>
  <c r="L23" i="18"/>
  <c r="L23" i="4"/>
  <c r="L22" i="22"/>
  <c r="T23" i="19"/>
  <c r="T23" i="17"/>
  <c r="T23" i="16"/>
  <c r="T23" i="4"/>
  <c r="T23" i="18"/>
  <c r="T23" i="15"/>
  <c r="T22" i="22"/>
  <c r="Z38" i="45"/>
  <c r="M22" i="22"/>
  <c r="M23" i="18"/>
  <c r="M23" i="16"/>
  <c r="M23" i="15"/>
  <c r="M23" i="17"/>
  <c r="M23" i="19"/>
  <c r="M23" i="4"/>
  <c r="V23" i="19"/>
  <c r="V23" i="17"/>
  <c r="V23" i="18"/>
  <c r="V23" i="16"/>
  <c r="V23" i="15"/>
  <c r="V22" i="22"/>
  <c r="V23" i="4"/>
  <c r="Y23" i="19"/>
  <c r="Y23" i="17"/>
  <c r="Y23" i="18"/>
  <c r="Y23" i="4"/>
  <c r="Y23" i="15"/>
  <c r="Y22" i="22"/>
  <c r="Y23" i="16"/>
  <c r="W12" i="22"/>
  <c r="W13" i="18"/>
  <c r="W40" i="22"/>
  <c r="W41" i="18"/>
  <c r="W37" i="43"/>
  <c r="O22" i="22"/>
  <c r="O23" i="17"/>
  <c r="O23" i="4"/>
  <c r="O23" i="19"/>
  <c r="O23" i="15"/>
  <c r="O23" i="16"/>
  <c r="O23" i="18"/>
  <c r="W22" i="22"/>
  <c r="W23" i="4"/>
  <c r="W23" i="18"/>
  <c r="W23" i="15"/>
  <c r="W23" i="17"/>
  <c r="W23" i="19"/>
  <c r="W23" i="16"/>
  <c r="Q23" i="19"/>
  <c r="Q23" i="17"/>
  <c r="Q23" i="16"/>
  <c r="Q23" i="18"/>
  <c r="Q23" i="15"/>
  <c r="Q22" i="22"/>
  <c r="Q23" i="4"/>
  <c r="C34" i="45"/>
  <c r="C50" i="45"/>
  <c r="U22" i="22"/>
  <c r="U23" i="18"/>
  <c r="U23" i="16"/>
  <c r="U23" i="15"/>
  <c r="U23" i="19"/>
  <c r="U23" i="4"/>
  <c r="U23" i="17"/>
  <c r="N23" i="19"/>
  <c r="N23" i="17"/>
  <c r="N23" i="18"/>
  <c r="N23" i="16"/>
  <c r="N23" i="15"/>
  <c r="N23" i="4"/>
  <c r="N22" i="22"/>
  <c r="C35" i="45"/>
  <c r="C51" i="45"/>
  <c r="C38" i="45"/>
  <c r="C54" i="45"/>
  <c r="P23" i="18"/>
  <c r="P23" i="16"/>
  <c r="P23" i="15"/>
  <c r="P22" i="22"/>
  <c r="P23" i="19"/>
  <c r="P23" i="17"/>
  <c r="P23" i="4"/>
  <c r="X23" i="18"/>
  <c r="X23" i="16"/>
  <c r="X23" i="15"/>
  <c r="X22" i="22"/>
  <c r="X23" i="19"/>
  <c r="X23" i="17"/>
  <c r="X23" i="4"/>
  <c r="C33" i="45"/>
  <c r="C49" i="45"/>
  <c r="R22" i="22"/>
  <c r="R23" i="18"/>
  <c r="R23" i="16"/>
  <c r="R23" i="15"/>
  <c r="R23" i="19"/>
  <c r="R23" i="4"/>
  <c r="R23" i="17"/>
  <c r="Z22" i="22"/>
  <c r="Z23" i="18"/>
  <c r="Z23" i="16"/>
  <c r="Z23" i="15"/>
  <c r="Z23" i="19"/>
  <c r="Z23" i="4"/>
  <c r="Z23" i="17"/>
  <c r="Z54" i="45"/>
  <c r="Y37" i="45"/>
  <c r="X37" i="45"/>
  <c r="R33" i="45"/>
  <c r="V12" i="20" s="1"/>
  <c r="R49" i="45"/>
  <c r="V40" i="24" s="1"/>
  <c r="T50" i="45"/>
  <c r="X40" i="25" s="1"/>
  <c r="T34" i="45"/>
  <c r="S33" i="45"/>
  <c r="S49" i="45"/>
  <c r="S51" i="45"/>
  <c r="S36" i="45"/>
  <c r="W12" i="43"/>
  <c r="M33" i="45"/>
  <c r="M49" i="45"/>
  <c r="U34" i="45"/>
  <c r="U50" i="45"/>
  <c r="U35" i="45"/>
  <c r="U51" i="45"/>
  <c r="M36" i="45"/>
  <c r="M52" i="45"/>
  <c r="N33" i="45"/>
  <c r="N49" i="45"/>
  <c r="V33" i="45"/>
  <c r="V49" i="45"/>
  <c r="N34" i="45"/>
  <c r="N50" i="45"/>
  <c r="V34" i="45"/>
  <c r="V50" i="45"/>
  <c r="N35" i="45"/>
  <c r="N51" i="45"/>
  <c r="V35" i="45"/>
  <c r="V51" i="45"/>
  <c r="N36" i="45"/>
  <c r="N52" i="45"/>
  <c r="V36" i="45"/>
  <c r="V52" i="45"/>
  <c r="K33" i="45"/>
  <c r="K49" i="45"/>
  <c r="K35" i="45"/>
  <c r="K51" i="45"/>
  <c r="M34" i="45"/>
  <c r="M50" i="45"/>
  <c r="O33" i="45"/>
  <c r="O49" i="45"/>
  <c r="O34" i="45"/>
  <c r="O50" i="45"/>
  <c r="G35" i="45"/>
  <c r="G51" i="45"/>
  <c r="G36" i="45"/>
  <c r="G52" i="45"/>
  <c r="O36" i="45"/>
  <c r="O52" i="45"/>
  <c r="S34" i="45"/>
  <c r="S50" i="45"/>
  <c r="K36" i="45"/>
  <c r="K52" i="45"/>
  <c r="U33" i="45"/>
  <c r="U49" i="45"/>
  <c r="M35" i="45"/>
  <c r="M51" i="45"/>
  <c r="U36" i="45"/>
  <c r="U52" i="45"/>
  <c r="G34" i="45"/>
  <c r="G50" i="45"/>
  <c r="O35" i="45"/>
  <c r="O51" i="45"/>
  <c r="H33" i="45"/>
  <c r="H49" i="45"/>
  <c r="L40" i="24" s="1"/>
  <c r="P33" i="45"/>
  <c r="P49" i="45"/>
  <c r="P34" i="45"/>
  <c r="P50" i="45"/>
  <c r="H35" i="45"/>
  <c r="H51" i="45"/>
  <c r="P35" i="45"/>
  <c r="P51" i="45"/>
  <c r="H36" i="45"/>
  <c r="H52" i="45"/>
  <c r="P36" i="45"/>
  <c r="P52" i="45"/>
  <c r="I33" i="45"/>
  <c r="I49" i="45"/>
  <c r="Q33" i="45"/>
  <c r="Q49" i="45"/>
  <c r="I34" i="45"/>
  <c r="I50" i="45"/>
  <c r="Q34" i="45"/>
  <c r="Q50" i="45"/>
  <c r="I35" i="45"/>
  <c r="I51" i="45"/>
  <c r="Q35" i="45"/>
  <c r="Q51" i="45"/>
  <c r="I36" i="45"/>
  <c r="I52" i="45"/>
  <c r="Q36" i="45"/>
  <c r="Q52" i="45"/>
  <c r="J33" i="45"/>
  <c r="J49" i="45"/>
  <c r="J34" i="45"/>
  <c r="J50" i="45"/>
  <c r="R34" i="45"/>
  <c r="V12" i="25"/>
  <c r="J35" i="45"/>
  <c r="J51" i="45"/>
  <c r="R35" i="45"/>
  <c r="R51" i="45"/>
  <c r="J36" i="45"/>
  <c r="J52" i="45"/>
  <c r="R36" i="45"/>
  <c r="R52" i="45"/>
  <c r="K34" i="45"/>
  <c r="K50" i="45"/>
  <c r="L33" i="45"/>
  <c r="L49" i="45"/>
  <c r="P40" i="24" s="1"/>
  <c r="T33" i="45"/>
  <c r="T49" i="45"/>
  <c r="L34" i="45"/>
  <c r="L50" i="45"/>
  <c r="P40" i="25" s="1"/>
  <c r="L35" i="45"/>
  <c r="L51" i="45"/>
  <c r="T35" i="45"/>
  <c r="T51" i="45"/>
  <c r="L36" i="45"/>
  <c r="L52" i="45"/>
  <c r="T36" i="45"/>
  <c r="T52" i="45"/>
  <c r="W22" i="21"/>
  <c r="W22" i="20"/>
  <c r="P22" i="21"/>
  <c r="P22" i="20"/>
  <c r="R22" i="21"/>
  <c r="R22" i="20"/>
  <c r="Z22" i="21"/>
  <c r="Z22" i="20"/>
  <c r="N22" i="21"/>
  <c r="N22" i="20"/>
  <c r="O22" i="21"/>
  <c r="O22" i="20"/>
  <c r="X22" i="21"/>
  <c r="X22" i="20"/>
  <c r="Y22" i="21"/>
  <c r="Y22" i="20"/>
  <c r="K22" i="21"/>
  <c r="K22" i="20"/>
  <c r="S22" i="21"/>
  <c r="S22" i="20"/>
  <c r="L22" i="21"/>
  <c r="L22" i="20"/>
  <c r="T22" i="21"/>
  <c r="T22" i="20"/>
  <c r="V22" i="21"/>
  <c r="V22" i="20"/>
  <c r="Q22" i="21"/>
  <c r="Q22" i="20"/>
  <c r="M22" i="21"/>
  <c r="M22" i="20"/>
  <c r="U22" i="21"/>
  <c r="U22" i="20"/>
  <c r="X26" i="45"/>
  <c r="X27" i="45"/>
  <c r="X28" i="45"/>
  <c r="X29" i="45"/>
  <c r="X30" i="45"/>
  <c r="Y26" i="45"/>
  <c r="Y27" i="45"/>
  <c r="Y28" i="45"/>
  <c r="Y29" i="45"/>
  <c r="Y30" i="45"/>
  <c r="Z20" i="45"/>
  <c r="Z18" i="45"/>
  <c r="Z22" i="45"/>
  <c r="Z19" i="45"/>
  <c r="Z23" i="45"/>
  <c r="Z21" i="45"/>
  <c r="AS13" i="31"/>
  <c r="AS13" i="30"/>
  <c r="AS13" i="29"/>
  <c r="AS13" i="28"/>
  <c r="AS13" i="27"/>
  <c r="Z37" i="45" l="1"/>
  <c r="X12" i="25"/>
  <c r="U12" i="20"/>
  <c r="U40" i="20"/>
  <c r="U13" i="15"/>
  <c r="U41" i="4"/>
  <c r="U41" i="15"/>
  <c r="U13" i="4"/>
  <c r="R12" i="20"/>
  <c r="R13" i="15"/>
  <c r="R41" i="4"/>
  <c r="R13" i="4"/>
  <c r="R40" i="20"/>
  <c r="R41" i="15"/>
  <c r="S12" i="43"/>
  <c r="S37" i="43"/>
  <c r="Z12" i="43"/>
  <c r="Z37" i="43"/>
  <c r="V41" i="15"/>
  <c r="V13" i="4"/>
  <c r="V40" i="20"/>
  <c r="V13" i="15"/>
  <c r="V41" i="4"/>
  <c r="O12" i="25"/>
  <c r="O40" i="25"/>
  <c r="N12" i="20"/>
  <c r="N40" i="20"/>
  <c r="N41" i="15"/>
  <c r="N13" i="4"/>
  <c r="N41" i="4"/>
  <c r="N13" i="15"/>
  <c r="M12" i="20"/>
  <c r="M13" i="15"/>
  <c r="M41" i="4"/>
  <c r="M40" i="20"/>
  <c r="M41" i="15"/>
  <c r="M13" i="4"/>
  <c r="S40" i="22"/>
  <c r="S41" i="18"/>
  <c r="S13" i="18"/>
  <c r="S12" i="22"/>
  <c r="S41" i="19"/>
  <c r="S13" i="19"/>
  <c r="Z13" i="19"/>
  <c r="Z41" i="19"/>
  <c r="Z12" i="21"/>
  <c r="Z13" i="17"/>
  <c r="Z13" i="16"/>
  <c r="Z41" i="17"/>
  <c r="Z40" i="21"/>
  <c r="Z41" i="16"/>
  <c r="Q41" i="19"/>
  <c r="Q13" i="19"/>
  <c r="W13" i="19"/>
  <c r="W41" i="19"/>
  <c r="X12" i="43"/>
  <c r="X37" i="43"/>
  <c r="O12" i="21"/>
  <c r="O13" i="16"/>
  <c r="O13" i="17"/>
  <c r="O41" i="16"/>
  <c r="O40" i="21"/>
  <c r="O41" i="17"/>
  <c r="N40" i="22"/>
  <c r="N41" i="18"/>
  <c r="N13" i="18"/>
  <c r="N12" i="22"/>
  <c r="U12" i="43"/>
  <c r="U37" i="43"/>
  <c r="U12" i="25"/>
  <c r="U40" i="25"/>
  <c r="T12" i="43"/>
  <c r="T37" i="43"/>
  <c r="T12" i="25"/>
  <c r="T40" i="25"/>
  <c r="K12" i="25"/>
  <c r="K40" i="25"/>
  <c r="Y12" i="24"/>
  <c r="Y40" i="24"/>
  <c r="K12" i="43"/>
  <c r="K37" i="43"/>
  <c r="Q12" i="25"/>
  <c r="Q40" i="25"/>
  <c r="R12" i="43"/>
  <c r="R37" i="43"/>
  <c r="R12" i="25"/>
  <c r="R40" i="25"/>
  <c r="L41" i="15"/>
  <c r="L41" i="4"/>
  <c r="L40" i="20"/>
  <c r="L13" i="15"/>
  <c r="L13" i="4"/>
  <c r="R41" i="18"/>
  <c r="R12" i="22"/>
  <c r="R13" i="18"/>
  <c r="R40" i="22"/>
  <c r="N12" i="24"/>
  <c r="N40" i="24"/>
  <c r="U41" i="19"/>
  <c r="U13" i="19"/>
  <c r="T13" i="19"/>
  <c r="T41" i="19"/>
  <c r="Y12" i="20"/>
  <c r="Y41" i="4"/>
  <c r="Y41" i="15"/>
  <c r="Y40" i="20"/>
  <c r="Y13" i="15"/>
  <c r="Y13" i="4"/>
  <c r="R13" i="19"/>
  <c r="R41" i="19"/>
  <c r="W12" i="24"/>
  <c r="W40" i="24"/>
  <c r="P41" i="17"/>
  <c r="P13" i="17"/>
  <c r="P13" i="16"/>
  <c r="P40" i="21"/>
  <c r="P41" i="16"/>
  <c r="M37" i="43"/>
  <c r="T12" i="24"/>
  <c r="T40" i="24"/>
  <c r="Y12" i="25"/>
  <c r="Y40" i="25"/>
  <c r="U12" i="22"/>
  <c r="U13" i="18"/>
  <c r="U40" i="22"/>
  <c r="U41" i="18"/>
  <c r="P40" i="20"/>
  <c r="P13" i="15"/>
  <c r="P41" i="15"/>
  <c r="P13" i="4"/>
  <c r="P41" i="4"/>
  <c r="V12" i="43"/>
  <c r="V37" i="43"/>
  <c r="T12" i="21"/>
  <c r="T41" i="16"/>
  <c r="T13" i="17"/>
  <c r="T13" i="16"/>
  <c r="T40" i="21"/>
  <c r="T41" i="17"/>
  <c r="K41" i="19"/>
  <c r="K13" i="19"/>
  <c r="R12" i="21"/>
  <c r="R13" i="17"/>
  <c r="R13" i="16"/>
  <c r="R41" i="17"/>
  <c r="R40" i="21"/>
  <c r="R41" i="16"/>
  <c r="V41" i="19"/>
  <c r="V13" i="19"/>
  <c r="M12" i="25"/>
  <c r="M40" i="25"/>
  <c r="K12" i="24"/>
  <c r="Z12" i="24"/>
  <c r="Z40" i="24"/>
  <c r="Y36" i="45"/>
  <c r="P41" i="19"/>
  <c r="P13" i="19"/>
  <c r="X12" i="24"/>
  <c r="X40" i="24"/>
  <c r="N12" i="43"/>
  <c r="N37" i="43"/>
  <c r="N12" i="25"/>
  <c r="N40" i="25"/>
  <c r="M41" i="19"/>
  <c r="M13" i="19"/>
  <c r="M12" i="21"/>
  <c r="M13" i="16"/>
  <c r="M40" i="21"/>
  <c r="M41" i="17"/>
  <c r="M13" i="17"/>
  <c r="M41" i="16"/>
  <c r="L13" i="19"/>
  <c r="L41" i="19"/>
  <c r="T12" i="20"/>
  <c r="T41" i="15"/>
  <c r="T40" i="20"/>
  <c r="T41" i="4"/>
  <c r="T13" i="15"/>
  <c r="T13" i="4"/>
  <c r="O13" i="19"/>
  <c r="O41" i="19"/>
  <c r="K40" i="22"/>
  <c r="K41" i="18"/>
  <c r="K13" i="18"/>
  <c r="K12" i="22"/>
  <c r="O12" i="22"/>
  <c r="O13" i="18"/>
  <c r="O41" i="18"/>
  <c r="O40" i="22"/>
  <c r="Z13" i="18"/>
  <c r="Z12" i="22"/>
  <c r="Z41" i="18"/>
  <c r="Z40" i="22"/>
  <c r="Z12" i="20"/>
  <c r="Z13" i="15"/>
  <c r="Z41" i="4"/>
  <c r="Z40" i="20"/>
  <c r="Z41" i="15"/>
  <c r="Z13" i="4"/>
  <c r="Y12" i="21"/>
  <c r="Y41" i="16"/>
  <c r="Y40" i="21"/>
  <c r="Y13" i="17"/>
  <c r="Y41" i="17"/>
  <c r="Y13" i="16"/>
  <c r="X12" i="21"/>
  <c r="X41" i="17"/>
  <c r="X13" i="17"/>
  <c r="X13" i="16"/>
  <c r="X40" i="21"/>
  <c r="X41" i="16"/>
  <c r="X13" i="18"/>
  <c r="X40" i="22"/>
  <c r="X41" i="18"/>
  <c r="X12" i="22"/>
  <c r="W12" i="21"/>
  <c r="W13" i="17"/>
  <c r="W13" i="16"/>
  <c r="W41" i="16"/>
  <c r="W40" i="21"/>
  <c r="W41" i="17"/>
  <c r="X41" i="19"/>
  <c r="X13" i="19"/>
  <c r="U12" i="21"/>
  <c r="U40" i="21"/>
  <c r="U41" i="17"/>
  <c r="U13" i="17"/>
  <c r="U13" i="16"/>
  <c r="U41" i="16"/>
  <c r="K12" i="21"/>
  <c r="K40" i="21"/>
  <c r="K41" i="16"/>
  <c r="K41" i="17"/>
  <c r="K13" i="17"/>
  <c r="K13" i="16"/>
  <c r="Q12" i="21"/>
  <c r="Q41" i="16"/>
  <c r="Q40" i="21"/>
  <c r="Q13" i="16"/>
  <c r="Q13" i="17"/>
  <c r="Q41" i="17"/>
  <c r="Y40" i="22"/>
  <c r="Y41" i="18"/>
  <c r="Y12" i="22"/>
  <c r="Y13" i="18"/>
  <c r="P37" i="43"/>
  <c r="V12" i="21"/>
  <c r="V41" i="16"/>
  <c r="V41" i="17"/>
  <c r="V40" i="21"/>
  <c r="V13" i="16"/>
  <c r="V13" i="17"/>
  <c r="L12" i="43"/>
  <c r="L37" i="43"/>
  <c r="O12" i="43"/>
  <c r="O37" i="43"/>
  <c r="W12" i="20"/>
  <c r="W40" i="20"/>
  <c r="W41" i="4"/>
  <c r="W13" i="15"/>
  <c r="W13" i="4"/>
  <c r="W41" i="15"/>
  <c r="X12" i="20"/>
  <c r="X13" i="15"/>
  <c r="X41" i="15"/>
  <c r="X40" i="20"/>
  <c r="X13" i="4"/>
  <c r="X41" i="4"/>
  <c r="N41" i="19"/>
  <c r="N13" i="19"/>
  <c r="N12" i="21"/>
  <c r="N41" i="17"/>
  <c r="N40" i="21"/>
  <c r="N41" i="16"/>
  <c r="N13" i="16"/>
  <c r="N13" i="17"/>
  <c r="U12" i="24"/>
  <c r="U40" i="24"/>
  <c r="Y12" i="43"/>
  <c r="Y37" i="43"/>
  <c r="W12" i="25"/>
  <c r="W40" i="25"/>
  <c r="S12" i="25"/>
  <c r="S40" i="25"/>
  <c r="O12" i="24"/>
  <c r="O40" i="24"/>
  <c r="R12" i="24"/>
  <c r="R40" i="24"/>
  <c r="Q12" i="24"/>
  <c r="Q40" i="24"/>
  <c r="L41" i="16"/>
  <c r="L13" i="17"/>
  <c r="L41" i="17"/>
  <c r="L40" i="21"/>
  <c r="L13" i="16"/>
  <c r="K41" i="15"/>
  <c r="K40" i="20"/>
  <c r="K13" i="15"/>
  <c r="K41" i="4"/>
  <c r="K13" i="4"/>
  <c r="T41" i="18"/>
  <c r="T12" i="22"/>
  <c r="T13" i="18"/>
  <c r="T40" i="22"/>
  <c r="O12" i="20"/>
  <c r="O41" i="4"/>
  <c r="O13" i="15"/>
  <c r="O13" i="4"/>
  <c r="O41" i="15"/>
  <c r="O40" i="20"/>
  <c r="S12" i="21"/>
  <c r="S40" i="21"/>
  <c r="S41" i="16"/>
  <c r="S41" i="17"/>
  <c r="S13" i="16"/>
  <c r="S13" i="17"/>
  <c r="M12" i="24"/>
  <c r="M40" i="24"/>
  <c r="Z12" i="25"/>
  <c r="Z40" i="25"/>
  <c r="Y13" i="19"/>
  <c r="Y41" i="19"/>
  <c r="Q12" i="20"/>
  <c r="Q41" i="4"/>
  <c r="Q40" i="20"/>
  <c r="Q41" i="15"/>
  <c r="Q13" i="15"/>
  <c r="Q13" i="4"/>
  <c r="V41" i="18"/>
  <c r="V40" i="22"/>
  <c r="V13" i="18"/>
  <c r="V12" i="22"/>
  <c r="S12" i="24"/>
  <c r="S40" i="24"/>
  <c r="Q12" i="43"/>
  <c r="Q37" i="43"/>
  <c r="P41" i="18"/>
  <c r="P40" i="22"/>
  <c r="P13" i="18"/>
  <c r="P12" i="22"/>
  <c r="M13" i="18"/>
  <c r="M12" i="22"/>
  <c r="M41" i="18"/>
  <c r="M40" i="22"/>
  <c r="L12" i="22"/>
  <c r="L40" i="22"/>
  <c r="L13" i="18"/>
  <c r="L41" i="18"/>
  <c r="Q40" i="22"/>
  <c r="Q12" i="22"/>
  <c r="Q41" i="18"/>
  <c r="Q13" i="18"/>
  <c r="S12" i="20"/>
  <c r="S41" i="15"/>
  <c r="S41" i="4"/>
  <c r="S13" i="15"/>
  <c r="S40" i="20"/>
  <c r="S13" i="4"/>
  <c r="V12" i="24"/>
  <c r="Y51" i="45"/>
  <c r="P12" i="20"/>
  <c r="Y33" i="45"/>
  <c r="L12" i="20"/>
  <c r="X33" i="45"/>
  <c r="P12" i="25"/>
  <c r="Y50" i="45"/>
  <c r="P12" i="43"/>
  <c r="Y52" i="45"/>
  <c r="P12" i="21"/>
  <c r="Y34" i="45"/>
  <c r="L12" i="25"/>
  <c r="X50" i="45"/>
  <c r="L12" i="24"/>
  <c r="X49" i="45"/>
  <c r="X36" i="45"/>
  <c r="L12" i="21"/>
  <c r="X34" i="45"/>
  <c r="Y35" i="45"/>
  <c r="P12" i="24"/>
  <c r="Y49" i="45"/>
  <c r="X51" i="45"/>
  <c r="X35" i="45"/>
  <c r="M12" i="43"/>
  <c r="X52" i="45"/>
  <c r="Z30" i="45"/>
  <c r="Z29" i="45"/>
  <c r="Z28" i="45"/>
  <c r="Z27" i="45"/>
  <c r="Z26" i="45"/>
  <c r="AS13" i="26"/>
  <c r="Z36" i="45" l="1"/>
  <c r="Z49" i="45"/>
  <c r="Z52" i="45"/>
  <c r="Z51" i="45"/>
  <c r="Z33" i="45"/>
  <c r="Z34" i="45"/>
  <c r="Z35" i="45"/>
  <c r="Z50" i="45"/>
  <c r="AR12" i="33"/>
  <c r="AR12" i="25"/>
  <c r="AR12" i="24"/>
  <c r="AR12" i="43"/>
  <c r="AR12" i="21"/>
  <c r="AR12" i="20"/>
  <c r="AR12" i="22"/>
  <c r="AT62" i="31" l="1"/>
  <c r="AR52" i="31"/>
  <c r="AT52" i="31" s="1"/>
  <c r="AR57" i="31"/>
  <c r="AT57" i="31" s="1"/>
  <c r="AR58" i="31"/>
  <c r="AT58" i="31" s="1"/>
  <c r="AR59" i="31"/>
  <c r="AT59" i="31" s="1"/>
  <c r="AR60" i="31"/>
  <c r="AT60" i="31" s="1"/>
  <c r="AR61" i="31"/>
  <c r="AT61" i="31" s="1"/>
  <c r="AR62" i="31"/>
  <c r="AR56" i="31"/>
  <c r="AT56" i="31" s="1"/>
  <c r="AR43" i="31"/>
  <c r="AT43" i="31" s="1"/>
  <c r="AR44" i="31"/>
  <c r="AT44" i="31" s="1"/>
  <c r="AR45" i="31"/>
  <c r="AT45" i="31" s="1"/>
  <c r="AR46" i="31"/>
  <c r="AT46" i="31" s="1"/>
  <c r="AR47" i="31"/>
  <c r="AT47" i="31" s="1"/>
  <c r="AR48" i="31"/>
  <c r="AT48" i="31" s="1"/>
  <c r="AR49" i="31"/>
  <c r="AT49" i="31" s="1"/>
  <c r="AR50" i="31"/>
  <c r="AT50" i="31" s="1"/>
  <c r="AR51" i="31"/>
  <c r="AT51" i="31" s="1"/>
  <c r="AR42" i="31"/>
  <c r="AT42" i="31" s="1"/>
  <c r="AR36" i="31"/>
  <c r="AT36" i="31" s="1"/>
  <c r="AR37" i="31"/>
  <c r="AT37" i="31" s="1"/>
  <c r="AR38" i="31"/>
  <c r="AT38" i="31" s="1"/>
  <c r="AR35" i="31"/>
  <c r="AT35" i="31" s="1"/>
  <c r="AR34" i="31"/>
  <c r="AT34" i="31" s="1"/>
  <c r="AR33" i="31"/>
  <c r="AT33" i="31" s="1"/>
  <c r="AR32" i="31"/>
  <c r="AT32" i="31" s="1"/>
  <c r="AR31" i="31"/>
  <c r="AT31" i="31" s="1"/>
  <c r="AR30" i="31"/>
  <c r="AT30" i="31" s="1"/>
  <c r="AR29" i="31"/>
  <c r="AT29" i="31" s="1"/>
  <c r="AR28" i="31"/>
  <c r="AT28" i="31" s="1"/>
  <c r="AR27" i="31"/>
  <c r="AT27" i="31" s="1"/>
  <c r="AR26" i="31"/>
  <c r="AT26" i="31" s="1"/>
  <c r="AR25" i="31"/>
  <c r="AT25" i="31" s="1"/>
  <c r="AR24" i="31"/>
  <c r="AT24" i="31" s="1"/>
  <c r="AR23" i="31"/>
  <c r="AT23" i="31" s="1"/>
  <c r="AR22" i="31"/>
  <c r="AT22" i="31" s="1"/>
  <c r="AR21" i="31"/>
  <c r="AT21" i="31" s="1"/>
  <c r="AR20" i="31"/>
  <c r="AT20" i="31" s="1"/>
  <c r="AR19" i="31"/>
  <c r="AT19" i="31" s="1"/>
  <c r="AR18" i="31"/>
  <c r="AT18" i="31" s="1"/>
  <c r="AR17" i="31"/>
  <c r="AT17" i="31" s="1"/>
  <c r="AR16" i="31"/>
  <c r="AT16" i="31" s="1"/>
  <c r="AR15" i="31"/>
  <c r="AT15" i="31" s="1"/>
  <c r="AU13" i="31"/>
  <c r="AT50" i="30"/>
  <c r="AR56" i="30"/>
  <c r="AT56" i="30" s="1"/>
  <c r="AR57" i="30"/>
  <c r="AT57" i="30" s="1"/>
  <c r="AR58" i="30"/>
  <c r="AT58" i="30" s="1"/>
  <c r="AR59" i="30"/>
  <c r="AT59" i="30" s="1"/>
  <c r="AR60" i="30"/>
  <c r="AT60" i="30" s="1"/>
  <c r="AR55" i="30"/>
  <c r="AT55" i="30" s="1"/>
  <c r="AR54" i="30"/>
  <c r="AT54" i="30" s="1"/>
  <c r="AR53" i="30"/>
  <c r="AT53" i="30" s="1"/>
  <c r="AR52" i="30"/>
  <c r="AT52" i="30" s="1"/>
  <c r="AR51" i="30"/>
  <c r="AT51" i="30" s="1"/>
  <c r="AR50" i="30"/>
  <c r="AR49" i="30"/>
  <c r="AT49" i="30" s="1"/>
  <c r="AR48" i="30"/>
  <c r="AT48" i="30" s="1"/>
  <c r="AR47" i="30"/>
  <c r="AT47" i="30" s="1"/>
  <c r="AR46" i="30"/>
  <c r="AT46" i="30" s="1"/>
  <c r="AR45" i="30"/>
  <c r="AT45" i="30" s="1"/>
  <c r="AR44" i="30"/>
  <c r="AT44" i="30" s="1"/>
  <c r="AR40" i="30"/>
  <c r="AT40" i="30" s="1"/>
  <c r="AR39" i="30"/>
  <c r="AT39" i="30" s="1"/>
  <c r="AR38" i="30"/>
  <c r="AT38" i="30" s="1"/>
  <c r="AR37" i="30"/>
  <c r="AT37" i="30" s="1"/>
  <c r="AR36" i="30"/>
  <c r="AT36" i="30" s="1"/>
  <c r="AR35" i="30"/>
  <c r="AT35" i="30" s="1"/>
  <c r="AR34" i="30"/>
  <c r="AT34" i="30" s="1"/>
  <c r="AR33" i="30"/>
  <c r="AT33" i="30" s="1"/>
  <c r="AR32" i="30"/>
  <c r="AT32" i="30" s="1"/>
  <c r="AR31" i="30"/>
  <c r="AT31" i="30" s="1"/>
  <c r="AR27" i="30"/>
  <c r="AT27" i="30" s="1"/>
  <c r="AR26" i="30"/>
  <c r="AT26" i="30" s="1"/>
  <c r="AR25" i="30"/>
  <c r="AT25" i="30" s="1"/>
  <c r="AR24" i="30"/>
  <c r="AT24" i="30" s="1"/>
  <c r="AR23" i="30"/>
  <c r="AT23" i="30" s="1"/>
  <c r="AR22" i="30"/>
  <c r="AT22" i="30" s="1"/>
  <c r="AR21" i="30"/>
  <c r="AT21" i="30" s="1"/>
  <c r="AR20" i="30"/>
  <c r="AT20" i="30" s="1"/>
  <c r="AR19" i="30"/>
  <c r="AT19" i="30" s="1"/>
  <c r="AR18" i="30"/>
  <c r="AT18" i="30" s="1"/>
  <c r="AR17" i="30"/>
  <c r="AT17" i="30" s="1"/>
  <c r="AR16" i="30"/>
  <c r="AT16" i="30" s="1"/>
  <c r="AR15" i="30"/>
  <c r="AT15" i="30" s="1"/>
  <c r="AU13" i="30"/>
  <c r="AR59" i="29"/>
  <c r="AT59" i="29" s="1"/>
  <c r="AR60" i="29"/>
  <c r="AT60" i="29" s="1"/>
  <c r="AR61" i="29"/>
  <c r="AT61" i="29" s="1"/>
  <c r="AR62" i="29"/>
  <c r="AT62" i="29" s="1"/>
  <c r="AR58" i="29"/>
  <c r="AT58" i="29" s="1"/>
  <c r="AR57" i="29"/>
  <c r="AT57" i="29" s="1"/>
  <c r="AR56" i="29"/>
  <c r="AT56" i="29" s="1"/>
  <c r="AR44" i="29"/>
  <c r="AT44" i="29"/>
  <c r="AR45" i="29"/>
  <c r="AT45" i="29" s="1"/>
  <c r="AR46" i="29"/>
  <c r="AT46" i="29" s="1"/>
  <c r="AR47" i="29"/>
  <c r="AT47" i="29" s="1"/>
  <c r="AR48" i="29"/>
  <c r="AT48" i="29" s="1"/>
  <c r="AR49" i="29"/>
  <c r="AT49" i="29" s="1"/>
  <c r="AR50" i="29"/>
  <c r="AT50" i="29" s="1"/>
  <c r="AR51" i="29"/>
  <c r="AT51" i="29" s="1"/>
  <c r="AR52" i="29"/>
  <c r="AT52" i="29" s="1"/>
  <c r="AR43" i="29"/>
  <c r="AT43" i="29" s="1"/>
  <c r="AR42" i="29"/>
  <c r="AT42" i="29" s="1"/>
  <c r="AR20" i="29"/>
  <c r="AT20" i="29" s="1"/>
  <c r="AR21" i="29"/>
  <c r="AT21" i="29" s="1"/>
  <c r="AR22" i="29"/>
  <c r="AT22" i="29" s="1"/>
  <c r="AR23" i="29"/>
  <c r="AT23" i="29" s="1"/>
  <c r="AR24" i="29"/>
  <c r="AT24" i="29" s="1"/>
  <c r="AR25" i="29"/>
  <c r="AT25" i="29" s="1"/>
  <c r="AR26" i="29"/>
  <c r="AT26" i="29" s="1"/>
  <c r="AR27" i="29"/>
  <c r="AT27" i="29" s="1"/>
  <c r="AR28" i="29"/>
  <c r="AT28" i="29" s="1"/>
  <c r="AR29" i="29"/>
  <c r="AT29" i="29" s="1"/>
  <c r="AR30" i="29"/>
  <c r="AT30" i="29" s="1"/>
  <c r="AR31" i="29"/>
  <c r="AT31" i="29" s="1"/>
  <c r="AR32" i="29"/>
  <c r="AT32" i="29" s="1"/>
  <c r="AR33" i="29"/>
  <c r="AT33" i="29" s="1"/>
  <c r="AR34" i="29"/>
  <c r="AT34" i="29" s="1"/>
  <c r="AR35" i="29"/>
  <c r="AT35" i="29" s="1"/>
  <c r="AR36" i="29"/>
  <c r="AT36" i="29" s="1"/>
  <c r="AR37" i="29"/>
  <c r="AT37" i="29" s="1"/>
  <c r="AR38" i="29"/>
  <c r="AT38" i="29" s="1"/>
  <c r="AR19" i="29"/>
  <c r="AT19" i="29" s="1"/>
  <c r="AR18" i="29"/>
  <c r="AT18" i="29" s="1"/>
  <c r="AR17" i="29"/>
  <c r="AT17" i="29" s="1"/>
  <c r="AR16" i="29"/>
  <c r="AT16" i="29" s="1"/>
  <c r="AR15" i="29"/>
  <c r="AT15" i="29" s="1"/>
  <c r="AU13" i="29"/>
  <c r="AR58" i="28"/>
  <c r="AT58" i="28" s="1"/>
  <c r="AR59" i="28"/>
  <c r="AT59" i="28" s="1"/>
  <c r="AR60" i="28"/>
  <c r="AT60" i="28" s="1"/>
  <c r="AR61" i="28"/>
  <c r="AT61" i="28" s="1"/>
  <c r="AR62" i="28"/>
  <c r="AT62" i="28" s="1"/>
  <c r="AR42" i="28"/>
  <c r="AT42" i="28" s="1"/>
  <c r="AR43" i="28"/>
  <c r="AT43" i="28" s="1"/>
  <c r="AR44" i="28"/>
  <c r="AT44" i="28" s="1"/>
  <c r="AR45" i="28"/>
  <c r="AT45" i="28" s="1"/>
  <c r="AR46" i="28"/>
  <c r="AT46" i="28" s="1"/>
  <c r="AR47" i="28"/>
  <c r="AT47" i="28" s="1"/>
  <c r="AR48" i="28"/>
  <c r="AT48" i="28" s="1"/>
  <c r="AR49" i="28"/>
  <c r="AT49" i="28" s="1"/>
  <c r="AR50" i="28"/>
  <c r="AT50" i="28" s="1"/>
  <c r="AR51" i="28"/>
  <c r="AT51" i="28" s="1"/>
  <c r="AR52" i="28"/>
  <c r="AT52" i="28" s="1"/>
  <c r="AR57" i="28"/>
  <c r="AT57" i="28" s="1"/>
  <c r="AR56" i="28"/>
  <c r="AT56" i="28" s="1"/>
  <c r="AR41" i="28"/>
  <c r="AT41" i="28" s="1"/>
  <c r="AR40" i="28"/>
  <c r="AT40" i="28" s="1"/>
  <c r="AR27" i="28"/>
  <c r="AT27" i="28" s="1"/>
  <c r="AR28" i="28"/>
  <c r="AT28" i="28" s="1"/>
  <c r="AR29" i="28"/>
  <c r="AT29" i="28" s="1"/>
  <c r="AR30" i="28"/>
  <c r="AT30" i="28" s="1"/>
  <c r="AR31" i="28"/>
  <c r="AT31" i="28" s="1"/>
  <c r="AR32" i="28"/>
  <c r="AT32" i="28" s="1"/>
  <c r="AR33" i="28"/>
  <c r="AT33" i="28" s="1"/>
  <c r="AR34" i="28"/>
  <c r="AT34" i="28" s="1"/>
  <c r="AR35" i="28"/>
  <c r="AT35" i="28" s="1"/>
  <c r="AR36" i="28"/>
  <c r="AT36" i="28" s="1"/>
  <c r="AR26" i="28"/>
  <c r="AT26" i="28" s="1"/>
  <c r="AR25" i="28"/>
  <c r="AT25" i="28" s="1"/>
  <c r="AR24" i="28"/>
  <c r="AT24" i="28" s="1"/>
  <c r="AR23" i="28"/>
  <c r="AT23" i="28" s="1"/>
  <c r="AR22" i="28"/>
  <c r="AT22" i="28" s="1"/>
  <c r="AR21" i="28"/>
  <c r="AT21" i="28" s="1"/>
  <c r="AR20" i="28"/>
  <c r="AT20" i="28" s="1"/>
  <c r="AR19" i="28"/>
  <c r="AT19" i="28" s="1"/>
  <c r="AR18" i="28"/>
  <c r="AT18" i="28" s="1"/>
  <c r="AR17" i="28"/>
  <c r="AT17" i="28" s="1"/>
  <c r="AR16" i="28"/>
  <c r="AT16" i="28" s="1"/>
  <c r="AR15" i="28"/>
  <c r="AT15" i="28" s="1"/>
  <c r="AU13" i="28"/>
  <c r="AR53" i="27"/>
  <c r="AT53" i="27" s="1"/>
  <c r="AR54" i="27"/>
  <c r="AT54" i="27" s="1"/>
  <c r="AR55" i="27"/>
  <c r="AT55" i="27" s="1"/>
  <c r="AR56" i="27"/>
  <c r="AT56" i="27" s="1"/>
  <c r="AR57" i="27"/>
  <c r="AT57" i="27" s="1"/>
  <c r="AR58" i="27"/>
  <c r="AT58" i="27" s="1"/>
  <c r="AR59" i="27"/>
  <c r="AT59" i="27" s="1"/>
  <c r="AR60" i="27"/>
  <c r="AT60" i="27" s="1"/>
  <c r="AR52" i="27"/>
  <c r="AT52" i="27" s="1"/>
  <c r="AR40" i="27"/>
  <c r="AT40" i="27" s="1"/>
  <c r="AR41" i="27"/>
  <c r="AT41" i="27" s="1"/>
  <c r="AR42" i="27"/>
  <c r="AT42" i="27" s="1"/>
  <c r="AR43" i="27"/>
  <c r="AT43" i="27" s="1"/>
  <c r="AR44" i="27"/>
  <c r="AT44" i="27" s="1"/>
  <c r="AR45" i="27"/>
  <c r="AT45" i="27" s="1"/>
  <c r="AR46" i="27"/>
  <c r="AT46" i="27" s="1"/>
  <c r="AR47" i="27"/>
  <c r="AT47" i="27" s="1"/>
  <c r="AR48" i="27"/>
  <c r="AT48" i="27" s="1"/>
  <c r="AR39" i="27"/>
  <c r="AT39" i="27" s="1"/>
  <c r="AR28" i="27"/>
  <c r="AT28" i="27" s="1"/>
  <c r="AR29" i="27"/>
  <c r="AT29" i="27" s="1"/>
  <c r="AR30" i="27"/>
  <c r="AT30" i="27" s="1"/>
  <c r="AR31" i="27"/>
  <c r="AT31" i="27" s="1"/>
  <c r="AR32" i="27"/>
  <c r="AT32" i="27" s="1"/>
  <c r="AR33" i="27"/>
  <c r="AT33" i="27" s="1"/>
  <c r="AR34" i="27"/>
  <c r="AT34" i="27" s="1"/>
  <c r="AR35" i="27"/>
  <c r="AT35" i="27" s="1"/>
  <c r="AR27" i="27"/>
  <c r="AT27" i="27" s="1"/>
  <c r="AR26" i="27"/>
  <c r="AT26" i="27" s="1"/>
  <c r="AR25" i="27"/>
  <c r="AT25" i="27" s="1"/>
  <c r="AR24" i="27"/>
  <c r="AT24" i="27" s="1"/>
  <c r="AR23" i="27"/>
  <c r="AT23" i="27" s="1"/>
  <c r="AR22" i="27"/>
  <c r="AT22" i="27" s="1"/>
  <c r="AR21" i="27"/>
  <c r="AT21" i="27" s="1"/>
  <c r="AR20" i="27"/>
  <c r="AT20" i="27" s="1"/>
  <c r="AR19" i="27"/>
  <c r="AT19" i="27" s="1"/>
  <c r="AR18" i="27"/>
  <c r="AT18" i="27" s="1"/>
  <c r="AR17" i="27"/>
  <c r="AT17" i="27" s="1"/>
  <c r="AR16" i="27"/>
  <c r="AT16" i="27" s="1"/>
  <c r="AR15" i="27"/>
  <c r="AT15" i="27" s="1"/>
  <c r="AU13" i="27"/>
  <c r="AR46" i="26"/>
  <c r="AT46" i="26" s="1"/>
  <c r="AR47" i="26"/>
  <c r="AT47" i="26" s="1"/>
  <c r="AR48" i="26"/>
  <c r="AT48" i="26" s="1"/>
  <c r="AR49" i="26"/>
  <c r="AT49" i="26" s="1"/>
  <c r="AR50" i="26"/>
  <c r="AT50" i="26" s="1"/>
  <c r="AR51" i="26"/>
  <c r="AT51" i="26" s="1"/>
  <c r="AR52" i="26"/>
  <c r="AT52" i="26" s="1"/>
  <c r="AR53" i="26"/>
  <c r="AT53" i="26" s="1"/>
  <c r="AR54" i="26"/>
  <c r="AT54" i="26" s="1"/>
  <c r="AR55" i="26"/>
  <c r="AT55" i="26" s="1"/>
  <c r="AR45" i="26"/>
  <c r="AT45" i="26" s="1"/>
  <c r="AR44" i="26"/>
  <c r="AT44" i="26" s="1"/>
  <c r="AR33" i="26"/>
  <c r="AT33" i="26" s="1"/>
  <c r="AR34" i="26"/>
  <c r="AT34" i="26" s="1"/>
  <c r="AR35" i="26"/>
  <c r="AT35" i="26" s="1"/>
  <c r="AR36" i="26"/>
  <c r="AT36" i="26" s="1"/>
  <c r="AR37" i="26"/>
  <c r="AT37" i="26" s="1"/>
  <c r="AR38" i="26"/>
  <c r="AT38" i="26" s="1"/>
  <c r="AR39" i="26"/>
  <c r="AT39" i="26" s="1"/>
  <c r="AR40" i="26"/>
  <c r="AT40" i="26" s="1"/>
  <c r="AR32" i="26"/>
  <c r="AT32" i="26" s="1"/>
  <c r="AR31" i="26"/>
  <c r="AT31" i="26" s="1"/>
  <c r="AR22" i="26"/>
  <c r="AT22" i="26" s="1"/>
  <c r="AR23" i="26"/>
  <c r="AT23" i="26" s="1"/>
  <c r="AR24" i="26"/>
  <c r="AT24" i="26" s="1"/>
  <c r="AR25" i="26"/>
  <c r="AT25" i="26" s="1"/>
  <c r="AR26" i="26"/>
  <c r="AT26" i="26" s="1"/>
  <c r="AR27" i="26"/>
  <c r="AT27" i="26" s="1"/>
  <c r="AR21" i="26"/>
  <c r="AT21" i="26" s="1"/>
  <c r="AR20" i="26"/>
  <c r="AT20" i="26" s="1"/>
  <c r="AR19" i="26"/>
  <c r="AT19" i="26" s="1"/>
  <c r="AR18" i="26"/>
  <c r="AT18" i="26" s="1"/>
  <c r="AR17" i="26"/>
  <c r="AT17" i="26" s="1"/>
  <c r="AR16" i="26"/>
  <c r="AT16" i="26" s="1"/>
  <c r="AR15" i="26"/>
  <c r="AT15" i="26" s="1"/>
  <c r="AU13" i="26"/>
  <c r="AU15" i="26" l="1"/>
  <c r="AS15" i="26" s="1"/>
  <c r="AV15" i="26" s="1"/>
  <c r="AU15" i="31"/>
  <c r="AU16" i="31" s="1"/>
  <c r="AU15" i="30"/>
  <c r="AS15" i="30" s="1"/>
  <c r="AV15" i="30" s="1"/>
  <c r="AU16" i="30"/>
  <c r="AU15" i="29"/>
  <c r="AS15" i="29" s="1"/>
  <c r="AV15" i="29" s="1"/>
  <c r="AU15" i="28"/>
  <c r="AS15" i="28" s="1"/>
  <c r="AV15" i="28" s="1"/>
  <c r="AU15" i="27"/>
  <c r="AU16" i="27" s="1"/>
  <c r="X4" i="22"/>
  <c r="Y4" i="22" s="1"/>
  <c r="AA4" i="22" s="1"/>
  <c r="J71" i="33"/>
  <c r="AQ21" i="33"/>
  <c r="AQ22" i="33"/>
  <c r="AQ23" i="33"/>
  <c r="AQ24" i="33"/>
  <c r="AQ25" i="33"/>
  <c r="AQ26" i="33"/>
  <c r="AQ72" i="33"/>
  <c r="AQ73" i="33"/>
  <c r="AQ74" i="33"/>
  <c r="AQ75" i="33"/>
  <c r="AQ76" i="33"/>
  <c r="AQ77" i="33"/>
  <c r="AQ78" i="33"/>
  <c r="AQ79" i="33"/>
  <c r="AQ80" i="33"/>
  <c r="AQ81" i="33"/>
  <c r="AQ82" i="33"/>
  <c r="AQ83" i="33"/>
  <c r="AQ84" i="33"/>
  <c r="AQ59" i="33"/>
  <c r="AQ60" i="33"/>
  <c r="AQ46" i="33"/>
  <c r="AQ47" i="33"/>
  <c r="AQ49" i="33"/>
  <c r="AQ62" i="33"/>
  <c r="AQ71" i="33"/>
  <c r="AQ70" i="33"/>
  <c r="AQ69" i="33"/>
  <c r="AQ68" i="33"/>
  <c r="AQ67" i="33"/>
  <c r="AQ66" i="33"/>
  <c r="AQ65" i="33"/>
  <c r="AQ64" i="33"/>
  <c r="AQ58" i="33"/>
  <c r="AQ57" i="33"/>
  <c r="AQ56" i="33"/>
  <c r="AQ55" i="33"/>
  <c r="AQ54" i="33"/>
  <c r="AQ53" i="33"/>
  <c r="AQ52" i="33"/>
  <c r="AQ51" i="33"/>
  <c r="AQ32" i="33"/>
  <c r="AQ33" i="33"/>
  <c r="AQ34" i="33"/>
  <c r="AQ35" i="33"/>
  <c r="AQ36" i="33"/>
  <c r="AQ37" i="33"/>
  <c r="AQ38" i="33"/>
  <c r="AQ39" i="33"/>
  <c r="AQ40" i="33"/>
  <c r="AQ41" i="33"/>
  <c r="AQ42" i="33"/>
  <c r="AQ43" i="33"/>
  <c r="AQ44" i="33"/>
  <c r="AQ45" i="33"/>
  <c r="AQ31" i="33"/>
  <c r="AQ28" i="33"/>
  <c r="AQ20" i="33"/>
  <c r="AQ19" i="33"/>
  <c r="AQ18" i="33"/>
  <c r="AQ17" i="33"/>
  <c r="AQ16" i="33"/>
  <c r="AQ15" i="33"/>
  <c r="AQ14" i="33"/>
  <c r="AT12" i="33"/>
  <c r="AQ12" i="33"/>
  <c r="AU12" i="33" s="1"/>
  <c r="AQ56" i="43"/>
  <c r="AQ55" i="43"/>
  <c r="AQ54" i="43"/>
  <c r="AQ53" i="43"/>
  <c r="AQ52" i="43"/>
  <c r="AQ51" i="43"/>
  <c r="AQ50" i="43"/>
  <c r="AQ48" i="43"/>
  <c r="AQ46" i="43"/>
  <c r="AQ45" i="43"/>
  <c r="AQ44" i="43"/>
  <c r="AQ43" i="43"/>
  <c r="AQ42" i="43"/>
  <c r="AQ41" i="43"/>
  <c r="AQ40" i="43"/>
  <c r="AQ39" i="43"/>
  <c r="AQ37" i="43"/>
  <c r="AQ35" i="43"/>
  <c r="AQ34" i="43"/>
  <c r="AQ33" i="43"/>
  <c r="AQ32" i="43"/>
  <c r="AQ31" i="43"/>
  <c r="AQ30" i="43"/>
  <c r="AQ29" i="43"/>
  <c r="AQ28" i="43"/>
  <c r="AQ27" i="43"/>
  <c r="AQ26" i="43"/>
  <c r="AQ25" i="43"/>
  <c r="AQ24" i="43"/>
  <c r="AQ22" i="43"/>
  <c r="AQ20" i="43"/>
  <c r="AQ19" i="43"/>
  <c r="AQ18" i="43"/>
  <c r="AQ17" i="43"/>
  <c r="AQ16" i="43"/>
  <c r="AQ15" i="43"/>
  <c r="AQ14" i="43"/>
  <c r="AT12" i="43"/>
  <c r="AQ12" i="43"/>
  <c r="AQ60" i="25"/>
  <c r="AQ59" i="25"/>
  <c r="AQ58" i="25"/>
  <c r="AQ57" i="25"/>
  <c r="AQ56" i="25"/>
  <c r="AQ55" i="25"/>
  <c r="AQ54" i="25"/>
  <c r="AQ53" i="25"/>
  <c r="AQ51" i="25"/>
  <c r="AQ49" i="25"/>
  <c r="AQ48" i="25"/>
  <c r="AQ47" i="25"/>
  <c r="AQ46" i="25"/>
  <c r="AQ45" i="25"/>
  <c r="AQ44" i="25"/>
  <c r="AQ43" i="25"/>
  <c r="AQ42" i="25"/>
  <c r="AQ40" i="25"/>
  <c r="AQ38" i="25"/>
  <c r="AQ37" i="25"/>
  <c r="AQ36" i="25"/>
  <c r="AQ35" i="25"/>
  <c r="AQ34" i="25"/>
  <c r="AQ33" i="25"/>
  <c r="AQ32" i="25"/>
  <c r="AQ31" i="25"/>
  <c r="AQ30" i="25"/>
  <c r="AQ29" i="25"/>
  <c r="AQ28" i="25"/>
  <c r="AQ27" i="25"/>
  <c r="AQ26" i="25"/>
  <c r="AQ25" i="25"/>
  <c r="AQ24" i="25"/>
  <c r="AQ22" i="25"/>
  <c r="AQ20" i="25"/>
  <c r="AQ19" i="25"/>
  <c r="AQ18" i="25"/>
  <c r="AQ17" i="25"/>
  <c r="AQ16" i="25"/>
  <c r="AQ15" i="25"/>
  <c r="AQ14" i="25"/>
  <c r="AT12" i="25"/>
  <c r="AQ12" i="25"/>
  <c r="AU12" i="25" s="1"/>
  <c r="AQ60" i="24"/>
  <c r="AQ59" i="24"/>
  <c r="AQ58" i="24"/>
  <c r="AQ57" i="24"/>
  <c r="AQ56" i="24"/>
  <c r="AQ55" i="24"/>
  <c r="AQ54" i="24"/>
  <c r="AQ53" i="24"/>
  <c r="AQ51" i="24"/>
  <c r="AS58" i="24" s="1"/>
  <c r="AQ49" i="24"/>
  <c r="AQ48" i="24"/>
  <c r="AQ47" i="24"/>
  <c r="AQ46" i="24"/>
  <c r="AQ45" i="24"/>
  <c r="AQ44" i="24"/>
  <c r="AQ43" i="24"/>
  <c r="AQ42" i="24"/>
  <c r="AQ40" i="24"/>
  <c r="AS48" i="24" s="1"/>
  <c r="AQ38" i="24"/>
  <c r="AQ37" i="24"/>
  <c r="AQ36" i="24"/>
  <c r="AQ35" i="24"/>
  <c r="AQ34" i="24"/>
  <c r="AQ33" i="24"/>
  <c r="AQ32" i="24"/>
  <c r="AQ31" i="24"/>
  <c r="AQ30" i="24"/>
  <c r="AQ29" i="24"/>
  <c r="AQ28" i="24"/>
  <c r="AQ27" i="24"/>
  <c r="AQ26" i="24"/>
  <c r="AQ25" i="24"/>
  <c r="AQ24" i="24"/>
  <c r="AQ22" i="24"/>
  <c r="AS38" i="24" s="1"/>
  <c r="AQ20" i="24"/>
  <c r="AQ19" i="24"/>
  <c r="AQ18" i="24"/>
  <c r="AQ17" i="24"/>
  <c r="AQ16" i="24"/>
  <c r="AQ15" i="24"/>
  <c r="AQ14" i="24"/>
  <c r="AT12" i="24"/>
  <c r="AQ12" i="24"/>
  <c r="AS17" i="24" s="1"/>
  <c r="AQ60" i="22"/>
  <c r="AQ59" i="22"/>
  <c r="AQ58" i="22"/>
  <c r="AQ57" i="22"/>
  <c r="AQ56" i="22"/>
  <c r="AQ55" i="22"/>
  <c r="AQ54" i="22"/>
  <c r="AQ53" i="22"/>
  <c r="AQ51" i="22"/>
  <c r="AQ49" i="22"/>
  <c r="AQ48" i="22"/>
  <c r="AQ47" i="22"/>
  <c r="AQ46" i="22"/>
  <c r="AQ45" i="22"/>
  <c r="AQ44" i="22"/>
  <c r="AQ43" i="22"/>
  <c r="AQ42" i="22"/>
  <c r="AQ40" i="22"/>
  <c r="AQ38" i="22"/>
  <c r="AQ37" i="22"/>
  <c r="AQ36" i="22"/>
  <c r="AQ35" i="22"/>
  <c r="AQ34" i="22"/>
  <c r="AQ33" i="22"/>
  <c r="AQ32" i="22"/>
  <c r="AQ31" i="22"/>
  <c r="AQ30" i="22"/>
  <c r="AQ29" i="22"/>
  <c r="AQ28" i="22"/>
  <c r="AQ27" i="22"/>
  <c r="AQ26" i="22"/>
  <c r="AQ25" i="22"/>
  <c r="AQ24" i="22"/>
  <c r="AQ22" i="22"/>
  <c r="AQ20" i="22"/>
  <c r="AQ19" i="22"/>
  <c r="AQ18" i="22"/>
  <c r="AQ17" i="22"/>
  <c r="AQ16" i="22"/>
  <c r="AQ15" i="22"/>
  <c r="AQ14" i="22"/>
  <c r="AT12" i="22"/>
  <c r="AQ12" i="22"/>
  <c r="AQ60" i="21"/>
  <c r="AQ59" i="21"/>
  <c r="AQ58" i="21"/>
  <c r="AQ57" i="21"/>
  <c r="AQ56" i="21"/>
  <c r="AQ55" i="21"/>
  <c r="AQ54" i="21"/>
  <c r="AQ53" i="21"/>
  <c r="AQ51" i="21"/>
  <c r="AQ49" i="21"/>
  <c r="AQ48" i="21"/>
  <c r="AQ47" i="21"/>
  <c r="AQ46" i="21"/>
  <c r="AQ45" i="21"/>
  <c r="AQ44" i="21"/>
  <c r="AQ43" i="21"/>
  <c r="AQ42" i="21"/>
  <c r="AQ40" i="21"/>
  <c r="AQ38" i="21"/>
  <c r="AQ37" i="21"/>
  <c r="AQ36" i="21"/>
  <c r="AQ35" i="21"/>
  <c r="AQ34" i="21"/>
  <c r="AQ33" i="21"/>
  <c r="AQ32" i="21"/>
  <c r="AQ31" i="21"/>
  <c r="AQ30" i="21"/>
  <c r="AQ29" i="21"/>
  <c r="AQ28" i="21"/>
  <c r="AQ27" i="21"/>
  <c r="AQ26" i="21"/>
  <c r="AQ25" i="21"/>
  <c r="AQ24" i="21"/>
  <c r="AQ22" i="21"/>
  <c r="AQ20" i="21"/>
  <c r="AQ19" i="21"/>
  <c r="AQ18" i="21"/>
  <c r="AQ17" i="21"/>
  <c r="AQ16" i="21"/>
  <c r="AQ15" i="21"/>
  <c r="AQ14" i="21"/>
  <c r="AT12" i="21"/>
  <c r="AQ12" i="21"/>
  <c r="AU12" i="21" s="1"/>
  <c r="AT12" i="20"/>
  <c r="AQ60" i="20"/>
  <c r="AQ59" i="20"/>
  <c r="AQ58" i="20"/>
  <c r="AQ57" i="20"/>
  <c r="AQ56" i="20"/>
  <c r="AQ55" i="20"/>
  <c r="AQ54" i="20"/>
  <c r="AQ53" i="20"/>
  <c r="AQ43" i="20"/>
  <c r="AQ44" i="20"/>
  <c r="AQ45" i="20"/>
  <c r="AQ46" i="20"/>
  <c r="AQ47" i="20"/>
  <c r="AQ48" i="20"/>
  <c r="AQ49" i="20"/>
  <c r="AQ42" i="20"/>
  <c r="AQ51" i="20"/>
  <c r="AQ40" i="20"/>
  <c r="AS47" i="20" s="1"/>
  <c r="AQ22" i="20"/>
  <c r="AQ38" i="20"/>
  <c r="AQ37" i="20"/>
  <c r="AQ36" i="20"/>
  <c r="AQ35" i="20"/>
  <c r="AQ34" i="20"/>
  <c r="AQ33" i="20"/>
  <c r="AQ32" i="20"/>
  <c r="AQ31" i="20"/>
  <c r="AQ30" i="20"/>
  <c r="AQ29" i="20"/>
  <c r="AQ28" i="20"/>
  <c r="AQ27" i="20"/>
  <c r="AQ26" i="20"/>
  <c r="AQ25" i="20"/>
  <c r="AQ24" i="20"/>
  <c r="AQ15" i="20"/>
  <c r="AQ16" i="20"/>
  <c r="AQ17" i="20"/>
  <c r="AQ18" i="20"/>
  <c r="AQ19" i="20"/>
  <c r="AQ20" i="20"/>
  <c r="AQ12" i="20"/>
  <c r="AU12" i="20" s="1"/>
  <c r="AQ14" i="20"/>
  <c r="AS45" i="25" l="1"/>
  <c r="AS45" i="43"/>
  <c r="AS44" i="25"/>
  <c r="AS44" i="33"/>
  <c r="AS76" i="33"/>
  <c r="AU16" i="26"/>
  <c r="AU17" i="26" s="1"/>
  <c r="AU18" i="26" s="1"/>
  <c r="AU19" i="26" s="1"/>
  <c r="AU20" i="26" s="1"/>
  <c r="AU21" i="26" s="1"/>
  <c r="AU22" i="26" s="1"/>
  <c r="AU23" i="26" s="1"/>
  <c r="AS51" i="33"/>
  <c r="AS60" i="33"/>
  <c r="AS52" i="33"/>
  <c r="AS57" i="33"/>
  <c r="AS58" i="33"/>
  <c r="AS40" i="43"/>
  <c r="AS41" i="43"/>
  <c r="AS45" i="22"/>
  <c r="AS46" i="22"/>
  <c r="AS47" i="22"/>
  <c r="AS49" i="20"/>
  <c r="AS17" i="20"/>
  <c r="AS41" i="33"/>
  <c r="AS40" i="33"/>
  <c r="AS32" i="33"/>
  <c r="AS18" i="25"/>
  <c r="AS64" i="33"/>
  <c r="AS65" i="33"/>
  <c r="AS66" i="33"/>
  <c r="AS73" i="33"/>
  <c r="AS67" i="33"/>
  <c r="AS79" i="33"/>
  <c r="AS78" i="33"/>
  <c r="AS69" i="33"/>
  <c r="AS72" i="33"/>
  <c r="AS68" i="33"/>
  <c r="AS70" i="33"/>
  <c r="AS77" i="33"/>
  <c r="AS71" i="33"/>
  <c r="AS84" i="33"/>
  <c r="AS83" i="33"/>
  <c r="AS33" i="33"/>
  <c r="AS39" i="33"/>
  <c r="AS31" i="33"/>
  <c r="AS38" i="33"/>
  <c r="AS45" i="33"/>
  <c r="AS37" i="33"/>
  <c r="AS36" i="33"/>
  <c r="AS43" i="33"/>
  <c r="AS35" i="33"/>
  <c r="AS42" i="33"/>
  <c r="AS34" i="33"/>
  <c r="AS53" i="33"/>
  <c r="AS54" i="33"/>
  <c r="AS55" i="33"/>
  <c r="AS56" i="33"/>
  <c r="AS59" i="33"/>
  <c r="AS46" i="33"/>
  <c r="AS16" i="33"/>
  <c r="AS17" i="33"/>
  <c r="AS19" i="33"/>
  <c r="AS20" i="33"/>
  <c r="AS14" i="33"/>
  <c r="AT14" i="33" s="1"/>
  <c r="AS18" i="33"/>
  <c r="AS15" i="33"/>
  <c r="AS23" i="33"/>
  <c r="AS15" i="43"/>
  <c r="AS25" i="43"/>
  <c r="AS33" i="43"/>
  <c r="AS30" i="25"/>
  <c r="AS38" i="25"/>
  <c r="AS30" i="22"/>
  <c r="AS19" i="43"/>
  <c r="AS29" i="43"/>
  <c r="AS30" i="43"/>
  <c r="AS54" i="25"/>
  <c r="AS55" i="25"/>
  <c r="AS53" i="43"/>
  <c r="AS30" i="21"/>
  <c r="AS38" i="21"/>
  <c r="AS27" i="22"/>
  <c r="AS35" i="22"/>
  <c r="AS55" i="22"/>
  <c r="AS19" i="25"/>
  <c r="AS16" i="43"/>
  <c r="AS26" i="43"/>
  <c r="AS34" i="43"/>
  <c r="AS54" i="43"/>
  <c r="AS56" i="25"/>
  <c r="AS28" i="22"/>
  <c r="AS36" i="22"/>
  <c r="AS17" i="43"/>
  <c r="AS55" i="43"/>
  <c r="AS18" i="43"/>
  <c r="AS56" i="43"/>
  <c r="AS29" i="24"/>
  <c r="AS24" i="24"/>
  <c r="AS25" i="24"/>
  <c r="AS34" i="24"/>
  <c r="AS27" i="24"/>
  <c r="AS46" i="25"/>
  <c r="AS47" i="25"/>
  <c r="AS48" i="25"/>
  <c r="AS49" i="25"/>
  <c r="AS42" i="25"/>
  <c r="AS43" i="25"/>
  <c r="AS26" i="25"/>
  <c r="AS34" i="25"/>
  <c r="AS27" i="25"/>
  <c r="AS35" i="25"/>
  <c r="AS28" i="25"/>
  <c r="AS36" i="25"/>
  <c r="AS29" i="25"/>
  <c r="AS37" i="25"/>
  <c r="AS24" i="25"/>
  <c r="AS32" i="25"/>
  <c r="AS31" i="25"/>
  <c r="AS25" i="25"/>
  <c r="AS33" i="25"/>
  <c r="AS14" i="25"/>
  <c r="AT14" i="25" s="1"/>
  <c r="AS15" i="25"/>
  <c r="AS16" i="25"/>
  <c r="AS20" i="25"/>
  <c r="AS17" i="25"/>
  <c r="AS57" i="25"/>
  <c r="AS58" i="25"/>
  <c r="AS59" i="25"/>
  <c r="AS60" i="25"/>
  <c r="AS53" i="25"/>
  <c r="AS59" i="24"/>
  <c r="AS54" i="24"/>
  <c r="AS55" i="24"/>
  <c r="AS56" i="24"/>
  <c r="AS44" i="24"/>
  <c r="AS47" i="24"/>
  <c r="AU12" i="24"/>
  <c r="AS14" i="24"/>
  <c r="AT14" i="24" s="1"/>
  <c r="AS15" i="24"/>
  <c r="AS16" i="24"/>
  <c r="AS19" i="24"/>
  <c r="AS50" i="43"/>
  <c r="AS51" i="43"/>
  <c r="AS52" i="43"/>
  <c r="AS31" i="43"/>
  <c r="AS24" i="43"/>
  <c r="AS32" i="43"/>
  <c r="AS27" i="43"/>
  <c r="AS35" i="43"/>
  <c r="AS28" i="43"/>
  <c r="AS42" i="43"/>
  <c r="AS43" i="43"/>
  <c r="AS44" i="43"/>
  <c r="AS46" i="43"/>
  <c r="AS39" i="43"/>
  <c r="AS20" i="43"/>
  <c r="AS14" i="43"/>
  <c r="AT14" i="43" s="1"/>
  <c r="AS29" i="20"/>
  <c r="AS29" i="22"/>
  <c r="AS37" i="22"/>
  <c r="AS33" i="21"/>
  <c r="AS20" i="22"/>
  <c r="AS38" i="22"/>
  <c r="AS58" i="22"/>
  <c r="AS25" i="21"/>
  <c r="AS26" i="21"/>
  <c r="AS34" i="21"/>
  <c r="AS59" i="22"/>
  <c r="AS18" i="21"/>
  <c r="AS56" i="22"/>
  <c r="AS57" i="22"/>
  <c r="AS60" i="22"/>
  <c r="AS53" i="22"/>
  <c r="AS54" i="22"/>
  <c r="AS58" i="21"/>
  <c r="AS53" i="21"/>
  <c r="AS54" i="21"/>
  <c r="AS31" i="22"/>
  <c r="AS24" i="22"/>
  <c r="AS32" i="22"/>
  <c r="AS25" i="22"/>
  <c r="AS33" i="22"/>
  <c r="AS26" i="22"/>
  <c r="AS34" i="22"/>
  <c r="AS48" i="22"/>
  <c r="AS49" i="22"/>
  <c r="AS42" i="22"/>
  <c r="AS43" i="22"/>
  <c r="AS44" i="22"/>
  <c r="AS59" i="21"/>
  <c r="AS60" i="21"/>
  <c r="AS55" i="21"/>
  <c r="AS56" i="21"/>
  <c r="AS57" i="21"/>
  <c r="AS42" i="21"/>
  <c r="AS44" i="21"/>
  <c r="AS48" i="21"/>
  <c r="AS49" i="21"/>
  <c r="AS43" i="21"/>
  <c r="AS45" i="21"/>
  <c r="AS46" i="21"/>
  <c r="AS47" i="21"/>
  <c r="AS17" i="22"/>
  <c r="AS16" i="22"/>
  <c r="AS18" i="22"/>
  <c r="AS19" i="22"/>
  <c r="AS14" i="22"/>
  <c r="AT14" i="22" s="1"/>
  <c r="AS15" i="22"/>
  <c r="AS14" i="21"/>
  <c r="AT14" i="21" s="1"/>
  <c r="AS19" i="21"/>
  <c r="AS15" i="21"/>
  <c r="AS20" i="21"/>
  <c r="AS16" i="21"/>
  <c r="AS17" i="21"/>
  <c r="AS31" i="21"/>
  <c r="AS24" i="21"/>
  <c r="AS32" i="21"/>
  <c r="AS27" i="21"/>
  <c r="AS35" i="21"/>
  <c r="AS28" i="21"/>
  <c r="AS36" i="21"/>
  <c r="AS29" i="21"/>
  <c r="AS37" i="21"/>
  <c r="AS37" i="20"/>
  <c r="AS38" i="20"/>
  <c r="AS30" i="20"/>
  <c r="AS45" i="20"/>
  <c r="AS16" i="20"/>
  <c r="AS15" i="20"/>
  <c r="AS14" i="20"/>
  <c r="AT14" i="20" s="1"/>
  <c r="AR14" i="20" s="1"/>
  <c r="AU14" i="20" s="1"/>
  <c r="AS54" i="20"/>
  <c r="AS55" i="20"/>
  <c r="AS57" i="20"/>
  <c r="AS58" i="20"/>
  <c r="AS56" i="20"/>
  <c r="AS59" i="20"/>
  <c r="AS60" i="20"/>
  <c r="AS53" i="20"/>
  <c r="AS24" i="20"/>
  <c r="AS25" i="20"/>
  <c r="AS34" i="20"/>
  <c r="AS27" i="20"/>
  <c r="AS35" i="20"/>
  <c r="AS31" i="20"/>
  <c r="AS32" i="20"/>
  <c r="AS33" i="20"/>
  <c r="AS26" i="20"/>
  <c r="AS28" i="20"/>
  <c r="AS36" i="20"/>
  <c r="AS48" i="20"/>
  <c r="AS44" i="20"/>
  <c r="AS42" i="20"/>
  <c r="AS20" i="20"/>
  <c r="AS19" i="20"/>
  <c r="AS18" i="20"/>
  <c r="AS20" i="24"/>
  <c r="AS28" i="24"/>
  <c r="AS49" i="24"/>
  <c r="AS57" i="24"/>
  <c r="AS81" i="33"/>
  <c r="AS21" i="33"/>
  <c r="AS43" i="20"/>
  <c r="AS35" i="24"/>
  <c r="AS80" i="33"/>
  <c r="AS26" i="33"/>
  <c r="AS30" i="24"/>
  <c r="AS36" i="24"/>
  <c r="AS45" i="24"/>
  <c r="AS75" i="33"/>
  <c r="AS25" i="33"/>
  <c r="AS46" i="20"/>
  <c r="AS31" i="24"/>
  <c r="AS37" i="24"/>
  <c r="AS60" i="24"/>
  <c r="AS74" i="33"/>
  <c r="AS24" i="33"/>
  <c r="AS18" i="24"/>
  <c r="AS32" i="24"/>
  <c r="AS47" i="33"/>
  <c r="AS42" i="24"/>
  <c r="AS82" i="33"/>
  <c r="AS22" i="33"/>
  <c r="AS15" i="27"/>
  <c r="AV15" i="27" s="1"/>
  <c r="AU16" i="28"/>
  <c r="AS16" i="28" s="1"/>
  <c r="AV16" i="28" s="1"/>
  <c r="AS15" i="31"/>
  <c r="AV15" i="31" s="1"/>
  <c r="AS16" i="31"/>
  <c r="AV16" i="31" s="1"/>
  <c r="AU17" i="31"/>
  <c r="AU17" i="30"/>
  <c r="AS16" i="30"/>
  <c r="AV16" i="30" s="1"/>
  <c r="AS20" i="26"/>
  <c r="AU16" i="29"/>
  <c r="AS16" i="29" s="1"/>
  <c r="AV16" i="29" s="1"/>
  <c r="AU17" i="27"/>
  <c r="AS16" i="27"/>
  <c r="AV16" i="27" s="1"/>
  <c r="AS21" i="26"/>
  <c r="AS16" i="26"/>
  <c r="AV16" i="26" s="1"/>
  <c r="AS17" i="26"/>
  <c r="AS22" i="26"/>
  <c r="AV22" i="26" s="1"/>
  <c r="AS23" i="26"/>
  <c r="AV23" i="26" s="1"/>
  <c r="AU24" i="26"/>
  <c r="AS18" i="26"/>
  <c r="AS19" i="26"/>
  <c r="AU12" i="43"/>
  <c r="AS46" i="24"/>
  <c r="AS33" i="24"/>
  <c r="AS43" i="24"/>
  <c r="AS53" i="24"/>
  <c r="AS26" i="24"/>
  <c r="AU12" i="22"/>
  <c r="AT15" i="25" l="1"/>
  <c r="AR15" i="25" s="1"/>
  <c r="AU15" i="25" s="1"/>
  <c r="AT15" i="33"/>
  <c r="AR15" i="33" s="1"/>
  <c r="AU15" i="33" s="1"/>
  <c r="AR14" i="33"/>
  <c r="AU14" i="33" s="1"/>
  <c r="AT15" i="24"/>
  <c r="AR14" i="24"/>
  <c r="AU14" i="24" s="1"/>
  <c r="AT15" i="21"/>
  <c r="AR15" i="21" s="1"/>
  <c r="AU15" i="21" s="1"/>
  <c r="AT15" i="20"/>
  <c r="AR15" i="20" s="1"/>
  <c r="AU15" i="20" s="1"/>
  <c r="AR14" i="21"/>
  <c r="AU14" i="21" s="1"/>
  <c r="AR14" i="25"/>
  <c r="AU14" i="25" s="1"/>
  <c r="AU17" i="28"/>
  <c r="AS17" i="28" s="1"/>
  <c r="AV17" i="28" s="1"/>
  <c r="AU18" i="31"/>
  <c r="AS17" i="31"/>
  <c r="AV17" i="31" s="1"/>
  <c r="AS17" i="30"/>
  <c r="AV17" i="30" s="1"/>
  <c r="AU18" i="30"/>
  <c r="AU17" i="29"/>
  <c r="AS17" i="29" s="1"/>
  <c r="AV17" i="29" s="1"/>
  <c r="AS17" i="27"/>
  <c r="AV17" i="27" s="1"/>
  <c r="AU18" i="27"/>
  <c r="AS24" i="26"/>
  <c r="AV24" i="26" s="1"/>
  <c r="AU25" i="26"/>
  <c r="AV17" i="26"/>
  <c r="AT15" i="43"/>
  <c r="AR14" i="43"/>
  <c r="AU14" i="43" s="1"/>
  <c r="AT15" i="22"/>
  <c r="AR14" i="22"/>
  <c r="AU14" i="22" s="1"/>
  <c r="AT16" i="25" l="1"/>
  <c r="AR16" i="25" s="1"/>
  <c r="AU16" i="25" s="1"/>
  <c r="AT16" i="33"/>
  <c r="AT17" i="33" s="1"/>
  <c r="AR15" i="24"/>
  <c r="AU15" i="24" s="1"/>
  <c r="AT16" i="24"/>
  <c r="AT16" i="21"/>
  <c r="AR16" i="21" s="1"/>
  <c r="AU16" i="21" s="1"/>
  <c r="AT16" i="20"/>
  <c r="AR16" i="20" s="1"/>
  <c r="AU16" i="20" s="1"/>
  <c r="AU18" i="28"/>
  <c r="AS18" i="28" s="1"/>
  <c r="AV18" i="28" s="1"/>
  <c r="AS18" i="31"/>
  <c r="AV18" i="31" s="1"/>
  <c r="AU19" i="31"/>
  <c r="AU19" i="30"/>
  <c r="AS18" i="30"/>
  <c r="AV18" i="30" s="1"/>
  <c r="AU18" i="29"/>
  <c r="AS18" i="29" s="1"/>
  <c r="AV18" i="29" s="1"/>
  <c r="AS18" i="27"/>
  <c r="AV18" i="27" s="1"/>
  <c r="AU19" i="27"/>
  <c r="AS25" i="26"/>
  <c r="AV25" i="26" s="1"/>
  <c r="AU26" i="26"/>
  <c r="AV18" i="26"/>
  <c r="AR15" i="43"/>
  <c r="AU15" i="43" s="1"/>
  <c r="AT16" i="43"/>
  <c r="AR15" i="22"/>
  <c r="AU15" i="22" s="1"/>
  <c r="AT16" i="22"/>
  <c r="AT17" i="25" l="1"/>
  <c r="AT18" i="25" s="1"/>
  <c r="AT17" i="20"/>
  <c r="AR17" i="20" s="1"/>
  <c r="AU17" i="20" s="1"/>
  <c r="AR16" i="33"/>
  <c r="AU16" i="33" s="1"/>
  <c r="AR16" i="24"/>
  <c r="AU16" i="24" s="1"/>
  <c r="AT17" i="24"/>
  <c r="AT17" i="21"/>
  <c r="AT18" i="21" s="1"/>
  <c r="AU19" i="28"/>
  <c r="AU20" i="28" s="1"/>
  <c r="AU19" i="29"/>
  <c r="AU20" i="29" s="1"/>
  <c r="AU20" i="31"/>
  <c r="AS19" i="31"/>
  <c r="AV19" i="31" s="1"/>
  <c r="AS19" i="30"/>
  <c r="AV19" i="30" s="1"/>
  <c r="AU20" i="30"/>
  <c r="AS19" i="27"/>
  <c r="AV19" i="27" s="1"/>
  <c r="AU20" i="27"/>
  <c r="AU27" i="26"/>
  <c r="AS26" i="26"/>
  <c r="AV26" i="26" s="1"/>
  <c r="AV19" i="26"/>
  <c r="AR17" i="33"/>
  <c r="AU17" i="33" s="1"/>
  <c r="AT18" i="33"/>
  <c r="AT17" i="43"/>
  <c r="AR16" i="43"/>
  <c r="AU16" i="43" s="1"/>
  <c r="AT17" i="22"/>
  <c r="AR16" i="22"/>
  <c r="AU16" i="22" s="1"/>
  <c r="AR17" i="25" l="1"/>
  <c r="AU17" i="25" s="1"/>
  <c r="AT18" i="20"/>
  <c r="AR18" i="20" s="1"/>
  <c r="AU18" i="20" s="1"/>
  <c r="AR17" i="24"/>
  <c r="AU17" i="24" s="1"/>
  <c r="AT18" i="24"/>
  <c r="AR17" i="21"/>
  <c r="AU17" i="21" s="1"/>
  <c r="AS19" i="28"/>
  <c r="AV19" i="28" s="1"/>
  <c r="AS19" i="29"/>
  <c r="AV19" i="29" s="1"/>
  <c r="AS20" i="31"/>
  <c r="AV20" i="31" s="1"/>
  <c r="AU21" i="31"/>
  <c r="AS20" i="30"/>
  <c r="AV20" i="30" s="1"/>
  <c r="AU21" i="30"/>
  <c r="AS20" i="29"/>
  <c r="AV20" i="29" s="1"/>
  <c r="AU21" i="29"/>
  <c r="AU21" i="28"/>
  <c r="AS20" i="28"/>
  <c r="AV20" i="28" s="1"/>
  <c r="AU21" i="27"/>
  <c r="AS20" i="27"/>
  <c r="AV20" i="27" s="1"/>
  <c r="AS27" i="26"/>
  <c r="AV27" i="26" s="1"/>
  <c r="AU31" i="26"/>
  <c r="AV20" i="26"/>
  <c r="AR18" i="33"/>
  <c r="AU18" i="33" s="1"/>
  <c r="AT19" i="33"/>
  <c r="AR17" i="43"/>
  <c r="AU17" i="43" s="1"/>
  <c r="AT18" i="43"/>
  <c r="AR18" i="25"/>
  <c r="AU18" i="25" s="1"/>
  <c r="AT19" i="25"/>
  <c r="AR17" i="22"/>
  <c r="AU17" i="22" s="1"/>
  <c r="AT18" i="22"/>
  <c r="AR18" i="21"/>
  <c r="AU18" i="21" s="1"/>
  <c r="AT19" i="21"/>
  <c r="AT19" i="20" l="1"/>
  <c r="AR19" i="20" s="1"/>
  <c r="AU19" i="20" s="1"/>
  <c r="AT19" i="24"/>
  <c r="AR18" i="24"/>
  <c r="AU18" i="24" s="1"/>
  <c r="AU22" i="31"/>
  <c r="AS21" i="31"/>
  <c r="AV21" i="31" s="1"/>
  <c r="AS21" i="30"/>
  <c r="AV21" i="30" s="1"/>
  <c r="AU22" i="30"/>
  <c r="AU22" i="29"/>
  <c r="AS21" i="29"/>
  <c r="AV21" i="29" s="1"/>
  <c r="AS21" i="28"/>
  <c r="AV21" i="28" s="1"/>
  <c r="AU22" i="28"/>
  <c r="AU22" i="27"/>
  <c r="AS21" i="27"/>
  <c r="AV21" i="27" s="1"/>
  <c r="AS31" i="26"/>
  <c r="AV31" i="26" s="1"/>
  <c r="AU32" i="26"/>
  <c r="AV21" i="26"/>
  <c r="AT20" i="33"/>
  <c r="AT21" i="33" s="1"/>
  <c r="AR19" i="33"/>
  <c r="AU19" i="33" s="1"/>
  <c r="AT19" i="43"/>
  <c r="AR18" i="43"/>
  <c r="AU18" i="43" s="1"/>
  <c r="AR19" i="25"/>
  <c r="AU19" i="25" s="1"/>
  <c r="AT20" i="25"/>
  <c r="AT19" i="22"/>
  <c r="AR18" i="22"/>
  <c r="AU18" i="22" s="1"/>
  <c r="AR19" i="21"/>
  <c r="AU19" i="21" s="1"/>
  <c r="AT20" i="21"/>
  <c r="N89" i="3"/>
  <c r="N90" i="3"/>
  <c r="N91" i="3"/>
  <c r="N93" i="3"/>
  <c r="N94" i="3"/>
  <c r="N95" i="3"/>
  <c r="N97" i="3"/>
  <c r="N98" i="3"/>
  <c r="N99" i="3"/>
  <c r="N101" i="3"/>
  <c r="N102" i="3"/>
  <c r="N103" i="3"/>
  <c r="N107" i="3"/>
  <c r="N108" i="3"/>
  <c r="N110" i="3"/>
  <c r="N111" i="3"/>
  <c r="N113" i="3"/>
  <c r="N114" i="3"/>
  <c r="N116" i="3"/>
  <c r="N117" i="3"/>
  <c r="N119" i="3"/>
  <c r="N120" i="3"/>
  <c r="N122" i="3"/>
  <c r="N123" i="3"/>
  <c r="N125" i="3"/>
  <c r="N126" i="3"/>
  <c r="N128" i="3"/>
  <c r="N129" i="3"/>
  <c r="N131" i="3"/>
  <c r="N132" i="3"/>
  <c r="AT20" i="20" l="1"/>
  <c r="AR20" i="20" s="1"/>
  <c r="AU20" i="20" s="1"/>
  <c r="AT20" i="24"/>
  <c r="AR19" i="24"/>
  <c r="AU19" i="24" s="1"/>
  <c r="AR21" i="33"/>
  <c r="AU21" i="33" s="1"/>
  <c r="AT22" i="33"/>
  <c r="AS22" i="31"/>
  <c r="AV22" i="31" s="1"/>
  <c r="AU23" i="31"/>
  <c r="AS22" i="30"/>
  <c r="AV22" i="30" s="1"/>
  <c r="AU23" i="30"/>
  <c r="AU23" i="29"/>
  <c r="AS22" i="29"/>
  <c r="AV22" i="29" s="1"/>
  <c r="AS22" i="28"/>
  <c r="AV22" i="28" s="1"/>
  <c r="AU23" i="28"/>
  <c r="AS22" i="27"/>
  <c r="AV22" i="27" s="1"/>
  <c r="AU23" i="27"/>
  <c r="AU33" i="26"/>
  <c r="AS32" i="26"/>
  <c r="AV32" i="26" s="1"/>
  <c r="AR20" i="33"/>
  <c r="AU20" i="33" s="1"/>
  <c r="AT31" i="33"/>
  <c r="AT20" i="43"/>
  <c r="AR19" i="43"/>
  <c r="AU19" i="43" s="1"/>
  <c r="AR20" i="25"/>
  <c r="AU20" i="25" s="1"/>
  <c r="AT24" i="25"/>
  <c r="AR19" i="22"/>
  <c r="AU19" i="22" s="1"/>
  <c r="AT20" i="22"/>
  <c r="AR20" i="21"/>
  <c r="AU20" i="21" s="1"/>
  <c r="AT24" i="21"/>
  <c r="L89" i="3"/>
  <c r="L90" i="3"/>
  <c r="L91" i="3"/>
  <c r="L93" i="3"/>
  <c r="L94" i="3"/>
  <c r="L95" i="3"/>
  <c r="L97" i="3"/>
  <c r="L98" i="3"/>
  <c r="L99" i="3"/>
  <c r="L101" i="3"/>
  <c r="L102" i="3"/>
  <c r="L103" i="3"/>
  <c r="L107" i="3"/>
  <c r="L108" i="3"/>
  <c r="L110" i="3"/>
  <c r="L111" i="3"/>
  <c r="L113" i="3"/>
  <c r="L114" i="3"/>
  <c r="L116" i="3"/>
  <c r="L117" i="3"/>
  <c r="L119" i="3"/>
  <c r="L120" i="3"/>
  <c r="L122" i="3"/>
  <c r="L123" i="3"/>
  <c r="L125" i="3"/>
  <c r="L126" i="3"/>
  <c r="L128" i="3"/>
  <c r="L129" i="3"/>
  <c r="L131" i="3"/>
  <c r="L132" i="3"/>
  <c r="J89" i="3"/>
  <c r="J90" i="3"/>
  <c r="J91" i="3"/>
  <c r="J93" i="3"/>
  <c r="J94" i="3"/>
  <c r="J95" i="3"/>
  <c r="J97" i="3"/>
  <c r="J98" i="3"/>
  <c r="J99" i="3"/>
  <c r="J101" i="3"/>
  <c r="J102" i="3"/>
  <c r="J103" i="3"/>
  <c r="J107" i="3"/>
  <c r="J108" i="3"/>
  <c r="J110" i="3"/>
  <c r="J111" i="3"/>
  <c r="J113" i="3"/>
  <c r="J114" i="3"/>
  <c r="J116" i="3"/>
  <c r="J117" i="3"/>
  <c r="J119" i="3"/>
  <c r="J120" i="3"/>
  <c r="J122" i="3"/>
  <c r="J123" i="3"/>
  <c r="J125" i="3"/>
  <c r="J126" i="3"/>
  <c r="J128" i="3"/>
  <c r="J129" i="3"/>
  <c r="J131" i="3"/>
  <c r="J132" i="3"/>
  <c r="H89" i="3"/>
  <c r="H90" i="3"/>
  <c r="H91" i="3"/>
  <c r="H93" i="3"/>
  <c r="H94" i="3"/>
  <c r="H95" i="3"/>
  <c r="H97" i="3"/>
  <c r="H98" i="3"/>
  <c r="H99" i="3"/>
  <c r="H101" i="3"/>
  <c r="H102" i="3"/>
  <c r="H103" i="3"/>
  <c r="H107" i="3"/>
  <c r="H108" i="3"/>
  <c r="H110" i="3"/>
  <c r="H111" i="3"/>
  <c r="H113" i="3"/>
  <c r="H114" i="3"/>
  <c r="H116" i="3"/>
  <c r="H117" i="3"/>
  <c r="H119" i="3"/>
  <c r="H120" i="3"/>
  <c r="H122" i="3"/>
  <c r="H123" i="3"/>
  <c r="H125" i="3"/>
  <c r="H126" i="3"/>
  <c r="H128" i="3"/>
  <c r="H129" i="3"/>
  <c r="H131" i="3"/>
  <c r="H132" i="3"/>
  <c r="F89" i="3"/>
  <c r="F90" i="3"/>
  <c r="F91" i="3"/>
  <c r="F93" i="3"/>
  <c r="F96" i="3" s="1"/>
  <c r="F94" i="3"/>
  <c r="F95" i="3"/>
  <c r="F97" i="3"/>
  <c r="F100" i="3" s="1"/>
  <c r="F98" i="3"/>
  <c r="F99" i="3"/>
  <c r="F101" i="3"/>
  <c r="F104" i="3" s="1"/>
  <c r="F102" i="3"/>
  <c r="F103" i="3"/>
  <c r="F107" i="3"/>
  <c r="F108" i="3"/>
  <c r="F110" i="3"/>
  <c r="F111" i="3"/>
  <c r="F113" i="3"/>
  <c r="F114" i="3"/>
  <c r="F116" i="3"/>
  <c r="F117" i="3"/>
  <c r="F119" i="3"/>
  <c r="F120" i="3"/>
  <c r="F122" i="3"/>
  <c r="F123" i="3"/>
  <c r="F125" i="3"/>
  <c r="F126" i="3"/>
  <c r="F128" i="3"/>
  <c r="F129" i="3"/>
  <c r="F131" i="3"/>
  <c r="F132" i="3"/>
  <c r="AT24" i="20" l="1"/>
  <c r="AR24" i="20" s="1"/>
  <c r="AU24" i="20" s="1"/>
  <c r="AT24" i="24"/>
  <c r="AR20" i="24"/>
  <c r="AU20" i="24" s="1"/>
  <c r="F92" i="3"/>
  <c r="AR22" i="33"/>
  <c r="AU22" i="33" s="1"/>
  <c r="AT23" i="33"/>
  <c r="AS23" i="31"/>
  <c r="AV23" i="31" s="1"/>
  <c r="AU24" i="31"/>
  <c r="AU24" i="30"/>
  <c r="AS23" i="30"/>
  <c r="AV23" i="30" s="1"/>
  <c r="AS23" i="29"/>
  <c r="AV23" i="29" s="1"/>
  <c r="AU24" i="29"/>
  <c r="AS23" i="28"/>
  <c r="AV23" i="28" s="1"/>
  <c r="AU24" i="28"/>
  <c r="AU24" i="27"/>
  <c r="AS23" i="27"/>
  <c r="AV23" i="27" s="1"/>
  <c r="AU34" i="26"/>
  <c r="AS33" i="26"/>
  <c r="AV33" i="26" s="1"/>
  <c r="AT32" i="33"/>
  <c r="AT33" i="33" s="1"/>
  <c r="AR31" i="33"/>
  <c r="AU31" i="33" s="1"/>
  <c r="AR20" i="43"/>
  <c r="AU20" i="43" s="1"/>
  <c r="AT24" i="43"/>
  <c r="AT25" i="25"/>
  <c r="AR24" i="25"/>
  <c r="AU24" i="25" s="1"/>
  <c r="AR20" i="22"/>
  <c r="AU20" i="22" s="1"/>
  <c r="AT24" i="22"/>
  <c r="AT25" i="21"/>
  <c r="AR24" i="21"/>
  <c r="AU24" i="21" s="1"/>
  <c r="AT25" i="20" l="1"/>
  <c r="AR25" i="20" s="1"/>
  <c r="AU25" i="20" s="1"/>
  <c r="AT25" i="24"/>
  <c r="AR24" i="24"/>
  <c r="AU24" i="24" s="1"/>
  <c r="AR23" i="33"/>
  <c r="AU23" i="33" s="1"/>
  <c r="AT24" i="33"/>
  <c r="AU25" i="31"/>
  <c r="AS24" i="31"/>
  <c r="AV24" i="31" s="1"/>
  <c r="AS24" i="30"/>
  <c r="AV24" i="30" s="1"/>
  <c r="AU25" i="30"/>
  <c r="AU25" i="29"/>
  <c r="AS24" i="29"/>
  <c r="AV24" i="29" s="1"/>
  <c r="AU25" i="28"/>
  <c r="AS24" i="28"/>
  <c r="AV24" i="28" s="1"/>
  <c r="AS24" i="27"/>
  <c r="AV24" i="27" s="1"/>
  <c r="AU25" i="27"/>
  <c r="AU35" i="26"/>
  <c r="AS34" i="26"/>
  <c r="AV34" i="26" s="1"/>
  <c r="AR33" i="33"/>
  <c r="AU33" i="33" s="1"/>
  <c r="AT34" i="33"/>
  <c r="AR32" i="33"/>
  <c r="AU32" i="33" s="1"/>
  <c r="AT25" i="43"/>
  <c r="AR24" i="43"/>
  <c r="AU24" i="43" s="1"/>
  <c r="AR25" i="25"/>
  <c r="AU25" i="25" s="1"/>
  <c r="AT26" i="25"/>
  <c r="AT25" i="22"/>
  <c r="AR24" i="22"/>
  <c r="AU24" i="22" s="1"/>
  <c r="AT26" i="21"/>
  <c r="AR25" i="21"/>
  <c r="AU25" i="21" s="1"/>
  <c r="AT26" i="20" l="1"/>
  <c r="AR26" i="20" s="1"/>
  <c r="AU26" i="20" s="1"/>
  <c r="AR25" i="24"/>
  <c r="AU25" i="24" s="1"/>
  <c r="AT26" i="24"/>
  <c r="AR24" i="33"/>
  <c r="AU24" i="33" s="1"/>
  <c r="AT25" i="33"/>
  <c r="AS25" i="31"/>
  <c r="AV25" i="31" s="1"/>
  <c r="AU26" i="31"/>
  <c r="AU26" i="30"/>
  <c r="AS25" i="30"/>
  <c r="AV25" i="30" s="1"/>
  <c r="AS25" i="29"/>
  <c r="AV25" i="29" s="1"/>
  <c r="AU26" i="29"/>
  <c r="AU26" i="28"/>
  <c r="AS25" i="28"/>
  <c r="AV25" i="28" s="1"/>
  <c r="AU26" i="27"/>
  <c r="AS25" i="27"/>
  <c r="AV25" i="27" s="1"/>
  <c r="AU36" i="26"/>
  <c r="AS35" i="26"/>
  <c r="AV35" i="26" s="1"/>
  <c r="AT35" i="33"/>
  <c r="AR34" i="33"/>
  <c r="AU34" i="33" s="1"/>
  <c r="AR25" i="43"/>
  <c r="AU25" i="43" s="1"/>
  <c r="AT26" i="43"/>
  <c r="AR26" i="25"/>
  <c r="AU26" i="25" s="1"/>
  <c r="AT27" i="25"/>
  <c r="AR25" i="22"/>
  <c r="AU25" i="22" s="1"/>
  <c r="AT26" i="22"/>
  <c r="AR26" i="21"/>
  <c r="AU26" i="21" s="1"/>
  <c r="AT27" i="21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L54" i="3"/>
  <c r="J54" i="3"/>
  <c r="H54" i="3"/>
  <c r="F54" i="3"/>
  <c r="L35" i="3"/>
  <c r="L36" i="3"/>
  <c r="J35" i="3"/>
  <c r="J36" i="3"/>
  <c r="H35" i="3"/>
  <c r="H36" i="3"/>
  <c r="F35" i="3"/>
  <c r="F36" i="3"/>
  <c r="L29" i="3"/>
  <c r="J29" i="3"/>
  <c r="H29" i="3"/>
  <c r="F29" i="3"/>
  <c r="L26" i="3"/>
  <c r="J26" i="3"/>
  <c r="H26" i="3"/>
  <c r="F26" i="3"/>
  <c r="L20" i="3"/>
  <c r="J20" i="3"/>
  <c r="H20" i="3"/>
  <c r="F20" i="3"/>
  <c r="L12" i="3"/>
  <c r="J12" i="3"/>
  <c r="H12" i="3"/>
  <c r="F12" i="3"/>
  <c r="L10" i="3"/>
  <c r="L11" i="3"/>
  <c r="J10" i="3"/>
  <c r="H10" i="3"/>
  <c r="F10" i="3"/>
  <c r="L50" i="3"/>
  <c r="J50" i="3"/>
  <c r="H50" i="3"/>
  <c r="F50" i="3"/>
  <c r="AT27" i="20" l="1"/>
  <c r="AR27" i="20" s="1"/>
  <c r="AU27" i="20" s="1"/>
  <c r="AR26" i="24"/>
  <c r="AU26" i="24" s="1"/>
  <c r="AT27" i="24"/>
  <c r="AR25" i="33"/>
  <c r="AU25" i="33" s="1"/>
  <c r="AT26" i="33"/>
  <c r="AR26" i="33" s="1"/>
  <c r="AU26" i="33" s="1"/>
  <c r="AS26" i="31"/>
  <c r="AV26" i="31" s="1"/>
  <c r="AU27" i="31"/>
  <c r="AU27" i="30"/>
  <c r="AS26" i="30"/>
  <c r="AV26" i="30" s="1"/>
  <c r="AS26" i="29"/>
  <c r="AV26" i="29" s="1"/>
  <c r="AU27" i="29"/>
  <c r="AS26" i="28"/>
  <c r="AV26" i="28" s="1"/>
  <c r="AU27" i="28"/>
  <c r="AS26" i="27"/>
  <c r="AV26" i="27" s="1"/>
  <c r="AU27" i="27"/>
  <c r="AU28" i="27" s="1"/>
  <c r="AS36" i="26"/>
  <c r="AV36" i="26" s="1"/>
  <c r="AU37" i="26"/>
  <c r="AT36" i="33"/>
  <c r="AR35" i="33"/>
  <c r="AU35" i="33" s="1"/>
  <c r="AT27" i="43"/>
  <c r="AR26" i="43"/>
  <c r="AU26" i="43" s="1"/>
  <c r="AT28" i="25"/>
  <c r="AR27" i="25"/>
  <c r="AU27" i="25" s="1"/>
  <c r="AT27" i="22"/>
  <c r="AR26" i="22"/>
  <c r="AU26" i="22" s="1"/>
  <c r="AT28" i="21"/>
  <c r="AR27" i="21"/>
  <c r="AU27" i="21" s="1"/>
  <c r="AB66" i="33"/>
  <c r="AC66" i="33"/>
  <c r="AB67" i="33"/>
  <c r="AC67" i="33"/>
  <c r="AB68" i="33"/>
  <c r="AC68" i="33"/>
  <c r="AC53" i="26"/>
  <c r="AD53" i="26"/>
  <c r="AC54" i="26"/>
  <c r="AD54" i="26"/>
  <c r="AC55" i="26"/>
  <c r="AD55" i="26"/>
  <c r="AT28" i="20" l="1"/>
  <c r="AR28" i="20" s="1"/>
  <c r="AU28" i="20" s="1"/>
  <c r="AD68" i="33"/>
  <c r="AT28" i="24"/>
  <c r="AR27" i="24"/>
  <c r="AU27" i="24" s="1"/>
  <c r="AE54" i="26"/>
  <c r="AS27" i="31"/>
  <c r="AV27" i="31" s="1"/>
  <c r="AU28" i="31"/>
  <c r="AS27" i="30"/>
  <c r="AV27" i="30" s="1"/>
  <c r="AU31" i="30"/>
  <c r="AS27" i="29"/>
  <c r="AV27" i="29" s="1"/>
  <c r="AU28" i="29"/>
  <c r="AU28" i="28"/>
  <c r="AS27" i="28"/>
  <c r="AV27" i="28" s="1"/>
  <c r="AU29" i="27"/>
  <c r="AS28" i="27"/>
  <c r="AV28" i="27" s="1"/>
  <c r="AS27" i="27"/>
  <c r="AV27" i="27" s="1"/>
  <c r="AU38" i="26"/>
  <c r="AS37" i="26"/>
  <c r="AV37" i="26" s="1"/>
  <c r="AR36" i="33"/>
  <c r="AU36" i="33" s="1"/>
  <c r="AT37" i="33"/>
  <c r="AR27" i="43"/>
  <c r="AU27" i="43" s="1"/>
  <c r="AT28" i="43"/>
  <c r="AR28" i="25"/>
  <c r="AU28" i="25" s="1"/>
  <c r="AT29" i="25"/>
  <c r="AR27" i="22"/>
  <c r="AU27" i="22" s="1"/>
  <c r="AT28" i="22"/>
  <c r="AR28" i="21"/>
  <c r="AU28" i="21" s="1"/>
  <c r="AT29" i="21"/>
  <c r="AE55" i="26"/>
  <c r="AD67" i="33"/>
  <c r="AE53" i="26"/>
  <c r="AD66" i="33"/>
  <c r="AC19" i="33"/>
  <c r="AC20" i="33"/>
  <c r="AC21" i="33"/>
  <c r="AC22" i="33"/>
  <c r="AD44" i="26"/>
  <c r="AD38" i="26"/>
  <c r="AD39" i="26"/>
  <c r="AD40" i="26"/>
  <c r="AC54" i="33"/>
  <c r="AT29" i="20" l="1"/>
  <c r="AR29" i="20" s="1"/>
  <c r="AU29" i="20" s="1"/>
  <c r="AR28" i="24"/>
  <c r="AU28" i="24" s="1"/>
  <c r="AT29" i="24"/>
  <c r="AU29" i="31"/>
  <c r="AS28" i="31"/>
  <c r="AV28" i="31" s="1"/>
  <c r="AU32" i="30"/>
  <c r="AS31" i="30"/>
  <c r="AV31" i="30" s="1"/>
  <c r="AU29" i="29"/>
  <c r="AS28" i="29"/>
  <c r="AV28" i="29" s="1"/>
  <c r="AS28" i="28"/>
  <c r="AV28" i="28" s="1"/>
  <c r="AU29" i="28"/>
  <c r="AS29" i="27"/>
  <c r="AV29" i="27" s="1"/>
  <c r="AU30" i="27"/>
  <c r="AU39" i="26"/>
  <c r="AS38" i="26"/>
  <c r="AV38" i="26" s="1"/>
  <c r="AR37" i="33"/>
  <c r="AU37" i="33" s="1"/>
  <c r="AT38" i="33"/>
  <c r="AT29" i="43"/>
  <c r="AR28" i="43"/>
  <c r="AU28" i="43" s="1"/>
  <c r="AT30" i="25"/>
  <c r="AR29" i="25"/>
  <c r="AU29" i="25" s="1"/>
  <c r="AT29" i="22"/>
  <c r="AR28" i="22"/>
  <c r="AU28" i="22" s="1"/>
  <c r="AT30" i="21"/>
  <c r="AR29" i="21"/>
  <c r="AU29" i="21" s="1"/>
  <c r="AB15" i="33"/>
  <c r="AC15" i="33"/>
  <c r="AB16" i="33"/>
  <c r="AC16" i="33"/>
  <c r="AB17" i="33"/>
  <c r="AC17" i="33"/>
  <c r="AB18" i="33"/>
  <c r="AC18" i="33"/>
  <c r="AB19" i="33"/>
  <c r="AD19" i="33" s="1"/>
  <c r="AB20" i="33"/>
  <c r="AD20" i="33" s="1"/>
  <c r="AB21" i="33"/>
  <c r="AD21" i="33" s="1"/>
  <c r="AB22" i="33"/>
  <c r="AD22" i="33" s="1"/>
  <c r="AB23" i="33"/>
  <c r="AC23" i="33"/>
  <c r="AB24" i="33"/>
  <c r="AC24" i="33"/>
  <c r="AB25" i="33"/>
  <c r="AC25" i="33"/>
  <c r="AB26" i="33"/>
  <c r="AC26" i="33"/>
  <c r="AB30" i="33"/>
  <c r="AC30" i="33"/>
  <c r="AB31" i="33"/>
  <c r="AC31" i="33"/>
  <c r="AB32" i="33"/>
  <c r="AC32" i="33"/>
  <c r="AB33" i="33"/>
  <c r="AC33" i="33"/>
  <c r="AB34" i="33"/>
  <c r="AC34" i="33"/>
  <c r="AB35" i="33"/>
  <c r="AC35" i="33"/>
  <c r="AB36" i="33"/>
  <c r="AC36" i="33"/>
  <c r="AB37" i="33"/>
  <c r="AC37" i="33"/>
  <c r="AB38" i="33"/>
  <c r="AC38" i="33"/>
  <c r="AB39" i="33"/>
  <c r="AC39" i="33"/>
  <c r="AB40" i="33"/>
  <c r="AC40" i="33"/>
  <c r="AB41" i="33"/>
  <c r="AC41" i="33"/>
  <c r="AB42" i="33"/>
  <c r="AC42" i="33"/>
  <c r="AB43" i="33"/>
  <c r="AC43" i="33"/>
  <c r="AB44" i="33"/>
  <c r="AC44" i="33"/>
  <c r="AB45" i="33"/>
  <c r="AC45" i="33"/>
  <c r="AB46" i="33"/>
  <c r="AC46" i="33"/>
  <c r="AB47" i="33"/>
  <c r="AC47" i="33"/>
  <c r="AB51" i="33"/>
  <c r="AC51" i="33"/>
  <c r="AB52" i="33"/>
  <c r="AC52" i="33"/>
  <c r="AB53" i="33"/>
  <c r="AC53" i="33"/>
  <c r="AB54" i="33"/>
  <c r="AD54" i="33" s="1"/>
  <c r="AB55" i="33"/>
  <c r="AC55" i="33"/>
  <c r="AB56" i="33"/>
  <c r="AC56" i="33"/>
  <c r="AB57" i="33"/>
  <c r="AC57" i="33"/>
  <c r="AB58" i="33"/>
  <c r="AC58" i="33"/>
  <c r="AB59" i="33"/>
  <c r="AC59" i="33"/>
  <c r="AB60" i="33"/>
  <c r="AC60" i="33"/>
  <c r="AB64" i="33"/>
  <c r="AC64" i="33"/>
  <c r="AB65" i="33"/>
  <c r="AC65" i="33"/>
  <c r="AB69" i="33"/>
  <c r="AC69" i="33"/>
  <c r="AB70" i="33"/>
  <c r="AC70" i="33"/>
  <c r="AB71" i="33"/>
  <c r="AC71" i="33"/>
  <c r="AB72" i="33"/>
  <c r="AC72" i="33"/>
  <c r="AB73" i="33"/>
  <c r="AC73" i="33"/>
  <c r="AB74" i="33"/>
  <c r="AC74" i="33"/>
  <c r="AB75" i="33"/>
  <c r="AC75" i="33"/>
  <c r="AB76" i="33"/>
  <c r="AC76" i="33"/>
  <c r="AB77" i="33"/>
  <c r="AC77" i="33"/>
  <c r="AB78" i="33"/>
  <c r="AC78" i="33"/>
  <c r="AB79" i="33"/>
  <c r="AC79" i="33"/>
  <c r="AB80" i="33"/>
  <c r="AC80" i="33"/>
  <c r="AB81" i="33"/>
  <c r="AC81" i="33"/>
  <c r="AB82" i="33"/>
  <c r="AC82" i="33"/>
  <c r="AB83" i="33"/>
  <c r="AC83" i="33"/>
  <c r="AB84" i="33"/>
  <c r="AC84" i="33"/>
  <c r="AC14" i="33"/>
  <c r="AB14" i="33"/>
  <c r="AD46" i="29"/>
  <c r="AD47" i="29"/>
  <c r="AD34" i="31"/>
  <c r="AD37" i="30"/>
  <c r="AT30" i="20" l="1"/>
  <c r="AR30" i="20" s="1"/>
  <c r="AR29" i="24"/>
  <c r="AU29" i="24" s="1"/>
  <c r="AT30" i="24"/>
  <c r="AD40" i="33"/>
  <c r="AD36" i="33"/>
  <c r="AU30" i="31"/>
  <c r="AS29" i="31"/>
  <c r="AV29" i="31" s="1"/>
  <c r="AS32" i="30"/>
  <c r="AV32" i="30" s="1"/>
  <c r="AU33" i="30"/>
  <c r="AS29" i="29"/>
  <c r="AV29" i="29" s="1"/>
  <c r="AU30" i="29"/>
  <c r="AU30" i="28"/>
  <c r="AS29" i="28"/>
  <c r="AV29" i="28" s="1"/>
  <c r="AU31" i="27"/>
  <c r="AS30" i="27"/>
  <c r="AV30" i="27" s="1"/>
  <c r="AS39" i="26"/>
  <c r="AV39" i="26" s="1"/>
  <c r="AU40" i="26"/>
  <c r="AT39" i="33"/>
  <c r="AR38" i="33"/>
  <c r="AU38" i="33" s="1"/>
  <c r="AT30" i="43"/>
  <c r="AR29" i="43"/>
  <c r="AU29" i="43" s="1"/>
  <c r="AR30" i="25"/>
  <c r="AU30" i="25" s="1"/>
  <c r="AT31" i="25"/>
  <c r="AR29" i="22"/>
  <c r="AU29" i="22" s="1"/>
  <c r="AT30" i="22"/>
  <c r="AR30" i="21"/>
  <c r="AU30" i="21" s="1"/>
  <c r="AT31" i="21"/>
  <c r="AT31" i="20"/>
  <c r="AR31" i="20" s="1"/>
  <c r="AU30" i="20"/>
  <c r="AD83" i="33"/>
  <c r="AD75" i="33"/>
  <c r="AD44" i="33"/>
  <c r="AD84" i="33"/>
  <c r="AD80" i="33"/>
  <c r="AD76" i="33"/>
  <c r="AD72" i="33"/>
  <c r="AD81" i="33"/>
  <c r="AD77" i="33"/>
  <c r="AD73" i="33"/>
  <c r="AD69" i="33"/>
  <c r="AD23" i="33"/>
  <c r="AD51" i="33"/>
  <c r="AD45" i="33"/>
  <c r="AD41" i="33"/>
  <c r="AD37" i="33"/>
  <c r="AD33" i="33"/>
  <c r="AD26" i="33"/>
  <c r="AD32" i="33"/>
  <c r="AD65" i="33"/>
  <c r="AD64" i="33"/>
  <c r="AD57" i="33"/>
  <c r="AD59" i="33"/>
  <c r="AD55" i="33"/>
  <c r="AD18" i="33"/>
  <c r="AD14" i="33"/>
  <c r="AD58" i="33"/>
  <c r="AD47" i="33"/>
  <c r="AD39" i="33"/>
  <c r="AD31" i="33"/>
  <c r="AD42" i="33"/>
  <c r="AD56" i="33"/>
  <c r="AD60" i="33"/>
  <c r="AD17" i="33"/>
  <c r="AD43" i="33"/>
  <c r="AD16" i="33"/>
  <c r="AD15" i="33"/>
  <c r="AD53" i="33"/>
  <c r="AD52" i="33"/>
  <c r="AD38" i="33"/>
  <c r="AD82" i="33"/>
  <c r="AD79" i="33"/>
  <c r="AD78" i="33"/>
  <c r="AD74" i="33"/>
  <c r="AD70" i="33"/>
  <c r="AD71" i="33"/>
  <c r="AD35" i="33"/>
  <c r="AD34" i="33"/>
  <c r="AD30" i="33"/>
  <c r="AD25" i="33"/>
  <c r="AD24" i="33"/>
  <c r="AD46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51" i="33"/>
  <c r="F52" i="33"/>
  <c r="F53" i="33"/>
  <c r="F54" i="33"/>
  <c r="F55" i="33"/>
  <c r="F56" i="33"/>
  <c r="F57" i="33"/>
  <c r="F58" i="33"/>
  <c r="F59" i="33"/>
  <c r="F60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14" i="33"/>
  <c r="E14" i="33"/>
  <c r="E15" i="33" s="1"/>
  <c r="E16" i="33" s="1"/>
  <c r="E17" i="33" s="1"/>
  <c r="E18" i="33" s="1"/>
  <c r="E19" i="33" s="1"/>
  <c r="E20" i="33" s="1"/>
  <c r="E21" i="33" s="1"/>
  <c r="E22" i="33" s="1"/>
  <c r="E23" i="33" s="1"/>
  <c r="E24" i="33" s="1"/>
  <c r="E25" i="33" s="1"/>
  <c r="E26" i="33" s="1"/>
  <c r="E30" i="33" s="1"/>
  <c r="E31" i="33" s="1"/>
  <c r="E32" i="33" s="1"/>
  <c r="E33" i="33" s="1"/>
  <c r="E34" i="33" s="1"/>
  <c r="E35" i="33" s="1"/>
  <c r="E36" i="33" s="1"/>
  <c r="E37" i="33" s="1"/>
  <c r="E38" i="33" s="1"/>
  <c r="E39" i="33" s="1"/>
  <c r="E40" i="33" s="1"/>
  <c r="E41" i="33" s="1"/>
  <c r="E42" i="33" s="1"/>
  <c r="E43" i="33" s="1"/>
  <c r="E44" i="33" s="1"/>
  <c r="E45" i="33" s="1"/>
  <c r="E46" i="33" s="1"/>
  <c r="E47" i="33" s="1"/>
  <c r="E51" i="33" s="1"/>
  <c r="E52" i="33" s="1"/>
  <c r="E53" i="33" s="1"/>
  <c r="E54" i="33" s="1"/>
  <c r="E55" i="33" s="1"/>
  <c r="E56" i="33" s="1"/>
  <c r="E57" i="33" s="1"/>
  <c r="E58" i="33" s="1"/>
  <c r="E59" i="33" s="1"/>
  <c r="E60" i="33" s="1"/>
  <c r="E64" i="33" s="1"/>
  <c r="E65" i="33" s="1"/>
  <c r="E66" i="33" s="1"/>
  <c r="E67" i="33" s="1"/>
  <c r="E68" i="33" s="1"/>
  <c r="E69" i="33" s="1"/>
  <c r="E70" i="33" s="1"/>
  <c r="E71" i="33" s="1"/>
  <c r="E72" i="33" s="1"/>
  <c r="E73" i="33" s="1"/>
  <c r="E74" i="33" s="1"/>
  <c r="E75" i="33" s="1"/>
  <c r="E76" i="33" s="1"/>
  <c r="E77" i="33" s="1"/>
  <c r="E78" i="33" s="1"/>
  <c r="E79" i="33" s="1"/>
  <c r="E80" i="33" s="1"/>
  <c r="E81" i="33" s="1"/>
  <c r="E82" i="33" s="1"/>
  <c r="E83" i="33" s="1"/>
  <c r="E84" i="33" s="1"/>
  <c r="AT31" i="24" l="1"/>
  <c r="AR30" i="24"/>
  <c r="AU30" i="24" s="1"/>
  <c r="G14" i="33"/>
  <c r="AV14" i="33"/>
  <c r="AV15" i="33" s="1"/>
  <c r="AV16" i="33" s="1"/>
  <c r="AV17" i="33" s="1"/>
  <c r="AV18" i="33" s="1"/>
  <c r="AV19" i="33" s="1"/>
  <c r="AV20" i="33" s="1"/>
  <c r="AV21" i="33" s="1"/>
  <c r="AV22" i="33" s="1"/>
  <c r="AV23" i="33" s="1"/>
  <c r="AV24" i="33" s="1"/>
  <c r="AV25" i="33" s="1"/>
  <c r="AV26" i="33" s="1"/>
  <c r="AS30" i="31"/>
  <c r="AV30" i="31" s="1"/>
  <c r="AU31" i="31"/>
  <c r="AU34" i="30"/>
  <c r="AS33" i="30"/>
  <c r="AV33" i="30" s="1"/>
  <c r="AS30" i="29"/>
  <c r="AV30" i="29" s="1"/>
  <c r="AU31" i="29"/>
  <c r="AU31" i="28"/>
  <c r="AS30" i="28"/>
  <c r="AV30" i="28" s="1"/>
  <c r="AS31" i="27"/>
  <c r="AV31" i="27" s="1"/>
  <c r="AU32" i="27"/>
  <c r="AS40" i="26"/>
  <c r="AV40" i="26" s="1"/>
  <c r="AU44" i="26"/>
  <c r="AR39" i="33"/>
  <c r="AU39" i="33" s="1"/>
  <c r="AT40" i="33"/>
  <c r="AR30" i="43"/>
  <c r="AU30" i="43" s="1"/>
  <c r="AT31" i="43"/>
  <c r="AR31" i="25"/>
  <c r="AU31" i="25" s="1"/>
  <c r="AT32" i="25"/>
  <c r="AR30" i="22"/>
  <c r="AU30" i="22" s="1"/>
  <c r="AT31" i="22"/>
  <c r="AT32" i="21"/>
  <c r="AR31" i="21"/>
  <c r="AU31" i="21" s="1"/>
  <c r="AT32" i="20"/>
  <c r="AR32" i="20" s="1"/>
  <c r="AU31" i="20"/>
  <c r="G15" i="33"/>
  <c r="G16" i="33" s="1"/>
  <c r="G17" i="33" s="1"/>
  <c r="G18" i="33" s="1"/>
  <c r="G19" i="33" s="1"/>
  <c r="G20" i="33" s="1"/>
  <c r="AD62" i="28"/>
  <c r="AD62" i="29"/>
  <c r="AD62" i="31"/>
  <c r="AC63" i="32"/>
  <c r="AT32" i="24" l="1"/>
  <c r="AR31" i="24"/>
  <c r="AU31" i="24" s="1"/>
  <c r="AV31" i="33"/>
  <c r="AV32" i="33" s="1"/>
  <c r="AV33" i="33" s="1"/>
  <c r="AV34" i="33" s="1"/>
  <c r="AV35" i="33" s="1"/>
  <c r="AV36" i="33" s="1"/>
  <c r="AV37" i="33" s="1"/>
  <c r="AV38" i="33" s="1"/>
  <c r="AV39" i="33" s="1"/>
  <c r="AV40" i="33" s="1"/>
  <c r="AV41" i="33" s="1"/>
  <c r="AV42" i="33" s="1"/>
  <c r="AV43" i="33" s="1"/>
  <c r="AV44" i="33" s="1"/>
  <c r="AV45" i="33" s="1"/>
  <c r="AV46" i="33" s="1"/>
  <c r="AV47" i="33" s="1"/>
  <c r="G32" i="33"/>
  <c r="G33" i="33" s="1"/>
  <c r="G34" i="33" s="1"/>
  <c r="G35" i="33" s="1"/>
  <c r="G36" i="33" s="1"/>
  <c r="G37" i="33" s="1"/>
  <c r="G38" i="33" s="1"/>
  <c r="G39" i="33" s="1"/>
  <c r="G40" i="33" s="1"/>
  <c r="G41" i="33" s="1"/>
  <c r="G42" i="33" s="1"/>
  <c r="G43" i="33" s="1"/>
  <c r="G44" i="33" s="1"/>
  <c r="AU32" i="31"/>
  <c r="AS31" i="31"/>
  <c r="AV31" i="31" s="1"/>
  <c r="AS34" i="30"/>
  <c r="AV34" i="30" s="1"/>
  <c r="AU35" i="30"/>
  <c r="AU32" i="29"/>
  <c r="AS31" i="29"/>
  <c r="AV31" i="29" s="1"/>
  <c r="AS31" i="28"/>
  <c r="AV31" i="28" s="1"/>
  <c r="AU32" i="28"/>
  <c r="AU33" i="27"/>
  <c r="AS32" i="27"/>
  <c r="AV32" i="27" s="1"/>
  <c r="AS44" i="26"/>
  <c r="AV44" i="26" s="1"/>
  <c r="AU45" i="26"/>
  <c r="AR40" i="33"/>
  <c r="AU40" i="33" s="1"/>
  <c r="AT41" i="33"/>
  <c r="AT32" i="43"/>
  <c r="AR31" i="43"/>
  <c r="AU31" i="43" s="1"/>
  <c r="AT33" i="25"/>
  <c r="AR32" i="25"/>
  <c r="AU32" i="25" s="1"/>
  <c r="AT32" i="22"/>
  <c r="AR31" i="22"/>
  <c r="AU31" i="22" s="1"/>
  <c r="AT33" i="21"/>
  <c r="AR32" i="21"/>
  <c r="AU32" i="21" s="1"/>
  <c r="AT33" i="20"/>
  <c r="AR33" i="20" s="1"/>
  <c r="AU32" i="20"/>
  <c r="AB63" i="32"/>
  <c r="AD63" i="32" s="1"/>
  <c r="AC62" i="31"/>
  <c r="AE62" i="31" s="1"/>
  <c r="AC62" i="29"/>
  <c r="AE62" i="29" s="1"/>
  <c r="AC62" i="28"/>
  <c r="AE62" i="28" s="1"/>
  <c r="AT33" i="24" l="1"/>
  <c r="AR32" i="24"/>
  <c r="AU32" i="24" s="1"/>
  <c r="G45" i="33"/>
  <c r="G53" i="33" s="1"/>
  <c r="G54" i="33" s="1"/>
  <c r="G55" i="33" s="1"/>
  <c r="G56" i="33" s="1"/>
  <c r="G57" i="33" s="1"/>
  <c r="G58" i="33" s="1"/>
  <c r="AV51" i="33"/>
  <c r="AV52" i="33" s="1"/>
  <c r="AV53" i="33" s="1"/>
  <c r="AV54" i="33" s="1"/>
  <c r="AV55" i="33" s="1"/>
  <c r="AV56" i="33" s="1"/>
  <c r="AV57" i="33" s="1"/>
  <c r="AV58" i="33" s="1"/>
  <c r="AV59" i="33" s="1"/>
  <c r="AV60" i="33" s="1"/>
  <c r="AV64" i="33" s="1"/>
  <c r="AV65" i="33" s="1"/>
  <c r="AV66" i="33" s="1"/>
  <c r="AV67" i="33" s="1"/>
  <c r="AV68" i="33" s="1"/>
  <c r="AV69" i="33" s="1"/>
  <c r="AV70" i="33" s="1"/>
  <c r="AV71" i="33" s="1"/>
  <c r="AV72" i="33" s="1"/>
  <c r="AV73" i="33" s="1"/>
  <c r="AV74" i="33" s="1"/>
  <c r="AV75" i="33" s="1"/>
  <c r="AV76" i="33" s="1"/>
  <c r="AV77" i="33" s="1"/>
  <c r="AV78" i="33" s="1"/>
  <c r="AV79" i="33" s="1"/>
  <c r="AV80" i="33" s="1"/>
  <c r="AV81" i="33" s="1"/>
  <c r="AV82" i="33" s="1"/>
  <c r="AV83" i="33" s="1"/>
  <c r="AV84" i="33" s="1"/>
  <c r="AS32" i="31"/>
  <c r="AV32" i="31" s="1"/>
  <c r="AU33" i="31"/>
  <c r="AU36" i="30"/>
  <c r="AS35" i="30"/>
  <c r="AV35" i="30" s="1"/>
  <c r="AS32" i="29"/>
  <c r="AV32" i="29" s="1"/>
  <c r="AU33" i="29"/>
  <c r="AU33" i="28"/>
  <c r="AS32" i="28"/>
  <c r="AV32" i="28" s="1"/>
  <c r="AU34" i="27"/>
  <c r="AS33" i="27"/>
  <c r="AV33" i="27" s="1"/>
  <c r="AU46" i="26"/>
  <c r="AS45" i="26"/>
  <c r="AV45" i="26" s="1"/>
  <c r="AT42" i="33"/>
  <c r="AR41" i="33"/>
  <c r="AU41" i="33" s="1"/>
  <c r="AR32" i="43"/>
  <c r="AU32" i="43" s="1"/>
  <c r="AT33" i="43"/>
  <c r="AR33" i="25"/>
  <c r="AU33" i="25" s="1"/>
  <c r="AT34" i="25"/>
  <c r="AR32" i="22"/>
  <c r="AU32" i="22" s="1"/>
  <c r="AT33" i="22"/>
  <c r="AR33" i="21"/>
  <c r="AU33" i="21" s="1"/>
  <c r="AT34" i="21"/>
  <c r="AT34" i="20"/>
  <c r="AR34" i="20" s="1"/>
  <c r="AU33" i="20"/>
  <c r="Y32" i="39"/>
  <c r="Z32" i="39"/>
  <c r="Y33" i="39"/>
  <c r="Z33" i="39"/>
  <c r="Y34" i="39"/>
  <c r="Z34" i="39"/>
  <c r="Y35" i="39"/>
  <c r="Z35" i="39"/>
  <c r="Y36" i="39"/>
  <c r="Z36" i="39"/>
  <c r="Y37" i="39"/>
  <c r="Z37" i="39"/>
  <c r="Y38" i="39"/>
  <c r="Z38" i="39"/>
  <c r="Y39" i="39"/>
  <c r="Z39" i="39"/>
  <c r="Y40" i="39"/>
  <c r="Z40" i="39"/>
  <c r="Y41" i="39"/>
  <c r="Z41" i="39"/>
  <c r="Y42" i="39"/>
  <c r="Z42" i="39"/>
  <c r="Y43" i="39"/>
  <c r="Z43" i="39"/>
  <c r="Y44" i="39"/>
  <c r="Z44" i="39"/>
  <c r="Y45" i="39"/>
  <c r="Z45" i="39"/>
  <c r="Y46" i="39"/>
  <c r="Z46" i="39"/>
  <c r="Y48" i="39"/>
  <c r="Z48" i="39"/>
  <c r="Y49" i="39"/>
  <c r="Z49" i="39"/>
  <c r="Y50" i="39"/>
  <c r="Z50" i="39"/>
  <c r="Y51" i="39"/>
  <c r="Z51" i="39"/>
  <c r="Y52" i="39"/>
  <c r="Z52" i="39"/>
  <c r="Y54" i="39"/>
  <c r="Z54" i="39"/>
  <c r="Y55" i="39"/>
  <c r="Z55" i="39"/>
  <c r="Y56" i="39"/>
  <c r="Z56" i="39"/>
  <c r="Y57" i="39"/>
  <c r="Z57" i="39"/>
  <c r="Y58" i="39"/>
  <c r="Z58" i="39"/>
  <c r="Z28" i="39"/>
  <c r="Z29" i="39"/>
  <c r="Z30" i="39"/>
  <c r="AT34" i="24" l="1"/>
  <c r="AR33" i="24"/>
  <c r="AU33" i="24" s="1"/>
  <c r="G59" i="33"/>
  <c r="AU34" i="31"/>
  <c r="AS33" i="31"/>
  <c r="AV33" i="31" s="1"/>
  <c r="AU37" i="30"/>
  <c r="AS36" i="30"/>
  <c r="AV36" i="30" s="1"/>
  <c r="AS33" i="29"/>
  <c r="AV33" i="29" s="1"/>
  <c r="AU34" i="29"/>
  <c r="AU34" i="28"/>
  <c r="AS33" i="28"/>
  <c r="AV33" i="28" s="1"/>
  <c r="AU35" i="27"/>
  <c r="AS34" i="27"/>
  <c r="AV34" i="27" s="1"/>
  <c r="AS46" i="26"/>
  <c r="AV46" i="26" s="1"/>
  <c r="AU47" i="26"/>
  <c r="AR42" i="33"/>
  <c r="AU42" i="33" s="1"/>
  <c r="AT43" i="33"/>
  <c r="AT34" i="43"/>
  <c r="AR33" i="43"/>
  <c r="AU33" i="43" s="1"/>
  <c r="AT35" i="25"/>
  <c r="AR34" i="25"/>
  <c r="AU34" i="25" s="1"/>
  <c r="AT34" i="22"/>
  <c r="AR33" i="22"/>
  <c r="AU33" i="22" s="1"/>
  <c r="AT35" i="21"/>
  <c r="AR34" i="21"/>
  <c r="AU34" i="21" s="1"/>
  <c r="AT35" i="20"/>
  <c r="AR35" i="20" s="1"/>
  <c r="AU34" i="20"/>
  <c r="AA49" i="39"/>
  <c r="AA32" i="39"/>
  <c r="AA57" i="39"/>
  <c r="AA34" i="39"/>
  <c r="AA58" i="39"/>
  <c r="AA39" i="39"/>
  <c r="AA44" i="39"/>
  <c r="AA40" i="39"/>
  <c r="AA43" i="39"/>
  <c r="AA35" i="39"/>
  <c r="AA50" i="39"/>
  <c r="AA37" i="39"/>
  <c r="AA33" i="39"/>
  <c r="AA52" i="39"/>
  <c r="AA48" i="39"/>
  <c r="AA36" i="39"/>
  <c r="AA56" i="39"/>
  <c r="AA51" i="39"/>
  <c r="AA46" i="39"/>
  <c r="AA42" i="39"/>
  <c r="AA55" i="39"/>
  <c r="AA45" i="39"/>
  <c r="AA41" i="39"/>
  <c r="AA38" i="39"/>
  <c r="AA54" i="39"/>
  <c r="AB17" i="32"/>
  <c r="AC17" i="32"/>
  <c r="AB18" i="32"/>
  <c r="AC18" i="32"/>
  <c r="AB19" i="32"/>
  <c r="AC19" i="32"/>
  <c r="AB20" i="32"/>
  <c r="AC20" i="32"/>
  <c r="AB21" i="32"/>
  <c r="AC21" i="32"/>
  <c r="AB22" i="32"/>
  <c r="AC22" i="32"/>
  <c r="AB23" i="32"/>
  <c r="AC23" i="32"/>
  <c r="AB24" i="32"/>
  <c r="AC24" i="32"/>
  <c r="AB25" i="32"/>
  <c r="AC25" i="32"/>
  <c r="AB29" i="32"/>
  <c r="AC29" i="32"/>
  <c r="AB30" i="32"/>
  <c r="AC30" i="32"/>
  <c r="AB31" i="32"/>
  <c r="AC31" i="32"/>
  <c r="AB32" i="32"/>
  <c r="AC32" i="32"/>
  <c r="AB33" i="32"/>
  <c r="AC33" i="32"/>
  <c r="AB34" i="32"/>
  <c r="AC34" i="32"/>
  <c r="AB35" i="32"/>
  <c r="AC35" i="32"/>
  <c r="AB36" i="32"/>
  <c r="AC36" i="32"/>
  <c r="AB37" i="32"/>
  <c r="AC37" i="32"/>
  <c r="AB38" i="32"/>
  <c r="AC38" i="32"/>
  <c r="AB39" i="32"/>
  <c r="AC39" i="32"/>
  <c r="AB43" i="32"/>
  <c r="AC43" i="32"/>
  <c r="AB44" i="32"/>
  <c r="AC44" i="32"/>
  <c r="AB45" i="32"/>
  <c r="AC45" i="32"/>
  <c r="AB46" i="32"/>
  <c r="AC46" i="32"/>
  <c r="AB47" i="32"/>
  <c r="AC47" i="32"/>
  <c r="AB48" i="32"/>
  <c r="AC48" i="32"/>
  <c r="AB49" i="32"/>
  <c r="AC49" i="32"/>
  <c r="AB53" i="32"/>
  <c r="AC53" i="32"/>
  <c r="AB54" i="32"/>
  <c r="AC54" i="32"/>
  <c r="AB55" i="32"/>
  <c r="AC55" i="32"/>
  <c r="AB56" i="32"/>
  <c r="AC56" i="32"/>
  <c r="AB57" i="32"/>
  <c r="AC57" i="32"/>
  <c r="AB58" i="32"/>
  <c r="AC58" i="32"/>
  <c r="AB59" i="32"/>
  <c r="AC59" i="32"/>
  <c r="AB60" i="32"/>
  <c r="AC60" i="32"/>
  <c r="AB61" i="32"/>
  <c r="AC61" i="32"/>
  <c r="AB62" i="32"/>
  <c r="AC62" i="32"/>
  <c r="AC16" i="31"/>
  <c r="AD16" i="31"/>
  <c r="AC17" i="31"/>
  <c r="AD17" i="31"/>
  <c r="AC18" i="31"/>
  <c r="AD18" i="31"/>
  <c r="AC19" i="31"/>
  <c r="AD19" i="31"/>
  <c r="AC20" i="31"/>
  <c r="AD20" i="31"/>
  <c r="AC21" i="31"/>
  <c r="AD21" i="31"/>
  <c r="AC22" i="31"/>
  <c r="AD22" i="31"/>
  <c r="AC23" i="31"/>
  <c r="AD23" i="31"/>
  <c r="AC24" i="31"/>
  <c r="AD24" i="31"/>
  <c r="AC25" i="31"/>
  <c r="AD25" i="31"/>
  <c r="AC26" i="31"/>
  <c r="AD26" i="31"/>
  <c r="AC27" i="31"/>
  <c r="AD27" i="31"/>
  <c r="AC28" i="31"/>
  <c r="AD28" i="31"/>
  <c r="AC29" i="31"/>
  <c r="AD29" i="31"/>
  <c r="AC30" i="31"/>
  <c r="AD30" i="31"/>
  <c r="AC31" i="31"/>
  <c r="AD31" i="31"/>
  <c r="AC32" i="31"/>
  <c r="AD32" i="31"/>
  <c r="AC33" i="31"/>
  <c r="AD33" i="31"/>
  <c r="AC34" i="31"/>
  <c r="AE34" i="31" s="1"/>
  <c r="AC35" i="31"/>
  <c r="AD35" i="31"/>
  <c r="AC36" i="31"/>
  <c r="AD36" i="31"/>
  <c r="AC37" i="31"/>
  <c r="AD37" i="31"/>
  <c r="AC38" i="31"/>
  <c r="AD38" i="31"/>
  <c r="AC42" i="31"/>
  <c r="AD42" i="31"/>
  <c r="AC43" i="31"/>
  <c r="AD43" i="31"/>
  <c r="AC44" i="31"/>
  <c r="AD44" i="31"/>
  <c r="AC45" i="31"/>
  <c r="AD45" i="31"/>
  <c r="AC46" i="31"/>
  <c r="AD46" i="31"/>
  <c r="AC47" i="31"/>
  <c r="AD47" i="31"/>
  <c r="AC48" i="31"/>
  <c r="AD48" i="31"/>
  <c r="AC49" i="31"/>
  <c r="AD49" i="31"/>
  <c r="AC50" i="31"/>
  <c r="AD50" i="31"/>
  <c r="AC51" i="31"/>
  <c r="AD51" i="31"/>
  <c r="AC52" i="31"/>
  <c r="AD52" i="31"/>
  <c r="AC56" i="31"/>
  <c r="AD56" i="31"/>
  <c r="AC57" i="31"/>
  <c r="AD57" i="31"/>
  <c r="AC58" i="31"/>
  <c r="AD58" i="31"/>
  <c r="AC59" i="31"/>
  <c r="AD59" i="31"/>
  <c r="AC60" i="31"/>
  <c r="AD60" i="31"/>
  <c r="AC61" i="31"/>
  <c r="AD61" i="31"/>
  <c r="AC16" i="30"/>
  <c r="AD16" i="30"/>
  <c r="AC17" i="30"/>
  <c r="AD17" i="30"/>
  <c r="AC18" i="30"/>
  <c r="AD18" i="30"/>
  <c r="AC19" i="30"/>
  <c r="AD19" i="30"/>
  <c r="AC20" i="30"/>
  <c r="AD20" i="30"/>
  <c r="AC21" i="30"/>
  <c r="AD21" i="30"/>
  <c r="AC22" i="30"/>
  <c r="AD22" i="30"/>
  <c r="AC23" i="30"/>
  <c r="AD23" i="30"/>
  <c r="AC24" i="30"/>
  <c r="AD24" i="30"/>
  <c r="AC25" i="30"/>
  <c r="AD25" i="30"/>
  <c r="AC26" i="30"/>
  <c r="AD26" i="30"/>
  <c r="AC27" i="30"/>
  <c r="AD27" i="30"/>
  <c r="AC31" i="30"/>
  <c r="AD31" i="30"/>
  <c r="AC32" i="30"/>
  <c r="AD32" i="30"/>
  <c r="AC33" i="30"/>
  <c r="AD33" i="30"/>
  <c r="AC34" i="30"/>
  <c r="AD34" i="30"/>
  <c r="AC35" i="30"/>
  <c r="AD35" i="30"/>
  <c r="AC36" i="30"/>
  <c r="AD36" i="30"/>
  <c r="AC37" i="30"/>
  <c r="AE37" i="30" s="1"/>
  <c r="AC38" i="30"/>
  <c r="AD38" i="30"/>
  <c r="AC39" i="30"/>
  <c r="AD39" i="30"/>
  <c r="AC40" i="30"/>
  <c r="AD40" i="30"/>
  <c r="AC44" i="30"/>
  <c r="AD44" i="30"/>
  <c r="AC45" i="30"/>
  <c r="AD45" i="30"/>
  <c r="AC46" i="30"/>
  <c r="AD46" i="30"/>
  <c r="AC47" i="30"/>
  <c r="AD47" i="30"/>
  <c r="AC48" i="30"/>
  <c r="AD48" i="30"/>
  <c r="AC49" i="30"/>
  <c r="AD49" i="30"/>
  <c r="AC50" i="30"/>
  <c r="AD50" i="30"/>
  <c r="AC51" i="30"/>
  <c r="AD51" i="30"/>
  <c r="AC52" i="30"/>
  <c r="AD52" i="30"/>
  <c r="AC53" i="30"/>
  <c r="AD53" i="30"/>
  <c r="AC54" i="30"/>
  <c r="AD54" i="30"/>
  <c r="AC55" i="30"/>
  <c r="AD55" i="30"/>
  <c r="AC56" i="30"/>
  <c r="AD56" i="30"/>
  <c r="AC57" i="30"/>
  <c r="AD57" i="30"/>
  <c r="AC58" i="30"/>
  <c r="AD58" i="30"/>
  <c r="AC59" i="30"/>
  <c r="AD59" i="30"/>
  <c r="AC60" i="30"/>
  <c r="AD60" i="30"/>
  <c r="AC16" i="29"/>
  <c r="AD16" i="29"/>
  <c r="AC17" i="29"/>
  <c r="AD17" i="29"/>
  <c r="AC18" i="29"/>
  <c r="AD18" i="29"/>
  <c r="AC19" i="29"/>
  <c r="AD19" i="29"/>
  <c r="AC20" i="29"/>
  <c r="AD20" i="29"/>
  <c r="AC21" i="29"/>
  <c r="AD21" i="29"/>
  <c r="AC22" i="29"/>
  <c r="AD22" i="29"/>
  <c r="AC23" i="29"/>
  <c r="AD23" i="29"/>
  <c r="AC24" i="29"/>
  <c r="AD24" i="29"/>
  <c r="AC25" i="29"/>
  <c r="AD25" i="29"/>
  <c r="AC26" i="29"/>
  <c r="AD26" i="29"/>
  <c r="AC27" i="29"/>
  <c r="AD27" i="29"/>
  <c r="AC28" i="29"/>
  <c r="AD28" i="29"/>
  <c r="AC29" i="29"/>
  <c r="AD29" i="29"/>
  <c r="AC30" i="29"/>
  <c r="AD30" i="29"/>
  <c r="AC31" i="29"/>
  <c r="AD31" i="29"/>
  <c r="AC32" i="29"/>
  <c r="AD32" i="29"/>
  <c r="AC33" i="29"/>
  <c r="AD33" i="29"/>
  <c r="AC34" i="29"/>
  <c r="AD34" i="29"/>
  <c r="AC35" i="29"/>
  <c r="AD35" i="29"/>
  <c r="AC36" i="29"/>
  <c r="AD36" i="29"/>
  <c r="AC37" i="29"/>
  <c r="AD37" i="29"/>
  <c r="AC38" i="29"/>
  <c r="AD38" i="29"/>
  <c r="AC42" i="29"/>
  <c r="AD42" i="29"/>
  <c r="AC43" i="29"/>
  <c r="AD43" i="29"/>
  <c r="AC44" i="29"/>
  <c r="AD44" i="29"/>
  <c r="AC45" i="29"/>
  <c r="AD45" i="29"/>
  <c r="AC46" i="29"/>
  <c r="AC47" i="29"/>
  <c r="AC48" i="29"/>
  <c r="AD48" i="29"/>
  <c r="AC49" i="29"/>
  <c r="AD49" i="29"/>
  <c r="AC50" i="29"/>
  <c r="AD50" i="29"/>
  <c r="AC51" i="29"/>
  <c r="AD51" i="29"/>
  <c r="AC52" i="29"/>
  <c r="AD52" i="29"/>
  <c r="AC56" i="29"/>
  <c r="AD56" i="29"/>
  <c r="AC57" i="29"/>
  <c r="AD57" i="29"/>
  <c r="AC58" i="29"/>
  <c r="AD58" i="29"/>
  <c r="AC59" i="29"/>
  <c r="AD59" i="29"/>
  <c r="AC60" i="29"/>
  <c r="AD60" i="29"/>
  <c r="AC61" i="29"/>
  <c r="AD61" i="29"/>
  <c r="AC16" i="28"/>
  <c r="AD16" i="28"/>
  <c r="AC17" i="28"/>
  <c r="AD17" i="28"/>
  <c r="AC18" i="28"/>
  <c r="AD18" i="28"/>
  <c r="AC19" i="28"/>
  <c r="AD19" i="28"/>
  <c r="AC20" i="28"/>
  <c r="AD20" i="28"/>
  <c r="AC21" i="28"/>
  <c r="AD21" i="28"/>
  <c r="AC22" i="28"/>
  <c r="AD22" i="28"/>
  <c r="AC23" i="28"/>
  <c r="AD23" i="28"/>
  <c r="AC24" i="28"/>
  <c r="AD24" i="28"/>
  <c r="AC25" i="28"/>
  <c r="AD25" i="28"/>
  <c r="AC26" i="28"/>
  <c r="AD26" i="28"/>
  <c r="AC27" i="28"/>
  <c r="AD27" i="28"/>
  <c r="AC28" i="28"/>
  <c r="AD28" i="28"/>
  <c r="AC29" i="28"/>
  <c r="AD29" i="28"/>
  <c r="AC30" i="28"/>
  <c r="AD30" i="28"/>
  <c r="AC31" i="28"/>
  <c r="AD31" i="28"/>
  <c r="AC32" i="28"/>
  <c r="AD32" i="28"/>
  <c r="AC33" i="28"/>
  <c r="AD33" i="28"/>
  <c r="AC34" i="28"/>
  <c r="AD34" i="28"/>
  <c r="AC35" i="28"/>
  <c r="AD35" i="28"/>
  <c r="AC36" i="28"/>
  <c r="AD36" i="28"/>
  <c r="AC40" i="28"/>
  <c r="AD40" i="28"/>
  <c r="AC41" i="28"/>
  <c r="AD41" i="28"/>
  <c r="AC42" i="28"/>
  <c r="AD42" i="28"/>
  <c r="AC43" i="28"/>
  <c r="AD43" i="28"/>
  <c r="AC44" i="28"/>
  <c r="AD44" i="28"/>
  <c r="AC45" i="28"/>
  <c r="AD45" i="28"/>
  <c r="AC46" i="28"/>
  <c r="AD46" i="28"/>
  <c r="AC47" i="28"/>
  <c r="AD47" i="28"/>
  <c r="AC48" i="28"/>
  <c r="AD48" i="28"/>
  <c r="AC49" i="28"/>
  <c r="AD49" i="28"/>
  <c r="AC50" i="28"/>
  <c r="AD50" i="28"/>
  <c r="AC51" i="28"/>
  <c r="AD51" i="28"/>
  <c r="AC52" i="28"/>
  <c r="AD52" i="28"/>
  <c r="AC56" i="28"/>
  <c r="AD56" i="28"/>
  <c r="AC57" i="28"/>
  <c r="AD57" i="28"/>
  <c r="AC58" i="28"/>
  <c r="AD58" i="28"/>
  <c r="AC59" i="28"/>
  <c r="AD59" i="28"/>
  <c r="AC60" i="28"/>
  <c r="AD60" i="28"/>
  <c r="AC61" i="28"/>
  <c r="AD61" i="28"/>
  <c r="AC40" i="26"/>
  <c r="AE40" i="26" s="1"/>
  <c r="AC44" i="26"/>
  <c r="AE44" i="26" s="1"/>
  <c r="AC45" i="26"/>
  <c r="AD45" i="26"/>
  <c r="AC46" i="26"/>
  <c r="AD46" i="26"/>
  <c r="AC47" i="26"/>
  <c r="AD47" i="26"/>
  <c r="AC48" i="26"/>
  <c r="AD48" i="26"/>
  <c r="AC49" i="26"/>
  <c r="AD49" i="26"/>
  <c r="AC50" i="26"/>
  <c r="AD50" i="26"/>
  <c r="AC51" i="26"/>
  <c r="AD51" i="26"/>
  <c r="AC52" i="26"/>
  <c r="AD52" i="26"/>
  <c r="AC16" i="27"/>
  <c r="AD16" i="27"/>
  <c r="AC17" i="27"/>
  <c r="AD17" i="27"/>
  <c r="AC18" i="27"/>
  <c r="AD18" i="27"/>
  <c r="AC19" i="27"/>
  <c r="AD19" i="27"/>
  <c r="AC20" i="27"/>
  <c r="AD20" i="27"/>
  <c r="AC21" i="27"/>
  <c r="AD21" i="27"/>
  <c r="AC22" i="27"/>
  <c r="AD22" i="27"/>
  <c r="AC23" i="27"/>
  <c r="AD23" i="27"/>
  <c r="AC24" i="27"/>
  <c r="AD24" i="27"/>
  <c r="AC25" i="27"/>
  <c r="AD25" i="27"/>
  <c r="AC26" i="27"/>
  <c r="AD26" i="27"/>
  <c r="AC27" i="27"/>
  <c r="AD27" i="27"/>
  <c r="AC28" i="27"/>
  <c r="AD28" i="27"/>
  <c r="AC29" i="27"/>
  <c r="AD29" i="27"/>
  <c r="AC30" i="27"/>
  <c r="AD30" i="27"/>
  <c r="AC31" i="27"/>
  <c r="AD31" i="27"/>
  <c r="AC32" i="27"/>
  <c r="AD32" i="27"/>
  <c r="AC33" i="27"/>
  <c r="AD33" i="27"/>
  <c r="AC34" i="27"/>
  <c r="AD34" i="27"/>
  <c r="AC35" i="27"/>
  <c r="AD35" i="27"/>
  <c r="AC39" i="27"/>
  <c r="AD39" i="27"/>
  <c r="AC40" i="27"/>
  <c r="AD40" i="27"/>
  <c r="AC41" i="27"/>
  <c r="AD41" i="27"/>
  <c r="AC42" i="27"/>
  <c r="AD42" i="27"/>
  <c r="AC43" i="27"/>
  <c r="AD43" i="27"/>
  <c r="AC44" i="27"/>
  <c r="AD44" i="27"/>
  <c r="AC45" i="27"/>
  <c r="AD45" i="27"/>
  <c r="AC46" i="27"/>
  <c r="AD46" i="27"/>
  <c r="AC47" i="27"/>
  <c r="AD47" i="27"/>
  <c r="AC48" i="27"/>
  <c r="AD48" i="27"/>
  <c r="AC52" i="27"/>
  <c r="AD52" i="27"/>
  <c r="AC53" i="27"/>
  <c r="AD53" i="27"/>
  <c r="AC54" i="27"/>
  <c r="AD54" i="27"/>
  <c r="AC55" i="27"/>
  <c r="AD55" i="27"/>
  <c r="AC56" i="27"/>
  <c r="AD56" i="27"/>
  <c r="AC57" i="27"/>
  <c r="AD57" i="27"/>
  <c r="AC58" i="27"/>
  <c r="AD58" i="27"/>
  <c r="AC59" i="27"/>
  <c r="AD59" i="27"/>
  <c r="AC60" i="27"/>
  <c r="AD60" i="27"/>
  <c r="AC16" i="26"/>
  <c r="AC17" i="26"/>
  <c r="AC18" i="26"/>
  <c r="AC19" i="26"/>
  <c r="AC20" i="26"/>
  <c r="AC21" i="26"/>
  <c r="AC22" i="26"/>
  <c r="AC23" i="26"/>
  <c r="AC24" i="26"/>
  <c r="AC25" i="26"/>
  <c r="AC26" i="26"/>
  <c r="AC27" i="26"/>
  <c r="AC29" i="26"/>
  <c r="AC31" i="26"/>
  <c r="AC32" i="26"/>
  <c r="AC33" i="26"/>
  <c r="AC34" i="26"/>
  <c r="AC35" i="26"/>
  <c r="AC36" i="26"/>
  <c r="AC37" i="26"/>
  <c r="AC38" i="26"/>
  <c r="AE38" i="26" s="1"/>
  <c r="AC39" i="26"/>
  <c r="AE39" i="26" s="1"/>
  <c r="G66" i="33" l="1"/>
  <c r="G67" i="33" s="1"/>
  <c r="G68" i="33" s="1"/>
  <c r="G69" i="33" s="1"/>
  <c r="G70" i="33" s="1"/>
  <c r="G71" i="33" s="1"/>
  <c r="G72" i="33" s="1"/>
  <c r="G73" i="33" s="1"/>
  <c r="G74" i="33" s="1"/>
  <c r="G75" i="33" s="1"/>
  <c r="G76" i="33" s="1"/>
  <c r="G77" i="33" s="1"/>
  <c r="G78" i="33" s="1"/>
  <c r="G79" i="33" s="1"/>
  <c r="G80" i="33" s="1"/>
  <c r="G81" i="33" s="1"/>
  <c r="G82" i="33" s="1"/>
  <c r="G83" i="33" s="1"/>
  <c r="G84" i="33" s="1"/>
  <c r="G60" i="33"/>
  <c r="AT35" i="24"/>
  <c r="AR34" i="24"/>
  <c r="AU34" i="24" s="1"/>
  <c r="AU35" i="31"/>
  <c r="AU36" i="31" s="1"/>
  <c r="AS34" i="31"/>
  <c r="AV34" i="31" s="1"/>
  <c r="AS37" i="30"/>
  <c r="AV37" i="30" s="1"/>
  <c r="AU38" i="30"/>
  <c r="AS35" i="27"/>
  <c r="AV35" i="27" s="1"/>
  <c r="AU39" i="27"/>
  <c r="AS34" i="29"/>
  <c r="AV34" i="29" s="1"/>
  <c r="AU35" i="29"/>
  <c r="AS34" i="28"/>
  <c r="AV34" i="28" s="1"/>
  <c r="AU35" i="28"/>
  <c r="AS47" i="26"/>
  <c r="AV47" i="26" s="1"/>
  <c r="AU48" i="26"/>
  <c r="AT44" i="33"/>
  <c r="AR43" i="33"/>
  <c r="AU43" i="33" s="1"/>
  <c r="AR34" i="43"/>
  <c r="AU34" i="43" s="1"/>
  <c r="AT35" i="43"/>
  <c r="AT39" i="43" s="1"/>
  <c r="AR35" i="25"/>
  <c r="AU35" i="25" s="1"/>
  <c r="AT36" i="25"/>
  <c r="AR34" i="22"/>
  <c r="AU34" i="22" s="1"/>
  <c r="AT35" i="22"/>
  <c r="AR35" i="21"/>
  <c r="AU35" i="21" s="1"/>
  <c r="AT36" i="21"/>
  <c r="AT36" i="20"/>
  <c r="AR36" i="20" s="1"/>
  <c r="AU35" i="20"/>
  <c r="AE59" i="30"/>
  <c r="AE47" i="30"/>
  <c r="AE53" i="30"/>
  <c r="AE26" i="29"/>
  <c r="AE33" i="29"/>
  <c r="AE40" i="28"/>
  <c r="AD44" i="32"/>
  <c r="AD33" i="32"/>
  <c r="AD58" i="32"/>
  <c r="AE59" i="29"/>
  <c r="AE52" i="29"/>
  <c r="AE16" i="29"/>
  <c r="AE55" i="30"/>
  <c r="AE32" i="30"/>
  <c r="AE25" i="30"/>
  <c r="AE58" i="31"/>
  <c r="AE34" i="30"/>
  <c r="AE27" i="30"/>
  <c r="AE60" i="30"/>
  <c r="AE56" i="30"/>
  <c r="AE48" i="30"/>
  <c r="AE44" i="30"/>
  <c r="AD61" i="32"/>
  <c r="AD53" i="32"/>
  <c r="AD24" i="32"/>
  <c r="AE35" i="28"/>
  <c r="AE49" i="28"/>
  <c r="AE18" i="28"/>
  <c r="AE48" i="28"/>
  <c r="AE45" i="30"/>
  <c r="AE41" i="28"/>
  <c r="AE16" i="27"/>
  <c r="AE46" i="27"/>
  <c r="AE51" i="26"/>
  <c r="AE47" i="26"/>
  <c r="AE51" i="30"/>
  <c r="AE60" i="27"/>
  <c r="AE56" i="27"/>
  <c r="AE52" i="27"/>
  <c r="AE50" i="26"/>
  <c r="AE25" i="27"/>
  <c r="AE17" i="27"/>
  <c r="AE49" i="26"/>
  <c r="AE19" i="28"/>
  <c r="AE43" i="27"/>
  <c r="AE39" i="27"/>
  <c r="AE24" i="27"/>
  <c r="AE59" i="28"/>
  <c r="AE34" i="28"/>
  <c r="AE38" i="30"/>
  <c r="AE49" i="31"/>
  <c r="AE48" i="31"/>
  <c r="AE44" i="31"/>
  <c r="AE38" i="31"/>
  <c r="AE39" i="30"/>
  <c r="AE36" i="30"/>
  <c r="AE35" i="30"/>
  <c r="AE23" i="30"/>
  <c r="AE24" i="29"/>
  <c r="AE23" i="29"/>
  <c r="AE50" i="29"/>
  <c r="AE42" i="29"/>
  <c r="AE49" i="29"/>
  <c r="AE45" i="29"/>
  <c r="AE31" i="29"/>
  <c r="AE43" i="29"/>
  <c r="AE37" i="29"/>
  <c r="AE21" i="29"/>
  <c r="AE54" i="27"/>
  <c r="AE53" i="27"/>
  <c r="AE48" i="27"/>
  <c r="AE47" i="27"/>
  <c r="AE45" i="27"/>
  <c r="AE33" i="27"/>
  <c r="AE32" i="27"/>
  <c r="AE28" i="27"/>
  <c r="AE21" i="27"/>
  <c r="AE29" i="27"/>
  <c r="AE57" i="27"/>
  <c r="AE20" i="27"/>
  <c r="AE26" i="28"/>
  <c r="AE60" i="29"/>
  <c r="AE32" i="29"/>
  <c r="AE28" i="29"/>
  <c r="AE18" i="29"/>
  <c r="AE17" i="30"/>
  <c r="AE59" i="31"/>
  <c r="AE30" i="31"/>
  <c r="AE26" i="31"/>
  <c r="AE52" i="26"/>
  <c r="AD38" i="32"/>
  <c r="AD30" i="32"/>
  <c r="AD23" i="32"/>
  <c r="AD19" i="32"/>
  <c r="AE20" i="30"/>
  <c r="AE20" i="28"/>
  <c r="AE51" i="29"/>
  <c r="AE44" i="29"/>
  <c r="AE34" i="29"/>
  <c r="AE24" i="31"/>
  <c r="AE20" i="31"/>
  <c r="AE42" i="27"/>
  <c r="AE44" i="28"/>
  <c r="AE31" i="28"/>
  <c r="AE27" i="28"/>
  <c r="AE47" i="29"/>
  <c r="AE29" i="29"/>
  <c r="AE25" i="29"/>
  <c r="AE19" i="29"/>
  <c r="AE33" i="30"/>
  <c r="AE35" i="31"/>
  <c r="AE31" i="31"/>
  <c r="AE36" i="28"/>
  <c r="AE40" i="27"/>
  <c r="AE17" i="28"/>
  <c r="AE36" i="29"/>
  <c r="AE20" i="29"/>
  <c r="AE31" i="30"/>
  <c r="AE18" i="30"/>
  <c r="AE46" i="31"/>
  <c r="AE19" i="27"/>
  <c r="AE33" i="28"/>
  <c r="AE26" i="30"/>
  <c r="AE22" i="31"/>
  <c r="AE19" i="30"/>
  <c r="AE31" i="27"/>
  <c r="AE18" i="27"/>
  <c r="AE28" i="28"/>
  <c r="AE46" i="29"/>
  <c r="AE17" i="29"/>
  <c r="AE21" i="31"/>
  <c r="AE30" i="27"/>
  <c r="AE27" i="27"/>
  <c r="AE50" i="30"/>
  <c r="AE24" i="30"/>
  <c r="AE21" i="30"/>
  <c r="AE22" i="27"/>
  <c r="AE42" i="28"/>
  <c r="AE22" i="28"/>
  <c r="AE16" i="30"/>
  <c r="AE51" i="31"/>
  <c r="AE18" i="31"/>
  <c r="AE54" i="30"/>
  <c r="AE48" i="29"/>
  <c r="AE35" i="29"/>
  <c r="AE40" i="30"/>
  <c r="AE45" i="31"/>
  <c r="AD47" i="32"/>
  <c r="AE35" i="27"/>
  <c r="AE37" i="31"/>
  <c r="AE44" i="27"/>
  <c r="AE41" i="27"/>
  <c r="AE27" i="29"/>
  <c r="AE47" i="31"/>
  <c r="AE34" i="27"/>
  <c r="AE45" i="28"/>
  <c r="AE25" i="28"/>
  <c r="AE30" i="29"/>
  <c r="AE22" i="30"/>
  <c r="AE50" i="31"/>
  <c r="AE36" i="31"/>
  <c r="AE25" i="31"/>
  <c r="AE26" i="27"/>
  <c r="AE23" i="27"/>
  <c r="AE45" i="26"/>
  <c r="AE50" i="28"/>
  <c r="AE47" i="28"/>
  <c r="AE30" i="28"/>
  <c r="AE23" i="28"/>
  <c r="AE61" i="29"/>
  <c r="AE57" i="29"/>
  <c r="AE38" i="29"/>
  <c r="AE22" i="29"/>
  <c r="AE52" i="30"/>
  <c r="AE49" i="30"/>
  <c r="AE46" i="30"/>
  <c r="AE23" i="31"/>
  <c r="AE19" i="31"/>
  <c r="AD62" i="32"/>
  <c r="AD54" i="32"/>
  <c r="AD57" i="32"/>
  <c r="AD48" i="32"/>
  <c r="AD43" i="32"/>
  <c r="AD37" i="32"/>
  <c r="AD34" i="32"/>
  <c r="AD29" i="32"/>
  <c r="AE52" i="31"/>
  <c r="AE57" i="30"/>
  <c r="AE58" i="30"/>
  <c r="AE58" i="29"/>
  <c r="AE56" i="29"/>
  <c r="AE58" i="28"/>
  <c r="AE52" i="28"/>
  <c r="AE59" i="27"/>
  <c r="AE58" i="27"/>
  <c r="AE55" i="27"/>
  <c r="AE48" i="26"/>
  <c r="AE46" i="26"/>
  <c r="AE56" i="28"/>
  <c r="AE51" i="28"/>
  <c r="AE46" i="28"/>
  <c r="AE43" i="28"/>
  <c r="AE32" i="28"/>
  <c r="AE29" i="28"/>
  <c r="AE24" i="28"/>
  <c r="AE21" i="28"/>
  <c r="AE16" i="28"/>
  <c r="AE61" i="28"/>
  <c r="AE60" i="28"/>
  <c r="AE57" i="28"/>
  <c r="AE61" i="31"/>
  <c r="AE56" i="31"/>
  <c r="AE43" i="31"/>
  <c r="AE33" i="31"/>
  <c r="AE28" i="31"/>
  <c r="AE16" i="31"/>
  <c r="AE60" i="31"/>
  <c r="AE57" i="31"/>
  <c r="AE42" i="31"/>
  <c r="AE32" i="31"/>
  <c r="AE29" i="31"/>
  <c r="AE27" i="31"/>
  <c r="AE17" i="31"/>
  <c r="AD60" i="32"/>
  <c r="AD55" i="32"/>
  <c r="AD49" i="32"/>
  <c r="AD46" i="32"/>
  <c r="AD35" i="32"/>
  <c r="AD32" i="32"/>
  <c r="AD21" i="32"/>
  <c r="AD17" i="32"/>
  <c r="AD59" i="32"/>
  <c r="AD56" i="32"/>
  <c r="AD45" i="32"/>
  <c r="AD39" i="32"/>
  <c r="AD36" i="32"/>
  <c r="AD31" i="32"/>
  <c r="AD25" i="32"/>
  <c r="AD22" i="32"/>
  <c r="AD20" i="32"/>
  <c r="AD18" i="32"/>
  <c r="F62" i="31"/>
  <c r="F61" i="29"/>
  <c r="F62" i="29"/>
  <c r="AR35" i="24" l="1"/>
  <c r="AU35" i="24" s="1"/>
  <c r="AT36" i="24"/>
  <c r="AU37" i="31"/>
  <c r="AS36" i="31"/>
  <c r="AV36" i="31" s="1"/>
  <c r="AS35" i="31"/>
  <c r="AV35" i="31" s="1"/>
  <c r="AU39" i="30"/>
  <c r="AS38" i="30"/>
  <c r="AV38" i="30" s="1"/>
  <c r="AS39" i="27"/>
  <c r="AV39" i="27" s="1"/>
  <c r="AU40" i="27"/>
  <c r="AS35" i="29"/>
  <c r="AV35" i="29" s="1"/>
  <c r="AU36" i="29"/>
  <c r="AS35" i="28"/>
  <c r="AV35" i="28" s="1"/>
  <c r="AU36" i="28"/>
  <c r="AU49" i="26"/>
  <c r="AS48" i="26"/>
  <c r="AV48" i="26" s="1"/>
  <c r="AT45" i="33"/>
  <c r="AR44" i="33"/>
  <c r="AU44" i="33" s="1"/>
  <c r="AR35" i="43"/>
  <c r="AU35" i="43" s="1"/>
  <c r="AT37" i="25"/>
  <c r="AR36" i="25"/>
  <c r="AU36" i="25" s="1"/>
  <c r="AR35" i="22"/>
  <c r="AU35" i="22" s="1"/>
  <c r="AT36" i="22"/>
  <c r="AT37" i="21"/>
  <c r="AR36" i="21"/>
  <c r="AU36" i="21" s="1"/>
  <c r="AT37" i="20"/>
  <c r="AR37" i="20" s="1"/>
  <c r="AU36" i="20"/>
  <c r="Z47" i="14"/>
  <c r="AB47" i="14" s="1"/>
  <c r="Z46" i="14"/>
  <c r="AB46" i="14" s="1"/>
  <c r="Z45" i="14"/>
  <c r="AB45" i="14" s="1"/>
  <c r="AT37" i="24" l="1"/>
  <c r="AR36" i="24"/>
  <c r="AU36" i="24" s="1"/>
  <c r="AT51" i="33"/>
  <c r="AT46" i="33"/>
  <c r="AS37" i="31"/>
  <c r="AV37" i="31" s="1"/>
  <c r="AU38" i="31"/>
  <c r="AS39" i="30"/>
  <c r="AV39" i="30" s="1"/>
  <c r="AU40" i="30"/>
  <c r="AU41" i="27"/>
  <c r="AS40" i="27"/>
  <c r="AV40" i="27" s="1"/>
  <c r="AS36" i="28"/>
  <c r="AV36" i="28" s="1"/>
  <c r="AU40" i="28"/>
  <c r="AU37" i="29"/>
  <c r="AS36" i="29"/>
  <c r="AV36" i="29" s="1"/>
  <c r="AS49" i="26"/>
  <c r="AV49" i="26" s="1"/>
  <c r="AU50" i="26"/>
  <c r="AR45" i="33"/>
  <c r="AU45" i="33" s="1"/>
  <c r="AR37" i="25"/>
  <c r="AU37" i="25" s="1"/>
  <c r="AT38" i="25"/>
  <c r="AT37" i="22"/>
  <c r="AR36" i="22"/>
  <c r="AU36" i="22" s="1"/>
  <c r="AT38" i="21"/>
  <c r="AR37" i="21"/>
  <c r="AU37" i="21" s="1"/>
  <c r="AT38" i="20"/>
  <c r="AR38" i="20" s="1"/>
  <c r="AU37" i="20"/>
  <c r="F58" i="30"/>
  <c r="F59" i="30"/>
  <c r="F60" i="30"/>
  <c r="F57" i="29"/>
  <c r="F58" i="29"/>
  <c r="F59" i="29"/>
  <c r="F60" i="29"/>
  <c r="F51" i="28"/>
  <c r="F52" i="28"/>
  <c r="F56" i="28"/>
  <c r="F57" i="28"/>
  <c r="F58" i="28"/>
  <c r="F59" i="28"/>
  <c r="F60" i="28"/>
  <c r="F61" i="28"/>
  <c r="F62" i="28"/>
  <c r="F54" i="27"/>
  <c r="F55" i="27"/>
  <c r="F56" i="27"/>
  <c r="F57" i="27"/>
  <c r="F58" i="27"/>
  <c r="F59" i="27"/>
  <c r="F60" i="27"/>
  <c r="F53" i="26"/>
  <c r="F54" i="26"/>
  <c r="F55" i="26"/>
  <c r="AT38" i="24" l="1"/>
  <c r="AR37" i="24"/>
  <c r="AU37" i="24" s="1"/>
  <c r="AR46" i="33"/>
  <c r="AU46" i="33" s="1"/>
  <c r="AT47" i="33"/>
  <c r="AR47" i="33" s="1"/>
  <c r="AU47" i="33" s="1"/>
  <c r="AS38" i="31"/>
  <c r="AV38" i="31" s="1"/>
  <c r="AU42" i="31"/>
  <c r="AU44" i="30"/>
  <c r="AS40" i="30"/>
  <c r="AV40" i="30" s="1"/>
  <c r="AS41" i="27"/>
  <c r="AV41" i="27" s="1"/>
  <c r="AU42" i="27"/>
  <c r="AU41" i="28"/>
  <c r="AS40" i="28"/>
  <c r="AV40" i="28" s="1"/>
  <c r="AS37" i="29"/>
  <c r="AV37" i="29" s="1"/>
  <c r="AU38" i="29"/>
  <c r="AS50" i="26"/>
  <c r="AV50" i="26" s="1"/>
  <c r="AU51" i="26"/>
  <c r="AT52" i="33"/>
  <c r="AR51" i="33"/>
  <c r="AU51" i="33" s="1"/>
  <c r="AR38" i="25"/>
  <c r="AU38" i="25" s="1"/>
  <c r="AT42" i="25"/>
  <c r="AR37" i="22"/>
  <c r="AU37" i="22" s="1"/>
  <c r="AT38" i="22"/>
  <c r="AR38" i="21"/>
  <c r="AU38" i="21" s="1"/>
  <c r="AT42" i="21"/>
  <c r="AT42" i="20"/>
  <c r="AR42" i="20" s="1"/>
  <c r="AU38" i="20"/>
  <c r="F44" i="32"/>
  <c r="F45" i="32"/>
  <c r="F46" i="32"/>
  <c r="F47" i="32"/>
  <c r="F48" i="32"/>
  <c r="F49" i="32"/>
  <c r="F53" i="32"/>
  <c r="F54" i="32"/>
  <c r="F55" i="32"/>
  <c r="F56" i="32"/>
  <c r="F57" i="32"/>
  <c r="F58" i="32"/>
  <c r="F59" i="32"/>
  <c r="F60" i="32"/>
  <c r="F61" i="32"/>
  <c r="F62" i="32"/>
  <c r="F63" i="32"/>
  <c r="F37" i="31"/>
  <c r="F38" i="31"/>
  <c r="F42" i="31"/>
  <c r="F43" i="31"/>
  <c r="H43" i="31" s="1"/>
  <c r="F44" i="31"/>
  <c r="F45" i="31"/>
  <c r="F46" i="31"/>
  <c r="F47" i="31"/>
  <c r="F48" i="31"/>
  <c r="F49" i="31"/>
  <c r="F50" i="31"/>
  <c r="F51" i="31"/>
  <c r="F52" i="31"/>
  <c r="F56" i="31"/>
  <c r="F57" i="31"/>
  <c r="F58" i="31"/>
  <c r="F59" i="31"/>
  <c r="F60" i="31"/>
  <c r="F61" i="31"/>
  <c r="F40" i="30"/>
  <c r="F44" i="30"/>
  <c r="F45" i="30"/>
  <c r="F46" i="30"/>
  <c r="F47" i="30"/>
  <c r="F48" i="30"/>
  <c r="F49" i="30"/>
  <c r="F50" i="30"/>
  <c r="F51" i="30"/>
  <c r="F52" i="30"/>
  <c r="F53" i="30"/>
  <c r="F54" i="30"/>
  <c r="F55" i="30"/>
  <c r="F56" i="30"/>
  <c r="F57" i="30"/>
  <c r="F37" i="29"/>
  <c r="F38" i="29"/>
  <c r="F42" i="29"/>
  <c r="F43" i="29"/>
  <c r="H43" i="29" s="1"/>
  <c r="F44" i="29"/>
  <c r="F45" i="29"/>
  <c r="F46" i="29"/>
  <c r="F47" i="29"/>
  <c r="F48" i="29"/>
  <c r="F49" i="29"/>
  <c r="F50" i="29"/>
  <c r="F51" i="29"/>
  <c r="F52" i="29"/>
  <c r="F56" i="29"/>
  <c r="F40" i="28"/>
  <c r="F41" i="28"/>
  <c r="H41" i="28" s="1"/>
  <c r="F42" i="28"/>
  <c r="F43" i="28"/>
  <c r="F44" i="28"/>
  <c r="F45" i="28"/>
  <c r="F46" i="28"/>
  <c r="F47" i="28"/>
  <c r="F48" i="28"/>
  <c r="F49" i="28"/>
  <c r="F50" i="28"/>
  <c r="F40" i="27"/>
  <c r="H40" i="27" s="1"/>
  <c r="F41" i="27"/>
  <c r="F42" i="27"/>
  <c r="F43" i="27"/>
  <c r="F44" i="27"/>
  <c r="F45" i="27"/>
  <c r="F46" i="27"/>
  <c r="F47" i="27"/>
  <c r="F48" i="27"/>
  <c r="F52" i="27"/>
  <c r="F53" i="27"/>
  <c r="F40" i="26"/>
  <c r="F44" i="26"/>
  <c r="F45" i="26"/>
  <c r="F46" i="26"/>
  <c r="F47" i="26"/>
  <c r="F48" i="26"/>
  <c r="F49" i="26"/>
  <c r="F50" i="26"/>
  <c r="F51" i="26"/>
  <c r="F52" i="26"/>
  <c r="H41" i="27" l="1"/>
  <c r="H42" i="27" s="1"/>
  <c r="H43" i="27" s="1"/>
  <c r="H44" i="27" s="1"/>
  <c r="H45" i="27" s="1"/>
  <c r="H46" i="27" s="1"/>
  <c r="H47" i="27" s="1"/>
  <c r="H48" i="27" s="1"/>
  <c r="H52" i="27" s="1"/>
  <c r="H53" i="27" s="1"/>
  <c r="H54" i="27" s="1"/>
  <c r="H55" i="27" s="1"/>
  <c r="H56" i="27" s="1"/>
  <c r="H57" i="27" s="1"/>
  <c r="H58" i="27" s="1"/>
  <c r="H59" i="27" s="1"/>
  <c r="H60" i="27" s="1"/>
  <c r="H42" i="28"/>
  <c r="H43" i="28" s="1"/>
  <c r="H44" i="28" s="1"/>
  <c r="H45" i="28" s="1"/>
  <c r="H46" i="28" s="1"/>
  <c r="H47" i="28" s="1"/>
  <c r="H48" i="28" s="1"/>
  <c r="H49" i="28" s="1"/>
  <c r="H56" i="28" s="1"/>
  <c r="H57" i="28" s="1"/>
  <c r="H58" i="28" s="1"/>
  <c r="H59" i="28" s="1"/>
  <c r="H60" i="28" s="1"/>
  <c r="H61" i="28" s="1"/>
  <c r="H62" i="28" s="1"/>
  <c r="AT42" i="24"/>
  <c r="AR38" i="24"/>
  <c r="AU38" i="24" s="1"/>
  <c r="H44" i="31"/>
  <c r="H45" i="31" s="1"/>
  <c r="H46" i="31" s="1"/>
  <c r="H47" i="31" s="1"/>
  <c r="H48" i="31" s="1"/>
  <c r="H49" i="31" s="1"/>
  <c r="H50" i="31" s="1"/>
  <c r="H51" i="31" s="1"/>
  <c r="H56" i="31" s="1"/>
  <c r="H57" i="31" s="1"/>
  <c r="H58" i="31" s="1"/>
  <c r="H59" i="31" s="1"/>
  <c r="H60" i="31" s="1"/>
  <c r="H61" i="31" s="1"/>
  <c r="H62" i="31" s="1"/>
  <c r="AU43" i="31"/>
  <c r="AS42" i="31"/>
  <c r="AV42" i="31" s="1"/>
  <c r="AS44" i="30"/>
  <c r="AV44" i="30" s="1"/>
  <c r="AU45" i="30"/>
  <c r="AS42" i="27"/>
  <c r="AV42" i="27" s="1"/>
  <c r="AU43" i="27"/>
  <c r="AS41" i="28"/>
  <c r="AV41" i="28" s="1"/>
  <c r="AU42" i="28"/>
  <c r="AS38" i="29"/>
  <c r="AV38" i="29" s="1"/>
  <c r="AU42" i="29"/>
  <c r="AU52" i="26"/>
  <c r="AS51" i="26"/>
  <c r="AV51" i="26" s="1"/>
  <c r="AT53" i="33"/>
  <c r="AR52" i="33"/>
  <c r="AU52" i="33" s="1"/>
  <c r="AT43" i="25"/>
  <c r="AR42" i="25"/>
  <c r="AU42" i="25" s="1"/>
  <c r="AT42" i="22"/>
  <c r="AR38" i="22"/>
  <c r="AU38" i="22" s="1"/>
  <c r="AR42" i="21"/>
  <c r="AU42" i="21" s="1"/>
  <c r="AT43" i="21"/>
  <c r="AT43" i="20"/>
  <c r="AR43" i="20" s="1"/>
  <c r="AU42" i="20"/>
  <c r="H44" i="29"/>
  <c r="H45" i="29" s="1"/>
  <c r="H46" i="29" s="1"/>
  <c r="H47" i="29" s="1"/>
  <c r="H48" i="29" s="1"/>
  <c r="H49" i="29" s="1"/>
  <c r="H50" i="29" s="1"/>
  <c r="H51" i="29" s="1"/>
  <c r="H56" i="29" s="1"/>
  <c r="Z38" i="14"/>
  <c r="AA38" i="14"/>
  <c r="Z39" i="14"/>
  <c r="AA39" i="14"/>
  <c r="Z40" i="14"/>
  <c r="AA40" i="14"/>
  <c r="Z41" i="14"/>
  <c r="AA41" i="14"/>
  <c r="Z42" i="14"/>
  <c r="AA42" i="14"/>
  <c r="Z43" i="14"/>
  <c r="AA43" i="14"/>
  <c r="Z44" i="14"/>
  <c r="AA44" i="14"/>
  <c r="Z33" i="14"/>
  <c r="AA33" i="14"/>
  <c r="Z34" i="14"/>
  <c r="AA34" i="14"/>
  <c r="Z35" i="14"/>
  <c r="AA35" i="14"/>
  <c r="Z36" i="14"/>
  <c r="AA36" i="14"/>
  <c r="Z37" i="14"/>
  <c r="AA37" i="14"/>
  <c r="AR42" i="24" l="1"/>
  <c r="AU42" i="24" s="1"/>
  <c r="AT43" i="24"/>
  <c r="H57" i="29"/>
  <c r="H58" i="29" s="1"/>
  <c r="H59" i="29" s="1"/>
  <c r="H60" i="29" s="1"/>
  <c r="H61" i="29" s="1"/>
  <c r="H62" i="29" s="1"/>
  <c r="AU44" i="31"/>
  <c r="AS43" i="31"/>
  <c r="AV43" i="31" s="1"/>
  <c r="AS45" i="30"/>
  <c r="AV45" i="30" s="1"/>
  <c r="AU46" i="30"/>
  <c r="AU44" i="27"/>
  <c r="AS43" i="27"/>
  <c r="AV43" i="27" s="1"/>
  <c r="AS42" i="28"/>
  <c r="AV42" i="28" s="1"/>
  <c r="AU43" i="28"/>
  <c r="AU43" i="29"/>
  <c r="AS42" i="29"/>
  <c r="AV42" i="29" s="1"/>
  <c r="AU53" i="26"/>
  <c r="AS52" i="26"/>
  <c r="AV52" i="26" s="1"/>
  <c r="AR53" i="33"/>
  <c r="AU53" i="33" s="1"/>
  <c r="AT54" i="33"/>
  <c r="AR39" i="43"/>
  <c r="AU39" i="43" s="1"/>
  <c r="AT40" i="43"/>
  <c r="AR43" i="25"/>
  <c r="AU43" i="25" s="1"/>
  <c r="AT44" i="25"/>
  <c r="AR42" i="22"/>
  <c r="AU42" i="22" s="1"/>
  <c r="AT43" i="22"/>
  <c r="AT44" i="21"/>
  <c r="AR43" i="21"/>
  <c r="AU43" i="21" s="1"/>
  <c r="AT44" i="20"/>
  <c r="AR44" i="20" s="1"/>
  <c r="AU43" i="20"/>
  <c r="AB35" i="14"/>
  <c r="AB40" i="14"/>
  <c r="AB33" i="14"/>
  <c r="AB34" i="14"/>
  <c r="AB39" i="14"/>
  <c r="AB42" i="14"/>
  <c r="AB37" i="14"/>
  <c r="AB44" i="14"/>
  <c r="AB43" i="14"/>
  <c r="AB41" i="14"/>
  <c r="AB38" i="14"/>
  <c r="AB36" i="14"/>
  <c r="F17" i="32"/>
  <c r="G17" i="32" s="1"/>
  <c r="F18" i="32"/>
  <c r="F19" i="32"/>
  <c r="F20" i="32"/>
  <c r="F21" i="32"/>
  <c r="F22" i="32"/>
  <c r="F23" i="32"/>
  <c r="F24" i="32"/>
  <c r="F25" i="32"/>
  <c r="F29" i="32"/>
  <c r="F30" i="32"/>
  <c r="F31" i="32"/>
  <c r="F32" i="32"/>
  <c r="F33" i="32"/>
  <c r="F34" i="32"/>
  <c r="F35" i="32"/>
  <c r="F36" i="32"/>
  <c r="F37" i="32"/>
  <c r="F38" i="32"/>
  <c r="F39" i="32"/>
  <c r="F43" i="32"/>
  <c r="F16" i="32"/>
  <c r="E17" i="32"/>
  <c r="E18" i="32" s="1"/>
  <c r="E19" i="32" s="1"/>
  <c r="E20" i="32" s="1"/>
  <c r="E21" i="32" s="1"/>
  <c r="E22" i="32" s="1"/>
  <c r="E23" i="32" s="1"/>
  <c r="E24" i="32" s="1"/>
  <c r="E25" i="32" s="1"/>
  <c r="E29" i="32" s="1"/>
  <c r="E30" i="32" s="1"/>
  <c r="E31" i="32" s="1"/>
  <c r="E32" i="32" s="1"/>
  <c r="E33" i="32" s="1"/>
  <c r="E34" i="32" s="1"/>
  <c r="E35" i="32" s="1"/>
  <c r="E36" i="32" s="1"/>
  <c r="E37" i="32" s="1"/>
  <c r="E38" i="32" s="1"/>
  <c r="E39" i="32" s="1"/>
  <c r="E43" i="32" s="1"/>
  <c r="E44" i="32" s="1"/>
  <c r="E45" i="32" s="1"/>
  <c r="E46" i="32" s="1"/>
  <c r="E47" i="32" s="1"/>
  <c r="E48" i="32" s="1"/>
  <c r="E49" i="32" s="1"/>
  <c r="AC16" i="32"/>
  <c r="AB16" i="32"/>
  <c r="F16" i="31"/>
  <c r="G16" i="31" s="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15" i="31"/>
  <c r="E16" i="31"/>
  <c r="E17" i="31" s="1"/>
  <c r="E18" i="31" s="1"/>
  <c r="E19" i="31" s="1"/>
  <c r="E20" i="31" s="1"/>
  <c r="E21" i="31" s="1"/>
  <c r="E22" i="31" s="1"/>
  <c r="E23" i="31" s="1"/>
  <c r="E24" i="31" s="1"/>
  <c r="E25" i="31" s="1"/>
  <c r="E26" i="31" s="1"/>
  <c r="E27" i="31" s="1"/>
  <c r="E28" i="31" s="1"/>
  <c r="E29" i="31" s="1"/>
  <c r="E30" i="31" s="1"/>
  <c r="E31" i="31" s="1"/>
  <c r="E32" i="31" s="1"/>
  <c r="E33" i="31" s="1"/>
  <c r="E34" i="31" s="1"/>
  <c r="E35" i="31" s="1"/>
  <c r="E36" i="31" s="1"/>
  <c r="E37" i="31" s="1"/>
  <c r="E38" i="31" s="1"/>
  <c r="E42" i="31" s="1"/>
  <c r="E43" i="31" s="1"/>
  <c r="E44" i="31" s="1"/>
  <c r="E45" i="31" s="1"/>
  <c r="E46" i="31" s="1"/>
  <c r="E47" i="31" s="1"/>
  <c r="E48" i="31" s="1"/>
  <c r="E49" i="31" s="1"/>
  <c r="E50" i="31" s="1"/>
  <c r="E51" i="31" s="1"/>
  <c r="E52" i="31" s="1"/>
  <c r="E56" i="31" s="1"/>
  <c r="E57" i="31" s="1"/>
  <c r="E58" i="31" s="1"/>
  <c r="E59" i="31" s="1"/>
  <c r="E60" i="31" s="1"/>
  <c r="E61" i="31" s="1"/>
  <c r="E62" i="31" s="1"/>
  <c r="AD15" i="31"/>
  <c r="AC15" i="31"/>
  <c r="F16" i="30"/>
  <c r="G16" i="30" s="1"/>
  <c r="F17" i="30"/>
  <c r="F18" i="30"/>
  <c r="F19" i="30"/>
  <c r="F20" i="30"/>
  <c r="F21" i="30"/>
  <c r="F22" i="30"/>
  <c r="F23" i="30"/>
  <c r="F24" i="30"/>
  <c r="F25" i="30"/>
  <c r="F26" i="30"/>
  <c r="F27" i="30"/>
  <c r="F31" i="30"/>
  <c r="F32" i="30"/>
  <c r="H32" i="30" s="1"/>
  <c r="F33" i="30"/>
  <c r="F34" i="30"/>
  <c r="F35" i="30"/>
  <c r="F36" i="30"/>
  <c r="F37" i="30"/>
  <c r="F38" i="30"/>
  <c r="F39" i="30"/>
  <c r="F15" i="30"/>
  <c r="E16" i="30"/>
  <c r="E17" i="30" s="1"/>
  <c r="E18" i="30" s="1"/>
  <c r="E19" i="30" s="1"/>
  <c r="E20" i="30" s="1"/>
  <c r="E21" i="30" s="1"/>
  <c r="E22" i="30" s="1"/>
  <c r="E23" i="30" s="1"/>
  <c r="E24" i="30" s="1"/>
  <c r="E25" i="30" s="1"/>
  <c r="E26" i="30" s="1"/>
  <c r="E27" i="30" s="1"/>
  <c r="E31" i="30" s="1"/>
  <c r="E32" i="30" s="1"/>
  <c r="E33" i="30" s="1"/>
  <c r="E34" i="30" s="1"/>
  <c r="E35" i="30" s="1"/>
  <c r="E36" i="30" s="1"/>
  <c r="E37" i="30" s="1"/>
  <c r="E38" i="30" s="1"/>
  <c r="E39" i="30" s="1"/>
  <c r="E40" i="30" s="1"/>
  <c r="E44" i="30" s="1"/>
  <c r="E45" i="30" s="1"/>
  <c r="E46" i="30" s="1"/>
  <c r="E47" i="30" s="1"/>
  <c r="E48" i="30" s="1"/>
  <c r="E49" i="30" s="1"/>
  <c r="E50" i="30" s="1"/>
  <c r="E51" i="30" s="1"/>
  <c r="E52" i="30" s="1"/>
  <c r="E53" i="30" s="1"/>
  <c r="E54" i="30" s="1"/>
  <c r="E55" i="30" s="1"/>
  <c r="E56" i="30" s="1"/>
  <c r="E57" i="30" s="1"/>
  <c r="E58" i="30" s="1"/>
  <c r="E59" i="30" s="1"/>
  <c r="E60" i="30" s="1"/>
  <c r="AD15" i="30"/>
  <c r="AC15" i="30"/>
  <c r="F16" i="29"/>
  <c r="G16" i="29" s="1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15" i="29"/>
  <c r="E16" i="29"/>
  <c r="E17" i="29" s="1"/>
  <c r="E18" i="29" s="1"/>
  <c r="E19" i="29" s="1"/>
  <c r="E20" i="29" s="1"/>
  <c r="E21" i="29" s="1"/>
  <c r="E22" i="29" s="1"/>
  <c r="E23" i="29" s="1"/>
  <c r="E24" i="29" s="1"/>
  <c r="E25" i="29" s="1"/>
  <c r="E26" i="29" s="1"/>
  <c r="E27" i="29" s="1"/>
  <c r="E28" i="29" s="1"/>
  <c r="E29" i="29" s="1"/>
  <c r="E30" i="29" s="1"/>
  <c r="E31" i="29" s="1"/>
  <c r="E32" i="29" s="1"/>
  <c r="E33" i="29" s="1"/>
  <c r="E34" i="29" s="1"/>
  <c r="E35" i="29" s="1"/>
  <c r="E36" i="29" s="1"/>
  <c r="E37" i="29" s="1"/>
  <c r="E38" i="29" s="1"/>
  <c r="E42" i="29" s="1"/>
  <c r="E43" i="29" s="1"/>
  <c r="E44" i="29" s="1"/>
  <c r="E45" i="29" s="1"/>
  <c r="E46" i="29" s="1"/>
  <c r="E47" i="29" s="1"/>
  <c r="E48" i="29" s="1"/>
  <c r="E49" i="29" s="1"/>
  <c r="E50" i="29" s="1"/>
  <c r="E51" i="29" s="1"/>
  <c r="E52" i="29" s="1"/>
  <c r="E56" i="29" s="1"/>
  <c r="E57" i="29" s="1"/>
  <c r="E58" i="29" s="1"/>
  <c r="E59" i="29" s="1"/>
  <c r="E60" i="29" s="1"/>
  <c r="E61" i="29" s="1"/>
  <c r="E62" i="29" s="1"/>
  <c r="AD15" i="29"/>
  <c r="AC15" i="29"/>
  <c r="F16" i="28"/>
  <c r="G16" i="28" s="1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16" i="27"/>
  <c r="G16" i="27" s="1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9" i="27"/>
  <c r="F15" i="28"/>
  <c r="E16" i="28"/>
  <c r="E17" i="28" s="1"/>
  <c r="E18" i="28" s="1"/>
  <c r="E19" i="28" s="1"/>
  <c r="E20" i="28" s="1"/>
  <c r="E21" i="28" s="1"/>
  <c r="E22" i="28" s="1"/>
  <c r="E23" i="28" s="1"/>
  <c r="E24" i="28" s="1"/>
  <c r="E25" i="28" s="1"/>
  <c r="E26" i="28" s="1"/>
  <c r="E27" i="28" s="1"/>
  <c r="E28" i="28" s="1"/>
  <c r="E29" i="28" s="1"/>
  <c r="E30" i="28" s="1"/>
  <c r="E31" i="28" s="1"/>
  <c r="E32" i="28" s="1"/>
  <c r="E33" i="28" s="1"/>
  <c r="E34" i="28" s="1"/>
  <c r="E35" i="28" s="1"/>
  <c r="E36" i="28" s="1"/>
  <c r="E40" i="28" s="1"/>
  <c r="E41" i="28" s="1"/>
  <c r="E42" i="28" s="1"/>
  <c r="E43" i="28" s="1"/>
  <c r="E44" i="28" s="1"/>
  <c r="E45" i="28" s="1"/>
  <c r="E46" i="28" s="1"/>
  <c r="E47" i="28" s="1"/>
  <c r="E48" i="28" s="1"/>
  <c r="E49" i="28" s="1"/>
  <c r="E50" i="28" s="1"/>
  <c r="E51" i="28" s="1"/>
  <c r="E52" i="28" s="1"/>
  <c r="E56" i="28" s="1"/>
  <c r="E57" i="28" s="1"/>
  <c r="E58" i="28" s="1"/>
  <c r="E59" i="28" s="1"/>
  <c r="E60" i="28" s="1"/>
  <c r="E61" i="28" s="1"/>
  <c r="E62" i="28" s="1"/>
  <c r="AD15" i="28"/>
  <c r="AC15" i="28"/>
  <c r="F15" i="27"/>
  <c r="E16" i="27"/>
  <c r="E17" i="27" s="1"/>
  <c r="E18" i="27" s="1"/>
  <c r="E19" i="27" s="1"/>
  <c r="E20" i="27" s="1"/>
  <c r="E21" i="27" s="1"/>
  <c r="E22" i="27" s="1"/>
  <c r="E23" i="27" s="1"/>
  <c r="E24" i="27" s="1"/>
  <c r="E25" i="27" s="1"/>
  <c r="E26" i="27" s="1"/>
  <c r="E27" i="27" s="1"/>
  <c r="E28" i="27" s="1"/>
  <c r="E29" i="27" s="1"/>
  <c r="E30" i="27" s="1"/>
  <c r="E31" i="27" s="1"/>
  <c r="E32" i="27" s="1"/>
  <c r="E33" i="27" s="1"/>
  <c r="E34" i="27" s="1"/>
  <c r="AD15" i="27"/>
  <c r="AC15" i="27"/>
  <c r="E16" i="26"/>
  <c r="E17" i="26" s="1"/>
  <c r="E18" i="26" s="1"/>
  <c r="E19" i="26" s="1"/>
  <c r="E20" i="26" s="1"/>
  <c r="E21" i="26" s="1"/>
  <c r="E22" i="26" s="1"/>
  <c r="E23" i="26" s="1"/>
  <c r="E24" i="26" s="1"/>
  <c r="E25" i="26" s="1"/>
  <c r="E26" i="26" s="1"/>
  <c r="E27" i="26" s="1"/>
  <c r="E31" i="26" s="1"/>
  <c r="E32" i="26" s="1"/>
  <c r="E33" i="26" s="1"/>
  <c r="E34" i="26" s="1"/>
  <c r="E35" i="26" s="1"/>
  <c r="E36" i="26" s="1"/>
  <c r="E37" i="26" s="1"/>
  <c r="E38" i="26" s="1"/>
  <c r="E39" i="26" s="1"/>
  <c r="E40" i="26" s="1"/>
  <c r="E44" i="26" s="1"/>
  <c r="E45" i="26" s="1"/>
  <c r="E46" i="26" s="1"/>
  <c r="E47" i="26" s="1"/>
  <c r="E48" i="26" s="1"/>
  <c r="E49" i="26" s="1"/>
  <c r="E50" i="26" s="1"/>
  <c r="E51" i="26" s="1"/>
  <c r="E52" i="26" s="1"/>
  <c r="E53" i="26" s="1"/>
  <c r="E54" i="26" s="1"/>
  <c r="E55" i="26" s="1"/>
  <c r="F16" i="26"/>
  <c r="G16" i="26" s="1"/>
  <c r="F17" i="26"/>
  <c r="F18" i="26"/>
  <c r="F19" i="26"/>
  <c r="F20" i="26"/>
  <c r="F21" i="26"/>
  <c r="F22" i="26"/>
  <c r="F23" i="26"/>
  <c r="F24" i="26"/>
  <c r="F25" i="26"/>
  <c r="F26" i="26"/>
  <c r="F27" i="26"/>
  <c r="F31" i="26"/>
  <c r="F32" i="26"/>
  <c r="H32" i="26" s="1"/>
  <c r="F33" i="26"/>
  <c r="F34" i="26"/>
  <c r="F35" i="26"/>
  <c r="F36" i="26"/>
  <c r="F37" i="26"/>
  <c r="F38" i="26"/>
  <c r="F39" i="26"/>
  <c r="F15" i="26"/>
  <c r="AD37" i="26"/>
  <c r="AD36" i="26"/>
  <c r="AD35" i="26"/>
  <c r="AD34" i="26"/>
  <c r="AD33" i="26"/>
  <c r="AD32" i="26"/>
  <c r="AD31" i="26"/>
  <c r="AD27" i="26"/>
  <c r="AD26" i="26"/>
  <c r="AD25" i="26"/>
  <c r="AD24" i="26"/>
  <c r="AD23" i="26"/>
  <c r="AD22" i="26"/>
  <c r="AD21" i="26"/>
  <c r="AD20" i="26"/>
  <c r="AD19" i="26"/>
  <c r="AD18" i="26"/>
  <c r="AD17" i="26"/>
  <c r="AD16" i="26"/>
  <c r="AD15" i="26"/>
  <c r="AC15" i="26"/>
  <c r="H33" i="30" l="1"/>
  <c r="H34" i="30" s="1"/>
  <c r="H35" i="30" s="1"/>
  <c r="H36" i="30" s="1"/>
  <c r="H37" i="30" s="1"/>
  <c r="H38" i="30" s="1"/>
  <c r="H39" i="30" s="1"/>
  <c r="H40" i="30" s="1"/>
  <c r="H44" i="30" s="1"/>
  <c r="H45" i="30" s="1"/>
  <c r="H46" i="30" s="1"/>
  <c r="H47" i="30" s="1"/>
  <c r="H48" i="30" s="1"/>
  <c r="H49" i="30" s="1"/>
  <c r="H50" i="30" s="1"/>
  <c r="H51" i="30" s="1"/>
  <c r="H52" i="30" s="1"/>
  <c r="H53" i="30" s="1"/>
  <c r="H54" i="30" s="1"/>
  <c r="H55" i="30" s="1"/>
  <c r="H56" i="30" s="1"/>
  <c r="H57" i="30" s="1"/>
  <c r="H58" i="30" s="1"/>
  <c r="H59" i="30" s="1"/>
  <c r="H60" i="30" s="1"/>
  <c r="H33" i="26"/>
  <c r="H34" i="26" s="1"/>
  <c r="H35" i="26" s="1"/>
  <c r="H36" i="26" s="1"/>
  <c r="H37" i="26" s="1"/>
  <c r="H38" i="26" s="1"/>
  <c r="H39" i="26" s="1"/>
  <c r="H40" i="26" s="1"/>
  <c r="H44" i="26" s="1"/>
  <c r="H45" i="26" s="1"/>
  <c r="H46" i="26" s="1"/>
  <c r="H47" i="26" s="1"/>
  <c r="H48" i="26" s="1"/>
  <c r="H49" i="26" s="1"/>
  <c r="H50" i="26" s="1"/>
  <c r="H51" i="26" s="1"/>
  <c r="H52" i="26" s="1"/>
  <c r="H53" i="26" s="1"/>
  <c r="H54" i="26" s="1"/>
  <c r="H55" i="26" s="1"/>
  <c r="AT44" i="24"/>
  <c r="AR43" i="24"/>
  <c r="AU43" i="24" s="1"/>
  <c r="AS44" i="31"/>
  <c r="AV44" i="31" s="1"/>
  <c r="AU45" i="31"/>
  <c r="AU47" i="30"/>
  <c r="AS46" i="30"/>
  <c r="AV46" i="30" s="1"/>
  <c r="AS44" i="27"/>
  <c r="AV44" i="27" s="1"/>
  <c r="AU45" i="27"/>
  <c r="AU44" i="28"/>
  <c r="AS43" i="28"/>
  <c r="AV43" i="28" s="1"/>
  <c r="AS43" i="29"/>
  <c r="AV43" i="29" s="1"/>
  <c r="AU44" i="29"/>
  <c r="AS53" i="26"/>
  <c r="AV53" i="26" s="1"/>
  <c r="AU54" i="26"/>
  <c r="AT55" i="33"/>
  <c r="AR54" i="33"/>
  <c r="AU54" i="33" s="1"/>
  <c r="AT41" i="43"/>
  <c r="AR40" i="43"/>
  <c r="AU40" i="43" s="1"/>
  <c r="AT45" i="25"/>
  <c r="AR44" i="25"/>
  <c r="AU44" i="25" s="1"/>
  <c r="AT44" i="22"/>
  <c r="AR43" i="22"/>
  <c r="AU43" i="22" s="1"/>
  <c r="AT45" i="21"/>
  <c r="AR44" i="21"/>
  <c r="AU44" i="21" s="1"/>
  <c r="AT45" i="20"/>
  <c r="AR45" i="20" s="1"/>
  <c r="AU44" i="20"/>
  <c r="E53" i="32"/>
  <c r="E54" i="32" s="1"/>
  <c r="E55" i="32" s="1"/>
  <c r="E56" i="32" s="1"/>
  <c r="E57" i="32" s="1"/>
  <c r="E58" i="32" s="1"/>
  <c r="E59" i="32" s="1"/>
  <c r="E60" i="32" s="1"/>
  <c r="E61" i="32" s="1"/>
  <c r="E62" i="32" s="1"/>
  <c r="E63" i="32" s="1"/>
  <c r="E35" i="27"/>
  <c r="E39" i="27" s="1"/>
  <c r="E40" i="27" s="1"/>
  <c r="E41" i="27" s="1"/>
  <c r="E42" i="27" s="1"/>
  <c r="E43" i="27" s="1"/>
  <c r="E44" i="27" s="1"/>
  <c r="E45" i="27" s="1"/>
  <c r="E46" i="27" s="1"/>
  <c r="E47" i="27" s="1"/>
  <c r="E48" i="27" s="1"/>
  <c r="E52" i="27" s="1"/>
  <c r="E53" i="27" s="1"/>
  <c r="E54" i="27" s="1"/>
  <c r="E55" i="27" s="1"/>
  <c r="E56" i="27" s="1"/>
  <c r="E57" i="27" s="1"/>
  <c r="E58" i="27" s="1"/>
  <c r="E59" i="27" s="1"/>
  <c r="E60" i="27" s="1"/>
  <c r="G17" i="29"/>
  <c r="G18" i="29" s="1"/>
  <c r="G19" i="29" s="1"/>
  <c r="G20" i="29" s="1"/>
  <c r="G21" i="29" s="1"/>
  <c r="G22" i="29" s="1"/>
  <c r="G23" i="29" s="1"/>
  <c r="G24" i="29" s="1"/>
  <c r="G25" i="29" s="1"/>
  <c r="G26" i="29" s="1"/>
  <c r="G27" i="29" s="1"/>
  <c r="G28" i="29" s="1"/>
  <c r="G29" i="29" s="1"/>
  <c r="G30" i="29" s="1"/>
  <c r="G31" i="29" s="1"/>
  <c r="G32" i="29" s="1"/>
  <c r="G33" i="29" s="1"/>
  <c r="G34" i="29" s="1"/>
  <c r="G35" i="29" s="1"/>
  <c r="G36" i="29" s="1"/>
  <c r="G37" i="29" s="1"/>
  <c r="G38" i="29" s="1"/>
  <c r="G42" i="29" s="1"/>
  <c r="G43" i="29" s="1"/>
  <c r="G44" i="29" s="1"/>
  <c r="G45" i="29" s="1"/>
  <c r="G46" i="29" s="1"/>
  <c r="G47" i="29" s="1"/>
  <c r="G48" i="29" s="1"/>
  <c r="G49" i="29" s="1"/>
  <c r="G50" i="29" s="1"/>
  <c r="G51" i="29" s="1"/>
  <c r="G52" i="29" s="1"/>
  <c r="G56" i="29" s="1"/>
  <c r="G57" i="29" s="1"/>
  <c r="G58" i="29" s="1"/>
  <c r="G59" i="29" s="1"/>
  <c r="G60" i="29" s="1"/>
  <c r="G61" i="29" s="1"/>
  <c r="G62" i="29" s="1"/>
  <c r="G17" i="26"/>
  <c r="G18" i="26" s="1"/>
  <c r="G19" i="26" s="1"/>
  <c r="G20" i="26" s="1"/>
  <c r="G21" i="26" s="1"/>
  <c r="G22" i="26" s="1"/>
  <c r="G23" i="26" s="1"/>
  <c r="G24" i="26" s="1"/>
  <c r="G25" i="26" s="1"/>
  <c r="G26" i="26" s="1"/>
  <c r="G27" i="26" s="1"/>
  <c r="G31" i="26" s="1"/>
  <c r="G32" i="26" s="1"/>
  <c r="G33" i="26" s="1"/>
  <c r="G34" i="26" s="1"/>
  <c r="G35" i="26" s="1"/>
  <c r="G36" i="26" s="1"/>
  <c r="G37" i="26" s="1"/>
  <c r="G38" i="26" s="1"/>
  <c r="G39" i="26" s="1"/>
  <c r="G40" i="26" s="1"/>
  <c r="G44" i="26" s="1"/>
  <c r="G45" i="26" s="1"/>
  <c r="G46" i="26" s="1"/>
  <c r="G47" i="26" s="1"/>
  <c r="G48" i="26" s="1"/>
  <c r="G49" i="26" s="1"/>
  <c r="G50" i="26" s="1"/>
  <c r="G51" i="26" s="1"/>
  <c r="G52" i="26" s="1"/>
  <c r="G53" i="26" s="1"/>
  <c r="G54" i="26" s="1"/>
  <c r="G55" i="26" s="1"/>
  <c r="AE15" i="26"/>
  <c r="AE19" i="26"/>
  <c r="AE35" i="26"/>
  <c r="AE15" i="28"/>
  <c r="AE15" i="27"/>
  <c r="AE15" i="31"/>
  <c r="AE22" i="26"/>
  <c r="AE26" i="26"/>
  <c r="AE15" i="30"/>
  <c r="AD16" i="32"/>
  <c r="G18" i="32"/>
  <c r="G19" i="32" s="1"/>
  <c r="G20" i="32" s="1"/>
  <c r="G21" i="32" s="1"/>
  <c r="G22" i="32" s="1"/>
  <c r="G23" i="32" s="1"/>
  <c r="G24" i="32" s="1"/>
  <c r="G25" i="32" s="1"/>
  <c r="G29" i="32" s="1"/>
  <c r="G30" i="32" s="1"/>
  <c r="G31" i="32" s="1"/>
  <c r="G32" i="32" s="1"/>
  <c r="G33" i="32" s="1"/>
  <c r="G34" i="32" s="1"/>
  <c r="G35" i="32" s="1"/>
  <c r="G36" i="32" s="1"/>
  <c r="G37" i="32" s="1"/>
  <c r="G38" i="32" s="1"/>
  <c r="G39" i="32" s="1"/>
  <c r="G43" i="32" s="1"/>
  <c r="G44" i="32" s="1"/>
  <c r="G45" i="32" s="1"/>
  <c r="G46" i="32" s="1"/>
  <c r="G47" i="32" s="1"/>
  <c r="G48" i="32" s="1"/>
  <c r="G49" i="32" s="1"/>
  <c r="G53" i="32" s="1"/>
  <c r="G54" i="32" s="1"/>
  <c r="G55" i="32" s="1"/>
  <c r="G56" i="32" s="1"/>
  <c r="G57" i="32" s="1"/>
  <c r="G58" i="32" s="1"/>
  <c r="G59" i="32" s="1"/>
  <c r="G60" i="32" s="1"/>
  <c r="G61" i="32" s="1"/>
  <c r="G62" i="32" s="1"/>
  <c r="G63" i="32" s="1"/>
  <c r="G17" i="31"/>
  <c r="G18" i="31" s="1"/>
  <c r="G19" i="31" s="1"/>
  <c r="G20" i="31" s="1"/>
  <c r="G21" i="31" s="1"/>
  <c r="G22" i="31" s="1"/>
  <c r="G23" i="31" s="1"/>
  <c r="G24" i="31" s="1"/>
  <c r="G25" i="31" s="1"/>
  <c r="G26" i="31" s="1"/>
  <c r="G27" i="31" s="1"/>
  <c r="G28" i="31" s="1"/>
  <c r="G29" i="31" s="1"/>
  <c r="G30" i="31" s="1"/>
  <c r="G31" i="31" s="1"/>
  <c r="G32" i="31" s="1"/>
  <c r="G33" i="31" s="1"/>
  <c r="G34" i="31" s="1"/>
  <c r="G35" i="31" s="1"/>
  <c r="G36" i="31" s="1"/>
  <c r="G37" i="31" s="1"/>
  <c r="G38" i="31" s="1"/>
  <c r="G42" i="31" s="1"/>
  <c r="G43" i="31" s="1"/>
  <c r="G44" i="31" s="1"/>
  <c r="G45" i="31" s="1"/>
  <c r="G46" i="31" s="1"/>
  <c r="G47" i="31" s="1"/>
  <c r="G48" i="31" s="1"/>
  <c r="G49" i="31" s="1"/>
  <c r="G50" i="31" s="1"/>
  <c r="G51" i="31" s="1"/>
  <c r="G52" i="31" s="1"/>
  <c r="G56" i="31" s="1"/>
  <c r="G57" i="31" s="1"/>
  <c r="G58" i="31" s="1"/>
  <c r="G59" i="31" s="1"/>
  <c r="G60" i="31" s="1"/>
  <c r="G61" i="31" s="1"/>
  <c r="G62" i="31" s="1"/>
  <c r="G17" i="30"/>
  <c r="G18" i="30" s="1"/>
  <c r="G19" i="30" s="1"/>
  <c r="G20" i="30" s="1"/>
  <c r="G21" i="30" s="1"/>
  <c r="G22" i="30" s="1"/>
  <c r="G23" i="30" s="1"/>
  <c r="G24" i="30" s="1"/>
  <c r="G25" i="30" s="1"/>
  <c r="G26" i="30" s="1"/>
  <c r="G27" i="30" s="1"/>
  <c r="G31" i="30" s="1"/>
  <c r="G32" i="30" s="1"/>
  <c r="G33" i="30" s="1"/>
  <c r="G34" i="30" s="1"/>
  <c r="G35" i="30" s="1"/>
  <c r="G36" i="30" s="1"/>
  <c r="G37" i="30" s="1"/>
  <c r="G38" i="30" s="1"/>
  <c r="G39" i="30" s="1"/>
  <c r="G40" i="30" s="1"/>
  <c r="G44" i="30" s="1"/>
  <c r="G45" i="30" s="1"/>
  <c r="G46" i="30" s="1"/>
  <c r="G47" i="30" s="1"/>
  <c r="G48" i="30" s="1"/>
  <c r="G49" i="30" s="1"/>
  <c r="G50" i="30" s="1"/>
  <c r="G51" i="30" s="1"/>
  <c r="G52" i="30" s="1"/>
  <c r="G53" i="30" s="1"/>
  <c r="G54" i="30" s="1"/>
  <c r="G55" i="30" s="1"/>
  <c r="G56" i="30" s="1"/>
  <c r="G57" i="30" s="1"/>
  <c r="G58" i="30" s="1"/>
  <c r="G59" i="30" s="1"/>
  <c r="G60" i="30" s="1"/>
  <c r="AE15" i="29"/>
  <c r="G17" i="28"/>
  <c r="G18" i="28" s="1"/>
  <c r="G19" i="28" s="1"/>
  <c r="G20" i="28" s="1"/>
  <c r="G21" i="28" s="1"/>
  <c r="G22" i="28" s="1"/>
  <c r="G23" i="28" s="1"/>
  <c r="G24" i="28" s="1"/>
  <c r="G25" i="28" s="1"/>
  <c r="G26" i="28" s="1"/>
  <c r="G27" i="28" s="1"/>
  <c r="G28" i="28" s="1"/>
  <c r="G29" i="28" s="1"/>
  <c r="G30" i="28" s="1"/>
  <c r="G31" i="28" s="1"/>
  <c r="G32" i="28" s="1"/>
  <c r="G33" i="28" s="1"/>
  <c r="G34" i="28" s="1"/>
  <c r="G35" i="28" s="1"/>
  <c r="G36" i="28" s="1"/>
  <c r="G40" i="28" s="1"/>
  <c r="G41" i="28" s="1"/>
  <c r="G42" i="28" s="1"/>
  <c r="G43" i="28" s="1"/>
  <c r="G44" i="28" s="1"/>
  <c r="G45" i="28" s="1"/>
  <c r="G46" i="28" s="1"/>
  <c r="G47" i="28" s="1"/>
  <c r="G48" i="28" s="1"/>
  <c r="G49" i="28" s="1"/>
  <c r="G50" i="28" s="1"/>
  <c r="G51" i="28" s="1"/>
  <c r="G52" i="28" s="1"/>
  <c r="G56" i="28" s="1"/>
  <c r="G57" i="28" s="1"/>
  <c r="G58" i="28" s="1"/>
  <c r="G59" i="28" s="1"/>
  <c r="G60" i="28" s="1"/>
  <c r="G61" i="28" s="1"/>
  <c r="G62" i="28" s="1"/>
  <c r="G17" i="27"/>
  <c r="G18" i="27" s="1"/>
  <c r="G19" i="27" s="1"/>
  <c r="G20" i="27" s="1"/>
  <c r="G21" i="27" s="1"/>
  <c r="G22" i="27" s="1"/>
  <c r="G23" i="27" s="1"/>
  <c r="G24" i="27" s="1"/>
  <c r="G25" i="27" s="1"/>
  <c r="G26" i="27" s="1"/>
  <c r="G27" i="27" s="1"/>
  <c r="G28" i="27" s="1"/>
  <c r="G29" i="27" s="1"/>
  <c r="G30" i="27" s="1"/>
  <c r="G31" i="27" s="1"/>
  <c r="G32" i="27" s="1"/>
  <c r="G33" i="27" s="1"/>
  <c r="G34" i="27" s="1"/>
  <c r="G35" i="27" s="1"/>
  <c r="G39" i="27" s="1"/>
  <c r="G40" i="27" s="1"/>
  <c r="G41" i="27" s="1"/>
  <c r="G42" i="27" s="1"/>
  <c r="G43" i="27" s="1"/>
  <c r="G44" i="27" s="1"/>
  <c r="G45" i="27" s="1"/>
  <c r="G46" i="27" s="1"/>
  <c r="G47" i="27" s="1"/>
  <c r="G48" i="27" s="1"/>
  <c r="G52" i="27" s="1"/>
  <c r="G53" i="27" s="1"/>
  <c r="G54" i="27" s="1"/>
  <c r="G55" i="27" s="1"/>
  <c r="G56" i="27" s="1"/>
  <c r="G57" i="27" s="1"/>
  <c r="G58" i="27" s="1"/>
  <c r="G59" i="27" s="1"/>
  <c r="G60" i="27" s="1"/>
  <c r="AE20" i="26"/>
  <c r="AE16" i="26"/>
  <c r="AE37" i="26"/>
  <c r="AE18" i="26"/>
  <c r="AE21" i="26"/>
  <c r="AE33" i="26"/>
  <c r="AE36" i="26"/>
  <c r="AE31" i="26"/>
  <c r="AE23" i="26"/>
  <c r="AE24" i="26"/>
  <c r="AE32" i="26"/>
  <c r="AE34" i="26"/>
  <c r="AE17" i="26"/>
  <c r="AE25" i="26"/>
  <c r="AE27" i="26"/>
  <c r="AT45" i="24" l="1"/>
  <c r="AR44" i="24"/>
  <c r="AU44" i="24" s="1"/>
  <c r="AU46" i="31"/>
  <c r="AS45" i="31"/>
  <c r="AV45" i="31" s="1"/>
  <c r="AS47" i="30"/>
  <c r="AV47" i="30" s="1"/>
  <c r="AU48" i="30"/>
  <c r="AU46" i="27"/>
  <c r="AS45" i="27"/>
  <c r="AV45" i="27" s="1"/>
  <c r="AS44" i="28"/>
  <c r="AV44" i="28" s="1"/>
  <c r="AU45" i="28"/>
  <c r="AU45" i="29"/>
  <c r="AS44" i="29"/>
  <c r="AV44" i="29" s="1"/>
  <c r="AU55" i="26"/>
  <c r="AS55" i="26" s="1"/>
  <c r="AV55" i="26" s="1"/>
  <c r="AS54" i="26"/>
  <c r="AV54" i="26" s="1"/>
  <c r="AR55" i="33"/>
  <c r="AU55" i="33" s="1"/>
  <c r="AT56" i="33"/>
  <c r="AT42" i="43"/>
  <c r="AR41" i="43"/>
  <c r="AU41" i="43" s="1"/>
  <c r="AT46" i="25"/>
  <c r="AR45" i="25"/>
  <c r="AU45" i="25" s="1"/>
  <c r="AR44" i="22"/>
  <c r="AU44" i="22" s="1"/>
  <c r="AT45" i="22"/>
  <c r="AR45" i="21"/>
  <c r="AU45" i="21" s="1"/>
  <c r="AT46" i="21"/>
  <c r="AT46" i="20"/>
  <c r="AR46" i="20" s="1"/>
  <c r="AU45" i="20"/>
  <c r="AC51" i="25"/>
  <c r="AB14" i="25"/>
  <c r="AC14" i="25"/>
  <c r="AB15" i="25"/>
  <c r="AC15" i="25"/>
  <c r="AB16" i="25"/>
  <c r="AC16" i="25"/>
  <c r="AB17" i="25"/>
  <c r="AC17" i="25"/>
  <c r="AB18" i="25"/>
  <c r="AC18" i="25"/>
  <c r="AB19" i="25"/>
  <c r="AC19" i="25"/>
  <c r="AB20" i="25"/>
  <c r="AC20" i="25"/>
  <c r="AB22" i="25"/>
  <c r="AC22" i="25"/>
  <c r="AB24" i="25"/>
  <c r="AC24" i="25"/>
  <c r="AB25" i="25"/>
  <c r="AC25" i="25"/>
  <c r="AB26" i="25"/>
  <c r="AC26" i="25"/>
  <c r="AB27" i="25"/>
  <c r="AC27" i="25"/>
  <c r="AB28" i="25"/>
  <c r="AC28" i="25"/>
  <c r="AB29" i="25"/>
  <c r="AC29" i="25"/>
  <c r="AB30" i="25"/>
  <c r="AC30" i="25"/>
  <c r="AB31" i="25"/>
  <c r="AC31" i="25"/>
  <c r="AB32" i="25"/>
  <c r="AC32" i="25"/>
  <c r="AB33" i="25"/>
  <c r="AC33" i="25"/>
  <c r="AB34" i="25"/>
  <c r="AC34" i="25"/>
  <c r="AB35" i="25"/>
  <c r="AC35" i="25"/>
  <c r="AB36" i="25"/>
  <c r="AC36" i="25"/>
  <c r="AB37" i="25"/>
  <c r="AC37" i="25"/>
  <c r="AB38" i="25"/>
  <c r="AC38" i="25"/>
  <c r="AB40" i="25"/>
  <c r="AC40" i="25"/>
  <c r="AB42" i="25"/>
  <c r="AC42" i="25"/>
  <c r="AB43" i="25"/>
  <c r="AC43" i="25"/>
  <c r="AB44" i="25"/>
  <c r="AC44" i="25"/>
  <c r="AB45" i="25"/>
  <c r="AC45" i="25"/>
  <c r="AB46" i="25"/>
  <c r="AC46" i="25"/>
  <c r="AB47" i="25"/>
  <c r="AC47" i="25"/>
  <c r="AB48" i="25"/>
  <c r="AC48" i="25"/>
  <c r="AB49" i="25"/>
  <c r="AC49" i="25"/>
  <c r="AB53" i="25"/>
  <c r="AC53" i="25"/>
  <c r="AB54" i="25"/>
  <c r="AC54" i="25"/>
  <c r="AB55" i="25"/>
  <c r="AC55" i="25"/>
  <c r="AB56" i="25"/>
  <c r="AC56" i="25"/>
  <c r="AB57" i="25"/>
  <c r="AC57" i="25"/>
  <c r="AB58" i="25"/>
  <c r="AC58" i="25"/>
  <c r="AB59" i="25"/>
  <c r="AC59" i="25"/>
  <c r="AB60" i="25"/>
  <c r="AC60" i="25"/>
  <c r="AC51" i="24"/>
  <c r="AB14" i="24"/>
  <c r="AC14" i="24"/>
  <c r="AB15" i="24"/>
  <c r="AC15" i="24"/>
  <c r="AB16" i="24"/>
  <c r="AC16" i="24"/>
  <c r="AB17" i="24"/>
  <c r="AC17" i="24"/>
  <c r="AB18" i="24"/>
  <c r="AC18" i="24"/>
  <c r="AB19" i="24"/>
  <c r="AC19" i="24"/>
  <c r="AB20" i="24"/>
  <c r="AC20" i="24"/>
  <c r="AB22" i="24"/>
  <c r="AC22" i="24"/>
  <c r="AB24" i="24"/>
  <c r="AC24" i="24"/>
  <c r="AB25" i="24"/>
  <c r="AC25" i="24"/>
  <c r="AB26" i="24"/>
  <c r="AC26" i="24"/>
  <c r="AB27" i="24"/>
  <c r="AC27" i="24"/>
  <c r="AB28" i="24"/>
  <c r="AC28" i="24"/>
  <c r="AB29" i="24"/>
  <c r="AC29" i="24"/>
  <c r="AB30" i="24"/>
  <c r="AC30" i="24"/>
  <c r="AB31" i="24"/>
  <c r="AC31" i="24"/>
  <c r="AB32" i="24"/>
  <c r="AC32" i="24"/>
  <c r="AB33" i="24"/>
  <c r="AC33" i="24"/>
  <c r="AB34" i="24"/>
  <c r="AC34" i="24"/>
  <c r="AB35" i="24"/>
  <c r="AC35" i="24"/>
  <c r="AB36" i="24"/>
  <c r="AC36" i="24"/>
  <c r="AB37" i="24"/>
  <c r="AC37" i="24"/>
  <c r="AB38" i="24"/>
  <c r="AC38" i="24"/>
  <c r="AB40" i="24"/>
  <c r="AC40" i="24"/>
  <c r="AB42" i="24"/>
  <c r="AC42" i="24"/>
  <c r="AB43" i="24"/>
  <c r="AC43" i="24"/>
  <c r="AB44" i="24"/>
  <c r="AC44" i="24"/>
  <c r="AB45" i="24"/>
  <c r="AC45" i="24"/>
  <c r="AB46" i="24"/>
  <c r="AC46" i="24"/>
  <c r="AB47" i="24"/>
  <c r="AC47" i="24"/>
  <c r="AB48" i="24"/>
  <c r="AC48" i="24"/>
  <c r="AB49" i="24"/>
  <c r="AC49" i="24"/>
  <c r="AB53" i="24"/>
  <c r="AC53" i="24"/>
  <c r="AB54" i="24"/>
  <c r="AC54" i="24"/>
  <c r="AB55" i="24"/>
  <c r="AC55" i="24"/>
  <c r="AB56" i="24"/>
  <c r="AC56" i="24"/>
  <c r="AB57" i="24"/>
  <c r="AC57" i="24"/>
  <c r="AB58" i="24"/>
  <c r="AC58" i="24"/>
  <c r="AB59" i="24"/>
  <c r="AC59" i="24"/>
  <c r="AB60" i="24"/>
  <c r="AC60" i="24"/>
  <c r="AB14" i="43"/>
  <c r="AC14" i="43"/>
  <c r="AB15" i="43"/>
  <c r="AC15" i="43"/>
  <c r="AB16" i="43"/>
  <c r="AC16" i="43"/>
  <c r="AB17" i="43"/>
  <c r="AC17" i="43"/>
  <c r="AB18" i="43"/>
  <c r="AC18" i="43"/>
  <c r="AB19" i="43"/>
  <c r="AC19" i="43"/>
  <c r="AB20" i="43"/>
  <c r="AC20" i="43"/>
  <c r="AB22" i="43"/>
  <c r="AC22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B37" i="43"/>
  <c r="AC37" i="43"/>
  <c r="AB39" i="43"/>
  <c r="AC39" i="43"/>
  <c r="AB40" i="43"/>
  <c r="AC40" i="43"/>
  <c r="AB41" i="43"/>
  <c r="AC41" i="43"/>
  <c r="AB42" i="43"/>
  <c r="AC42" i="43"/>
  <c r="AB43" i="43"/>
  <c r="AC43" i="43"/>
  <c r="AB44" i="43"/>
  <c r="AC44" i="43"/>
  <c r="AB45" i="43"/>
  <c r="AC45" i="43"/>
  <c r="AB46" i="43"/>
  <c r="AC46" i="43"/>
  <c r="AB48" i="43"/>
  <c r="AC48" i="43"/>
  <c r="AB50" i="43"/>
  <c r="AC50" i="43"/>
  <c r="AB51" i="43"/>
  <c r="AC51" i="43"/>
  <c r="AB52" i="43"/>
  <c r="AC52" i="43"/>
  <c r="AB53" i="43"/>
  <c r="AC53" i="43"/>
  <c r="AB54" i="43"/>
  <c r="AC54" i="43"/>
  <c r="AB55" i="43"/>
  <c r="AC55" i="43"/>
  <c r="AB56" i="43"/>
  <c r="AC56" i="43"/>
  <c r="AB14" i="22"/>
  <c r="AC14" i="22"/>
  <c r="AB15" i="22"/>
  <c r="AC15" i="22"/>
  <c r="AB16" i="22"/>
  <c r="AC16" i="22"/>
  <c r="AB17" i="22"/>
  <c r="AC17" i="22"/>
  <c r="AB18" i="22"/>
  <c r="AC18" i="22"/>
  <c r="AB19" i="22"/>
  <c r="AC19" i="22"/>
  <c r="AB20" i="22"/>
  <c r="AC20" i="22"/>
  <c r="AB22" i="22"/>
  <c r="AC22" i="22"/>
  <c r="AB24" i="22"/>
  <c r="AC24" i="22"/>
  <c r="AB25" i="22"/>
  <c r="AC25" i="22"/>
  <c r="AB26" i="22"/>
  <c r="AC26" i="22"/>
  <c r="AB27" i="22"/>
  <c r="AC27" i="22"/>
  <c r="AB28" i="22"/>
  <c r="AC28" i="22"/>
  <c r="AB29" i="22"/>
  <c r="AC29" i="22"/>
  <c r="AB30" i="22"/>
  <c r="AC30" i="22"/>
  <c r="AB31" i="22"/>
  <c r="AC31" i="22"/>
  <c r="AB32" i="22"/>
  <c r="AC32" i="22"/>
  <c r="AB33" i="22"/>
  <c r="AC33" i="22"/>
  <c r="AB34" i="22"/>
  <c r="AC34" i="22"/>
  <c r="AB35" i="22"/>
  <c r="AC35" i="22"/>
  <c r="AB36" i="22"/>
  <c r="AC36" i="22"/>
  <c r="AB37" i="22"/>
  <c r="AC37" i="22"/>
  <c r="AB38" i="22"/>
  <c r="AC38" i="22"/>
  <c r="AB40" i="22"/>
  <c r="AC40" i="22"/>
  <c r="AB42" i="22"/>
  <c r="AC42" i="22"/>
  <c r="AB43" i="22"/>
  <c r="AC43" i="22"/>
  <c r="AB44" i="22"/>
  <c r="AC44" i="22"/>
  <c r="AB45" i="22"/>
  <c r="AC45" i="22"/>
  <c r="AB46" i="22"/>
  <c r="AC46" i="22"/>
  <c r="AB47" i="22"/>
  <c r="AC47" i="22"/>
  <c r="AB48" i="22"/>
  <c r="AC48" i="22"/>
  <c r="AB49" i="22"/>
  <c r="AC49" i="22"/>
  <c r="AB51" i="22"/>
  <c r="AC51" i="22"/>
  <c r="AB53" i="22"/>
  <c r="AC53" i="22"/>
  <c r="AB54" i="22"/>
  <c r="AC54" i="22"/>
  <c r="AB55" i="22"/>
  <c r="AC55" i="22"/>
  <c r="AB56" i="22"/>
  <c r="AC56" i="22"/>
  <c r="AB57" i="22"/>
  <c r="AC57" i="22"/>
  <c r="AB58" i="22"/>
  <c r="AC58" i="22"/>
  <c r="AB59" i="22"/>
  <c r="AC59" i="22"/>
  <c r="AB60" i="22"/>
  <c r="AC60" i="22"/>
  <c r="AB14" i="21"/>
  <c r="AC14" i="21"/>
  <c r="AB15" i="21"/>
  <c r="AC15" i="21"/>
  <c r="AB16" i="21"/>
  <c r="AC16" i="21"/>
  <c r="AB17" i="21"/>
  <c r="AC17" i="21"/>
  <c r="AB18" i="21"/>
  <c r="AC18" i="21"/>
  <c r="AB19" i="21"/>
  <c r="AC19" i="21"/>
  <c r="AB20" i="21"/>
  <c r="AC20" i="21"/>
  <c r="AB22" i="21"/>
  <c r="AC22" i="21"/>
  <c r="AB24" i="21"/>
  <c r="AC24" i="21"/>
  <c r="AB25" i="21"/>
  <c r="AC25" i="21"/>
  <c r="AB26" i="21"/>
  <c r="AC26" i="21"/>
  <c r="AB27" i="21"/>
  <c r="AC27" i="21"/>
  <c r="AB28" i="21"/>
  <c r="AC28" i="21"/>
  <c r="AB29" i="21"/>
  <c r="AC29" i="21"/>
  <c r="AB30" i="21"/>
  <c r="AC30" i="21"/>
  <c r="AB31" i="21"/>
  <c r="AC31" i="21"/>
  <c r="AB32" i="21"/>
  <c r="AC32" i="21"/>
  <c r="AB33" i="21"/>
  <c r="AC33" i="21"/>
  <c r="AB34" i="21"/>
  <c r="AC34" i="21"/>
  <c r="AB35" i="21"/>
  <c r="AC35" i="21"/>
  <c r="AB36" i="21"/>
  <c r="AC36" i="21"/>
  <c r="AB37" i="21"/>
  <c r="AC37" i="21"/>
  <c r="AB38" i="21"/>
  <c r="AC38" i="21"/>
  <c r="AB40" i="21"/>
  <c r="AC40" i="21"/>
  <c r="AB42" i="21"/>
  <c r="AC42" i="21"/>
  <c r="AB43" i="21"/>
  <c r="AC43" i="21"/>
  <c r="AB44" i="21"/>
  <c r="AC44" i="21"/>
  <c r="AB45" i="21"/>
  <c r="AC45" i="21"/>
  <c r="AB46" i="21"/>
  <c r="AC46" i="21"/>
  <c r="AB47" i="21"/>
  <c r="AC47" i="21"/>
  <c r="AB48" i="21"/>
  <c r="AC48" i="21"/>
  <c r="AB49" i="21"/>
  <c r="AC49" i="21"/>
  <c r="AB51" i="21"/>
  <c r="AC51" i="21"/>
  <c r="AB53" i="21"/>
  <c r="AC53" i="21"/>
  <c r="AB54" i="21"/>
  <c r="AC54" i="21"/>
  <c r="AB55" i="21"/>
  <c r="AC55" i="21"/>
  <c r="AB56" i="21"/>
  <c r="AC56" i="21"/>
  <c r="AB57" i="21"/>
  <c r="AC57" i="21"/>
  <c r="AB58" i="21"/>
  <c r="AC58" i="21"/>
  <c r="AB59" i="21"/>
  <c r="AC59" i="21"/>
  <c r="AB60" i="21"/>
  <c r="AC60" i="21"/>
  <c r="AB14" i="20"/>
  <c r="AC14" i="20"/>
  <c r="AB15" i="20"/>
  <c r="AC15" i="20"/>
  <c r="AB16" i="20"/>
  <c r="AC16" i="20"/>
  <c r="AB17" i="20"/>
  <c r="AC17" i="20"/>
  <c r="AB18" i="20"/>
  <c r="AC18" i="20"/>
  <c r="AB19" i="20"/>
  <c r="AC19" i="20"/>
  <c r="AB20" i="20"/>
  <c r="AC20" i="20"/>
  <c r="AB22" i="20"/>
  <c r="AC22" i="20"/>
  <c r="AB24" i="20"/>
  <c r="AC24" i="20"/>
  <c r="AB25" i="20"/>
  <c r="AC25" i="20"/>
  <c r="AB26" i="20"/>
  <c r="AC26" i="20"/>
  <c r="AB27" i="20"/>
  <c r="AC27" i="20"/>
  <c r="AB28" i="20"/>
  <c r="AC28" i="20"/>
  <c r="AB29" i="20"/>
  <c r="AC29" i="20"/>
  <c r="AB30" i="20"/>
  <c r="AC30" i="20"/>
  <c r="AB31" i="20"/>
  <c r="AC31" i="20"/>
  <c r="AB32" i="20"/>
  <c r="AC32" i="20"/>
  <c r="AB33" i="20"/>
  <c r="AC33" i="20"/>
  <c r="AB34" i="20"/>
  <c r="AC34" i="20"/>
  <c r="AC35" i="20"/>
  <c r="AB37" i="20"/>
  <c r="AC37" i="20"/>
  <c r="AB38" i="20"/>
  <c r="AC38" i="20"/>
  <c r="AB40" i="20"/>
  <c r="AC40" i="20"/>
  <c r="AB42" i="20"/>
  <c r="AC42" i="20"/>
  <c r="AB43" i="20"/>
  <c r="AC43" i="20"/>
  <c r="AB44" i="20"/>
  <c r="AC44" i="20"/>
  <c r="AB45" i="20"/>
  <c r="AC45" i="20"/>
  <c r="AB46" i="20"/>
  <c r="AC46" i="20"/>
  <c r="AB47" i="20"/>
  <c r="AC47" i="20"/>
  <c r="AB48" i="20"/>
  <c r="AC48" i="20"/>
  <c r="AB49" i="20"/>
  <c r="AC49" i="20"/>
  <c r="AB51" i="20"/>
  <c r="AC51" i="20"/>
  <c r="AB53" i="20"/>
  <c r="AC53" i="20"/>
  <c r="AB54" i="20"/>
  <c r="AC54" i="20"/>
  <c r="AB55" i="20"/>
  <c r="AC55" i="20"/>
  <c r="AB56" i="20"/>
  <c r="AC56" i="20"/>
  <c r="AB57" i="20"/>
  <c r="AC57" i="20"/>
  <c r="AB58" i="20"/>
  <c r="AC58" i="20"/>
  <c r="AB59" i="20"/>
  <c r="AC59" i="20"/>
  <c r="AB60" i="20"/>
  <c r="AC60" i="20"/>
  <c r="AT46" i="24" l="1"/>
  <c r="AR45" i="24"/>
  <c r="AU45" i="24" s="1"/>
  <c r="AS46" i="31"/>
  <c r="AV46" i="31" s="1"/>
  <c r="AU47" i="31"/>
  <c r="AU49" i="30"/>
  <c r="AS48" i="30"/>
  <c r="AV48" i="30" s="1"/>
  <c r="AU47" i="27"/>
  <c r="AS46" i="27"/>
  <c r="AV46" i="27" s="1"/>
  <c r="AU46" i="28"/>
  <c r="AS45" i="28"/>
  <c r="AV45" i="28" s="1"/>
  <c r="AU46" i="29"/>
  <c r="AS45" i="29"/>
  <c r="AV45" i="29" s="1"/>
  <c r="AR56" i="33"/>
  <c r="AU56" i="33" s="1"/>
  <c r="AT57" i="33"/>
  <c r="AR42" i="43"/>
  <c r="AU42" i="43" s="1"/>
  <c r="AT43" i="43"/>
  <c r="AT47" i="25"/>
  <c r="AR46" i="25"/>
  <c r="AU46" i="25" s="1"/>
  <c r="AR45" i="22"/>
  <c r="AU45" i="22" s="1"/>
  <c r="AT46" i="22"/>
  <c r="AR46" i="21"/>
  <c r="AU46" i="21" s="1"/>
  <c r="AT47" i="21"/>
  <c r="AT47" i="20"/>
  <c r="AR47" i="20" s="1"/>
  <c r="AU46" i="20"/>
  <c r="AD53" i="21"/>
  <c r="AD45" i="25"/>
  <c r="AD33" i="25"/>
  <c r="AD53" i="25"/>
  <c r="AD44" i="25"/>
  <c r="AD48" i="25"/>
  <c r="AD22" i="25"/>
  <c r="AD28" i="25"/>
  <c r="AD24" i="25"/>
  <c r="AD32" i="25"/>
  <c r="AD40" i="25"/>
  <c r="AD49" i="24"/>
  <c r="AD45" i="24"/>
  <c r="AD25" i="24"/>
  <c r="AD20" i="24"/>
  <c r="AD18" i="24"/>
  <c r="AD14" i="24"/>
  <c r="AD48" i="24"/>
  <c r="AD15" i="24"/>
  <c r="AD24" i="24"/>
  <c r="AD37" i="43"/>
  <c r="AD32" i="43"/>
  <c r="AD41" i="43"/>
  <c r="AD33" i="43"/>
  <c r="AD17" i="43"/>
  <c r="AD54" i="43"/>
  <c r="AD50" i="43"/>
  <c r="AD42" i="43"/>
  <c r="AD29" i="43"/>
  <c r="AD25" i="43"/>
  <c r="AD19" i="43"/>
  <c r="AD55" i="43"/>
  <c r="AD51" i="43"/>
  <c r="AD45" i="43"/>
  <c r="AD26" i="43"/>
  <c r="AD20" i="43"/>
  <c r="AD44" i="22"/>
  <c r="AD16" i="22"/>
  <c r="AD35" i="22"/>
  <c r="AD29" i="22"/>
  <c r="AD17" i="22"/>
  <c r="AD56" i="22"/>
  <c r="AD15" i="22"/>
  <c r="AD36" i="22"/>
  <c r="AD32" i="22"/>
  <c r="AD28" i="22"/>
  <c r="AD60" i="21"/>
  <c r="AD48" i="21"/>
  <c r="AD24" i="21"/>
  <c r="AD44" i="21"/>
  <c r="AD15" i="21"/>
  <c r="AD32" i="21"/>
  <c r="AD49" i="21"/>
  <c r="AD45" i="21"/>
  <c r="AD20" i="21"/>
  <c r="AD16" i="21"/>
  <c r="AD33" i="21"/>
  <c r="AD29" i="21"/>
  <c r="AD46" i="20"/>
  <c r="AD30" i="20"/>
  <c r="AD49" i="20"/>
  <c r="AD25" i="20"/>
  <c r="AD54" i="20"/>
  <c r="AD45" i="20"/>
  <c r="AD35" i="20"/>
  <c r="AD18" i="20"/>
  <c r="AD14" i="20"/>
  <c r="AD57" i="20"/>
  <c r="AD38" i="20"/>
  <c r="AD34" i="20"/>
  <c r="AD56" i="20"/>
  <c r="AD57" i="21"/>
  <c r="AD40" i="21"/>
  <c r="AD54" i="22"/>
  <c r="AD24" i="22"/>
  <c r="AD44" i="24"/>
  <c r="AD34" i="24"/>
  <c r="AD26" i="20"/>
  <c r="AD17" i="20"/>
  <c r="AD31" i="21"/>
  <c r="AD53" i="43"/>
  <c r="AD28" i="43"/>
  <c r="AD26" i="25"/>
  <c r="AD16" i="25"/>
  <c r="AD33" i="20"/>
  <c r="AD34" i="21"/>
  <c r="AD53" i="22"/>
  <c r="AD53" i="24"/>
  <c r="AD37" i="24"/>
  <c r="AD33" i="24"/>
  <c r="AD29" i="24"/>
  <c r="AD60" i="25"/>
  <c r="AD56" i="25"/>
  <c r="AD58" i="20"/>
  <c r="AD42" i="20"/>
  <c r="AD36" i="20"/>
  <c r="AD29" i="20"/>
  <c r="AD17" i="21"/>
  <c r="AD60" i="22"/>
  <c r="AD37" i="22"/>
  <c r="AD33" i="22"/>
  <c r="AD52" i="43"/>
  <c r="AD22" i="43"/>
  <c r="AD16" i="24"/>
  <c r="AD49" i="25"/>
  <c r="AD36" i="25"/>
  <c r="AD29" i="25"/>
  <c r="AD25" i="25"/>
  <c r="AD19" i="25"/>
  <c r="AD32" i="20"/>
  <c r="AD55" i="21"/>
  <c r="AD37" i="21"/>
  <c r="AD51" i="22"/>
  <c r="AD20" i="22"/>
  <c r="AD46" i="43"/>
  <c r="AD60" i="24"/>
  <c r="AD56" i="24"/>
  <c r="AD36" i="24"/>
  <c r="AD32" i="24"/>
  <c r="AD28" i="24"/>
  <c r="AD59" i="25"/>
  <c r="AD55" i="25"/>
  <c r="AD22" i="20"/>
  <c r="AD35" i="21"/>
  <c r="AD28" i="21"/>
  <c r="AD48" i="22"/>
  <c r="AD18" i="22"/>
  <c r="AD58" i="24"/>
  <c r="AD57" i="25"/>
  <c r="AD59" i="20"/>
  <c r="AD55" i="20"/>
  <c r="AD37" i="20"/>
  <c r="AD18" i="21"/>
  <c r="AD57" i="22"/>
  <c r="AD38" i="22"/>
  <c r="AD24" i="43"/>
  <c r="AD47" i="24"/>
  <c r="AD17" i="24"/>
  <c r="AD20" i="25"/>
  <c r="AD20" i="20"/>
  <c r="AD56" i="21"/>
  <c r="AD38" i="21"/>
  <c r="AD47" i="22"/>
  <c r="AD57" i="24"/>
  <c r="AD53" i="20"/>
  <c r="AD58" i="21"/>
  <c r="AD54" i="21"/>
  <c r="AD36" i="21"/>
  <c r="AD25" i="21"/>
  <c r="AD49" i="22"/>
  <c r="AD45" i="22"/>
  <c r="AD25" i="22"/>
  <c r="AD19" i="22"/>
  <c r="AD16" i="43"/>
  <c r="AD55" i="24"/>
  <c r="AD40" i="24"/>
  <c r="AD31" i="24"/>
  <c r="AD58" i="25"/>
  <c r="AD17" i="25"/>
  <c r="AD37" i="25"/>
  <c r="AD47" i="20"/>
  <c r="AD44" i="20"/>
  <c r="AD46" i="21"/>
  <c r="AD43" i="21"/>
  <c r="AD42" i="22"/>
  <c r="AD30" i="22"/>
  <c r="AD27" i="22"/>
  <c r="AD43" i="43"/>
  <c r="AD40" i="43"/>
  <c r="AD34" i="43"/>
  <c r="AD31" i="43"/>
  <c r="AD26" i="24"/>
  <c r="AD46" i="25"/>
  <c r="AD43" i="25"/>
  <c r="AD34" i="25"/>
  <c r="AD31" i="25"/>
  <c r="AD40" i="22"/>
  <c r="AD26" i="22"/>
  <c r="AD22" i="22"/>
  <c r="AD39" i="43"/>
  <c r="AD30" i="43"/>
  <c r="AD27" i="43"/>
  <c r="AD59" i="24"/>
  <c r="AD38" i="24"/>
  <c r="AD35" i="24"/>
  <c r="AD42" i="25"/>
  <c r="AD30" i="25"/>
  <c r="AD27" i="25"/>
  <c r="AD31" i="20"/>
  <c r="AD28" i="20"/>
  <c r="AD19" i="20"/>
  <c r="AD16" i="20"/>
  <c r="AD30" i="21"/>
  <c r="AD27" i="21"/>
  <c r="AD59" i="22"/>
  <c r="AD14" i="22"/>
  <c r="AD18" i="43"/>
  <c r="AD15" i="43"/>
  <c r="AD46" i="24"/>
  <c r="AD43" i="24"/>
  <c r="AD54" i="25"/>
  <c r="AD18" i="25"/>
  <c r="AD15" i="25"/>
  <c r="AD60" i="20"/>
  <c r="AD27" i="20"/>
  <c r="AD15" i="20"/>
  <c r="AD59" i="21"/>
  <c r="AD26" i="21"/>
  <c r="AD58" i="22"/>
  <c r="AD55" i="22"/>
  <c r="AD56" i="43"/>
  <c r="AD14" i="43"/>
  <c r="AD42" i="24"/>
  <c r="AD19" i="24"/>
  <c r="AD14" i="25"/>
  <c r="AD43" i="20"/>
  <c r="AD42" i="21"/>
  <c r="AD19" i="21"/>
  <c r="AD24" i="20"/>
  <c r="AD48" i="20"/>
  <c r="AD51" i="21"/>
  <c r="AD47" i="21"/>
  <c r="AD14" i="21"/>
  <c r="AD46" i="22"/>
  <c r="AD43" i="22"/>
  <c r="AD34" i="22"/>
  <c r="AD31" i="22"/>
  <c r="AD48" i="43"/>
  <c r="AD44" i="43"/>
  <c r="AD35" i="43"/>
  <c r="AD54" i="24"/>
  <c r="AD30" i="24"/>
  <c r="AD27" i="24"/>
  <c r="AD47" i="25"/>
  <c r="AD38" i="25"/>
  <c r="AD35" i="25"/>
  <c r="AD51" i="20"/>
  <c r="AD22" i="24"/>
  <c r="AD22" i="21"/>
  <c r="AD40" i="20"/>
  <c r="AB51" i="25"/>
  <c r="AD51" i="25" s="1"/>
  <c r="AB51" i="24"/>
  <c r="AD51" i="24" s="1"/>
  <c r="K15" i="42"/>
  <c r="AT47" i="24" l="1"/>
  <c r="AR46" i="24"/>
  <c r="AU46" i="24" s="1"/>
  <c r="AU48" i="31"/>
  <c r="AS47" i="31"/>
  <c r="AV47" i="31" s="1"/>
  <c r="AU50" i="30"/>
  <c r="AS49" i="30"/>
  <c r="AV49" i="30" s="1"/>
  <c r="AS47" i="27"/>
  <c r="AV47" i="27" s="1"/>
  <c r="AU48" i="27"/>
  <c r="AS46" i="28"/>
  <c r="AV46" i="28" s="1"/>
  <c r="AU47" i="28"/>
  <c r="AU47" i="29"/>
  <c r="AS46" i="29"/>
  <c r="AV46" i="29" s="1"/>
  <c r="AR57" i="33"/>
  <c r="AU57" i="33" s="1"/>
  <c r="AT58" i="33"/>
  <c r="AT59" i="33" s="1"/>
  <c r="AT44" i="43"/>
  <c r="AR43" i="43"/>
  <c r="AU43" i="43" s="1"/>
  <c r="AR47" i="25"/>
  <c r="AU47" i="25" s="1"/>
  <c r="AT48" i="25"/>
  <c r="AT47" i="22"/>
  <c r="AR46" i="22"/>
  <c r="AU46" i="22" s="1"/>
  <c r="AT48" i="21"/>
  <c r="AR47" i="21"/>
  <c r="AU47" i="21" s="1"/>
  <c r="AT48" i="20"/>
  <c r="AR48" i="20" s="1"/>
  <c r="AU47" i="20"/>
  <c r="O15" i="2"/>
  <c r="AR47" i="24" l="1"/>
  <c r="AU47" i="24" s="1"/>
  <c r="AT48" i="24"/>
  <c r="AR59" i="33"/>
  <c r="AU59" i="33" s="1"/>
  <c r="AT60" i="33"/>
  <c r="AU49" i="31"/>
  <c r="AS48" i="31"/>
  <c r="AV48" i="31" s="1"/>
  <c r="AS50" i="30"/>
  <c r="AV50" i="30" s="1"/>
  <c r="AU51" i="30"/>
  <c r="AU52" i="27"/>
  <c r="AS48" i="27"/>
  <c r="AV48" i="27" s="1"/>
  <c r="AS47" i="28"/>
  <c r="AV47" i="28" s="1"/>
  <c r="AU48" i="28"/>
  <c r="AS47" i="29"/>
  <c r="AV47" i="29" s="1"/>
  <c r="AU48" i="29"/>
  <c r="AR58" i="33"/>
  <c r="AU58" i="33" s="1"/>
  <c r="AR44" i="43"/>
  <c r="AU44" i="43" s="1"/>
  <c r="AT45" i="43"/>
  <c r="AR48" i="25"/>
  <c r="AU48" i="25" s="1"/>
  <c r="AT49" i="25"/>
  <c r="AR47" i="22"/>
  <c r="AU47" i="22" s="1"/>
  <c r="AT48" i="22"/>
  <c r="AR48" i="21"/>
  <c r="AU48" i="21" s="1"/>
  <c r="AT49" i="21"/>
  <c r="AT49" i="20"/>
  <c r="AR49" i="20" s="1"/>
  <c r="AU48" i="20"/>
  <c r="F35" i="43"/>
  <c r="F56" i="43"/>
  <c r="F55" i="43"/>
  <c r="F54" i="43"/>
  <c r="F53" i="43"/>
  <c r="F52" i="43"/>
  <c r="F51" i="43"/>
  <c r="F50" i="43"/>
  <c r="F46" i="43"/>
  <c r="F45" i="43"/>
  <c r="F44" i="43"/>
  <c r="F43" i="43"/>
  <c r="F42" i="43"/>
  <c r="F41" i="43"/>
  <c r="F40" i="43"/>
  <c r="F39" i="43"/>
  <c r="F34" i="43"/>
  <c r="F33" i="43"/>
  <c r="F32" i="43"/>
  <c r="F31" i="43"/>
  <c r="F30" i="43"/>
  <c r="F29" i="43"/>
  <c r="F28" i="43"/>
  <c r="F27" i="43"/>
  <c r="F26" i="43"/>
  <c r="F25" i="43"/>
  <c r="F24" i="43"/>
  <c r="F20" i="43"/>
  <c r="F19" i="43"/>
  <c r="F18" i="43"/>
  <c r="F17" i="43"/>
  <c r="F16" i="43"/>
  <c r="F15" i="43"/>
  <c r="G15" i="43" s="1"/>
  <c r="E15" i="43"/>
  <c r="E16" i="43" s="1"/>
  <c r="E17" i="43" s="1"/>
  <c r="E18" i="43" s="1"/>
  <c r="E19" i="43" s="1"/>
  <c r="E20" i="43" s="1"/>
  <c r="E24" i="43" s="1"/>
  <c r="E25" i="43" s="1"/>
  <c r="E26" i="43" s="1"/>
  <c r="E27" i="43" s="1"/>
  <c r="E28" i="43" s="1"/>
  <c r="E29" i="43" s="1"/>
  <c r="E30" i="43" s="1"/>
  <c r="E31" i="43" s="1"/>
  <c r="E32" i="43" s="1"/>
  <c r="E33" i="43" s="1"/>
  <c r="E34" i="43" s="1"/>
  <c r="F14" i="43"/>
  <c r="AR48" i="24" l="1"/>
  <c r="AU48" i="24" s="1"/>
  <c r="AT49" i="24"/>
  <c r="AR60" i="33"/>
  <c r="AU60" i="33" s="1"/>
  <c r="AT64" i="33"/>
  <c r="AT65" i="33" s="1"/>
  <c r="AU50" i="31"/>
  <c r="AS49" i="31"/>
  <c r="AV49" i="31" s="1"/>
  <c r="AU52" i="30"/>
  <c r="AS51" i="30"/>
  <c r="AV51" i="30" s="1"/>
  <c r="AS52" i="27"/>
  <c r="AV52" i="27" s="1"/>
  <c r="AU53" i="27"/>
  <c r="AS48" i="28"/>
  <c r="AV48" i="28" s="1"/>
  <c r="AU49" i="28"/>
  <c r="AS48" i="29"/>
  <c r="AV48" i="29" s="1"/>
  <c r="AU49" i="29"/>
  <c r="AT46" i="43"/>
  <c r="AR45" i="43"/>
  <c r="AU45" i="43" s="1"/>
  <c r="AT53" i="25"/>
  <c r="AR49" i="25"/>
  <c r="AU49" i="25" s="1"/>
  <c r="AT49" i="22"/>
  <c r="AR48" i="22"/>
  <c r="AU48" i="22" s="1"/>
  <c r="AT53" i="21"/>
  <c r="AR49" i="21"/>
  <c r="AU49" i="21" s="1"/>
  <c r="AU49" i="20"/>
  <c r="AT53" i="20"/>
  <c r="AR53" i="20" s="1"/>
  <c r="E35" i="43"/>
  <c r="E39" i="43" s="1"/>
  <c r="E40" i="43" s="1"/>
  <c r="E41" i="43" s="1"/>
  <c r="E42" i="43" s="1"/>
  <c r="E43" i="43" s="1"/>
  <c r="E44" i="43" s="1"/>
  <c r="E45" i="43" s="1"/>
  <c r="E46" i="43" s="1"/>
  <c r="E50" i="43" s="1"/>
  <c r="E51" i="43" s="1"/>
  <c r="E52" i="43" s="1"/>
  <c r="E53" i="43" s="1"/>
  <c r="E54" i="43" s="1"/>
  <c r="E55" i="43" s="1"/>
  <c r="E56" i="43" s="1"/>
  <c r="AB12" i="43"/>
  <c r="G16" i="43"/>
  <c r="G17" i="43" s="1"/>
  <c r="G18" i="43" s="1"/>
  <c r="G19" i="43" s="1"/>
  <c r="G20" i="43" s="1"/>
  <c r="G24" i="43" s="1"/>
  <c r="G25" i="43" s="1"/>
  <c r="G26" i="43" s="1"/>
  <c r="G27" i="43" s="1"/>
  <c r="G28" i="43" s="1"/>
  <c r="G29" i="43" s="1"/>
  <c r="G30" i="43" s="1"/>
  <c r="G31" i="43" s="1"/>
  <c r="G32" i="43" s="1"/>
  <c r="G33" i="43" s="1"/>
  <c r="G34" i="43" s="1"/>
  <c r="G35" i="43" s="1"/>
  <c r="G39" i="43" s="1"/>
  <c r="AC12" i="43"/>
  <c r="AR49" i="24" l="1"/>
  <c r="AU49" i="24" s="1"/>
  <c r="AT53" i="24"/>
  <c r="G40" i="43"/>
  <c r="G41" i="43" s="1"/>
  <c r="G42" i="43" s="1"/>
  <c r="G43" i="43" s="1"/>
  <c r="G44" i="43" s="1"/>
  <c r="G45" i="43" s="1"/>
  <c r="G46" i="43" s="1"/>
  <c r="G50" i="43" s="1"/>
  <c r="G51" i="43" s="1"/>
  <c r="G52" i="43" s="1"/>
  <c r="G53" i="43" s="1"/>
  <c r="G54" i="43" s="1"/>
  <c r="G55" i="43" s="1"/>
  <c r="G56" i="43" s="1"/>
  <c r="AR64" i="33"/>
  <c r="AU64" i="33" s="1"/>
  <c r="AS50" i="31"/>
  <c r="AV50" i="31" s="1"/>
  <c r="AU51" i="31"/>
  <c r="AU52" i="31" s="1"/>
  <c r="AS52" i="31" s="1"/>
  <c r="AV52" i="31" s="1"/>
  <c r="AS52" i="30"/>
  <c r="AV52" i="30" s="1"/>
  <c r="AU53" i="30"/>
  <c r="AS53" i="27"/>
  <c r="AV53" i="27" s="1"/>
  <c r="AU54" i="27"/>
  <c r="AU50" i="28"/>
  <c r="AS49" i="28"/>
  <c r="AV49" i="28" s="1"/>
  <c r="AS49" i="29"/>
  <c r="AV49" i="29" s="1"/>
  <c r="AU50" i="29"/>
  <c r="AR65" i="33"/>
  <c r="AU65" i="33" s="1"/>
  <c r="AT66" i="33"/>
  <c r="AR46" i="43"/>
  <c r="AU46" i="43" s="1"/>
  <c r="AT50" i="43"/>
  <c r="AR53" i="25"/>
  <c r="AU53" i="25" s="1"/>
  <c r="AT54" i="25"/>
  <c r="AR49" i="22"/>
  <c r="AU49" i="22" s="1"/>
  <c r="AT53" i="22"/>
  <c r="AR53" i="21"/>
  <c r="AU53" i="21" s="1"/>
  <c r="AT54" i="21"/>
  <c r="AT54" i="20"/>
  <c r="AR54" i="20" s="1"/>
  <c r="AU53" i="20"/>
  <c r="AD12" i="43"/>
  <c r="F15" i="22"/>
  <c r="G15" i="22" s="1"/>
  <c r="F16" i="22"/>
  <c r="F17" i="22"/>
  <c r="F18" i="22"/>
  <c r="F19" i="22"/>
  <c r="F20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42" i="22"/>
  <c r="F43" i="22"/>
  <c r="F44" i="22"/>
  <c r="F45" i="22"/>
  <c r="F46" i="22"/>
  <c r="F47" i="22"/>
  <c r="F48" i="22"/>
  <c r="F49" i="22"/>
  <c r="F53" i="22"/>
  <c r="F54" i="22"/>
  <c r="F55" i="22"/>
  <c r="F56" i="22"/>
  <c r="F57" i="22"/>
  <c r="F58" i="22"/>
  <c r="F59" i="22"/>
  <c r="F60" i="22"/>
  <c r="F14" i="22"/>
  <c r="AT54" i="24" l="1"/>
  <c r="AR53" i="24"/>
  <c r="AU53" i="24" s="1"/>
  <c r="AU56" i="31"/>
  <c r="AS51" i="31"/>
  <c r="AV51" i="31" s="1"/>
  <c r="AU54" i="30"/>
  <c r="AS53" i="30"/>
  <c r="AV53" i="30" s="1"/>
  <c r="AU55" i="27"/>
  <c r="AS54" i="27"/>
  <c r="AV54" i="27" s="1"/>
  <c r="AU51" i="28"/>
  <c r="AS50" i="28"/>
  <c r="AV50" i="28" s="1"/>
  <c r="AU51" i="29"/>
  <c r="AS50" i="29"/>
  <c r="AV50" i="29" s="1"/>
  <c r="AT67" i="33"/>
  <c r="AR66" i="33"/>
  <c r="AU66" i="33" s="1"/>
  <c r="AT51" i="43"/>
  <c r="AR50" i="43"/>
  <c r="AU50" i="43" s="1"/>
  <c r="AT55" i="25"/>
  <c r="AR54" i="25"/>
  <c r="AU54" i="25" s="1"/>
  <c r="AT54" i="22"/>
  <c r="AR53" i="22"/>
  <c r="AU53" i="22" s="1"/>
  <c r="AT55" i="21"/>
  <c r="AR54" i="21"/>
  <c r="AU54" i="21" s="1"/>
  <c r="AT55" i="20"/>
  <c r="AR55" i="20" s="1"/>
  <c r="AU54" i="20"/>
  <c r="G16" i="22"/>
  <c r="G17" i="22" s="1"/>
  <c r="G18" i="22" s="1"/>
  <c r="G19" i="22" s="1"/>
  <c r="G20" i="22" s="1"/>
  <c r="G24" i="22" s="1"/>
  <c r="G25" i="22" s="1"/>
  <c r="G26" i="22" s="1"/>
  <c r="G27" i="22" s="1"/>
  <c r="G28" i="22" s="1"/>
  <c r="G29" i="22" s="1"/>
  <c r="G30" i="22" s="1"/>
  <c r="G31" i="22" s="1"/>
  <c r="G32" i="22" s="1"/>
  <c r="G33" i="22" s="1"/>
  <c r="G34" i="22" s="1"/>
  <c r="G35" i="22" s="1"/>
  <c r="G36" i="22" s="1"/>
  <c r="G37" i="22" s="1"/>
  <c r="G38" i="22" s="1"/>
  <c r="F15" i="25"/>
  <c r="G15" i="25" s="1"/>
  <c r="F16" i="25"/>
  <c r="F17" i="25"/>
  <c r="F18" i="25"/>
  <c r="F19" i="25"/>
  <c r="F20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42" i="25"/>
  <c r="F43" i="25"/>
  <c r="F44" i="25"/>
  <c r="F45" i="25"/>
  <c r="F46" i="25"/>
  <c r="F47" i="25"/>
  <c r="F48" i="25"/>
  <c r="F49" i="25"/>
  <c r="F53" i="25"/>
  <c r="F54" i="25"/>
  <c r="F55" i="25"/>
  <c r="F56" i="25"/>
  <c r="F57" i="25"/>
  <c r="F58" i="25"/>
  <c r="F59" i="25"/>
  <c r="F60" i="25"/>
  <c r="F14" i="25"/>
  <c r="AR54" i="24" l="1"/>
  <c r="AU54" i="24" s="1"/>
  <c r="AT55" i="24"/>
  <c r="AU57" i="31"/>
  <c r="AS56" i="31"/>
  <c r="AV56" i="31" s="1"/>
  <c r="AS54" i="30"/>
  <c r="AV54" i="30" s="1"/>
  <c r="AU55" i="30"/>
  <c r="AS55" i="27"/>
  <c r="AV55" i="27" s="1"/>
  <c r="AU56" i="27"/>
  <c r="AS51" i="28"/>
  <c r="AV51" i="28" s="1"/>
  <c r="AU52" i="28"/>
  <c r="AS51" i="29"/>
  <c r="AV51" i="29" s="1"/>
  <c r="AU52" i="29"/>
  <c r="AT68" i="33"/>
  <c r="AR67" i="33"/>
  <c r="AU67" i="33" s="1"/>
  <c r="AT52" i="43"/>
  <c r="AR51" i="43"/>
  <c r="AU51" i="43" s="1"/>
  <c r="AR55" i="25"/>
  <c r="AU55" i="25" s="1"/>
  <c r="AT56" i="25"/>
  <c r="AR54" i="22"/>
  <c r="AU54" i="22" s="1"/>
  <c r="AT55" i="22"/>
  <c r="AR55" i="21"/>
  <c r="AU55" i="21" s="1"/>
  <c r="AT56" i="21"/>
  <c r="AT56" i="20"/>
  <c r="AR56" i="20" s="1"/>
  <c r="AU55" i="20"/>
  <c r="G16" i="25"/>
  <c r="G17" i="25" s="1"/>
  <c r="G18" i="25" s="1"/>
  <c r="G19" i="25" s="1"/>
  <c r="G20" i="25" s="1"/>
  <c r="G24" i="25" s="1"/>
  <c r="G25" i="25" s="1"/>
  <c r="G26" i="25" s="1"/>
  <c r="G27" i="25" s="1"/>
  <c r="G28" i="25" s="1"/>
  <c r="G29" i="25" s="1"/>
  <c r="G30" i="25" s="1"/>
  <c r="G31" i="25" s="1"/>
  <c r="G32" i="25" s="1"/>
  <c r="G33" i="25" s="1"/>
  <c r="G34" i="25" s="1"/>
  <c r="G35" i="25" s="1"/>
  <c r="G36" i="25" s="1"/>
  <c r="G37" i="25" s="1"/>
  <c r="G38" i="25" s="1"/>
  <c r="G42" i="25" s="1"/>
  <c r="G43" i="25" s="1"/>
  <c r="G44" i="25" s="1"/>
  <c r="G45" i="25" s="1"/>
  <c r="G46" i="25" s="1"/>
  <c r="G47" i="25" s="1"/>
  <c r="G48" i="25" s="1"/>
  <c r="G49" i="25" s="1"/>
  <c r="G53" i="25" s="1"/>
  <c r="G54" i="25" s="1"/>
  <c r="G55" i="25" s="1"/>
  <c r="G56" i="25" s="1"/>
  <c r="G57" i="25" s="1"/>
  <c r="G58" i="25" s="1"/>
  <c r="G59" i="25" s="1"/>
  <c r="G60" i="25" s="1"/>
  <c r="F15" i="21"/>
  <c r="F16" i="21"/>
  <c r="F17" i="21"/>
  <c r="F18" i="21"/>
  <c r="F19" i="21"/>
  <c r="F20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42" i="21"/>
  <c r="F43" i="21"/>
  <c r="F44" i="21"/>
  <c r="F45" i="21"/>
  <c r="F46" i="21"/>
  <c r="F47" i="21"/>
  <c r="F48" i="21"/>
  <c r="F49" i="21"/>
  <c r="F53" i="21"/>
  <c r="F54" i="21"/>
  <c r="F55" i="21"/>
  <c r="F56" i="21"/>
  <c r="F57" i="21"/>
  <c r="F58" i="21"/>
  <c r="F59" i="21"/>
  <c r="F60" i="21"/>
  <c r="F14" i="21"/>
  <c r="AR55" i="24" l="1"/>
  <c r="AU55" i="24" s="1"/>
  <c r="AT56" i="24"/>
  <c r="AS57" i="31"/>
  <c r="AV57" i="31" s="1"/>
  <c r="AU58" i="31"/>
  <c r="AS55" i="30"/>
  <c r="AV55" i="30" s="1"/>
  <c r="AU56" i="30"/>
  <c r="AS56" i="27"/>
  <c r="AV56" i="27" s="1"/>
  <c r="AU57" i="27"/>
  <c r="AS52" i="28"/>
  <c r="AV52" i="28" s="1"/>
  <c r="AU56" i="28"/>
  <c r="AS52" i="29"/>
  <c r="AV52" i="29" s="1"/>
  <c r="AU56" i="29"/>
  <c r="AR68" i="33"/>
  <c r="AU68" i="33" s="1"/>
  <c r="AT69" i="33"/>
  <c r="AR52" i="43"/>
  <c r="AU52" i="43" s="1"/>
  <c r="AT53" i="43"/>
  <c r="AT57" i="25"/>
  <c r="AR56" i="25"/>
  <c r="AU56" i="25" s="1"/>
  <c r="AR55" i="22"/>
  <c r="AU55" i="22" s="1"/>
  <c r="AT56" i="22"/>
  <c r="AR56" i="21"/>
  <c r="AU56" i="21" s="1"/>
  <c r="AT57" i="21"/>
  <c r="AU56" i="20"/>
  <c r="AT57" i="20"/>
  <c r="AR57" i="20" s="1"/>
  <c r="F15" i="24"/>
  <c r="G15" i="24" s="1"/>
  <c r="F16" i="24"/>
  <c r="F17" i="24"/>
  <c r="F18" i="24"/>
  <c r="F19" i="24"/>
  <c r="F20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42" i="24"/>
  <c r="F43" i="24"/>
  <c r="F44" i="24"/>
  <c r="F45" i="24"/>
  <c r="F46" i="24"/>
  <c r="F47" i="24"/>
  <c r="F48" i="24"/>
  <c r="F49" i="24"/>
  <c r="F53" i="24"/>
  <c r="F54" i="24"/>
  <c r="F55" i="24"/>
  <c r="F56" i="24"/>
  <c r="F57" i="24"/>
  <c r="F58" i="24"/>
  <c r="F59" i="24"/>
  <c r="F60" i="24"/>
  <c r="F14" i="24"/>
  <c r="AT57" i="24" l="1"/>
  <c r="AR56" i="24"/>
  <c r="AU56" i="24" s="1"/>
  <c r="AS58" i="31"/>
  <c r="AV58" i="31" s="1"/>
  <c r="AU59" i="31"/>
  <c r="AS56" i="30"/>
  <c r="AV56" i="30" s="1"/>
  <c r="AU57" i="30"/>
  <c r="AU58" i="27"/>
  <c r="AS57" i="27"/>
  <c r="AV57" i="27" s="1"/>
  <c r="AS56" i="28"/>
  <c r="AV56" i="28" s="1"/>
  <c r="AU57" i="28"/>
  <c r="AS56" i="29"/>
  <c r="AV56" i="29" s="1"/>
  <c r="AU57" i="29"/>
  <c r="AT70" i="33"/>
  <c r="AR69" i="33"/>
  <c r="AU69" i="33" s="1"/>
  <c r="AT54" i="43"/>
  <c r="AR53" i="43"/>
  <c r="AU53" i="43" s="1"/>
  <c r="AR57" i="25"/>
  <c r="AU57" i="25" s="1"/>
  <c r="AT58" i="25"/>
  <c r="AT57" i="22"/>
  <c r="AR56" i="22"/>
  <c r="AU56" i="22" s="1"/>
  <c r="AR57" i="21"/>
  <c r="AU57" i="21" s="1"/>
  <c r="AT58" i="21"/>
  <c r="AU57" i="20"/>
  <c r="AT58" i="20"/>
  <c r="AR58" i="20" s="1"/>
  <c r="G16" i="24"/>
  <c r="G17" i="24" s="1"/>
  <c r="G18" i="24" s="1"/>
  <c r="G19" i="24" s="1"/>
  <c r="G20" i="24" s="1"/>
  <c r="G24" i="24" s="1"/>
  <c r="G25" i="24" s="1"/>
  <c r="G26" i="24" s="1"/>
  <c r="G27" i="24" s="1"/>
  <c r="G28" i="24" s="1"/>
  <c r="G29" i="24" s="1"/>
  <c r="G30" i="24" s="1"/>
  <c r="G31" i="24" s="1"/>
  <c r="G32" i="24" s="1"/>
  <c r="G33" i="24" s="1"/>
  <c r="G34" i="24" s="1"/>
  <c r="G35" i="24" s="1"/>
  <c r="G36" i="24" s="1"/>
  <c r="G37" i="24" s="1"/>
  <c r="G38" i="24" s="1"/>
  <c r="G42" i="24" s="1"/>
  <c r="G43" i="24" s="1"/>
  <c r="G44" i="24" s="1"/>
  <c r="G45" i="24" s="1"/>
  <c r="G46" i="24" s="1"/>
  <c r="G47" i="24" s="1"/>
  <c r="G48" i="24" s="1"/>
  <c r="G49" i="24" s="1"/>
  <c r="F15" i="20"/>
  <c r="F16" i="20"/>
  <c r="F17" i="20"/>
  <c r="F18" i="20"/>
  <c r="F19" i="20"/>
  <c r="F20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42" i="20"/>
  <c r="F43" i="20"/>
  <c r="F44" i="20"/>
  <c r="F45" i="20"/>
  <c r="F46" i="20"/>
  <c r="F47" i="20"/>
  <c r="F48" i="20"/>
  <c r="F49" i="20"/>
  <c r="F53" i="20"/>
  <c r="F54" i="20"/>
  <c r="F55" i="20"/>
  <c r="F56" i="20"/>
  <c r="F57" i="20"/>
  <c r="F58" i="20"/>
  <c r="F59" i="20"/>
  <c r="F60" i="20"/>
  <c r="F14" i="20"/>
  <c r="AR57" i="24" l="1"/>
  <c r="AU57" i="24" s="1"/>
  <c r="AT58" i="24"/>
  <c r="AS59" i="31"/>
  <c r="AV59" i="31" s="1"/>
  <c r="AU60" i="31"/>
  <c r="AS57" i="30"/>
  <c r="AV57" i="30" s="1"/>
  <c r="AU58" i="30"/>
  <c r="AU59" i="27"/>
  <c r="AS58" i="27"/>
  <c r="AV58" i="27" s="1"/>
  <c r="AS57" i="28"/>
  <c r="AV57" i="28" s="1"/>
  <c r="AU58" i="28"/>
  <c r="AS57" i="29"/>
  <c r="AV57" i="29" s="1"/>
  <c r="AU58" i="29"/>
  <c r="AR70" i="33"/>
  <c r="AU70" i="33" s="1"/>
  <c r="AT71" i="33"/>
  <c r="AR54" i="43"/>
  <c r="AU54" i="43" s="1"/>
  <c r="AT55" i="43"/>
  <c r="AR58" i="25"/>
  <c r="AU58" i="25" s="1"/>
  <c r="AT59" i="25"/>
  <c r="AR57" i="22"/>
  <c r="AU57" i="22" s="1"/>
  <c r="AT58" i="22"/>
  <c r="AR58" i="21"/>
  <c r="AU58" i="21" s="1"/>
  <c r="AT59" i="21"/>
  <c r="AT59" i="20"/>
  <c r="AR59" i="20" s="1"/>
  <c r="AU58" i="20"/>
  <c r="G53" i="24"/>
  <c r="G54" i="24" s="1"/>
  <c r="G55" i="24" s="1"/>
  <c r="G56" i="24" s="1"/>
  <c r="G57" i="24" s="1"/>
  <c r="G58" i="24" s="1"/>
  <c r="G59" i="24" s="1"/>
  <c r="G60" i="24" s="1"/>
  <c r="AB15" i="19"/>
  <c r="AC15" i="19"/>
  <c r="AB16" i="19"/>
  <c r="AC16" i="19"/>
  <c r="AB17" i="19"/>
  <c r="AC17" i="19"/>
  <c r="AB18" i="19"/>
  <c r="AC18" i="19"/>
  <c r="AB19" i="19"/>
  <c r="AC19" i="19"/>
  <c r="AB20" i="19"/>
  <c r="AC20" i="19"/>
  <c r="AB21" i="19"/>
  <c r="AC21" i="19"/>
  <c r="AB25" i="19"/>
  <c r="AC25" i="19"/>
  <c r="AB26" i="19"/>
  <c r="AC26" i="19"/>
  <c r="AB27" i="19"/>
  <c r="AC27" i="19"/>
  <c r="AB28" i="19"/>
  <c r="AC28" i="19"/>
  <c r="AB29" i="19"/>
  <c r="AC29" i="19"/>
  <c r="AB30" i="19"/>
  <c r="AC30" i="19"/>
  <c r="AB31" i="19"/>
  <c r="AC31" i="19"/>
  <c r="AB32" i="19"/>
  <c r="AC32" i="19"/>
  <c r="AB33" i="19"/>
  <c r="AC33" i="19"/>
  <c r="AB34" i="19"/>
  <c r="AC34" i="19"/>
  <c r="AB35" i="19"/>
  <c r="AC35" i="19"/>
  <c r="AB36" i="19"/>
  <c r="AC36" i="19"/>
  <c r="AB37" i="19"/>
  <c r="AC37" i="19"/>
  <c r="AB38" i="19"/>
  <c r="AC38" i="19"/>
  <c r="AB39" i="19"/>
  <c r="AC39" i="19"/>
  <c r="AB41" i="19"/>
  <c r="AC41" i="19"/>
  <c r="AB43" i="19"/>
  <c r="AC43" i="19"/>
  <c r="AB44" i="19"/>
  <c r="AC44" i="19"/>
  <c r="AB45" i="19"/>
  <c r="AC45" i="19"/>
  <c r="AB46" i="19"/>
  <c r="AC46" i="19"/>
  <c r="AB47" i="19"/>
  <c r="AC47" i="19"/>
  <c r="AB48" i="19"/>
  <c r="AC48" i="19"/>
  <c r="AB49" i="19"/>
  <c r="AC49" i="19"/>
  <c r="AB50" i="19"/>
  <c r="AC50" i="19"/>
  <c r="AB54" i="19"/>
  <c r="AC54" i="19"/>
  <c r="AB55" i="19"/>
  <c r="AC55" i="19"/>
  <c r="AB56" i="19"/>
  <c r="AC56" i="19"/>
  <c r="AB57" i="19"/>
  <c r="AC57" i="19"/>
  <c r="AB58" i="19"/>
  <c r="AC58" i="19"/>
  <c r="AB59" i="19"/>
  <c r="AC59" i="19"/>
  <c r="AB60" i="19"/>
  <c r="AC60" i="19"/>
  <c r="AB61" i="19"/>
  <c r="AC61" i="19"/>
  <c r="AB15" i="18"/>
  <c r="AC15" i="18"/>
  <c r="AB16" i="18"/>
  <c r="AC16" i="18"/>
  <c r="AB17" i="18"/>
  <c r="AC17" i="18"/>
  <c r="AB18" i="18"/>
  <c r="AC18" i="18"/>
  <c r="AB19" i="18"/>
  <c r="AC19" i="18"/>
  <c r="AB20" i="18"/>
  <c r="AC20" i="18"/>
  <c r="AB21" i="18"/>
  <c r="AC21" i="18"/>
  <c r="AB25" i="18"/>
  <c r="AC25" i="18"/>
  <c r="AB26" i="18"/>
  <c r="AC26" i="18"/>
  <c r="AB27" i="18"/>
  <c r="AC27" i="18"/>
  <c r="AB28" i="18"/>
  <c r="AC28" i="18"/>
  <c r="AB29" i="18"/>
  <c r="AC29" i="18"/>
  <c r="AB30" i="18"/>
  <c r="AC30" i="18"/>
  <c r="AB31" i="18"/>
  <c r="AC31" i="18"/>
  <c r="AB32" i="18"/>
  <c r="AC32" i="18"/>
  <c r="AB33" i="18"/>
  <c r="AC33" i="18"/>
  <c r="AB34" i="18"/>
  <c r="AC34" i="18"/>
  <c r="AB35" i="18"/>
  <c r="AC35" i="18"/>
  <c r="AB36" i="18"/>
  <c r="AC36" i="18"/>
  <c r="AB37" i="18"/>
  <c r="AC37" i="18"/>
  <c r="AB38" i="18"/>
  <c r="AC38" i="18"/>
  <c r="AB39" i="18"/>
  <c r="AC39" i="18"/>
  <c r="AB41" i="18"/>
  <c r="AC41" i="18"/>
  <c r="AB43" i="18"/>
  <c r="AC43" i="18"/>
  <c r="AB44" i="18"/>
  <c r="AC44" i="18"/>
  <c r="AB45" i="18"/>
  <c r="AC45" i="18"/>
  <c r="AB46" i="18"/>
  <c r="AC46" i="18"/>
  <c r="AB47" i="18"/>
  <c r="AC47" i="18"/>
  <c r="AB48" i="18"/>
  <c r="AC48" i="18"/>
  <c r="AB49" i="18"/>
  <c r="AC49" i="18"/>
  <c r="AB50" i="18"/>
  <c r="AC50" i="18"/>
  <c r="AB54" i="18"/>
  <c r="AC54" i="18"/>
  <c r="AB55" i="18"/>
  <c r="AC55" i="18"/>
  <c r="AB56" i="18"/>
  <c r="AC56" i="18"/>
  <c r="AB57" i="18"/>
  <c r="AC57" i="18"/>
  <c r="AB58" i="18"/>
  <c r="AC58" i="18"/>
  <c r="AB59" i="18"/>
  <c r="AC59" i="18"/>
  <c r="AB60" i="18"/>
  <c r="AC60" i="18"/>
  <c r="AB61" i="18"/>
  <c r="AC61" i="18"/>
  <c r="AB15" i="17"/>
  <c r="AC15" i="17"/>
  <c r="AB16" i="17"/>
  <c r="AC16" i="17"/>
  <c r="AB17" i="17"/>
  <c r="AC17" i="17"/>
  <c r="AB18" i="17"/>
  <c r="AC18" i="17"/>
  <c r="AB19" i="17"/>
  <c r="AC19" i="17"/>
  <c r="AB20" i="17"/>
  <c r="AC20" i="17"/>
  <c r="AB21" i="17"/>
  <c r="AC21" i="17"/>
  <c r="AB25" i="17"/>
  <c r="AC25" i="17"/>
  <c r="AB26" i="17"/>
  <c r="AC26" i="17"/>
  <c r="AB27" i="17"/>
  <c r="AC27" i="17"/>
  <c r="AB28" i="17"/>
  <c r="AC28" i="17"/>
  <c r="AB29" i="17"/>
  <c r="AC29" i="17"/>
  <c r="AB30" i="17"/>
  <c r="AC30" i="17"/>
  <c r="AB31" i="17"/>
  <c r="AC31" i="17"/>
  <c r="AB32" i="17"/>
  <c r="AC32" i="17"/>
  <c r="AB33" i="17"/>
  <c r="AC33" i="17"/>
  <c r="AB34" i="17"/>
  <c r="AC34" i="17"/>
  <c r="AB35" i="17"/>
  <c r="AC35" i="17"/>
  <c r="AB36" i="17"/>
  <c r="AC36" i="17"/>
  <c r="AB37" i="17"/>
  <c r="AC37" i="17"/>
  <c r="AB38" i="17"/>
  <c r="AC38" i="17"/>
  <c r="AB39" i="17"/>
  <c r="AC39" i="17"/>
  <c r="AB41" i="17"/>
  <c r="AC41" i="17"/>
  <c r="AB43" i="17"/>
  <c r="AC43" i="17"/>
  <c r="AB44" i="17"/>
  <c r="AC44" i="17"/>
  <c r="AB45" i="17"/>
  <c r="AC45" i="17"/>
  <c r="AB46" i="17"/>
  <c r="AC46" i="17"/>
  <c r="AB47" i="17"/>
  <c r="AC47" i="17"/>
  <c r="AB48" i="17"/>
  <c r="AC48" i="17"/>
  <c r="AB49" i="17"/>
  <c r="AC49" i="17"/>
  <c r="AB50" i="17"/>
  <c r="AC50" i="17"/>
  <c r="AB54" i="17"/>
  <c r="AC54" i="17"/>
  <c r="AB55" i="17"/>
  <c r="AC55" i="17"/>
  <c r="AB56" i="17"/>
  <c r="AC56" i="17"/>
  <c r="AB57" i="17"/>
  <c r="AC57" i="17"/>
  <c r="AB58" i="17"/>
  <c r="AC58" i="17"/>
  <c r="AB59" i="17"/>
  <c r="AC59" i="17"/>
  <c r="AB60" i="17"/>
  <c r="AC60" i="17"/>
  <c r="AB61" i="17"/>
  <c r="AC61" i="17"/>
  <c r="AB15" i="16"/>
  <c r="AC15" i="16"/>
  <c r="AB16" i="16"/>
  <c r="AC16" i="16"/>
  <c r="AB17" i="16"/>
  <c r="AC17" i="16"/>
  <c r="AB18" i="16"/>
  <c r="AC18" i="16"/>
  <c r="AB19" i="16"/>
  <c r="AC19" i="16"/>
  <c r="AB20" i="16"/>
  <c r="AC20" i="16"/>
  <c r="AB21" i="16"/>
  <c r="AC21" i="16"/>
  <c r="AB25" i="16"/>
  <c r="AC25" i="16"/>
  <c r="AB26" i="16"/>
  <c r="AC26" i="16"/>
  <c r="AB27" i="16"/>
  <c r="AC27" i="16"/>
  <c r="AB28" i="16"/>
  <c r="AC28" i="16"/>
  <c r="AB29" i="16"/>
  <c r="AC29" i="16"/>
  <c r="AB30" i="16"/>
  <c r="AC30" i="16"/>
  <c r="AB31" i="16"/>
  <c r="AC31" i="16"/>
  <c r="AB32" i="16"/>
  <c r="AC32" i="16"/>
  <c r="AB33" i="16"/>
  <c r="AC33" i="16"/>
  <c r="AB34" i="16"/>
  <c r="AC34" i="16"/>
  <c r="AB35" i="16"/>
  <c r="AC35" i="16"/>
  <c r="AB36" i="16"/>
  <c r="AC36" i="16"/>
  <c r="AB37" i="16"/>
  <c r="AC37" i="16"/>
  <c r="AB38" i="16"/>
  <c r="AC38" i="16"/>
  <c r="AB39" i="16"/>
  <c r="AC39" i="16"/>
  <c r="AB41" i="16"/>
  <c r="AC41" i="16"/>
  <c r="AB43" i="16"/>
  <c r="AC43" i="16"/>
  <c r="AB44" i="16"/>
  <c r="AC44" i="16"/>
  <c r="AB45" i="16"/>
  <c r="AC45" i="16"/>
  <c r="AB46" i="16"/>
  <c r="AC46" i="16"/>
  <c r="AB47" i="16"/>
  <c r="AC47" i="16"/>
  <c r="AB48" i="16"/>
  <c r="AC48" i="16"/>
  <c r="AB49" i="16"/>
  <c r="AC49" i="16"/>
  <c r="AB50" i="16"/>
  <c r="AC50" i="16"/>
  <c r="AB54" i="16"/>
  <c r="AC54" i="16"/>
  <c r="AB55" i="16"/>
  <c r="AC55" i="16"/>
  <c r="AB56" i="16"/>
  <c r="AC56" i="16"/>
  <c r="AB57" i="16"/>
  <c r="AC57" i="16"/>
  <c r="AB58" i="16"/>
  <c r="AC58" i="16"/>
  <c r="AB59" i="16"/>
  <c r="AC59" i="16"/>
  <c r="AB60" i="16"/>
  <c r="AC60" i="16"/>
  <c r="AB61" i="16"/>
  <c r="AC61" i="16"/>
  <c r="AB15" i="15"/>
  <c r="AC15" i="15"/>
  <c r="AB16" i="15"/>
  <c r="AC16" i="15"/>
  <c r="AB17" i="15"/>
  <c r="AC17" i="15"/>
  <c r="AB18" i="15"/>
  <c r="AC18" i="15"/>
  <c r="AB19" i="15"/>
  <c r="AC19" i="15"/>
  <c r="AB20" i="15"/>
  <c r="AC20" i="15"/>
  <c r="AB21" i="15"/>
  <c r="AC21" i="15"/>
  <c r="AB25" i="15"/>
  <c r="AC25" i="15"/>
  <c r="AB26" i="15"/>
  <c r="AC26" i="15"/>
  <c r="AB27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5" i="15"/>
  <c r="AC35" i="15"/>
  <c r="AB36" i="15"/>
  <c r="AC36" i="15"/>
  <c r="AB37" i="15"/>
  <c r="AC37" i="15"/>
  <c r="AB38" i="15"/>
  <c r="AC38" i="15"/>
  <c r="AB39" i="15"/>
  <c r="AC39" i="15"/>
  <c r="AB41" i="15"/>
  <c r="AC41" i="15"/>
  <c r="AB43" i="15"/>
  <c r="AC43" i="15"/>
  <c r="AB44" i="15"/>
  <c r="AC44" i="15"/>
  <c r="AB45" i="15"/>
  <c r="AC45" i="15"/>
  <c r="AB46" i="15"/>
  <c r="AC46" i="15"/>
  <c r="AB47" i="15"/>
  <c r="AC47" i="15"/>
  <c r="AB48" i="15"/>
  <c r="AC48" i="15"/>
  <c r="AB49" i="15"/>
  <c r="AC49" i="15"/>
  <c r="AB50" i="15"/>
  <c r="AC50" i="15"/>
  <c r="AB54" i="15"/>
  <c r="AC54" i="15"/>
  <c r="AB55" i="15"/>
  <c r="AC55" i="15"/>
  <c r="AB56" i="15"/>
  <c r="AC56" i="15"/>
  <c r="AB57" i="15"/>
  <c r="AC57" i="15"/>
  <c r="AB58" i="15"/>
  <c r="AC58" i="15"/>
  <c r="AB59" i="15"/>
  <c r="AC59" i="15"/>
  <c r="AB60" i="15"/>
  <c r="AC60" i="15"/>
  <c r="AB61" i="15"/>
  <c r="AC61" i="15"/>
  <c r="AB15" i="4"/>
  <c r="AC15" i="4"/>
  <c r="AB16" i="4"/>
  <c r="AC16" i="4"/>
  <c r="AB17" i="4"/>
  <c r="AC17" i="4"/>
  <c r="AB18" i="4"/>
  <c r="AC18" i="4"/>
  <c r="AB19" i="4"/>
  <c r="AC19" i="4"/>
  <c r="AB20" i="4"/>
  <c r="AC20" i="4"/>
  <c r="AB21" i="4"/>
  <c r="AC21" i="4"/>
  <c r="AB25" i="4"/>
  <c r="AC25" i="4"/>
  <c r="AB26" i="4"/>
  <c r="AC26" i="4"/>
  <c r="AB27" i="4"/>
  <c r="AC27" i="4"/>
  <c r="AB28" i="4"/>
  <c r="AC28" i="4"/>
  <c r="AB29" i="4"/>
  <c r="AC29" i="4"/>
  <c r="AB30" i="4"/>
  <c r="AC30" i="4"/>
  <c r="AB31" i="4"/>
  <c r="AC31" i="4"/>
  <c r="AB32" i="4"/>
  <c r="AC32" i="4"/>
  <c r="AB33" i="4"/>
  <c r="AC33" i="4"/>
  <c r="AB34" i="4"/>
  <c r="AC34" i="4"/>
  <c r="AB35" i="4"/>
  <c r="AC35" i="4"/>
  <c r="AB36" i="4"/>
  <c r="AC36" i="4"/>
  <c r="AB37" i="4"/>
  <c r="AC37" i="4"/>
  <c r="AB38" i="4"/>
  <c r="AC38" i="4"/>
  <c r="AB39" i="4"/>
  <c r="AC39" i="4"/>
  <c r="AB41" i="4"/>
  <c r="AC41" i="4"/>
  <c r="AB43" i="4"/>
  <c r="AC43" i="4"/>
  <c r="AB44" i="4"/>
  <c r="AC44" i="4"/>
  <c r="AB45" i="4"/>
  <c r="AC45" i="4"/>
  <c r="AB46" i="4"/>
  <c r="AC46" i="4"/>
  <c r="AB47" i="4"/>
  <c r="AC47" i="4"/>
  <c r="AB48" i="4"/>
  <c r="AC48" i="4"/>
  <c r="AB49" i="4"/>
  <c r="AC49" i="4"/>
  <c r="AB50" i="4"/>
  <c r="AC50" i="4"/>
  <c r="AB54" i="4"/>
  <c r="AC54" i="4"/>
  <c r="AB55" i="4"/>
  <c r="AC55" i="4"/>
  <c r="AB56" i="4"/>
  <c r="AC56" i="4"/>
  <c r="AB57" i="4"/>
  <c r="AC57" i="4"/>
  <c r="AB58" i="4"/>
  <c r="AC58" i="4"/>
  <c r="AB59" i="4"/>
  <c r="AC59" i="4"/>
  <c r="AB60" i="4"/>
  <c r="AC60" i="4"/>
  <c r="AB61" i="4"/>
  <c r="AC61" i="4"/>
  <c r="AT59" i="24" l="1"/>
  <c r="AR58" i="24"/>
  <c r="AU58" i="24" s="1"/>
  <c r="AR71" i="33"/>
  <c r="AU71" i="33" s="1"/>
  <c r="AT72" i="33"/>
  <c r="AS60" i="31"/>
  <c r="AV60" i="31" s="1"/>
  <c r="AU61" i="31"/>
  <c r="AU59" i="30"/>
  <c r="AS58" i="30"/>
  <c r="AV58" i="30" s="1"/>
  <c r="AU60" i="27"/>
  <c r="AS60" i="27" s="1"/>
  <c r="AV60" i="27" s="1"/>
  <c r="AS59" i="27"/>
  <c r="AV59" i="27" s="1"/>
  <c r="AS58" i="28"/>
  <c r="AV58" i="28" s="1"/>
  <c r="AU59" i="28"/>
  <c r="AU59" i="29"/>
  <c r="AS58" i="29"/>
  <c r="AV58" i="29" s="1"/>
  <c r="AT56" i="43"/>
  <c r="AR55" i="43"/>
  <c r="AU55" i="43" s="1"/>
  <c r="AT60" i="25"/>
  <c r="AR60" i="25" s="1"/>
  <c r="AU60" i="25" s="1"/>
  <c r="AR59" i="25"/>
  <c r="AU59" i="25" s="1"/>
  <c r="AT59" i="22"/>
  <c r="AR58" i="22"/>
  <c r="AU58" i="22" s="1"/>
  <c r="AT60" i="21"/>
  <c r="AR60" i="21" s="1"/>
  <c r="AU60" i="21" s="1"/>
  <c r="AR59" i="21"/>
  <c r="AU59" i="21" s="1"/>
  <c r="AT60" i="20"/>
  <c r="AU59" i="20"/>
  <c r="AD34" i="15"/>
  <c r="AD28" i="15"/>
  <c r="AD43" i="19"/>
  <c r="AD34" i="19"/>
  <c r="AD32" i="16"/>
  <c r="AD47" i="19"/>
  <c r="AD59" i="19"/>
  <c r="AD33" i="19"/>
  <c r="AD29" i="19"/>
  <c r="AD25" i="19"/>
  <c r="AD31" i="19"/>
  <c r="AD60" i="18"/>
  <c r="AD56" i="18"/>
  <c r="AD45" i="18"/>
  <c r="AD29" i="18"/>
  <c r="AD46" i="17"/>
  <c r="AD60" i="17"/>
  <c r="AD45" i="17"/>
  <c r="AD20" i="17"/>
  <c r="AD57" i="17"/>
  <c r="AD44" i="17"/>
  <c r="AD44" i="18"/>
  <c r="AD36" i="18"/>
  <c r="AD19" i="17"/>
  <c r="AD37" i="17"/>
  <c r="AD33" i="17"/>
  <c r="AD56" i="16"/>
  <c r="AD20" i="16"/>
  <c r="AD36" i="16"/>
  <c r="AD61" i="16"/>
  <c r="AD29" i="15"/>
  <c r="AD25" i="15"/>
  <c r="AD55" i="4"/>
  <c r="AD54" i="4"/>
  <c r="AD35" i="4"/>
  <c r="AD59" i="4"/>
  <c r="AD34" i="4"/>
  <c r="AD26" i="4"/>
  <c r="AD37" i="4"/>
  <c r="AD29" i="4"/>
  <c r="AD60" i="16"/>
  <c r="AD38" i="16"/>
  <c r="AD45" i="4"/>
  <c r="AD26" i="15"/>
  <c r="AD58" i="16"/>
  <c r="AD55" i="18"/>
  <c r="AD30" i="18"/>
  <c r="AD33" i="15"/>
  <c r="AD25" i="16"/>
  <c r="AD47" i="17"/>
  <c r="AD19" i="19"/>
  <c r="AD50" i="15"/>
  <c r="AD32" i="17"/>
  <c r="AD21" i="17"/>
  <c r="AD17" i="17"/>
  <c r="AD56" i="19"/>
  <c r="AD41" i="19"/>
  <c r="AD57" i="4"/>
  <c r="AD39" i="16"/>
  <c r="AD17" i="16"/>
  <c r="AD39" i="15"/>
  <c r="AD35" i="15"/>
  <c r="AD31" i="15"/>
  <c r="AD59" i="16"/>
  <c r="AD16" i="17"/>
  <c r="AD49" i="18"/>
  <c r="AD35" i="19"/>
  <c r="AD48" i="16"/>
  <c r="AD39" i="4"/>
  <c r="AD26" i="16"/>
  <c r="AD48" i="18"/>
  <c r="AD58" i="19"/>
  <c r="AD58" i="15"/>
  <c r="AD33" i="16"/>
  <c r="AD61" i="17"/>
  <c r="AD43" i="18"/>
  <c r="AD46" i="19"/>
  <c r="AD18" i="19"/>
  <c r="AD26" i="19"/>
  <c r="AD39" i="19"/>
  <c r="AD38" i="19"/>
  <c r="AD29" i="17"/>
  <c r="AD16" i="16"/>
  <c r="AD15" i="4"/>
  <c r="AD30" i="4"/>
  <c r="AD37" i="18"/>
  <c r="AD26" i="18"/>
  <c r="AD39" i="17"/>
  <c r="AD31" i="4"/>
  <c r="AD41" i="16"/>
  <c r="AD48" i="17"/>
  <c r="AD27" i="19"/>
  <c r="AD44" i="4"/>
  <c r="AD30" i="15"/>
  <c r="AD49" i="16"/>
  <c r="AD45" i="16"/>
  <c r="AD25" i="18"/>
  <c r="AD18" i="18"/>
  <c r="AD61" i="19"/>
  <c r="AD20" i="4"/>
  <c r="AD55" i="15"/>
  <c r="AD54" i="19"/>
  <c r="AD19" i="4"/>
  <c r="AD57" i="19"/>
  <c r="AD50" i="19"/>
  <c r="AD47" i="4"/>
  <c r="AD47" i="15"/>
  <c r="AD37" i="15"/>
  <c r="AD55" i="16"/>
  <c r="AD35" i="16"/>
  <c r="AD28" i="16"/>
  <c r="AD43" i="17"/>
  <c r="AD59" i="18"/>
  <c r="AD39" i="18"/>
  <c r="AD32" i="18"/>
  <c r="AD28" i="18"/>
  <c r="AD17" i="18"/>
  <c r="AD60" i="19"/>
  <c r="AD37" i="19"/>
  <c r="AD46" i="15"/>
  <c r="AD36" i="15"/>
  <c r="AD18" i="15"/>
  <c r="AD31" i="16"/>
  <c r="AD25" i="17"/>
  <c r="AD38" i="18"/>
  <c r="AD35" i="18"/>
  <c r="AD27" i="18"/>
  <c r="AD20" i="18"/>
  <c r="AD16" i="18"/>
  <c r="AD45" i="19"/>
  <c r="AD36" i="19"/>
  <c r="AD41" i="15"/>
  <c r="AD54" i="16"/>
  <c r="AD34" i="16"/>
  <c r="AD27" i="16"/>
  <c r="AD58" i="18"/>
  <c r="AD56" i="4"/>
  <c r="AD36" i="4"/>
  <c r="AD21" i="4"/>
  <c r="AD56" i="15"/>
  <c r="AD57" i="16"/>
  <c r="AD37" i="16"/>
  <c r="AD56" i="17"/>
  <c r="AD57" i="18"/>
  <c r="AD54" i="18"/>
  <c r="AD19" i="18"/>
  <c r="AD15" i="18"/>
  <c r="AD48" i="19"/>
  <c r="AD32" i="19"/>
  <c r="AD28" i="19"/>
  <c r="AD41" i="18"/>
  <c r="AD41" i="17"/>
  <c r="AD28" i="4"/>
  <c r="AD33" i="18"/>
  <c r="AD43" i="4"/>
  <c r="AD54" i="15"/>
  <c r="AD48" i="15"/>
  <c r="AD38" i="15"/>
  <c r="AD20" i="15"/>
  <c r="AD16" i="15"/>
  <c r="AD18" i="16"/>
  <c r="AD61" i="18"/>
  <c r="AD55" i="19"/>
  <c r="AD44" i="16"/>
  <c r="AD28" i="17"/>
  <c r="AD30" i="19"/>
  <c r="AD50" i="4"/>
  <c r="AD46" i="4"/>
  <c r="AD18" i="4"/>
  <c r="AD61" i="15"/>
  <c r="AD57" i="15"/>
  <c r="AD30" i="16"/>
  <c r="AD50" i="17"/>
  <c r="AD26" i="17"/>
  <c r="AD31" i="18"/>
  <c r="AD27" i="4"/>
  <c r="AD45" i="15"/>
  <c r="AD29" i="16"/>
  <c r="AD15" i="16"/>
  <c r="AD59" i="17"/>
  <c r="AD49" i="17"/>
  <c r="AD36" i="17"/>
  <c r="AD46" i="18"/>
  <c r="AD34" i="18"/>
  <c r="AD58" i="4"/>
  <c r="AD49" i="4"/>
  <c r="AD41" i="4"/>
  <c r="AD33" i="4"/>
  <c r="AD17" i="4"/>
  <c r="AD60" i="15"/>
  <c r="AD44" i="15"/>
  <c r="AD32" i="15"/>
  <c r="AD19" i="15"/>
  <c r="AD15" i="15"/>
  <c r="AD21" i="16"/>
  <c r="AD58" i="17"/>
  <c r="AD55" i="17"/>
  <c r="AD38" i="17"/>
  <c r="AD35" i="17"/>
  <c r="AD44" i="19"/>
  <c r="AD21" i="19"/>
  <c r="AD61" i="4"/>
  <c r="AD48" i="4"/>
  <c r="AD32" i="4"/>
  <c r="AD25" i="4"/>
  <c r="AD16" i="4"/>
  <c r="AD59" i="15"/>
  <c r="AD43" i="15"/>
  <c r="AD50" i="16"/>
  <c r="AD47" i="16"/>
  <c r="AD54" i="17"/>
  <c r="AD34" i="17"/>
  <c r="AD31" i="17"/>
  <c r="AD15" i="17"/>
  <c r="AD21" i="18"/>
  <c r="AD20" i="19"/>
  <c r="AD17" i="19"/>
  <c r="AD60" i="4"/>
  <c r="AD38" i="4"/>
  <c r="AD49" i="15"/>
  <c r="AD27" i="15"/>
  <c r="AD21" i="15"/>
  <c r="AD17" i="15"/>
  <c r="AD46" i="16"/>
  <c r="AD43" i="16"/>
  <c r="AD19" i="16"/>
  <c r="AD30" i="17"/>
  <c r="AD27" i="17"/>
  <c r="AD18" i="17"/>
  <c r="AD50" i="18"/>
  <c r="AD47" i="18"/>
  <c r="AD49" i="19"/>
  <c r="AD16" i="19"/>
  <c r="AD15" i="19"/>
  <c r="E15" i="25"/>
  <c r="E16" i="25" s="1"/>
  <c r="E17" i="25" s="1"/>
  <c r="E18" i="25" s="1"/>
  <c r="E19" i="25" s="1"/>
  <c r="E20" i="25" s="1"/>
  <c r="E24" i="25" s="1"/>
  <c r="E25" i="25" s="1"/>
  <c r="E26" i="25" s="1"/>
  <c r="E27" i="25" s="1"/>
  <c r="E28" i="25" s="1"/>
  <c r="E29" i="25" s="1"/>
  <c r="E30" i="25" s="1"/>
  <c r="E31" i="25" s="1"/>
  <c r="E32" i="25" s="1"/>
  <c r="E33" i="25" s="1"/>
  <c r="E34" i="25" s="1"/>
  <c r="E35" i="25" s="1"/>
  <c r="E36" i="25" s="1"/>
  <c r="E37" i="25" s="1"/>
  <c r="E38" i="25" s="1"/>
  <c r="E42" i="25" s="1"/>
  <c r="E43" i="25" s="1"/>
  <c r="E44" i="25" s="1"/>
  <c r="E45" i="25" s="1"/>
  <c r="E46" i="25" s="1"/>
  <c r="E47" i="25" s="1"/>
  <c r="E48" i="25" s="1"/>
  <c r="E49" i="25" s="1"/>
  <c r="E53" i="25" s="1"/>
  <c r="E54" i="25" s="1"/>
  <c r="E55" i="25" s="1"/>
  <c r="E56" i="25" s="1"/>
  <c r="E57" i="25" s="1"/>
  <c r="E58" i="25" s="1"/>
  <c r="E59" i="25" s="1"/>
  <c r="E60" i="25" s="1"/>
  <c r="E15" i="24"/>
  <c r="E16" i="24" s="1"/>
  <c r="E17" i="24" s="1"/>
  <c r="E18" i="24" s="1"/>
  <c r="E19" i="24" s="1"/>
  <c r="E20" i="24" s="1"/>
  <c r="E24" i="24" s="1"/>
  <c r="E25" i="24" s="1"/>
  <c r="E26" i="24" s="1"/>
  <c r="E27" i="24" s="1"/>
  <c r="E28" i="24" s="1"/>
  <c r="E29" i="24" s="1"/>
  <c r="E30" i="24" s="1"/>
  <c r="E31" i="24" s="1"/>
  <c r="E32" i="24" s="1"/>
  <c r="E33" i="24" s="1"/>
  <c r="E34" i="24" s="1"/>
  <c r="E35" i="24" s="1"/>
  <c r="E36" i="24" s="1"/>
  <c r="E37" i="24" s="1"/>
  <c r="E38" i="24" s="1"/>
  <c r="E42" i="24" s="1"/>
  <c r="E43" i="24" s="1"/>
  <c r="E44" i="24" s="1"/>
  <c r="E45" i="24" s="1"/>
  <c r="E46" i="24" s="1"/>
  <c r="E47" i="24" s="1"/>
  <c r="E48" i="24" s="1"/>
  <c r="E49" i="24" s="1"/>
  <c r="E53" i="24" s="1"/>
  <c r="E54" i="24" s="1"/>
  <c r="E55" i="24" s="1"/>
  <c r="E56" i="24" s="1"/>
  <c r="E57" i="24" s="1"/>
  <c r="E58" i="24" s="1"/>
  <c r="E59" i="24" s="1"/>
  <c r="E60" i="24" s="1"/>
  <c r="AT60" i="24" l="1"/>
  <c r="AR60" i="24" s="1"/>
  <c r="AU60" i="24" s="1"/>
  <c r="AR59" i="24"/>
  <c r="AU59" i="24" s="1"/>
  <c r="AR72" i="33"/>
  <c r="AU72" i="33" s="1"/>
  <c r="AT73" i="33"/>
  <c r="AR60" i="20"/>
  <c r="AU60" i="20" s="1"/>
  <c r="AS61" i="31"/>
  <c r="AV61" i="31" s="1"/>
  <c r="AU62" i="31"/>
  <c r="AU60" i="30"/>
  <c r="AS60" i="30" s="1"/>
  <c r="AV60" i="30" s="1"/>
  <c r="AS59" i="30"/>
  <c r="AV59" i="30" s="1"/>
  <c r="AU60" i="28"/>
  <c r="AS59" i="28"/>
  <c r="AV59" i="28" s="1"/>
  <c r="AS59" i="29"/>
  <c r="AV59" i="29" s="1"/>
  <c r="AU60" i="29"/>
  <c r="AR56" i="43"/>
  <c r="AU56" i="43" s="1"/>
  <c r="AR59" i="22"/>
  <c r="AU59" i="22" s="1"/>
  <c r="AT60" i="22"/>
  <c r="AR60" i="22" s="1"/>
  <c r="AU60" i="22" s="1"/>
  <c r="AB12" i="24"/>
  <c r="AB12" i="25"/>
  <c r="AC12" i="25"/>
  <c r="AC12" i="24"/>
  <c r="E15" i="22"/>
  <c r="AT74" i="33" l="1"/>
  <c r="AR73" i="33"/>
  <c r="AU73" i="33" s="1"/>
  <c r="AS62" i="31"/>
  <c r="AV62" i="31" s="1"/>
  <c r="AU61" i="28"/>
  <c r="AS60" i="28"/>
  <c r="AV60" i="28" s="1"/>
  <c r="AU61" i="29"/>
  <c r="AS60" i="29"/>
  <c r="AV60" i="29" s="1"/>
  <c r="AD12" i="24"/>
  <c r="AD12" i="25"/>
  <c r="AR74" i="33" l="1"/>
  <c r="AU74" i="33" s="1"/>
  <c r="AT75" i="33"/>
  <c r="AU62" i="28"/>
  <c r="AS62" i="28" s="1"/>
  <c r="AV62" i="28" s="1"/>
  <c r="AS61" i="28"/>
  <c r="AV61" i="28" s="1"/>
  <c r="AS61" i="29"/>
  <c r="AV61" i="29" s="1"/>
  <c r="AU62" i="29"/>
  <c r="AS62" i="29" s="1"/>
  <c r="AV62" i="29" s="1"/>
  <c r="AR75" i="33" l="1"/>
  <c r="AU75" i="33" s="1"/>
  <c r="AT76" i="33"/>
  <c r="AT77" i="33" l="1"/>
  <c r="AR76" i="33"/>
  <c r="AU76" i="33" s="1"/>
  <c r="AA31" i="14"/>
  <c r="Z31" i="14"/>
  <c r="AA30" i="14"/>
  <c r="Z30" i="14"/>
  <c r="AA29" i="14"/>
  <c r="Z29" i="14"/>
  <c r="AT78" i="33" l="1"/>
  <c r="AR77" i="33"/>
  <c r="AU77" i="33" s="1"/>
  <c r="AB31" i="14"/>
  <c r="AB30" i="14"/>
  <c r="AB29" i="14"/>
  <c r="E16" i="22"/>
  <c r="E17" i="22" s="1"/>
  <c r="E18" i="22" s="1"/>
  <c r="E19" i="22" s="1"/>
  <c r="E20" i="22" s="1"/>
  <c r="AB12" i="22"/>
  <c r="G15" i="21"/>
  <c r="E15" i="21"/>
  <c r="E16" i="21" s="1"/>
  <c r="E17" i="21" s="1"/>
  <c r="E18" i="21" s="1"/>
  <c r="E19" i="21" s="1"/>
  <c r="E20" i="21" s="1"/>
  <c r="E24" i="21" s="1"/>
  <c r="E25" i="21" s="1"/>
  <c r="E26" i="21" s="1"/>
  <c r="E27" i="21" s="1"/>
  <c r="E28" i="21" s="1"/>
  <c r="E29" i="21" s="1"/>
  <c r="E30" i="21" s="1"/>
  <c r="E31" i="21" s="1"/>
  <c r="E32" i="21" s="1"/>
  <c r="E33" i="21" s="1"/>
  <c r="E34" i="21" s="1"/>
  <c r="E35" i="21" s="1"/>
  <c r="E36" i="21" s="1"/>
  <c r="E37" i="21" s="1"/>
  <c r="E38" i="21" s="1"/>
  <c r="E42" i="21" s="1"/>
  <c r="E43" i="21" s="1"/>
  <c r="E44" i="21" s="1"/>
  <c r="E45" i="21" s="1"/>
  <c r="E46" i="21" s="1"/>
  <c r="E47" i="21" s="1"/>
  <c r="E48" i="21" s="1"/>
  <c r="E49" i="21" s="1"/>
  <c r="E53" i="21" s="1"/>
  <c r="E54" i="21" s="1"/>
  <c r="E55" i="21" s="1"/>
  <c r="E56" i="21" s="1"/>
  <c r="E57" i="21" s="1"/>
  <c r="E58" i="21" s="1"/>
  <c r="E59" i="21" s="1"/>
  <c r="E60" i="21" s="1"/>
  <c r="G15" i="20"/>
  <c r="G16" i="20" s="1"/>
  <c r="G17" i="20" s="1"/>
  <c r="G18" i="20" s="1"/>
  <c r="G19" i="20" s="1"/>
  <c r="G20" i="20" s="1"/>
  <c r="E15" i="20"/>
  <c r="E16" i="20" s="1"/>
  <c r="E17" i="20" s="1"/>
  <c r="E18" i="20" s="1"/>
  <c r="E19" i="20" s="1"/>
  <c r="E20" i="20" s="1"/>
  <c r="E24" i="20" s="1"/>
  <c r="E25" i="20" s="1"/>
  <c r="E26" i="20" s="1"/>
  <c r="E27" i="20" s="1"/>
  <c r="E28" i="20" s="1"/>
  <c r="E29" i="20" s="1"/>
  <c r="E30" i="20" s="1"/>
  <c r="E31" i="20" s="1"/>
  <c r="E32" i="20" s="1"/>
  <c r="E33" i="20" s="1"/>
  <c r="E34" i="20" s="1"/>
  <c r="E35" i="20" s="1"/>
  <c r="E36" i="20" s="1"/>
  <c r="E37" i="20" s="1"/>
  <c r="E38" i="20" s="1"/>
  <c r="E42" i="20" s="1"/>
  <c r="E43" i="20" s="1"/>
  <c r="E44" i="20" s="1"/>
  <c r="E45" i="20" s="1"/>
  <c r="E46" i="20" s="1"/>
  <c r="E47" i="20" s="1"/>
  <c r="E48" i="20" s="1"/>
  <c r="E49" i="20" s="1"/>
  <c r="E53" i="20" s="1"/>
  <c r="E54" i="20" s="1"/>
  <c r="E55" i="20" s="1"/>
  <c r="E56" i="20" s="1"/>
  <c r="E57" i="20" s="1"/>
  <c r="E58" i="20" s="1"/>
  <c r="E59" i="20" s="1"/>
  <c r="E60" i="20" s="1"/>
  <c r="AT79" i="33" l="1"/>
  <c r="AR78" i="33"/>
  <c r="AU78" i="33" s="1"/>
  <c r="E24" i="22"/>
  <c r="E25" i="22" s="1"/>
  <c r="E26" i="22" s="1"/>
  <c r="E27" i="22" s="1"/>
  <c r="E28" i="22" s="1"/>
  <c r="E29" i="22" s="1"/>
  <c r="E30" i="22" s="1"/>
  <c r="E31" i="22" s="1"/>
  <c r="E32" i="22" s="1"/>
  <c r="E33" i="22" s="1"/>
  <c r="E34" i="22" s="1"/>
  <c r="E35" i="22" s="1"/>
  <c r="E36" i="22" s="1"/>
  <c r="E37" i="22" s="1"/>
  <c r="E38" i="22" s="1"/>
  <c r="E42" i="22" s="1"/>
  <c r="E43" i="22" s="1"/>
  <c r="E44" i="22" s="1"/>
  <c r="E45" i="22" s="1"/>
  <c r="E46" i="22" s="1"/>
  <c r="E47" i="22" s="1"/>
  <c r="E48" i="22" s="1"/>
  <c r="E49" i="22" s="1"/>
  <c r="E53" i="22" s="1"/>
  <c r="E54" i="22" s="1"/>
  <c r="E55" i="22" s="1"/>
  <c r="E56" i="22" s="1"/>
  <c r="E57" i="22" s="1"/>
  <c r="E58" i="22" s="1"/>
  <c r="E59" i="22" s="1"/>
  <c r="E60" i="22" s="1"/>
  <c r="G42" i="22"/>
  <c r="G43" i="22" s="1"/>
  <c r="G44" i="22" s="1"/>
  <c r="G45" i="22" s="1"/>
  <c r="G46" i="22" s="1"/>
  <c r="G47" i="22" s="1"/>
  <c r="G48" i="22" s="1"/>
  <c r="G49" i="22" s="1"/>
  <c r="G53" i="22" s="1"/>
  <c r="G54" i="22" s="1"/>
  <c r="G55" i="22" s="1"/>
  <c r="G56" i="22" s="1"/>
  <c r="G57" i="22" s="1"/>
  <c r="G58" i="22" s="1"/>
  <c r="G59" i="22" s="1"/>
  <c r="G60" i="22" s="1"/>
  <c r="G16" i="21"/>
  <c r="G17" i="21" s="1"/>
  <c r="G18" i="21" s="1"/>
  <c r="G19" i="21" s="1"/>
  <c r="G20" i="21" s="1"/>
  <c r="G24" i="21" s="1"/>
  <c r="G25" i="21" s="1"/>
  <c r="G26" i="21" s="1"/>
  <c r="G27" i="21" s="1"/>
  <c r="G28" i="21" s="1"/>
  <c r="G29" i="21" s="1"/>
  <c r="G30" i="21" s="1"/>
  <c r="G31" i="21" s="1"/>
  <c r="G32" i="21" s="1"/>
  <c r="G33" i="21" s="1"/>
  <c r="G34" i="21" s="1"/>
  <c r="G35" i="21" s="1"/>
  <c r="G36" i="21" s="1"/>
  <c r="G37" i="21" s="1"/>
  <c r="G38" i="21" s="1"/>
  <c r="G42" i="21" s="1"/>
  <c r="G43" i="21" s="1"/>
  <c r="G44" i="21" s="1"/>
  <c r="G45" i="21" s="1"/>
  <c r="G46" i="21" s="1"/>
  <c r="G47" i="21" s="1"/>
  <c r="G48" i="21" s="1"/>
  <c r="G49" i="21" s="1"/>
  <c r="G53" i="21" s="1"/>
  <c r="G54" i="21" s="1"/>
  <c r="G55" i="21" s="1"/>
  <c r="G56" i="21" s="1"/>
  <c r="G57" i="21" s="1"/>
  <c r="G58" i="21" s="1"/>
  <c r="G59" i="21" s="1"/>
  <c r="G60" i="21" s="1"/>
  <c r="AC12" i="22"/>
  <c r="AD12" i="22" s="1"/>
  <c r="AB12" i="20"/>
  <c r="AC12" i="20"/>
  <c r="AB12" i="21"/>
  <c r="AC12" i="21"/>
  <c r="G24" i="20"/>
  <c r="G25" i="20" s="1"/>
  <c r="G26" i="20" s="1"/>
  <c r="G27" i="20" s="1"/>
  <c r="G28" i="20" s="1"/>
  <c r="G29" i="20" s="1"/>
  <c r="G30" i="20" s="1"/>
  <c r="G31" i="20" s="1"/>
  <c r="G32" i="20" s="1"/>
  <c r="G33" i="20" s="1"/>
  <c r="G34" i="20" s="1"/>
  <c r="G35" i="20" s="1"/>
  <c r="G36" i="20" s="1"/>
  <c r="G37" i="20" s="1"/>
  <c r="G38" i="20" s="1"/>
  <c r="G42" i="20" s="1"/>
  <c r="G43" i="20" s="1"/>
  <c r="G44" i="20" s="1"/>
  <c r="G45" i="20" s="1"/>
  <c r="G46" i="20" s="1"/>
  <c r="G47" i="20" s="1"/>
  <c r="G48" i="20" s="1"/>
  <c r="G49" i="20" s="1"/>
  <c r="G53" i="20" s="1"/>
  <c r="G54" i="20" s="1"/>
  <c r="G55" i="20" s="1"/>
  <c r="G56" i="20" s="1"/>
  <c r="G57" i="20" s="1"/>
  <c r="G58" i="20" s="1"/>
  <c r="G59" i="20" s="1"/>
  <c r="G60" i="20" s="1"/>
  <c r="AR79" i="33" l="1"/>
  <c r="AU79" i="33" s="1"/>
  <c r="AT80" i="33"/>
  <c r="AD12" i="21"/>
  <c r="AD12" i="20"/>
  <c r="AT81" i="33" l="1"/>
  <c r="AR80" i="33"/>
  <c r="AU80" i="33" s="1"/>
  <c r="H52" i="19"/>
  <c r="F61" i="19"/>
  <c r="H52" i="18"/>
  <c r="F61" i="18"/>
  <c r="F61" i="17"/>
  <c r="H52" i="17"/>
  <c r="H52" i="16"/>
  <c r="F61" i="16"/>
  <c r="H52" i="15"/>
  <c r="F61" i="15"/>
  <c r="H52" i="4"/>
  <c r="F61" i="4"/>
  <c r="AR81" i="33" l="1"/>
  <c r="AU81" i="33" s="1"/>
  <c r="AT82" i="33"/>
  <c r="Y30" i="39"/>
  <c r="AA30" i="39" s="1"/>
  <c r="Y29" i="39"/>
  <c r="AA29" i="39" s="1"/>
  <c r="Y28" i="39"/>
  <c r="AA28" i="39" s="1"/>
  <c r="AR82" i="33" l="1"/>
  <c r="AU82" i="33" s="1"/>
  <c r="AT83" i="33"/>
  <c r="AB52" i="19"/>
  <c r="AC52" i="18"/>
  <c r="F56" i="19"/>
  <c r="F57" i="19"/>
  <c r="F58" i="19"/>
  <c r="F59" i="19"/>
  <c r="F60" i="19"/>
  <c r="F55" i="19"/>
  <c r="F56" i="18"/>
  <c r="F57" i="18"/>
  <c r="F58" i="18"/>
  <c r="F59" i="18"/>
  <c r="F60" i="18"/>
  <c r="F55" i="18"/>
  <c r="F56" i="17"/>
  <c r="F57" i="17"/>
  <c r="F58" i="17"/>
  <c r="F59" i="17"/>
  <c r="F60" i="17"/>
  <c r="F55" i="17"/>
  <c r="F56" i="16"/>
  <c r="F57" i="16"/>
  <c r="F58" i="16"/>
  <c r="F59" i="16"/>
  <c r="F60" i="16"/>
  <c r="F55" i="16"/>
  <c r="F56" i="15"/>
  <c r="F57" i="15"/>
  <c r="F58" i="15"/>
  <c r="F59" i="15"/>
  <c r="F60" i="15"/>
  <c r="F55" i="15"/>
  <c r="F55" i="4"/>
  <c r="F56" i="4"/>
  <c r="F57" i="4"/>
  <c r="F58" i="4"/>
  <c r="F59" i="4"/>
  <c r="F60" i="4"/>
  <c r="AT84" i="33" l="1"/>
  <c r="AR84" i="33" s="1"/>
  <c r="AU84" i="33" s="1"/>
  <c r="AR83" i="33"/>
  <c r="AU83" i="33" s="1"/>
  <c r="AC52" i="15"/>
  <c r="AC52" i="16"/>
  <c r="AB52" i="4"/>
  <c r="AB52" i="15"/>
  <c r="AC52" i="17"/>
  <c r="AB52" i="16"/>
  <c r="AC52" i="4"/>
  <c r="AB52" i="17"/>
  <c r="AC52" i="19"/>
  <c r="AD52" i="19" s="1"/>
  <c r="AB52" i="18"/>
  <c r="AD52" i="18" s="1"/>
  <c r="F50" i="19"/>
  <c r="F54" i="19"/>
  <c r="F54" i="18"/>
  <c r="F50" i="18"/>
  <c r="F54" i="17"/>
  <c r="F54" i="16"/>
  <c r="F50" i="17"/>
  <c r="F50" i="16"/>
  <c r="F50" i="15"/>
  <c r="F54" i="15"/>
  <c r="F54" i="4"/>
  <c r="F50" i="4"/>
  <c r="AD52" i="16" l="1"/>
  <c r="AD52" i="17"/>
  <c r="AD52" i="15"/>
  <c r="AD52" i="4"/>
  <c r="H41" i="19"/>
  <c r="H41" i="18"/>
  <c r="H41" i="17"/>
  <c r="H41" i="16"/>
  <c r="H41" i="15"/>
  <c r="H41" i="4"/>
  <c r="F48" i="4" l="1"/>
  <c r="F49" i="4"/>
  <c r="F47" i="19" l="1"/>
  <c r="F48" i="19"/>
  <c r="F49" i="19"/>
  <c r="F47" i="18"/>
  <c r="F48" i="18"/>
  <c r="F49" i="18"/>
  <c r="F47" i="17"/>
  <c r="F48" i="17"/>
  <c r="F49" i="17"/>
  <c r="F47" i="16"/>
  <c r="F48" i="16"/>
  <c r="F49" i="16"/>
  <c r="F47" i="15"/>
  <c r="F48" i="15"/>
  <c r="F49" i="15"/>
  <c r="F47" i="4"/>
  <c r="F43" i="19" l="1"/>
  <c r="F44" i="19"/>
  <c r="F45" i="19"/>
  <c r="F46" i="19"/>
  <c r="F43" i="18"/>
  <c r="F44" i="18"/>
  <c r="F45" i="18"/>
  <c r="F46" i="18"/>
  <c r="F43" i="17"/>
  <c r="F44" i="17"/>
  <c r="F45" i="17"/>
  <c r="F46" i="17"/>
  <c r="F43" i="16"/>
  <c r="F44" i="16"/>
  <c r="F45" i="16"/>
  <c r="F46" i="16"/>
  <c r="F43" i="15"/>
  <c r="F44" i="15"/>
  <c r="F45" i="15"/>
  <c r="F46" i="15"/>
  <c r="F43" i="4"/>
  <c r="F44" i="4"/>
  <c r="F45" i="4"/>
  <c r="F46" i="4"/>
  <c r="L55" i="3" l="1"/>
  <c r="L56" i="3"/>
  <c r="J55" i="3"/>
  <c r="J56" i="3"/>
  <c r="H55" i="3"/>
  <c r="H56" i="3"/>
  <c r="F55" i="3"/>
  <c r="F56" i="3"/>
  <c r="L13" i="3"/>
  <c r="L14" i="3"/>
  <c r="L15" i="3"/>
  <c r="L16" i="3"/>
  <c r="L17" i="3"/>
  <c r="L18" i="3"/>
  <c r="L21" i="3"/>
  <c r="L22" i="3"/>
  <c r="L23" i="3"/>
  <c r="L24" i="3"/>
  <c r="L25" i="3"/>
  <c r="L27" i="3"/>
  <c r="L30" i="3"/>
  <c r="L31" i="3"/>
  <c r="L32" i="3"/>
  <c r="L33" i="3"/>
  <c r="L34" i="3"/>
  <c r="L38" i="3"/>
  <c r="L39" i="3"/>
  <c r="L40" i="3"/>
  <c r="L42" i="3"/>
  <c r="L43" i="3"/>
  <c r="L44" i="3"/>
  <c r="L45" i="3"/>
  <c r="L46" i="3"/>
  <c r="L47" i="3"/>
  <c r="L49" i="3"/>
  <c r="L51" i="3"/>
  <c r="L52" i="3"/>
  <c r="L57" i="3"/>
  <c r="L58" i="3"/>
  <c r="L64" i="3"/>
  <c r="L65" i="3"/>
  <c r="L66" i="3"/>
  <c r="L60" i="3"/>
  <c r="L61" i="3"/>
  <c r="L62" i="3"/>
  <c r="J13" i="3"/>
  <c r="J14" i="3"/>
  <c r="J15" i="3"/>
  <c r="J16" i="3"/>
  <c r="J17" i="3"/>
  <c r="J18" i="3"/>
  <c r="J21" i="3"/>
  <c r="J22" i="3"/>
  <c r="J23" i="3"/>
  <c r="J24" i="3"/>
  <c r="J25" i="3"/>
  <c r="J27" i="3"/>
  <c r="J30" i="3"/>
  <c r="J31" i="3"/>
  <c r="J32" i="3"/>
  <c r="J33" i="3"/>
  <c r="J34" i="3"/>
  <c r="J38" i="3"/>
  <c r="J39" i="3"/>
  <c r="J40" i="3"/>
  <c r="J42" i="3"/>
  <c r="J43" i="3"/>
  <c r="J44" i="3"/>
  <c r="J45" i="3"/>
  <c r="J46" i="3"/>
  <c r="J47" i="3"/>
  <c r="J49" i="3"/>
  <c r="J51" i="3"/>
  <c r="J52" i="3"/>
  <c r="J57" i="3"/>
  <c r="J58" i="3"/>
  <c r="J64" i="3"/>
  <c r="J65" i="3"/>
  <c r="J66" i="3"/>
  <c r="J60" i="3"/>
  <c r="J61" i="3"/>
  <c r="J62" i="3"/>
  <c r="J11" i="3"/>
  <c r="H13" i="3"/>
  <c r="H14" i="3"/>
  <c r="H15" i="3"/>
  <c r="H16" i="3"/>
  <c r="H17" i="3"/>
  <c r="H18" i="3"/>
  <c r="H21" i="3"/>
  <c r="H22" i="3"/>
  <c r="H23" i="3"/>
  <c r="H24" i="3"/>
  <c r="H25" i="3"/>
  <c r="H27" i="3"/>
  <c r="H30" i="3"/>
  <c r="H31" i="3"/>
  <c r="H32" i="3"/>
  <c r="H33" i="3"/>
  <c r="H34" i="3"/>
  <c r="H38" i="3"/>
  <c r="H39" i="3"/>
  <c r="H40" i="3"/>
  <c r="H42" i="3"/>
  <c r="H43" i="3"/>
  <c r="H44" i="3"/>
  <c r="H45" i="3"/>
  <c r="H46" i="3"/>
  <c r="H47" i="3"/>
  <c r="H49" i="3"/>
  <c r="H51" i="3"/>
  <c r="H52" i="3"/>
  <c r="H57" i="3"/>
  <c r="H58" i="3"/>
  <c r="H64" i="3"/>
  <c r="H65" i="3"/>
  <c r="H66" i="3"/>
  <c r="H60" i="3"/>
  <c r="H61" i="3"/>
  <c r="H62" i="3"/>
  <c r="H11" i="3"/>
  <c r="F13" i="3"/>
  <c r="F14" i="3"/>
  <c r="F15" i="3"/>
  <c r="F16" i="3"/>
  <c r="F17" i="3"/>
  <c r="F18" i="3"/>
  <c r="F21" i="3"/>
  <c r="F22" i="3"/>
  <c r="F23" i="3"/>
  <c r="F24" i="3"/>
  <c r="F25" i="3"/>
  <c r="F27" i="3"/>
  <c r="F30" i="3"/>
  <c r="F31" i="3"/>
  <c r="F32" i="3"/>
  <c r="F33" i="3"/>
  <c r="F34" i="3"/>
  <c r="F38" i="3"/>
  <c r="F41" i="3" s="1"/>
  <c r="F39" i="3"/>
  <c r="F40" i="3"/>
  <c r="F42" i="3"/>
  <c r="F43" i="3"/>
  <c r="F44" i="3"/>
  <c r="F45" i="3"/>
  <c r="F46" i="3"/>
  <c r="F47" i="3"/>
  <c r="F49" i="3"/>
  <c r="F51" i="3"/>
  <c r="F52" i="3"/>
  <c r="F57" i="3"/>
  <c r="F58" i="3"/>
  <c r="F64" i="3"/>
  <c r="F65" i="3"/>
  <c r="F66" i="3"/>
  <c r="F60" i="3"/>
  <c r="F61" i="3"/>
  <c r="F62" i="3"/>
  <c r="F11" i="3"/>
  <c r="F63" i="3" l="1"/>
  <c r="F67" i="3"/>
  <c r="F39" i="19"/>
  <c r="F39" i="18"/>
  <c r="F39" i="17"/>
  <c r="F39" i="16"/>
  <c r="F39" i="15"/>
  <c r="F39" i="4"/>
  <c r="F38" i="19" l="1"/>
  <c r="F38" i="18"/>
  <c r="F38" i="17"/>
  <c r="F38" i="16"/>
  <c r="F38" i="15"/>
  <c r="F38" i="4"/>
  <c r="H23" i="19" l="1"/>
  <c r="H23" i="18"/>
  <c r="H23" i="17"/>
  <c r="H23" i="16"/>
  <c r="H23" i="15"/>
  <c r="H23" i="4"/>
  <c r="F37" i="4" l="1"/>
  <c r="F37" i="15"/>
  <c r="F37" i="16"/>
  <c r="F37" i="17"/>
  <c r="F37" i="18"/>
  <c r="F37" i="19"/>
  <c r="AC23" i="18" l="1"/>
  <c r="AB23" i="18"/>
  <c r="AC23" i="17"/>
  <c r="AB23" i="16"/>
  <c r="AB23" i="15"/>
  <c r="AC23" i="4" l="1"/>
  <c r="AB23" i="17"/>
  <c r="AD23" i="17" s="1"/>
  <c r="AC23" i="19"/>
  <c r="AD23" i="18"/>
  <c r="AC13" i="19"/>
  <c r="AC23" i="15"/>
  <c r="AD23" i="15" s="1"/>
  <c r="AB23" i="19"/>
  <c r="AB23" i="4"/>
  <c r="AC23" i="16"/>
  <c r="AD23" i="16" s="1"/>
  <c r="AD23" i="4" l="1"/>
  <c r="AD23" i="19"/>
  <c r="Z14" i="39"/>
  <c r="Z15" i="39"/>
  <c r="Z16" i="39"/>
  <c r="Z17" i="39"/>
  <c r="Z18" i="39"/>
  <c r="Z19" i="39"/>
  <c r="Z20" i="39"/>
  <c r="Z21" i="39"/>
  <c r="Z22" i="39"/>
  <c r="Z23" i="39"/>
  <c r="Z24" i="39"/>
  <c r="Z25" i="39"/>
  <c r="Z26" i="39"/>
  <c r="Z27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Z13" i="39"/>
  <c r="Y13" i="39"/>
  <c r="AA11" i="14"/>
  <c r="AA12" i="14"/>
  <c r="AA13" i="14"/>
  <c r="AA14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AA27" i="14"/>
  <c r="Z11" i="14"/>
  <c r="Z12" i="14"/>
  <c r="Z13" i="14"/>
  <c r="Z14" i="14"/>
  <c r="Z15" i="14"/>
  <c r="Z16" i="14"/>
  <c r="Z17" i="14"/>
  <c r="Z18" i="14"/>
  <c r="Z19" i="14"/>
  <c r="Z20" i="14"/>
  <c r="Z21" i="14"/>
  <c r="Z22" i="14"/>
  <c r="Z23" i="14"/>
  <c r="Z24" i="14"/>
  <c r="Z25" i="14"/>
  <c r="Z26" i="14"/>
  <c r="Z27" i="14"/>
  <c r="AA10" i="14"/>
  <c r="Z10" i="14"/>
  <c r="AB22" i="14" l="1"/>
  <c r="AB14" i="14"/>
  <c r="AB26" i="14"/>
  <c r="AB18" i="14"/>
  <c r="AA26" i="39"/>
  <c r="AA18" i="39"/>
  <c r="AA25" i="39"/>
  <c r="AA14" i="39"/>
  <c r="AA17" i="39"/>
  <c r="AA22" i="39"/>
  <c r="AA21" i="39"/>
  <c r="AA24" i="39"/>
  <c r="AA20" i="39"/>
  <c r="AA27" i="39"/>
  <c r="AA23" i="39"/>
  <c r="AA19" i="39"/>
  <c r="AA15" i="39"/>
  <c r="AA16" i="39"/>
  <c r="AB25" i="14"/>
  <c r="AB21" i="14"/>
  <c r="AB17" i="14"/>
  <c r="AB13" i="14"/>
  <c r="AB24" i="14"/>
  <c r="AB20" i="14"/>
  <c r="AB16" i="14"/>
  <c r="AB12" i="14"/>
  <c r="AA13" i="39"/>
  <c r="AB27" i="14"/>
  <c r="AB23" i="14"/>
  <c r="AB19" i="14"/>
  <c r="AB15" i="14"/>
  <c r="AB11" i="14"/>
  <c r="AB10" i="14"/>
  <c r="F32" i="19" l="1"/>
  <c r="F33" i="19"/>
  <c r="F34" i="19"/>
  <c r="F35" i="19"/>
  <c r="F36" i="19"/>
  <c r="F32" i="18"/>
  <c r="F33" i="18"/>
  <c r="F34" i="18"/>
  <c r="F35" i="18"/>
  <c r="F36" i="18"/>
  <c r="F32" i="17"/>
  <c r="F33" i="17"/>
  <c r="F34" i="17"/>
  <c r="F35" i="17"/>
  <c r="F36" i="17"/>
  <c r="F32" i="16"/>
  <c r="F33" i="16"/>
  <c r="F34" i="16"/>
  <c r="F35" i="16"/>
  <c r="F36" i="16"/>
  <c r="F36" i="4"/>
  <c r="F32" i="15"/>
  <c r="F33" i="15"/>
  <c r="F34" i="15"/>
  <c r="F35" i="15"/>
  <c r="F36" i="15"/>
  <c r="F32" i="4"/>
  <c r="F33" i="4"/>
  <c r="F34" i="4"/>
  <c r="F35" i="4"/>
  <c r="AB13" i="19" l="1"/>
  <c r="AD13" i="19" s="1"/>
  <c r="AC13" i="18"/>
  <c r="AB13" i="18"/>
  <c r="AC13" i="17"/>
  <c r="AB13" i="17"/>
  <c r="AC13" i="16"/>
  <c r="AB13" i="16"/>
  <c r="AC13" i="15"/>
  <c r="AB13" i="15"/>
  <c r="AB13" i="4"/>
  <c r="AC13" i="4"/>
  <c r="AD13" i="18" l="1"/>
  <c r="AD13" i="16"/>
  <c r="AD13" i="17"/>
  <c r="AD13" i="15"/>
  <c r="AD13" i="4"/>
  <c r="C33" i="42"/>
  <c r="G29" i="42"/>
  <c r="C28" i="42"/>
  <c r="G25" i="42"/>
  <c r="C23" i="42"/>
  <c r="G21" i="42"/>
  <c r="G17" i="42"/>
  <c r="C17" i="42"/>
  <c r="F27" i="19"/>
  <c r="F28" i="19"/>
  <c r="F29" i="19"/>
  <c r="F30" i="19"/>
  <c r="F31" i="19"/>
  <c r="F27" i="18"/>
  <c r="F28" i="18"/>
  <c r="F29" i="18"/>
  <c r="F30" i="18"/>
  <c r="F31" i="18"/>
  <c r="F27" i="17"/>
  <c r="F28" i="17"/>
  <c r="F29" i="17"/>
  <c r="F30" i="17"/>
  <c r="F31" i="17"/>
  <c r="F27" i="16"/>
  <c r="F28" i="16"/>
  <c r="F29" i="16"/>
  <c r="F30" i="16"/>
  <c r="F31" i="16"/>
  <c r="F27" i="15"/>
  <c r="F28" i="15"/>
  <c r="F29" i="15"/>
  <c r="F30" i="15"/>
  <c r="F31" i="15"/>
  <c r="F27" i="4"/>
  <c r="F28" i="4"/>
  <c r="F29" i="4"/>
  <c r="F30" i="4"/>
  <c r="F31" i="4"/>
  <c r="F26" i="19" l="1"/>
  <c r="F26" i="18"/>
  <c r="F26" i="17"/>
  <c r="F26" i="16"/>
  <c r="F26" i="15"/>
  <c r="F26" i="4"/>
  <c r="F25" i="18" l="1"/>
  <c r="F25" i="17"/>
  <c r="F25" i="16"/>
  <c r="F25" i="15"/>
  <c r="F25" i="4"/>
  <c r="F25" i="19"/>
  <c r="H13" i="19" l="1"/>
  <c r="H13" i="18"/>
  <c r="H13" i="17"/>
  <c r="H13" i="16"/>
  <c r="H13" i="15"/>
  <c r="H13" i="4"/>
  <c r="K24" i="2" l="1"/>
  <c r="K20" i="2"/>
  <c r="K16" i="2"/>
  <c r="G30" i="2"/>
  <c r="G26" i="2"/>
  <c r="G22" i="2"/>
  <c r="G17" i="2"/>
  <c r="C53" i="2"/>
  <c r="C47" i="2"/>
  <c r="C37" i="2"/>
  <c r="C29" i="2"/>
  <c r="C22" i="2"/>
  <c r="F16" i="19"/>
  <c r="G16" i="19" s="1"/>
  <c r="F17" i="19"/>
  <c r="F18" i="19"/>
  <c r="F19" i="19"/>
  <c r="F20" i="19"/>
  <c r="F21" i="19"/>
  <c r="F15" i="19"/>
  <c r="E16" i="19"/>
  <c r="E17" i="19" s="1"/>
  <c r="E18" i="19" s="1"/>
  <c r="E19" i="19" s="1"/>
  <c r="E20" i="19" s="1"/>
  <c r="E21" i="19" s="1"/>
  <c r="E25" i="19" s="1"/>
  <c r="E26" i="19" s="1"/>
  <c r="E27" i="19" s="1"/>
  <c r="E28" i="19" s="1"/>
  <c r="E29" i="19" s="1"/>
  <c r="E30" i="19" s="1"/>
  <c r="E31" i="19" s="1"/>
  <c r="E32" i="19" s="1"/>
  <c r="E33" i="19" s="1"/>
  <c r="E34" i="19" s="1"/>
  <c r="E35" i="19" s="1"/>
  <c r="E36" i="19" s="1"/>
  <c r="E37" i="19" s="1"/>
  <c r="E38" i="19" s="1"/>
  <c r="E39" i="19" s="1"/>
  <c r="E43" i="19" s="1"/>
  <c r="E44" i="19" s="1"/>
  <c r="E45" i="19" s="1"/>
  <c r="E46" i="19" s="1"/>
  <c r="E47" i="19" s="1"/>
  <c r="E48" i="19" s="1"/>
  <c r="E49" i="19" s="1"/>
  <c r="E50" i="19" s="1"/>
  <c r="E54" i="19" s="1"/>
  <c r="E55" i="19" s="1"/>
  <c r="E56" i="19" s="1"/>
  <c r="E57" i="19" s="1"/>
  <c r="E58" i="19" s="1"/>
  <c r="E59" i="19" s="1"/>
  <c r="E60" i="19" s="1"/>
  <c r="E61" i="19" s="1"/>
  <c r="F16" i="18"/>
  <c r="G16" i="18" s="1"/>
  <c r="F17" i="18"/>
  <c r="F18" i="18"/>
  <c r="F19" i="18"/>
  <c r="F20" i="18"/>
  <c r="F21" i="18"/>
  <c r="F15" i="18"/>
  <c r="E16" i="18"/>
  <c r="E17" i="18" s="1"/>
  <c r="E18" i="18" s="1"/>
  <c r="E19" i="18" s="1"/>
  <c r="E20" i="18" s="1"/>
  <c r="E21" i="18" s="1"/>
  <c r="E25" i="18" s="1"/>
  <c r="E26" i="18" s="1"/>
  <c r="E27" i="18" s="1"/>
  <c r="E28" i="18" s="1"/>
  <c r="E29" i="18" s="1"/>
  <c r="E30" i="18" s="1"/>
  <c r="E31" i="18" s="1"/>
  <c r="E32" i="18" s="1"/>
  <c r="E33" i="18" s="1"/>
  <c r="E34" i="18" s="1"/>
  <c r="E35" i="18" s="1"/>
  <c r="E36" i="18" s="1"/>
  <c r="E37" i="18" s="1"/>
  <c r="E38" i="18" s="1"/>
  <c r="E39" i="18" s="1"/>
  <c r="E43" i="18" s="1"/>
  <c r="E44" i="18" s="1"/>
  <c r="E45" i="18" s="1"/>
  <c r="E46" i="18" s="1"/>
  <c r="E47" i="18" s="1"/>
  <c r="E48" i="18" s="1"/>
  <c r="E49" i="18" s="1"/>
  <c r="E50" i="18" s="1"/>
  <c r="E54" i="18" s="1"/>
  <c r="E55" i="18" s="1"/>
  <c r="E56" i="18" s="1"/>
  <c r="E57" i="18" s="1"/>
  <c r="E58" i="18" s="1"/>
  <c r="E59" i="18" s="1"/>
  <c r="E60" i="18" s="1"/>
  <c r="E61" i="18" s="1"/>
  <c r="F16" i="17"/>
  <c r="G16" i="17" s="1"/>
  <c r="F17" i="17"/>
  <c r="F18" i="17"/>
  <c r="F19" i="17"/>
  <c r="F20" i="17"/>
  <c r="F21" i="17"/>
  <c r="F15" i="17"/>
  <c r="E16" i="17"/>
  <c r="E17" i="17" s="1"/>
  <c r="E18" i="17" s="1"/>
  <c r="E19" i="17" s="1"/>
  <c r="E20" i="17" s="1"/>
  <c r="E21" i="17" s="1"/>
  <c r="E25" i="17" s="1"/>
  <c r="E26" i="17" s="1"/>
  <c r="E27" i="17" s="1"/>
  <c r="E28" i="17" s="1"/>
  <c r="E29" i="17" s="1"/>
  <c r="E30" i="17" s="1"/>
  <c r="E31" i="17" s="1"/>
  <c r="E32" i="17" s="1"/>
  <c r="E33" i="17" s="1"/>
  <c r="E34" i="17" s="1"/>
  <c r="E35" i="17" s="1"/>
  <c r="E36" i="17" s="1"/>
  <c r="E37" i="17" s="1"/>
  <c r="E38" i="17" s="1"/>
  <c r="E39" i="17" s="1"/>
  <c r="E43" i="17" s="1"/>
  <c r="E44" i="17" s="1"/>
  <c r="E45" i="17" s="1"/>
  <c r="E46" i="17" s="1"/>
  <c r="E47" i="17" s="1"/>
  <c r="E48" i="17" s="1"/>
  <c r="E49" i="17" s="1"/>
  <c r="E50" i="17" s="1"/>
  <c r="E54" i="17" s="1"/>
  <c r="E55" i="17" s="1"/>
  <c r="E56" i="17" s="1"/>
  <c r="E57" i="17" s="1"/>
  <c r="E58" i="17" s="1"/>
  <c r="E59" i="17" s="1"/>
  <c r="E60" i="17" s="1"/>
  <c r="E61" i="17" s="1"/>
  <c r="F16" i="16"/>
  <c r="G16" i="16" s="1"/>
  <c r="F17" i="16"/>
  <c r="F18" i="16"/>
  <c r="F19" i="16"/>
  <c r="F20" i="16"/>
  <c r="F21" i="16"/>
  <c r="F15" i="16"/>
  <c r="E16" i="16"/>
  <c r="E17" i="16" s="1"/>
  <c r="E18" i="16" s="1"/>
  <c r="E19" i="16" s="1"/>
  <c r="E20" i="16" s="1"/>
  <c r="E21" i="16" s="1"/>
  <c r="E25" i="16" s="1"/>
  <c r="E26" i="16" s="1"/>
  <c r="E27" i="16" s="1"/>
  <c r="E28" i="16" s="1"/>
  <c r="E29" i="16" s="1"/>
  <c r="E30" i="16" s="1"/>
  <c r="E31" i="16" s="1"/>
  <c r="E32" i="16" s="1"/>
  <c r="E33" i="16" s="1"/>
  <c r="E34" i="16" s="1"/>
  <c r="E35" i="16" s="1"/>
  <c r="E36" i="16" s="1"/>
  <c r="E37" i="16" s="1"/>
  <c r="E38" i="16" s="1"/>
  <c r="E39" i="16" s="1"/>
  <c r="E43" i="16" s="1"/>
  <c r="E44" i="16" s="1"/>
  <c r="E45" i="16" s="1"/>
  <c r="E46" i="16" s="1"/>
  <c r="E47" i="16" s="1"/>
  <c r="E48" i="16" s="1"/>
  <c r="E49" i="16" s="1"/>
  <c r="E50" i="16" s="1"/>
  <c r="E54" i="16" s="1"/>
  <c r="E55" i="16" s="1"/>
  <c r="E56" i="16" s="1"/>
  <c r="E57" i="16" s="1"/>
  <c r="E58" i="16" s="1"/>
  <c r="E59" i="16" s="1"/>
  <c r="E60" i="16" s="1"/>
  <c r="E61" i="16" s="1"/>
  <c r="F16" i="15"/>
  <c r="G16" i="15" s="1"/>
  <c r="F17" i="15"/>
  <c r="F18" i="15"/>
  <c r="F19" i="15"/>
  <c r="F20" i="15"/>
  <c r="F21" i="15"/>
  <c r="F15" i="15"/>
  <c r="E16" i="15"/>
  <c r="E17" i="15" s="1"/>
  <c r="E18" i="15" s="1"/>
  <c r="E19" i="15" s="1"/>
  <c r="E20" i="15" s="1"/>
  <c r="E21" i="15" s="1"/>
  <c r="E25" i="15" s="1"/>
  <c r="E26" i="15" s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3" i="15" s="1"/>
  <c r="E44" i="15" s="1"/>
  <c r="E45" i="15" s="1"/>
  <c r="E46" i="15" s="1"/>
  <c r="E47" i="15" s="1"/>
  <c r="E48" i="15" s="1"/>
  <c r="E49" i="15" s="1"/>
  <c r="E50" i="15" s="1"/>
  <c r="E54" i="15" s="1"/>
  <c r="E55" i="15" s="1"/>
  <c r="E56" i="15" s="1"/>
  <c r="E57" i="15" s="1"/>
  <c r="E58" i="15" s="1"/>
  <c r="E59" i="15" s="1"/>
  <c r="E60" i="15" s="1"/>
  <c r="E61" i="15" s="1"/>
  <c r="F16" i="4"/>
  <c r="G16" i="4" s="1"/>
  <c r="F17" i="4"/>
  <c r="F18" i="4"/>
  <c r="F19" i="4"/>
  <c r="F20" i="4"/>
  <c r="F21" i="4"/>
  <c r="F15" i="4"/>
  <c r="E16" i="4"/>
  <c r="E17" i="4" s="1"/>
  <c r="E18" i="4" s="1"/>
  <c r="E19" i="4" s="1"/>
  <c r="E20" i="4" s="1"/>
  <c r="E21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3" i="4" s="1"/>
  <c r="E44" i="4" s="1"/>
  <c r="E45" i="4" s="1"/>
  <c r="E46" i="4" s="1"/>
  <c r="E47" i="4" s="1"/>
  <c r="E48" i="4" s="1"/>
  <c r="E49" i="4" s="1"/>
  <c r="E50" i="4" s="1"/>
  <c r="E54" i="4" s="1"/>
  <c r="E55" i="4" s="1"/>
  <c r="E56" i="4" s="1"/>
  <c r="E57" i="4" s="1"/>
  <c r="E58" i="4" s="1"/>
  <c r="E59" i="4" s="1"/>
  <c r="E60" i="4" s="1"/>
  <c r="E61" i="4" s="1"/>
  <c r="G17" i="17" l="1"/>
  <c r="G18" i="17" s="1"/>
  <c r="G19" i="17" s="1"/>
  <c r="G20" i="17" s="1"/>
  <c r="G21" i="17" s="1"/>
  <c r="G25" i="17" s="1"/>
  <c r="G26" i="17" s="1"/>
  <c r="G27" i="17" s="1"/>
  <c r="G28" i="17" s="1"/>
  <c r="G29" i="17" s="1"/>
  <c r="G30" i="17" s="1"/>
  <c r="G31" i="17" s="1"/>
  <c r="G32" i="17" s="1"/>
  <c r="G33" i="17" s="1"/>
  <c r="G34" i="17" s="1"/>
  <c r="G35" i="17" s="1"/>
  <c r="G36" i="17" s="1"/>
  <c r="G37" i="17" s="1"/>
  <c r="G38" i="17" s="1"/>
  <c r="G39" i="17" s="1"/>
  <c r="G43" i="17" s="1"/>
  <c r="G44" i="17" s="1"/>
  <c r="G45" i="17" s="1"/>
  <c r="G46" i="17" s="1"/>
  <c r="G47" i="17" s="1"/>
  <c r="G48" i="17" s="1"/>
  <c r="G49" i="17" s="1"/>
  <c r="G50" i="17" s="1"/>
  <c r="G54" i="17" s="1"/>
  <c r="G55" i="17" s="1"/>
  <c r="G56" i="17" s="1"/>
  <c r="G57" i="17" s="1"/>
  <c r="G58" i="17" s="1"/>
  <c r="G59" i="17" s="1"/>
  <c r="G60" i="17" s="1"/>
  <c r="G61" i="17" s="1"/>
  <c r="G17" i="16"/>
  <c r="G18" i="16" s="1"/>
  <c r="G19" i="16" s="1"/>
  <c r="G20" i="16" s="1"/>
  <c r="G21" i="16" s="1"/>
  <c r="G25" i="16" s="1"/>
  <c r="G26" i="16" s="1"/>
  <c r="G27" i="16" s="1"/>
  <c r="G28" i="16" s="1"/>
  <c r="G29" i="16" s="1"/>
  <c r="G30" i="16" s="1"/>
  <c r="G31" i="16" s="1"/>
  <c r="G32" i="16" s="1"/>
  <c r="G33" i="16" s="1"/>
  <c r="G34" i="16" s="1"/>
  <c r="G35" i="16" s="1"/>
  <c r="G36" i="16" s="1"/>
  <c r="G37" i="16" s="1"/>
  <c r="G38" i="16" s="1"/>
  <c r="G39" i="16" s="1"/>
  <c r="G43" i="16" s="1"/>
  <c r="G44" i="16" s="1"/>
  <c r="G45" i="16" s="1"/>
  <c r="G46" i="16" s="1"/>
  <c r="G47" i="16" s="1"/>
  <c r="G48" i="16" s="1"/>
  <c r="G49" i="16" s="1"/>
  <c r="G50" i="16" s="1"/>
  <c r="G54" i="16" s="1"/>
  <c r="G55" i="16" s="1"/>
  <c r="G56" i="16" s="1"/>
  <c r="G57" i="16" s="1"/>
  <c r="G58" i="16" s="1"/>
  <c r="G59" i="16" s="1"/>
  <c r="G60" i="16" s="1"/>
  <c r="G61" i="16" s="1"/>
  <c r="G17" i="15"/>
  <c r="G18" i="15" s="1"/>
  <c r="G19" i="15" s="1"/>
  <c r="G20" i="15" s="1"/>
  <c r="G21" i="15" s="1"/>
  <c r="G25" i="15" s="1"/>
  <c r="G26" i="15" s="1"/>
  <c r="G27" i="15" s="1"/>
  <c r="G28" i="15" s="1"/>
  <c r="G29" i="15" s="1"/>
  <c r="G30" i="15" s="1"/>
  <c r="G31" i="15" s="1"/>
  <c r="G32" i="15" s="1"/>
  <c r="G33" i="15" s="1"/>
  <c r="G34" i="15" s="1"/>
  <c r="G35" i="15" s="1"/>
  <c r="G36" i="15" s="1"/>
  <c r="G37" i="15" s="1"/>
  <c r="G38" i="15" s="1"/>
  <c r="G39" i="15" s="1"/>
  <c r="G43" i="15" s="1"/>
  <c r="G44" i="15" s="1"/>
  <c r="G45" i="15" s="1"/>
  <c r="G46" i="15" s="1"/>
  <c r="G47" i="15" s="1"/>
  <c r="G48" i="15" s="1"/>
  <c r="G49" i="15" s="1"/>
  <c r="G50" i="15" s="1"/>
  <c r="G54" i="15" s="1"/>
  <c r="G55" i="15" s="1"/>
  <c r="G56" i="15" s="1"/>
  <c r="G57" i="15" s="1"/>
  <c r="G58" i="15" s="1"/>
  <c r="G59" i="15" s="1"/>
  <c r="G60" i="15" s="1"/>
  <c r="G61" i="15" s="1"/>
  <c r="G17" i="19"/>
  <c r="G18" i="19" s="1"/>
  <c r="G19" i="19" s="1"/>
  <c r="G20" i="19" s="1"/>
  <c r="G21" i="19" s="1"/>
  <c r="G25" i="19" s="1"/>
  <c r="G26" i="19" s="1"/>
  <c r="G27" i="19" s="1"/>
  <c r="G28" i="19" s="1"/>
  <c r="G29" i="19" s="1"/>
  <c r="G30" i="19" s="1"/>
  <c r="G31" i="19" s="1"/>
  <c r="G32" i="19" s="1"/>
  <c r="G33" i="19" s="1"/>
  <c r="G34" i="19" s="1"/>
  <c r="G35" i="19" s="1"/>
  <c r="G36" i="19" s="1"/>
  <c r="G37" i="19" s="1"/>
  <c r="G38" i="19" s="1"/>
  <c r="G39" i="19" s="1"/>
  <c r="G43" i="19" s="1"/>
  <c r="G44" i="19" s="1"/>
  <c r="G45" i="19" s="1"/>
  <c r="G46" i="19" s="1"/>
  <c r="G47" i="19" s="1"/>
  <c r="G48" i="19" s="1"/>
  <c r="G49" i="19" s="1"/>
  <c r="G50" i="19" s="1"/>
  <c r="G54" i="19" s="1"/>
  <c r="G55" i="19" s="1"/>
  <c r="G56" i="19" s="1"/>
  <c r="G57" i="19" s="1"/>
  <c r="G58" i="19" s="1"/>
  <c r="G59" i="19" s="1"/>
  <c r="G60" i="19" s="1"/>
  <c r="G61" i="19" s="1"/>
  <c r="G17" i="18"/>
  <c r="G18" i="18" s="1"/>
  <c r="G19" i="18" s="1"/>
  <c r="G20" i="18" s="1"/>
  <c r="G21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3" i="18" s="1"/>
  <c r="G44" i="18" s="1"/>
  <c r="G45" i="18" s="1"/>
  <c r="G46" i="18" s="1"/>
  <c r="G47" i="18" s="1"/>
  <c r="G48" i="18" s="1"/>
  <c r="G49" i="18" s="1"/>
  <c r="G50" i="18" s="1"/>
  <c r="G54" i="18" s="1"/>
  <c r="G55" i="18" s="1"/>
  <c r="G56" i="18" s="1"/>
  <c r="G57" i="18" s="1"/>
  <c r="G58" i="18" s="1"/>
  <c r="G59" i="18" s="1"/>
  <c r="G60" i="18" s="1"/>
  <c r="G61" i="18" s="1"/>
  <c r="G17" i="4"/>
  <c r="G18" i="4" s="1"/>
  <c r="G19" i="4" s="1"/>
  <c r="G20" i="4" s="1"/>
  <c r="G21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3" i="4" s="1"/>
  <c r="G44" i="4" s="1"/>
  <c r="G45" i="4" s="1"/>
  <c r="G46" i="4" s="1"/>
  <c r="G47" i="4" s="1"/>
  <c r="G48" i="4" s="1"/>
  <c r="G49" i="4" s="1"/>
  <c r="G50" i="4" s="1"/>
  <c r="G54" i="4" s="1"/>
  <c r="G55" i="4" s="1"/>
  <c r="G56" i="4" s="1"/>
  <c r="G57" i="4" s="1"/>
  <c r="G58" i="4" s="1"/>
  <c r="G59" i="4" s="1"/>
  <c r="G60" i="4" s="1"/>
  <c r="G6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tc={39205839-95D4-4684-B0EE-2134B8DB351F}</author>
    <author>tc={BD0089A7-0912-46BA-B320-F0F11E727279}</author>
    <author>tc={4104C919-09CC-49CF-A9B9-0AE052165595}</author>
    <author>tc={7F7D14C1-4034-4BA3-8879-4BCD541FFD51}</author>
    <author>tc={417D02B7-00EE-42A1-B3EE-0BA25D66BE00}</author>
    <author>tc={5F7128A1-E083-4053-902A-0A34CD828B27}</author>
    <author>tc={F7F1C9FD-42E8-4445-B90A-C7C5FC0A69DC}</author>
    <author>tc={B7646292-6E8E-4EE4-BDA6-897DEB1E39B3}</author>
    <author>tc={2803E5D1-DCCE-4078-BDC1-508C891D2F32}</author>
    <author>tc={F8E6BE8F-AD21-4E59-B7F0-6D2A960CA63C}</author>
    <author>tc={93291B57-FA09-483C-BBED-A5C72DED6B4A}</author>
    <author>tc={9A703965-F2ED-4DD7-A213-F8A745588073}</author>
    <author>tc={132AA673-2DE7-44C4-832A-3E2E9B13C6F2}</author>
    <author>tc={FFA7000E-C175-4265-BC88-1F5BCB98588A}</author>
    <author>tc={C1250324-F166-4726-A0E2-3E218AD83E20}</author>
    <author>tc={054918DE-0384-4250-8FFC-B55480D6E0E6}</author>
    <author>tc={08C99E68-5E6B-44B8-A9DE-521657112847}</author>
    <author>tc={8F173D17-44B0-4D8D-B150-E76F5707F68B}</author>
    <author>tc={70DA9C47-08FD-4C71-987B-0BDA81AE297B}</author>
    <author>tc={167E751D-C543-429C-B35D-051B04C72C44}</author>
    <author>tc={46985881-155F-4F80-A8D0-A2BA58D848DB}</author>
  </authors>
  <commentList>
    <comment ref="R45" authorId="0" shapeId="0" xr:uid="{39205839-95D4-4684-B0EE-2134B8DB351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S45" authorId="1" shapeId="0" xr:uid="{BD0089A7-0912-46BA-B320-F0F11E72727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T45" authorId="2" shapeId="0" xr:uid="{4104C919-09CC-49CF-A9B9-0AE05216559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U45" authorId="3" shapeId="0" xr:uid="{7F7D14C1-4034-4BA3-8879-4BCD541FFD51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V45" authorId="4" shapeId="0" xr:uid="{417D02B7-00EE-42A1-B3EE-0BA25D66BE00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W45" authorId="5" shapeId="0" xr:uid="{5F7128A1-E083-4053-902A-0A34CD828B27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X45" authorId="6" shapeId="0" xr:uid="{F7F1C9FD-42E8-4445-B90A-C7C5FC0A69D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R46" authorId="7" shapeId="0" xr:uid="{B7646292-6E8E-4EE4-BDA6-897DEB1E39B3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S46" authorId="8" shapeId="0" xr:uid="{2803E5D1-DCCE-4078-BDC1-508C891D2F3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T46" authorId="9" shapeId="0" xr:uid="{F8E6BE8F-AD21-4E59-B7F0-6D2A960CA63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U46" authorId="10" shapeId="0" xr:uid="{93291B57-FA09-483C-BBED-A5C72DED6B4A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V46" authorId="11" shapeId="0" xr:uid="{9A703965-F2ED-4DD7-A213-F8A745588073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W46" authorId="12" shapeId="0" xr:uid="{132AA673-2DE7-44C4-832A-3E2E9B13C6F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X46" authorId="13" shapeId="0" xr:uid="{FFA7000E-C175-4265-BC88-1F5BCB98588A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R47" authorId="14" shapeId="0" xr:uid="{C1250324-F166-4726-A0E2-3E218AD83E20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S47" authorId="15" shapeId="0" xr:uid="{054918DE-0384-4250-8FFC-B55480D6E0E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T47" authorId="16" shapeId="0" xr:uid="{08C99E68-5E6B-44B8-A9DE-521657112847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U47" authorId="17" shapeId="0" xr:uid="{8F173D17-44B0-4D8D-B150-E76F5707F68B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V47" authorId="18" shapeId="0" xr:uid="{70DA9C47-08FD-4C71-987B-0BDA81AE297B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W47" authorId="19" shapeId="0" xr:uid="{167E751D-C543-429C-B35D-051B04C72C44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X47" authorId="20" shapeId="0" xr:uid="{46985881-155F-4F80-A8D0-A2BA58D848DB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tc={A7C90662-5F79-4DFE-BCDE-39D8748A231E}</author>
  </authors>
  <commentList>
    <comment ref="O15" authorId="0" shapeId="0" xr:uid="{A7C90662-5F79-4DFE-BCDE-39D8748A231E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came from above calibration curve</t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tc={C02D443E-F11E-4C0A-88FB-BD6D279E72E0}</author>
    <author>tc={8DE120CB-ECA6-4027-B89C-3B9D7AA096CB}</author>
  </authors>
  <commentList>
    <comment ref="O15" authorId="0" shapeId="0" xr:uid="{C02D443E-F11E-4C0A-88FB-BD6D279E72E0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came from way above the curve</t>
      </text>
    </comment>
    <comment ref="O28" authorId="1" shapeId="0" xr:uid="{8DE120CB-ECA6-4027-B89C-3B9D7AA096CB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came from above the curve</t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tc={9B5A00FE-9A3C-44E9-85C4-9EE1EFC8FC1F}</author>
    <author>tc={45888B11-DF41-4890-80A8-BFC98D4C9A37}</author>
    <author>tc={0000B7EF-0B09-4A9A-969E-A6FE5B74B0B1}</author>
    <author>tc={2ECE7566-133B-4A6E-8030-63A707419F0A}</author>
  </authors>
  <commentList>
    <comment ref="L43" authorId="0" shapeId="0" xr:uid="{9B5A00FE-9A3C-44E9-85C4-9EE1EFC8FC1F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sample not run on 8_18? Not sure where the NO3 and SO4 data came from</t>
      </text>
    </comment>
    <comment ref="O43" authorId="1" shapeId="0" xr:uid="{45888B11-DF41-4890-80A8-BFC98D4C9A37}">
      <text>
        <t>[Threaded comment]
Your version of Excel allows you to read this threaded comment; however, any edits to it will get removed if the file is opened in a newer version of Excel. Learn more: https://go.microsoft.com/fwlink/?linkid=870924
Comment:
    Can't find data</t>
      </text>
    </comment>
    <comment ref="O44" authorId="2" shapeId="0" xr:uid="{0000B7EF-0B09-4A9A-969E-A6FE5B74B0B1}">
      <text>
        <t>[Threaded comment]
Your version of Excel allows you to read this threaded comment; however, any edits to it will get removed if the file is opened in a newer version of Excel. Learn more: https://go.microsoft.com/fwlink/?linkid=870924
Comment:
    Can't find data</t>
      </text>
    </comment>
    <comment ref="O45" authorId="3" shapeId="0" xr:uid="{2ECE7566-133B-4A6E-8030-63A707419F0A}">
      <text>
        <t>[Threaded comment]
Your version of Excel allows you to read this threaded comment; however, any edits to it will get removed if the file is opened in a newer version of Excel. Learn more: https://go.microsoft.com/fwlink/?linkid=870924
Comment:
    Can't find data</t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tc={E1A2AB2D-C27C-4D43-8B19-2CE8FB4E642E}</author>
    <author>tc={564DE395-5D75-4E41-98A3-C36F885975F2}</author>
    <author>tc={D6B762B8-12ED-4515-98CE-91629BD0779C}</author>
    <author>tc={200FCD53-D337-4470-9863-A8DE9930DE9B}</author>
    <author>tc={61757BC4-696C-4320-945F-8923AD6745EA}</author>
  </authors>
  <commentList>
    <comment ref="N14" authorId="0" shapeId="0" xr:uid="{E1A2AB2D-C27C-4D43-8B19-2CE8FB4E642E}">
      <text>
        <t>[Threaded comment]
Your version of Excel allows you to read this threaded comment; however, any edits to it will get removed if the file is opened in a newer version of Excel. Learn more: https://go.microsoft.com/fwlink/?linkid=870924
Comment:
    these values were taken from above the calibration curve.</t>
      </text>
    </comment>
    <comment ref="N15" authorId="1" shapeId="0" xr:uid="{564DE395-5D75-4E41-98A3-C36F885975F2}">
      <text>
        <t>[Threaded comment]
Your version of Excel allows you to read this threaded comment; however, any edits to it will get removed if the file is opened in a newer version of Excel. Learn more: https://go.microsoft.com/fwlink/?linkid=870924
Comment:
    these values were taken from well above the calibration curve. Nothing we can do about it now.</t>
      </text>
    </comment>
    <comment ref="N16" authorId="2" shapeId="0" xr:uid="{D6B762B8-12ED-4515-98CE-91629BD0779C}">
      <text>
        <t>[Threaded comment]
Your version of Excel allows you to read this threaded comment; however, any edits to it will get removed if the file is opened in a newer version of Excel. Learn more: https://go.microsoft.com/fwlink/?linkid=870924
Comment:
    these values were taken from well above the calibration curve. Nothing we can do about it now.</t>
      </text>
    </comment>
    <comment ref="N17" authorId="3" shapeId="0" xr:uid="{200FCD53-D337-4470-9863-A8DE9930DE9B}">
      <text>
        <t>[Threaded comment]
Your version of Excel allows you to read this threaded comment; however, any edits to it will get removed if the file is opened in a newer version of Excel. Learn more: https://go.microsoft.com/fwlink/?linkid=870924
Comment:
    these values were taken from well above the calibration curve. Nothing we can do about it now.</t>
      </text>
    </comment>
    <comment ref="N18" authorId="4" shapeId="0" xr:uid="{61757BC4-696C-4320-945F-8923AD6745EA}">
      <text>
        <t>[Threaded comment]
Your version of Excel allows you to read this threaded comment; however, any edits to it will get removed if the file is opened in a newer version of Excel. Learn more: https://go.microsoft.com/fwlink/?linkid=870924
Comment:
    these values were taken from well above the calibration curve. Nothing we can do about it now.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tc={FBB32AEB-0B4D-43D0-BFA7-1D1E8A181D50}</author>
    <author>tc={C03C4BF3-6182-45DC-BF51-815D457D7D7D}</author>
    <author>tc={395120FB-727B-4FEC-A325-A96ED6D7E63E}</author>
    <author>tc={03AFD567-7CB5-4541-B3BA-F0077FBA1DE1}</author>
    <author>tc={CA5A0526-A7E9-456D-AC2E-504BDC94B628}</author>
    <author>tc={18BD71D1-3201-4FA9-A177-FDAA655D46E7}</author>
    <author>tc={A62890C6-F5F0-4C09-96DC-9BD705A2EF05}</author>
    <author>tc={141936DB-87CA-4692-B2AF-0B0947F49234}</author>
    <author>tc={AA8D3912-5912-4BBF-A177-60D97FE1D3C3}</author>
    <author>tc={2C94785B-8CCD-415D-AB11-A2BB42B4B866}</author>
    <author>tc={DBD2FE19-C22A-4EB9-88C8-EFC643FC8BE4}</author>
    <author>tc={8CF9C54F-138F-4FD2-A342-C6F53C019A4F}</author>
    <author>tc={38271080-4241-4965-8F7C-4281F5FA26A1}</author>
    <author>tc={F0F8D082-5BD8-429F-833E-F40B220118A6}</author>
    <author>tc={2B43954F-CD67-4768-ABAA-3DAC2FF4292C}</author>
    <author>tc={E527B23B-3B85-4ECF-8FFA-A56FCBD63822}</author>
    <author>tc={0F50EF75-FD18-45FE-9C1A-1735F72B5F36}</author>
    <author>tc={4888A5ED-EDCB-4B03-BD8A-C8A105F905BF}</author>
    <author>tc={3E139576-910A-462A-A8DB-BC785A17B6DA}</author>
    <author>tc={7C2BC89A-8B84-47AB-8DA1-24F5C556A42B}</author>
    <author>tc={13F3436D-1F28-48BB-ADBB-17D69788B788}</author>
    <author>tc={B64CCA1C-05C9-4F71-AA90-CCC81496BF44}</author>
    <author>tc={AF380D5F-CEC0-487E-B443-6FCCD50DE605}</author>
    <author>tc={C157320F-08A9-4746-8BE2-8155E0711F8D}</author>
    <author>tc={A819086A-538F-48AA-B20F-80F1DC0329CF}</author>
    <author>tc={08B96EBC-1F8E-4511-95C0-F7FA203F8FD6}</author>
    <author>tc={CD1D98FA-08BD-4CA8-B3D3-20A851DCD497}</author>
    <author>tc={114588C8-EDBF-406E-95F8-9E8E43890904}</author>
    <author>tc={FB10ED86-21ED-4AD0-A3BA-10BF3E314B40}</author>
    <author>tc={90470E6B-ABBE-4A7D-AE98-82A5B2D74C4E}</author>
    <author>tc={25B1D1A4-8F3D-4408-ABF6-86D5C66A472C}</author>
    <author>tc={E12FA93C-5713-4805-BCDB-2E7CDB38F56F}</author>
    <author>tc={2C140551-52B9-47C0-AEBE-CEBC34FBD032}</author>
  </authors>
  <commentList>
    <comment ref="F28" authorId="0" shapeId="0" xr:uid="{FBB32AEB-0B4D-43D0-BFA7-1D1E8A181D50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run</t>
      </text>
    </comment>
    <comment ref="F29" authorId="1" shapeId="0" xr:uid="{C03C4BF3-6182-45DC-BF51-815D457D7D7D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run</t>
      </text>
    </comment>
    <comment ref="F30" authorId="2" shapeId="0" xr:uid="{395120FB-727B-4FEC-A325-A96ED6D7E63E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run</t>
      </text>
    </comment>
    <comment ref="D50" authorId="3" shapeId="0" xr:uid="{03AFD567-7CB5-4541-B3BA-F0077FBA1DE1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E50" authorId="4" shapeId="0" xr:uid="{CA5A0526-A7E9-456D-AC2E-504BDC94B628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D52" authorId="5" shapeId="0" xr:uid="{18BD71D1-3201-4FA9-A177-FDAA655D46E7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E52" authorId="6" shapeId="0" xr:uid="{A62890C6-F5F0-4C09-96DC-9BD705A2EF0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R55" authorId="7" shapeId="0" xr:uid="{141936DB-87CA-4692-B2AF-0B0947F49234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S55" authorId="8" shapeId="0" xr:uid="{AA8D3912-5912-4BBF-A177-60D97FE1D3C3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T55" authorId="9" shapeId="0" xr:uid="{2C94785B-8CCD-415D-AB11-A2BB42B4B86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U55" authorId="10" shapeId="0" xr:uid="{DBD2FE19-C22A-4EB9-88C8-EFC643FC8BE4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V55" authorId="11" shapeId="0" xr:uid="{8CF9C54F-138F-4FD2-A342-C6F53C019A4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W55" authorId="12" shapeId="0" xr:uid="{38271080-4241-4965-8F7C-4281F5FA26A1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R56" authorId="13" shapeId="0" xr:uid="{F0F8D082-5BD8-429F-833E-F40B220118A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S56" authorId="14" shapeId="0" xr:uid="{2B43954F-CD67-4768-ABAA-3DAC2FF4292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T56" authorId="15" shapeId="0" xr:uid="{E527B23B-3B85-4ECF-8FFA-A56FCBD6382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U56" authorId="16" shapeId="0" xr:uid="{0F50EF75-FD18-45FE-9C1A-1735F72B5F3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V56" authorId="17" shapeId="0" xr:uid="{4888A5ED-EDCB-4B03-BD8A-C8A105F905B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W56" authorId="18" shapeId="0" xr:uid="{3E139576-910A-462A-A8DB-BC785A17B6DA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R57" authorId="19" shapeId="0" xr:uid="{7C2BC89A-8B84-47AB-8DA1-24F5C556A42B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S57" authorId="20" shapeId="0" xr:uid="{13F3436D-1F28-48BB-ADBB-17D69788B788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T57" authorId="21" shapeId="0" xr:uid="{B64CCA1C-05C9-4F71-AA90-CCC81496BF44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U57" authorId="22" shapeId="0" xr:uid="{AF380D5F-CEC0-487E-B443-6FCCD50DE60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V57" authorId="23" shapeId="0" xr:uid="{C157320F-08A9-4746-8BE2-8155E0711F8D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W57" authorId="24" shapeId="0" xr:uid="{A819086A-538F-48AA-B20F-80F1DC0329C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D58" authorId="25" shapeId="0" xr:uid="{08B96EBC-1F8E-4511-95C0-F7FA203F8FD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E58" authorId="26" shapeId="0" xr:uid="{CD1D98FA-08BD-4CA8-B3D3-20A851DCD497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R58" authorId="27" shapeId="0" xr:uid="{114588C8-EDBF-406E-95F8-9E8E43890904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S58" authorId="28" shapeId="0" xr:uid="{FB10ED86-21ED-4AD0-A3BA-10BF3E314B40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T58" authorId="29" shapeId="0" xr:uid="{90470E6B-ABBE-4A7D-AE98-82A5B2D74C4E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U58" authorId="30" shapeId="0" xr:uid="{25B1D1A4-8F3D-4408-ABF6-86D5C66A472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V58" authorId="31" shapeId="0" xr:uid="{E12FA93C-5713-4805-BCDB-2E7CDB38F56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W58" authorId="32" shapeId="0" xr:uid="{2C140551-52B9-47C0-AEBE-CEBC34FBD03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tc={09FA25B7-BBD4-41ED-9313-DA6752DEA40A}</author>
    <author>tc={577489C1-EFA2-4D45-94B7-887253473FC6}</author>
    <author>tc={205E5F41-2AF0-4B8D-995D-578256BCC8B5}</author>
    <author>tc={D23AFE21-2523-411E-B9C0-0D63B5EB70D8}</author>
    <author>tc={BB3E36B2-9E15-4496-9661-2EC8AA2DFCED}</author>
    <author>tc={BDEEB571-6BF7-4B2C-88AD-4FC1D9F3C4C8}</author>
    <author>tc={CCE40AB5-45AC-4A95-BE67-9D3B126DC5CC}</author>
    <author>tc={5E272598-2769-490C-BB22-AE0966A534D6}</author>
    <author>tc={DD98EF40-6883-4447-B015-2FA077772730}</author>
    <author>tc={C8FB9995-D67D-4CC4-9EB9-B00B1F1D8AD1}</author>
  </authors>
  <commentList>
    <comment ref="C43" authorId="0" shapeId="0" xr:uid="{09FA25B7-BBD4-41ED-9313-DA6752DEA40A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D43" authorId="1" shapeId="0" xr:uid="{577489C1-EFA2-4D45-94B7-887253473FC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C45" authorId="2" shapeId="0" xr:uid="{205E5F41-2AF0-4B8D-995D-578256BCC8B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D45" authorId="3" shapeId="0" xr:uid="{D23AFE21-2523-411E-B9C0-0D63B5EB70D8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in log book</t>
      </text>
    </comment>
    <comment ref="Q61" authorId="4" shapeId="0" xr:uid="{BB3E36B2-9E15-4496-9661-2EC8AA2DFCED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R61" authorId="5" shapeId="0" xr:uid="{BDEEB571-6BF7-4B2C-88AD-4FC1D9F3C4C8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S61" authorId="6" shapeId="0" xr:uid="{CCE40AB5-45AC-4A95-BE67-9D3B126DC5C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T61" authorId="7" shapeId="0" xr:uid="{5E272598-2769-490C-BB22-AE0966A534D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U61" authorId="8" shapeId="0" xr:uid="{DD98EF40-6883-4447-B015-2FA077772730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  <comment ref="V61" authorId="9" shapeId="0" xr:uid="{C8FB9995-D67D-4CC4-9EB9-B00B1F1D8AD1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 found. Samples not run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tc={CCA51213-16B7-417A-8374-2B70271C644C}</author>
    <author>tc={04CCE5A8-1CA6-4141-850E-78BD134681E0}</author>
  </authors>
  <commentList>
    <comment ref="N14" authorId="0" shapeId="0" xr:uid="{CCA51213-16B7-417A-8374-2B70271C644C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came from above calibration curve</t>
      </text>
    </comment>
    <comment ref="M36" authorId="1" shapeId="0" xr:uid="{04CCE5A8-1CA6-4141-850E-78BD134681E0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sample was run 3 times with nearly the same results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tc={3CD9F1D5-1327-4E06-A565-986E578FDA8C}</author>
  </authors>
  <commentList>
    <comment ref="N14" authorId="0" shapeId="0" xr:uid="{3CD9F1D5-1327-4E06-A565-986E578FDA8C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came from above calibration curve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tc={DDA9CC8E-E304-4C2C-8ED6-380DFCBFE93D}</author>
  </authors>
  <commentList>
    <comment ref="N14" authorId="0" shapeId="0" xr:uid="{DDA9CC8E-E304-4C2C-8ED6-380DFCBFE93D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came from above calibration curve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tc={98743D42-F625-4E7D-ADDB-CF3F9565A09F}</author>
    <author>tc={79F15545-3D15-4DE7-9D20-E784000121AB}</author>
    <author>tc={A6458531-1194-410D-B8D0-8D9733CD609A}</author>
  </authors>
  <commentList>
    <comment ref="M37" authorId="0" shapeId="0" xr:uid="{98743D42-F625-4E7D-ADDB-CF3F9565A09F}">
      <text>
        <t>[Threaded comment]
Your version of Excel allows you to read this threaded comment; however, any edits to it will get removed if the file is opened in a newer version of Excel. Learn more: https://go.microsoft.com/fwlink/?linkid=870924
Comment:
    couldn't find the data to reprocess. Leave as is.</t>
      </text>
    </comment>
    <comment ref="P37" authorId="1" shapeId="0" xr:uid="{79F15545-3D15-4DE7-9D20-E784000121AB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confirmed against data file. No re-run data found.</t>
      </text>
    </comment>
    <comment ref="Z37" authorId="2" shapeId="0" xr:uid="{A6458531-1194-410D-B8D0-8D9733CD609A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confirmed against data file. No re-run data found.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tc={120171A0-5F2B-4762-85C9-C5F5DD06690F}</author>
    <author>Bradley, Michael (CONTR)</author>
  </authors>
  <commentList>
    <comment ref="O15" authorId="0" shapeId="0" xr:uid="{120171A0-5F2B-4762-85C9-C5F5DD06690F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came from above calibration curve</t>
      </text>
    </comment>
    <comment ref="K29" authorId="1" shapeId="0" xr:uid="{4CAC9162-238A-40D5-A7FB-37E907BE621D}">
      <text>
        <r>
          <rPr>
            <b/>
            <sz val="9"/>
            <color indexed="81"/>
            <rFont val="Tahoma"/>
            <family val="2"/>
          </rPr>
          <t>Bradley, Michael (CONTR):</t>
        </r>
        <r>
          <rPr>
            <sz val="9"/>
            <color indexed="81"/>
            <rFont val="Tahoma"/>
            <family val="2"/>
          </rPr>
          <t xml:space="preserve">
AT100 didn't stir the sample. A small amount of H2SO4 was added then reanalyzed. Result ismost likely ~10mg/L low. KT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tc={22D89F42-367C-48D7-A239-D21FB5A1D5B6}</author>
  </authors>
  <commentList>
    <comment ref="O15" authorId="0" shapeId="0" xr:uid="{22D89F42-367C-48D7-A239-D21FB5A1D5B6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came from above calibration curve</t>
      </text>
    </comment>
  </commentList>
</comments>
</file>

<file path=xl/sharedStrings.xml><?xml version="1.0" encoding="utf-8"?>
<sst xmlns="http://schemas.openxmlformats.org/spreadsheetml/2006/main" count="2302" uniqueCount="384">
  <si>
    <t>(g)</t>
  </si>
  <si>
    <t>Sample</t>
  </si>
  <si>
    <t>Mass</t>
  </si>
  <si>
    <t>U</t>
  </si>
  <si>
    <t>Mo</t>
  </si>
  <si>
    <t>(mg/L)</t>
  </si>
  <si>
    <t>(mL)</t>
  </si>
  <si>
    <t>Volume</t>
  </si>
  <si>
    <t xml:space="preserve">Column conditions: </t>
  </si>
  <si>
    <t>Test No.</t>
  </si>
  <si>
    <t>Date</t>
  </si>
  <si>
    <t>PV</t>
  </si>
  <si>
    <t>Cum. Vol</t>
  </si>
  <si>
    <t>Actual PV</t>
  </si>
  <si>
    <t>pH</t>
  </si>
  <si>
    <t>Sp. Conductance</t>
  </si>
  <si>
    <t>Alkalinity</t>
  </si>
  <si>
    <t>DOC</t>
  </si>
  <si>
    <t>SO4</t>
  </si>
  <si>
    <t>Mg</t>
  </si>
  <si>
    <t>Ca</t>
  </si>
  <si>
    <t>Na</t>
  </si>
  <si>
    <t>Fe</t>
  </si>
  <si>
    <t>Mn</t>
  </si>
  <si>
    <t>K</t>
  </si>
  <si>
    <t>V</t>
  </si>
  <si>
    <t>Comments</t>
  </si>
  <si>
    <t>Charge Balance</t>
  </si>
  <si>
    <t>(mg/L as CaCO3)</t>
  </si>
  <si>
    <t>Notes</t>
  </si>
  <si>
    <t>NO3</t>
  </si>
  <si>
    <t>Cl</t>
  </si>
  <si>
    <t>Source tank pH (measured prior to pump start)</t>
  </si>
  <si>
    <t>DAILY Source Tank pH</t>
  </si>
  <si>
    <t>* = CO2 bubbled to decrease pH, pH recorded was pH of influent</t>
  </si>
  <si>
    <t>19-20</t>
  </si>
  <si>
    <t>17-18</t>
  </si>
  <si>
    <t>15-16</t>
  </si>
  <si>
    <t>13-14</t>
  </si>
  <si>
    <t>18-19</t>
  </si>
  <si>
    <t>16-17</t>
  </si>
  <si>
    <t>14-15</t>
  </si>
  <si>
    <t>20-20.5</t>
  </si>
  <si>
    <t>23-24</t>
  </si>
  <si>
    <t>21-22</t>
  </si>
  <si>
    <t xml:space="preserve">Grand Junction Column Testing </t>
  </si>
  <si>
    <t>Grand Junction Office Site Column Testing</t>
  </si>
  <si>
    <t>SiO2</t>
  </si>
  <si>
    <t>Se</t>
  </si>
  <si>
    <t>Sr</t>
  </si>
  <si>
    <t>Influent Water Baseline Results</t>
  </si>
  <si>
    <t>Fe 2+</t>
  </si>
  <si>
    <t>Time</t>
  </si>
  <si>
    <t>Gunnison River</t>
  </si>
  <si>
    <t>Influent water: GJO Well 106 obtained 1/10/19</t>
  </si>
  <si>
    <t>Influent water: Gunnison River obtained 1/10/19</t>
  </si>
  <si>
    <t>Influent water: GJO Well 110 obtained 1/10/19</t>
  </si>
  <si>
    <t>Influent water: GJO Well 120 obtained 1/10/19</t>
  </si>
  <si>
    <t>Influent water: GJO Well 121 obtained 1/10/19</t>
  </si>
  <si>
    <t>Grand Junction Cores and Column Sediment 5% Nitric Acid extractions</t>
  </si>
  <si>
    <t>GJ 106 10-12.5'</t>
  </si>
  <si>
    <t>GJ 106 12.5-14.5'</t>
  </si>
  <si>
    <t>GJ 106 14.5-16.5'</t>
  </si>
  <si>
    <t>All sediment air dried and sieved to &lt;2mm</t>
  </si>
  <si>
    <t>Extracted following ESL procedure CB(BT-1)</t>
  </si>
  <si>
    <t>GJ 107 10.5-11.5'</t>
  </si>
  <si>
    <t>GJ 107 11.5-13.5'</t>
  </si>
  <si>
    <t>GJ 108 10-11'</t>
  </si>
  <si>
    <t>GJ 108 11-15'</t>
  </si>
  <si>
    <t>GJ 116 12-15'</t>
  </si>
  <si>
    <t>GJ 116 15-18'</t>
  </si>
  <si>
    <t>GJ 118 8-15'</t>
  </si>
  <si>
    <t>GJ 118 15-18.4'</t>
  </si>
  <si>
    <t>(mg/kg)</t>
  </si>
  <si>
    <t xml:space="preserve">Plexiglass 2" by 18" columns filled with ~8" of soil , and topped with ~2" of 5mm glass beads. Peristaltic pump, with upward flow @ ~3 mL/min. Columns filled with 1 PV allowed to sit 24 hrs. 1 PV pumped in and effluent removed. </t>
  </si>
  <si>
    <t xml:space="preserve">*Col filled at 3.16 mL/min.  </t>
  </si>
  <si>
    <t>Influent water: GJO Well 6-2N obtained 1/14/19</t>
  </si>
  <si>
    <t xml:space="preserve">*Col filled at 3.21 mL/min.  </t>
  </si>
  <si>
    <t xml:space="preserve">*Col filled at 3.23 mL/min.  </t>
  </si>
  <si>
    <t>pH adjusted with CO2 prior to column start</t>
  </si>
  <si>
    <t xml:space="preserve">*Col filled at 3.14 mL/min.  </t>
  </si>
  <si>
    <t>Cum. PV</t>
  </si>
  <si>
    <t>Cum.PV</t>
  </si>
  <si>
    <t>12-13</t>
  </si>
  <si>
    <t>S&amp;G Composite</t>
  </si>
  <si>
    <t>100 Series S&amp;G Composite</t>
  </si>
  <si>
    <t>110 Series S&amp;G Composite</t>
  </si>
  <si>
    <t>AST-15</t>
  </si>
  <si>
    <t>14.5-16.5</t>
  </si>
  <si>
    <t>12.5-14.5</t>
  </si>
  <si>
    <t>10-12.5</t>
  </si>
  <si>
    <t>11.5-13.5</t>
  </si>
  <si>
    <t>10.5-11.5</t>
  </si>
  <si>
    <t>12-15</t>
  </si>
  <si>
    <t>11-12</t>
  </si>
  <si>
    <t>10-11</t>
  </si>
  <si>
    <t>11-15</t>
  </si>
  <si>
    <t>AST-14</t>
  </si>
  <si>
    <t>15-18</t>
  </si>
  <si>
    <t>15-18.4</t>
  </si>
  <si>
    <t>8-15</t>
  </si>
  <si>
    <t>AST-20</t>
  </si>
  <si>
    <t>Influent Water after Degass Results</t>
  </si>
  <si>
    <t>6-2N</t>
  </si>
  <si>
    <t>+2.1 average</t>
  </si>
  <si>
    <t>+2.9 average</t>
  </si>
  <si>
    <t>Source tank changed to Gunnison River water</t>
  </si>
  <si>
    <t>Change Source tank to Gunnison River water</t>
  </si>
  <si>
    <t>Changed source tank to Gunnison River water</t>
  </si>
  <si>
    <t>100 Series Vadose Composite</t>
  </si>
  <si>
    <t>110 Series Vadose Composite</t>
  </si>
  <si>
    <t>120 Series Vadose Composite</t>
  </si>
  <si>
    <t>120 S&amp;G Composite</t>
  </si>
  <si>
    <t>2.5-5</t>
  </si>
  <si>
    <t>5-7</t>
  </si>
  <si>
    <t>7-8.5</t>
  </si>
  <si>
    <t>8.5-10</t>
  </si>
  <si>
    <t>2-4.5</t>
  </si>
  <si>
    <t>4.5-7</t>
  </si>
  <si>
    <t>7-10</t>
  </si>
  <si>
    <t>2-5</t>
  </si>
  <si>
    <t>5-10</t>
  </si>
  <si>
    <t>5-8</t>
  </si>
  <si>
    <t>Anions</t>
  </si>
  <si>
    <t>Cations</t>
  </si>
  <si>
    <t>NM</t>
  </si>
  <si>
    <t>+4.8 average</t>
  </si>
  <si>
    <t>+4.3 average</t>
  </si>
  <si>
    <t>+3.9 average</t>
  </si>
  <si>
    <t>+2.0 average</t>
  </si>
  <si>
    <t>+0.5 average</t>
  </si>
  <si>
    <t>GJ 106 2.5-5'</t>
  </si>
  <si>
    <t>GJ 106 5-7'</t>
  </si>
  <si>
    <t>GJ 106 7-8.5'</t>
  </si>
  <si>
    <t>GJ 106 8.5-10'</t>
  </si>
  <si>
    <t>GJ 107 2-4.5'</t>
  </si>
  <si>
    <t>GJ 107 4.5-7'</t>
  </si>
  <si>
    <t>GJ 107 7-10'</t>
  </si>
  <si>
    <t>GJ 107 10-10.5'</t>
  </si>
  <si>
    <t>GJ 108 2.5-5'</t>
  </si>
  <si>
    <t>GJ 108 5-7'</t>
  </si>
  <si>
    <t>GJ 108 7-10'</t>
  </si>
  <si>
    <t>GJ 116 0-2'</t>
  </si>
  <si>
    <t>GJ 116 2-5'</t>
  </si>
  <si>
    <t>GJ 116 5-10'</t>
  </si>
  <si>
    <t>GJ 116 10-12'</t>
  </si>
  <si>
    <t>GJ 117 0-2'</t>
  </si>
  <si>
    <t>GJ 117 2-5'</t>
  </si>
  <si>
    <t>GJ 117 5-7'</t>
  </si>
  <si>
    <t>GJ 118 2-5'</t>
  </si>
  <si>
    <t>GJ 118 5-8'</t>
  </si>
  <si>
    <t>Source tank changed to 106 water</t>
  </si>
  <si>
    <t>Change source tank to 106 water</t>
  </si>
  <si>
    <t>Changed source tank to 110 water</t>
  </si>
  <si>
    <t>changed source tank to 110 water</t>
  </si>
  <si>
    <t>changed source tank to 120 water</t>
  </si>
  <si>
    <t>changed source tankt to 121 water</t>
  </si>
  <si>
    <t>Source tank changed to 6-2N water</t>
  </si>
  <si>
    <t>Change source tank to 6-2N water</t>
  </si>
  <si>
    <t>changed source tank to 6-2N water</t>
  </si>
  <si>
    <t>changed source tankt to 6-2N water</t>
  </si>
  <si>
    <t>Plexiglass 2" by 8" columns filled with ~8" of soil. Peristaltic pump, with upward flow @ ~0.71 mL/min. Columns filled with 1 PV allowed to sit 24 hrs. Influent water continuously pumped @ 0.71 mL/min. One PV = 104 mL.</t>
  </si>
  <si>
    <t>Plexiglass 2" by 8" columns filled with ~8" of soil. Peristaltic pump, with upward flow @ ~0.71 mL/min. Columns filled with 1 PV allowed to sit 24 hrs. Influent water continuously pumped @ 0.71 mL/min. One PV = 106 mL.</t>
  </si>
  <si>
    <t>Plexiglass 2" by 8" columns filled with ~8" of soil. Peristaltic pump, with upward flow @ ~0.71 mL/min. Columns filled with 1 PV allowed to sit 24 hrs. Influent water continuously pumped @ 0.71 mL/min. One PV = 113 mL.</t>
  </si>
  <si>
    <t>Influent water: Gunnison River obtained 3/7/19</t>
  </si>
  <si>
    <t>Plexiglass 2" by 8" columns filled with ~8" of soil. Peristaltic pump, with upward flow @ ~0.71 mL/min. Columns filled with 1 PV allowed to sit 24 hrs. Influent water continuously pumped @ 0.71 mL/min. One PV = 126.7 mL.</t>
  </si>
  <si>
    <t>Plexiglass 2" by 8" columns filled with ~8" of soil. Peristaltic pump, with upward flow @ ~0.71 mL/min. Columns filled with 1 PV allowed to sit 24 hrs. Influent water continuously pumped @ 0.71 mL/min. One PV = 106.4 mL.</t>
  </si>
  <si>
    <t>Switch #1</t>
  </si>
  <si>
    <t>Switch #2</t>
  </si>
  <si>
    <t>Switch #3</t>
  </si>
  <si>
    <t>PHREEQC</t>
  </si>
  <si>
    <t xml:space="preserve">          pH</t>
  </si>
  <si>
    <t xml:space="preserve">     pct_err</t>
  </si>
  <si>
    <t xml:space="preserve">  si_Calcite</t>
  </si>
  <si>
    <t xml:space="preserve">   si_Gypsum</t>
  </si>
  <si>
    <t>si_Anhydrite</t>
  </si>
  <si>
    <t xml:space="preserve">   si_CO2(g)</t>
  </si>
  <si>
    <t>si_Dolomite(disordered)</t>
  </si>
  <si>
    <t>si_Rhodochrosite</t>
  </si>
  <si>
    <t xml:space="preserve">   si_CaMoO4</t>
  </si>
  <si>
    <t>si_Magnesite</t>
  </si>
  <si>
    <t>used 2.496 in CALC</t>
  </si>
  <si>
    <t xml:space="preserve">Plexiglass 2" by 8" columns filled with soil. Peristaltic pump, with upward flow @ ~3 mL/min. Columns filled with 1 PV allowed to sit 24 hrs. 1 PV pumped in and effluent removed. </t>
  </si>
  <si>
    <t xml:space="preserve">*Col filled at 2.95 mL/min.  </t>
  </si>
  <si>
    <t>Influent water: DI water</t>
  </si>
  <si>
    <t xml:space="preserve">*Col filled at 3.03 mL/min.  </t>
  </si>
  <si>
    <t>Influent water: Gunnison River obtained 7/26/19</t>
  </si>
  <si>
    <t xml:space="preserve">Plexiglass 2" by 6" columns filled with soil. Peristaltic pump, with upward flow @ ~3 mL/min. Columns filled with 1 PV allowed to sit 24 hrs. 1 PV pumped in and effluent removed. </t>
  </si>
  <si>
    <t xml:space="preserve">*Col filled at 2.75 mL/min.  </t>
  </si>
  <si>
    <t xml:space="preserve">*Col filled at 2.96 mL/min.  </t>
  </si>
  <si>
    <t xml:space="preserve">*Col filled at 2.90 mL/min.  </t>
  </si>
  <si>
    <t xml:space="preserve">Plexiglass 2" by 18" columns filled with ~7" of soil, the rest of the column is filled with 5mm glass beads. Peristaltic pump, with upward flow @ ~3 mL/min. Columns filled with 1 PV allowed to sit 24 hrs. 1 PV pumped in and effluent removed. </t>
  </si>
  <si>
    <t># pore volume calculated from the average PV/cm for the other sand and gravel columns. The PV was not directly measured.</t>
  </si>
  <si>
    <t>Influent Water: Switched to DI water</t>
  </si>
  <si>
    <t>entered in the data file as</t>
  </si>
  <si>
    <t>DF 2 which doesn't really fit.</t>
  </si>
  <si>
    <t>Entered the data as DF1</t>
  </si>
  <si>
    <t>if they really are DF 2 they need multiplied</t>
  </si>
  <si>
    <t>by two</t>
  </si>
  <si>
    <t>Plexiglass 2" by 6" columns filled with ~6" of soil. Peristaltic pump, with upward flow @ ~0.69 mL/min. Columns filled with 1 PV allowed to sit 24 hrs. Influent water continuously pumped @ 0.69 mL/min. One PV = 96 mL.</t>
  </si>
  <si>
    <t>Pumped too much water in for first fill</t>
  </si>
  <si>
    <t>%</t>
  </si>
  <si>
    <t>Re-acidified for ICP analysis 10/14</t>
  </si>
  <si>
    <t>alk high?</t>
  </si>
  <si>
    <t>GJ 106 0-2.5'</t>
  </si>
  <si>
    <t>GJ 107 0-2'</t>
  </si>
  <si>
    <t>GJ 108 0-2.5'</t>
  </si>
  <si>
    <t>GJ 108 15-16.7'</t>
  </si>
  <si>
    <t>GJ 118 0-2'</t>
  </si>
  <si>
    <t>1.350</t>
  </si>
  <si>
    <t>0.840</t>
  </si>
  <si>
    <t>1.400</t>
  </si>
  <si>
    <t>0.673</t>
  </si>
  <si>
    <t>1.220</t>
  </si>
  <si>
    <t>1.304</t>
  </si>
  <si>
    <t>1.158</t>
  </si>
  <si>
    <t>1.270</t>
  </si>
  <si>
    <t>1.446</t>
  </si>
  <si>
    <t>1.416</t>
  </si>
  <si>
    <t>0.825</t>
  </si>
  <si>
    <t>0.671</t>
  </si>
  <si>
    <t>1.980</t>
  </si>
  <si>
    <t>1.994</t>
  </si>
  <si>
    <t>2.010</t>
  </si>
  <si>
    <t>2.024</t>
  </si>
  <si>
    <t>1.584</t>
  </si>
  <si>
    <t>0.076</t>
  </si>
  <si>
    <t>1.570</t>
  </si>
  <si>
    <t>0.080</t>
  </si>
  <si>
    <t>0.914</t>
  </si>
  <si>
    <t>0.098</t>
  </si>
  <si>
    <t>1.667</t>
  </si>
  <si>
    <t>0.095</t>
  </si>
  <si>
    <t>Re-ran with same result</t>
  </si>
  <si>
    <t>K and Cl re-ran with no improvement to results. Not sure why?</t>
  </si>
  <si>
    <t>U re-ran with same result</t>
  </si>
  <si>
    <t>used 19 and 22.13 in phreeqc</t>
  </si>
  <si>
    <t>106 AVG</t>
  </si>
  <si>
    <t>110 AVG</t>
  </si>
  <si>
    <t>120 AVG</t>
  </si>
  <si>
    <t>121 AVG</t>
  </si>
  <si>
    <t>Gunnison River AVG</t>
  </si>
  <si>
    <t>6-2N AVG</t>
  </si>
  <si>
    <t xml:space="preserve"> DI Extraction</t>
  </si>
  <si>
    <t>PV for later time</t>
  </si>
  <si>
    <t>Kd</t>
  </si>
  <si>
    <t>mg/L</t>
  </si>
  <si>
    <t>U Solution</t>
  </si>
  <si>
    <t>U Solid</t>
  </si>
  <si>
    <t>mg/kg</t>
  </si>
  <si>
    <t>L/kg</t>
  </si>
  <si>
    <t>U mass</t>
  </si>
  <si>
    <t>mg</t>
  </si>
  <si>
    <t>U mass removed</t>
  </si>
  <si>
    <t>Column solid mass</t>
  </si>
  <si>
    <t>kg</t>
  </si>
  <si>
    <t>PV ml</t>
  </si>
  <si>
    <t>Rate ml/min</t>
  </si>
  <si>
    <t>Minutes</t>
  </si>
  <si>
    <t>1 PV</t>
  </si>
  <si>
    <t>10 cells</t>
  </si>
  <si>
    <t>Each Shift Minutes</t>
  </si>
  <si>
    <t>Cum PV</t>
  </si>
  <si>
    <t>Before Degas</t>
  </si>
  <si>
    <t>After Degas</t>
  </si>
  <si>
    <t>February</t>
  </si>
  <si>
    <t>NM(7.99)</t>
  </si>
  <si>
    <t>NM(7.3)</t>
  </si>
  <si>
    <t>March</t>
  </si>
  <si>
    <t>Average for Columns 10-12</t>
  </si>
  <si>
    <t>NM(7.4)</t>
  </si>
  <si>
    <t>Influent Water: Well 106 water obtained 7/30/2019</t>
  </si>
  <si>
    <t>Influent Water:  Well 106 obtained 7/30/2019</t>
  </si>
  <si>
    <t>Influent Water: Gunnison River obtained 7/26/19</t>
  </si>
  <si>
    <t>NM(7.8)</t>
  </si>
  <si>
    <t>Influent water: Well 110 obtained 7/30/19</t>
  </si>
  <si>
    <t>Influent water Well 110 obtained 7/30/19</t>
  </si>
  <si>
    <t>Influent water: Well 120 obtained 7/31/19</t>
  </si>
  <si>
    <t>Influent Water: Well 120 obtained 7/31/19</t>
  </si>
  <si>
    <t>Influent water: Gunnison River obtained 7/24/19</t>
  </si>
  <si>
    <t>Influent water: Well 6-2N obtained 8/28/19</t>
  </si>
  <si>
    <t>U-ICP</t>
  </si>
  <si>
    <t>Average for Columns 1-9</t>
  </si>
  <si>
    <t>Average for Columns 13-20</t>
  </si>
  <si>
    <t>GJAST-13</t>
  </si>
  <si>
    <t>GJAST-16</t>
  </si>
  <si>
    <t>GJAST-17</t>
  </si>
  <si>
    <t>GJAST-18</t>
  </si>
  <si>
    <t>GJAST-19</t>
  </si>
  <si>
    <t>bgs = below ground surface</t>
  </si>
  <si>
    <t>Borehole</t>
  </si>
  <si>
    <t>Grand Junction Column Testing: Sand and gravel compositing</t>
  </si>
  <si>
    <t>S&amp;G = sand and gravel</t>
  </si>
  <si>
    <t>Depth Range</t>
  </si>
  <si>
    <t>Borehole/well</t>
  </si>
  <si>
    <t>GJAST-15</t>
  </si>
  <si>
    <t>GJAST-14</t>
  </si>
  <si>
    <t>GJAST-20</t>
  </si>
  <si>
    <t>(ft bgs)</t>
  </si>
  <si>
    <t>Data analyses after several days sitting in the lab</t>
  </si>
  <si>
    <t>GJ 100 Series S&amp;G Composite</t>
  </si>
  <si>
    <t>GJ 100 Series S&amp;G Composite (duplicate 1)</t>
  </si>
  <si>
    <t>GJ 100 Series S&amp;G Composite (duplicate 2)</t>
  </si>
  <si>
    <t>Post Column 1</t>
  </si>
  <si>
    <t>Post Column 2</t>
  </si>
  <si>
    <t>Post Column 3</t>
  </si>
  <si>
    <t>GJ 110 Series S&amp;G Composite</t>
  </si>
  <si>
    <t>GJ 110 Series S&amp;G Composite (duplicate 1)</t>
  </si>
  <si>
    <t>GJ 110 Series S&amp;G Composite (duplicate 2)</t>
  </si>
  <si>
    <t>GJ S&amp;G Composite</t>
  </si>
  <si>
    <t>GJ S&amp;G Composite (duplicate 1)</t>
  </si>
  <si>
    <t>GJ S&amp;G Composite (duplicate 2)</t>
  </si>
  <si>
    <t>Post Column 4</t>
  </si>
  <si>
    <t>Post Column 5</t>
  </si>
  <si>
    <t>Post Column 6</t>
  </si>
  <si>
    <t>Post Column 7</t>
  </si>
  <si>
    <t>Post Column 8</t>
  </si>
  <si>
    <t>Post Column 9</t>
  </si>
  <si>
    <t>Post Column 10</t>
  </si>
  <si>
    <t>Post Column 11</t>
  </si>
  <si>
    <t>Post Column 12</t>
  </si>
  <si>
    <t>Post Column 13</t>
  </si>
  <si>
    <t>Post Column 14</t>
  </si>
  <si>
    <t>Post Column 15</t>
  </si>
  <si>
    <t>Post Column 16</t>
  </si>
  <si>
    <t>Post Column 17</t>
  </si>
  <si>
    <t>Post Column 18</t>
  </si>
  <si>
    <t>Post Column 19</t>
  </si>
  <si>
    <t>Post Column 20</t>
  </si>
  <si>
    <t>GJ 120 Series S&amp;G Composite</t>
  </si>
  <si>
    <t>GJ 120 Series S&amp;G Composite (duplicate 1)</t>
  </si>
  <si>
    <t>GJ 120 Series S&amp;G Composite (duplicate 2)</t>
  </si>
  <si>
    <t>GJ 120 Series Vadose Composite</t>
  </si>
  <si>
    <t>GJ 120 Series Vadose Composite (duplicate 1)</t>
  </si>
  <si>
    <t>GJ 120 Series Vadose Composite (duplicate 2)</t>
  </si>
  <si>
    <t>GJ 110 Vadose Composite</t>
  </si>
  <si>
    <t>GJ 110 Vadose Composite (duplicate 1)</t>
  </si>
  <si>
    <t>GJ 110 Vadose Composite (duplicate 2)</t>
  </si>
  <si>
    <t>GJ 100 Series Vadose Composite</t>
  </si>
  <si>
    <t>GJ 100 Series Vadose Composite (duplicate 1)</t>
  </si>
  <si>
    <t>GJ 100 Vadose Series Composite (duplicate 2)</t>
  </si>
  <si>
    <t>GJ 106 2.5-5' (duplicate)</t>
  </si>
  <si>
    <t>GJ 107 10.5-11.5' (duplicate)</t>
  </si>
  <si>
    <t>GJ 108 11-15' (duplicate)</t>
  </si>
  <si>
    <t>GJ 117 0-2' (duplicate)</t>
  </si>
  <si>
    <t>GJ 110 Series Vadose Composite</t>
  </si>
  <si>
    <t>GJ 110 Series Vadose Composite (duplicate)</t>
  </si>
  <si>
    <t>GJ 120 Series Vadose Composite (duplicate)</t>
  </si>
  <si>
    <t>GJ 120 Series S&amp;G Composite (duplicate)</t>
  </si>
  <si>
    <t>Post Column 1 (duplicate)</t>
  </si>
  <si>
    <t>Post Column 18 (duplicate)</t>
  </si>
  <si>
    <t>Post Column 19 (duplicate)</t>
  </si>
  <si>
    <r>
      <t>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g/L)</t>
    </r>
  </si>
  <si>
    <t>Post Column 20 (duplicate)</t>
  </si>
  <si>
    <t>Date and time still reflect original collection time</t>
  </si>
  <si>
    <t>Influent Water Baseline Results After Degassing</t>
  </si>
  <si>
    <t>Data analyses in laboratory soon after field collection</t>
  </si>
  <si>
    <r>
      <t>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S/cm)</t>
    </r>
  </si>
  <si>
    <t>Bold = below detection limit</t>
  </si>
  <si>
    <t>Influent water master spreadsheet</t>
  </si>
  <si>
    <t>Summarizes influent water analyses</t>
  </si>
  <si>
    <t>Degassing change = loss of iron and pH increase</t>
  </si>
  <si>
    <t>GJ S&amp;G Composite (duplicate)</t>
  </si>
  <si>
    <t>GJ 100 Series S&amp;G Composite (duplicate)</t>
  </si>
  <si>
    <r>
      <t xml:space="preserve">Column 1: Sand and gravel composite. PV =143 mL. Soil Weight = 777.5  g.  Soil Volume = 421.6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20.8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1.84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0.34.</t>
    </r>
  </si>
  <si>
    <r>
      <t xml:space="preserve">Column 2: 100 Series Sand and gravel composite. PV =151 mL. Soil Weight = 685.8  g.  Soil Volume = 415.5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20.5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1.65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0.36</t>
    </r>
  </si>
  <si>
    <r>
      <t xml:space="preserve">Column 3: Sand and gravel composite. PV =143 mL. Soil Weight = 772.1  g.  Soil Volume = 429.7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21.2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1.80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0.33</t>
    </r>
  </si>
  <si>
    <r>
      <t xml:space="preserve">Column 4: 110 Series Sand and gravel composite. PV =142 mL. Soil Weight = 738.6  g.  Soil Volume = 413.5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20.4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1.79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0.34.</t>
    </r>
  </si>
  <si>
    <r>
      <t xml:space="preserve">Column 5: Sand and gravel composite. PV =133 mL. Soil Weight = 729.8  g.  Soil Volume = 409.4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20.2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1.78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0.32.</t>
    </r>
  </si>
  <si>
    <r>
      <t xml:space="preserve">Column 6: Sand and gravel composite. PV =134 mL. Soil Weight = 736.0  g.  Soil Volume = 407.4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20.1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1.80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0.33.</t>
    </r>
  </si>
  <si>
    <r>
      <t xml:space="preserve">Column 7: Sand and gravel composite. PV =104 mL. Soil Weight = 643  g.  Soil Volume = 358.7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17.7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1.79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0.29.</t>
    </r>
  </si>
  <si>
    <r>
      <t xml:space="preserve">Column 8: Sand and gravel composite. PV =106 mL. Soil Weight = 599.5  g.  Soil Volume = 358.7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17.7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1.67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0.30.</t>
    </r>
  </si>
  <si>
    <r>
      <t xml:space="preserve">Column 9: Sand and gravel composite. PV =106 mL. Soil Weight = 636.5 g.  Soil Volume = 358.7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 = 17.7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1.77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0.30.</t>
    </r>
  </si>
  <si>
    <r>
      <t xml:space="preserve">Column 10: Sand and gravel composite. PV =113 mL. Soil Weight = 626.1  g.  Soil Volume = 358.7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17.7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1.75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0.32.</t>
    </r>
  </si>
  <si>
    <r>
      <t xml:space="preserve">Column 11: 100 Series Sand and gravel composite. PV =126.7 mL. Soil Weight = 570.9  g.  Soil Volume = 358.7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17.7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1.59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0.35.</t>
    </r>
  </si>
  <si>
    <r>
      <t xml:space="preserve">Column 10: 110 Series Sand and gravel composite. PV =106.4 mL. Soil Weight = 570.9  g.  Soil Volume = 358.7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height=  17.7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1.59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0.30.</t>
    </r>
  </si>
  <si>
    <r>
      <t xml:space="preserve">Column 20: 120 Sand and gravel composite. PV =96 mL. Soil Weight = 405.3  g.  Soil Volume =  263.8 mL.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Soil height = 13 cm. </t>
    </r>
    <r>
      <rPr>
        <b/>
        <sz val="11"/>
        <color theme="1"/>
        <rFont val="Calibri"/>
        <family val="2"/>
        <scheme val="minor"/>
      </rPr>
      <t>Soil dry density</t>
    </r>
    <r>
      <rPr>
        <sz val="11"/>
        <color theme="1"/>
        <rFont val="Calibri"/>
        <family val="2"/>
        <scheme val="minor"/>
      </rPr>
      <t xml:space="preserve"> = 1.54 g/mL. </t>
    </r>
    <r>
      <rPr>
        <b/>
        <sz val="11"/>
        <color theme="1"/>
        <rFont val="Calibri"/>
        <family val="2"/>
        <scheme val="minor"/>
      </rPr>
      <t>Porosity</t>
    </r>
    <r>
      <rPr>
        <sz val="11"/>
        <color theme="1"/>
        <rFont val="Calibri"/>
        <family val="2"/>
        <scheme val="minor"/>
      </rPr>
      <t xml:space="preserve"> = 0.36.</t>
    </r>
  </si>
  <si>
    <r>
      <t xml:space="preserve">Column 13: 100 Series Vadose composite. PV =127 mL. Soil Weight = 524.7  g.  Soil Volume = 364.8 mL. 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Soil height=  18 cm. </t>
    </r>
    <r>
      <rPr>
        <b/>
        <sz val="11"/>
        <rFont val="Calibri"/>
        <family val="2"/>
        <scheme val="minor"/>
      </rPr>
      <t>Soil dry density</t>
    </r>
    <r>
      <rPr>
        <sz val="11"/>
        <rFont val="Calibri"/>
        <family val="2"/>
        <scheme val="minor"/>
      </rPr>
      <t xml:space="preserve"> = 1.44 g/mL. </t>
    </r>
    <r>
      <rPr>
        <b/>
        <sz val="11"/>
        <rFont val="Calibri"/>
        <family val="2"/>
        <scheme val="minor"/>
      </rPr>
      <t>Porosity</t>
    </r>
    <r>
      <rPr>
        <sz val="11"/>
        <rFont val="Calibri"/>
        <family val="2"/>
        <scheme val="minor"/>
      </rPr>
      <t xml:space="preserve"> = 0.35</t>
    </r>
  </si>
  <si>
    <r>
      <t xml:space="preserve">Column 14: 100 Series Vadose composite. PV =133 mL. Soil Weight = 545.7  g.  Soil Volume = 364.8 mL. 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Soil height=  18 cm. </t>
    </r>
    <r>
      <rPr>
        <b/>
        <sz val="11"/>
        <rFont val="Calibri"/>
        <family val="2"/>
        <scheme val="minor"/>
      </rPr>
      <t>Soil dry density</t>
    </r>
    <r>
      <rPr>
        <sz val="11"/>
        <rFont val="Calibri"/>
        <family val="2"/>
        <scheme val="minor"/>
      </rPr>
      <t xml:space="preserve"> = 1.50 g/mL. </t>
    </r>
    <r>
      <rPr>
        <b/>
        <sz val="11"/>
        <rFont val="Calibri"/>
        <family val="2"/>
        <scheme val="minor"/>
      </rPr>
      <t>Porosity</t>
    </r>
    <r>
      <rPr>
        <sz val="11"/>
        <rFont val="Calibri"/>
        <family val="2"/>
        <scheme val="minor"/>
      </rPr>
      <t xml:space="preserve"> = 0.36.</t>
    </r>
  </si>
  <si>
    <r>
      <t xml:space="preserve">Column 15: 110 Series Vadose composite. PV =104 mL. Soil Weight = 410.3  g.  Soil Volume = 263.8 mL. 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Soil height=  13 cm. </t>
    </r>
    <r>
      <rPr>
        <b/>
        <sz val="11"/>
        <rFont val="Calibri"/>
        <family val="2"/>
        <scheme val="minor"/>
      </rPr>
      <t>Soil dry density</t>
    </r>
    <r>
      <rPr>
        <sz val="11"/>
        <rFont val="Calibri"/>
        <family val="2"/>
        <scheme val="minor"/>
      </rPr>
      <t xml:space="preserve"> = 1.56 g/mL. </t>
    </r>
    <r>
      <rPr>
        <b/>
        <sz val="11"/>
        <rFont val="Calibri"/>
        <family val="2"/>
        <scheme val="minor"/>
      </rPr>
      <t>Porosity</t>
    </r>
    <r>
      <rPr>
        <sz val="11"/>
        <rFont val="Calibri"/>
        <family val="2"/>
        <scheme val="minor"/>
      </rPr>
      <t xml:space="preserve"> = 0.39.</t>
    </r>
  </si>
  <si>
    <r>
      <t xml:space="preserve">Column 16: 110 Series Vadose composite. PV =104 mL. Soil Weight = 405.8  g.  Soil Volume = 263.8 mL. 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Soil height=  13 cm. </t>
    </r>
    <r>
      <rPr>
        <b/>
        <sz val="11"/>
        <rFont val="Calibri"/>
        <family val="2"/>
        <scheme val="minor"/>
      </rPr>
      <t>Soil dry density</t>
    </r>
    <r>
      <rPr>
        <sz val="11"/>
        <rFont val="Calibri"/>
        <family val="2"/>
        <scheme val="minor"/>
      </rPr>
      <t xml:space="preserve"> = 1.54 g/mL. </t>
    </r>
    <r>
      <rPr>
        <b/>
        <sz val="11"/>
        <rFont val="Calibri"/>
        <family val="2"/>
        <scheme val="minor"/>
      </rPr>
      <t>Porosity</t>
    </r>
    <r>
      <rPr>
        <sz val="11"/>
        <rFont val="Calibri"/>
        <family val="2"/>
        <scheme val="minor"/>
      </rPr>
      <t xml:space="preserve"> = 0.39.</t>
    </r>
  </si>
  <si>
    <r>
      <t xml:space="preserve">Column 17: 120 Series Vadose composite. PV =96 mL. Soil Weight = 393.6  g.  Soil Volume = 263.8 mL. 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Soil height=  13 cm. </t>
    </r>
    <r>
      <rPr>
        <b/>
        <sz val="11"/>
        <rFont val="Calibri"/>
        <family val="2"/>
        <scheme val="minor"/>
      </rPr>
      <t>Soil dry density</t>
    </r>
    <r>
      <rPr>
        <sz val="11"/>
        <rFont val="Calibri"/>
        <family val="2"/>
        <scheme val="minor"/>
      </rPr>
      <t xml:space="preserve"> = 1.49 g/mL. </t>
    </r>
    <r>
      <rPr>
        <b/>
        <sz val="11"/>
        <rFont val="Calibri"/>
        <family val="2"/>
        <scheme val="minor"/>
      </rPr>
      <t>Porosity</t>
    </r>
    <r>
      <rPr>
        <sz val="11"/>
        <rFont val="Calibri"/>
        <family val="2"/>
        <scheme val="minor"/>
      </rPr>
      <t xml:space="preserve"> = 0.36.</t>
    </r>
  </si>
  <si>
    <r>
      <t xml:space="preserve">Column 18: 120 Series Vadose composite. PV =136 mL. Soil Weight = 591.2  g.  Soil Volume = 364.8 mL. 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Soil height=  18 cm. </t>
    </r>
    <r>
      <rPr>
        <b/>
        <sz val="11"/>
        <rFont val="Calibri"/>
        <family val="2"/>
        <scheme val="minor"/>
      </rPr>
      <t>Soil dry density</t>
    </r>
    <r>
      <rPr>
        <sz val="11"/>
        <rFont val="Calibri"/>
        <family val="2"/>
        <scheme val="minor"/>
      </rPr>
      <t xml:space="preserve"> = 1.62 g/mL. </t>
    </r>
    <r>
      <rPr>
        <b/>
        <sz val="11"/>
        <rFont val="Calibri"/>
        <family val="2"/>
        <scheme val="minor"/>
      </rPr>
      <t>Porosity</t>
    </r>
    <r>
      <rPr>
        <sz val="11"/>
        <rFont val="Calibri"/>
        <family val="2"/>
        <scheme val="minor"/>
      </rPr>
      <t xml:space="preserve"> = 0.37.</t>
    </r>
  </si>
  <si>
    <r>
      <t xml:space="preserve">Column 19: 120 Series Sand and Gravel composite. PV =116 mL. Soil Weight = 630.8  g.  Soil Volume = 362.6 mL. 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Soil height=  17.9 cm. </t>
    </r>
    <r>
      <rPr>
        <b/>
        <sz val="11"/>
        <rFont val="Calibri"/>
        <family val="2"/>
        <scheme val="minor"/>
      </rPr>
      <t>Soil dry density</t>
    </r>
    <r>
      <rPr>
        <sz val="11"/>
        <rFont val="Calibri"/>
        <family val="2"/>
        <scheme val="minor"/>
      </rPr>
      <t xml:space="preserve"> = 1.74 g/mL. </t>
    </r>
    <r>
      <rPr>
        <b/>
        <sz val="11"/>
        <rFont val="Calibri"/>
        <family val="2"/>
        <scheme val="minor"/>
      </rPr>
      <t>Porosity</t>
    </r>
    <r>
      <rPr>
        <sz val="11"/>
        <rFont val="Calibri"/>
        <family val="2"/>
        <scheme val="minor"/>
      </rPr>
      <t xml:space="preserve"> = 0.32.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</si>
</sst>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4" applyNumberFormat="0" applyAlignment="0" applyProtection="0"/>
    <xf numFmtId="0" fontId="13" fillId="7" borderId="5" applyNumberFormat="0" applyAlignment="0" applyProtection="0"/>
    <xf numFmtId="0" fontId="14" fillId="7" borderId="4" applyNumberFormat="0" applyAlignment="0" applyProtection="0"/>
    <xf numFmtId="0" fontId="15" fillId="0" borderId="6" applyNumberFormat="0" applyFill="0" applyAlignment="0" applyProtection="0"/>
    <xf numFmtId="0" fontId="16" fillId="8" borderId="7" applyNumberFormat="0" applyAlignment="0" applyProtection="0"/>
    <xf numFmtId="0" fontId="1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8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8" fillId="33" borderId="0" applyNumberFormat="0" applyBorder="0" applyAlignment="0" applyProtection="0"/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</cellStyleXfs>
  <cellXfs count="208"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left"/>
    </xf>
    <xf numFmtId="49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left"/>
    </xf>
    <xf numFmtId="1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2" fontId="0" fillId="0" borderId="0" xfId="0" applyNumberFormat="1" applyFont="1" applyFill="1" applyAlignment="1">
      <alignment horizontal="left"/>
    </xf>
    <xf numFmtId="1" fontId="0" fillId="0" borderId="0" xfId="0" applyNumberForma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164" fontId="0" fillId="0" borderId="0" xfId="0" applyNumberFormat="1" applyAlignment="1">
      <alignment horizontal="left"/>
    </xf>
    <xf numFmtId="2" fontId="2" fillId="0" borderId="0" xfId="0" applyNumberFormat="1" applyFont="1" applyAlignment="1">
      <alignment horizontal="left"/>
    </xf>
    <xf numFmtId="14" fontId="0" fillId="0" borderId="0" xfId="0" applyNumberFormat="1" applyFill="1" applyAlignment="1">
      <alignment horizontal="left"/>
    </xf>
    <xf numFmtId="164" fontId="0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1" fontId="0" fillId="0" borderId="0" xfId="0" applyNumberFormat="1" applyFont="1" applyFill="1" applyAlignment="1">
      <alignment horizontal="left"/>
    </xf>
    <xf numFmtId="14" fontId="1" fillId="0" borderId="0" xfId="0" applyNumberFormat="1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2" fontId="0" fillId="0" borderId="0" xfId="0" applyNumberForma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14" fontId="0" fillId="0" borderId="0" xfId="0" applyNumberFormat="1" applyFill="1" applyAlignment="1">
      <alignment horizontal="left"/>
    </xf>
    <xf numFmtId="14" fontId="0" fillId="0" borderId="0" xfId="0" applyNumberFormat="1" applyFont="1" applyFill="1" applyAlignment="1">
      <alignment horizontal="left"/>
    </xf>
    <xf numFmtId="165" fontId="0" fillId="0" borderId="0" xfId="0" applyNumberFormat="1" applyFont="1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ont="1" applyAlignment="1">
      <alignment horizontal="left"/>
    </xf>
    <xf numFmtId="165" fontId="0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17" fontId="0" fillId="0" borderId="0" xfId="0" applyNumberFormat="1" applyFont="1" applyFill="1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1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20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/>
    </xf>
    <xf numFmtId="49" fontId="0" fillId="0" borderId="0" xfId="0" applyNumberFormat="1" applyAlignment="1">
      <alignment horizontal="left"/>
    </xf>
    <xf numFmtId="1" fontId="0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1" fillId="0" borderId="0" xfId="0" applyNumberFormat="1" applyFont="1" applyFill="1"/>
    <xf numFmtId="49" fontId="0" fillId="0" borderId="0" xfId="0" applyNumberForma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65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2" fontId="0" fillId="34" borderId="0" xfId="0" applyNumberFormat="1" applyFill="1" applyAlignment="1">
      <alignment horizontal="left"/>
    </xf>
    <xf numFmtId="0" fontId="0" fillId="0" borderId="0" xfId="0" applyNumberFormat="1" applyAlignment="1">
      <alignment horizontal="left"/>
    </xf>
    <xf numFmtId="14" fontId="0" fillId="0" borderId="0" xfId="0" quotePrefix="1" applyNumberFormat="1" applyFill="1" applyAlignment="1">
      <alignment horizontal="left"/>
    </xf>
    <xf numFmtId="0" fontId="0" fillId="0" borderId="0" xfId="0" applyNumberFormat="1" applyFill="1" applyAlignment="1">
      <alignment horizontal="left"/>
    </xf>
    <xf numFmtId="0" fontId="19" fillId="0" borderId="0" xfId="42">
      <alignment vertical="top"/>
    </xf>
    <xf numFmtId="0" fontId="0" fillId="0" borderId="0" xfId="0" applyFont="1"/>
    <xf numFmtId="0" fontId="0" fillId="0" borderId="0" xfId="0"/>
    <xf numFmtId="0" fontId="2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quotePrefix="1" applyFill="1" applyAlignment="1">
      <alignment horizontal="left"/>
    </xf>
    <xf numFmtId="0" fontId="0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35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NumberFormat="1" applyFont="1" applyAlignment="1">
      <alignment horizontal="left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2" fontId="21" fillId="0" borderId="0" xfId="0" applyNumberFormat="1" applyFont="1" applyFill="1" applyAlignment="1">
      <alignment horizontal="left"/>
    </xf>
    <xf numFmtId="165" fontId="24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165" fontId="21" fillId="0" borderId="0" xfId="0" applyNumberFormat="1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165" fontId="1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ont="1" applyBorder="1" applyAlignment="1">
      <alignment horizontal="left"/>
    </xf>
    <xf numFmtId="0" fontId="0" fillId="0" borderId="0" xfId="0" applyFill="1" applyAlignment="1">
      <alignment horizontal="left"/>
    </xf>
    <xf numFmtId="2" fontId="24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164" fontId="0" fillId="0" borderId="0" xfId="0" applyNumberFormat="1"/>
    <xf numFmtId="1" fontId="0" fillId="0" borderId="0" xfId="0" applyNumberFormat="1"/>
    <xf numFmtId="0" fontId="25" fillId="36" borderId="0" xfId="0" applyFont="1" applyFill="1" applyAlignment="1">
      <alignment horizontal="left"/>
    </xf>
    <xf numFmtId="0" fontId="25" fillId="36" borderId="0" xfId="0" applyFont="1" applyFill="1"/>
    <xf numFmtId="165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1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2" fontId="2" fillId="0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2" fontId="2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0" fillId="2" borderId="0" xfId="0" applyFill="1" applyAlignment="1">
      <alignment horizontal="left"/>
    </xf>
    <xf numFmtId="2" fontId="0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0" xfId="0" applyNumberFormat="1" applyFont="1" applyAlignment="1">
      <alignment horizontal="left"/>
    </xf>
    <xf numFmtId="2" fontId="0" fillId="0" borderId="0" xfId="0" applyNumberFormat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1" fontId="0" fillId="2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1" fontId="2" fillId="0" borderId="0" xfId="0" applyNumberFormat="1" applyFont="1" applyFill="1" applyAlignment="1">
      <alignment horizontal="left"/>
    </xf>
    <xf numFmtId="1" fontId="2" fillId="0" borderId="0" xfId="0" applyNumberFormat="1" applyFont="1" applyAlignment="1">
      <alignment horizontal="left"/>
    </xf>
    <xf numFmtId="0" fontId="24" fillId="0" borderId="0" xfId="0" applyFont="1" applyFill="1" applyAlignment="1">
      <alignment horizontal="left"/>
    </xf>
    <xf numFmtId="164" fontId="24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16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rmal 3" xfId="43" xr:uid="{00000000-0005-0000-0000-000026000000}"/>
    <cellStyle name="Normal 3 2" xfId="44" xr:uid="{51143DEB-03CB-4E37-AF0A-42F8E326622E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9B37"/>
      <color rgb="FFF282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igar, Aaron (CONTR)" id="{13228369-CABB-4F18-8870-FFD30331FA82}" userId="S::Aaron.Tigar@lm.doe.gov::ac18a2e7-9cc2-4ab1-b82d-6e0adb01c1d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45" dT="2021-03-18T22:50:53.34" personId="{13228369-CABB-4F18-8870-FFD30331FA82}" id="{39205839-95D4-4684-B0EE-2134B8DB351F}">
    <text>No data found. Samples not run</text>
  </threadedComment>
  <threadedComment ref="S45" dT="2021-03-18T22:50:53.34" personId="{13228369-CABB-4F18-8870-FFD30331FA82}" id="{BD0089A7-0912-46BA-B320-F0F11E727279}">
    <text>No data found. Samples not run</text>
  </threadedComment>
  <threadedComment ref="T45" dT="2021-03-18T22:50:53.34" personId="{13228369-CABB-4F18-8870-FFD30331FA82}" id="{4104C919-09CC-49CF-A9B9-0AE052165595}">
    <text>No data found. Samples not run</text>
  </threadedComment>
  <threadedComment ref="U45" dT="2021-03-18T22:50:53.34" personId="{13228369-CABB-4F18-8870-FFD30331FA82}" id="{7F7D14C1-4034-4BA3-8879-4BCD541FFD51}">
    <text>No data found. Samples not run</text>
  </threadedComment>
  <threadedComment ref="V45" dT="2021-03-18T22:50:53.34" personId="{13228369-CABB-4F18-8870-FFD30331FA82}" id="{417D02B7-00EE-42A1-B3EE-0BA25D66BE00}">
    <text>No data found. Samples not run</text>
  </threadedComment>
  <threadedComment ref="W45" dT="2021-03-18T22:50:53.34" personId="{13228369-CABB-4F18-8870-FFD30331FA82}" id="{5F7128A1-E083-4053-902A-0A34CD828B27}">
    <text>No data found. Samples not run</text>
  </threadedComment>
  <threadedComment ref="X45" dT="2021-03-18T22:50:53.34" personId="{13228369-CABB-4F18-8870-FFD30331FA82}" id="{F7F1C9FD-42E8-4445-B90A-C7C5FC0A69DC}">
    <text>No data found. Samples not run</text>
  </threadedComment>
  <threadedComment ref="R46" dT="2021-03-18T22:50:53.34" personId="{13228369-CABB-4F18-8870-FFD30331FA82}" id="{B7646292-6E8E-4EE4-BDA6-897DEB1E39B3}">
    <text>No data found. Samples not run</text>
  </threadedComment>
  <threadedComment ref="S46" dT="2021-03-18T22:50:53.34" personId="{13228369-CABB-4F18-8870-FFD30331FA82}" id="{2803E5D1-DCCE-4078-BDC1-508C891D2F32}">
    <text>No data found. Samples not run</text>
  </threadedComment>
  <threadedComment ref="T46" dT="2021-03-18T22:50:53.34" personId="{13228369-CABB-4F18-8870-FFD30331FA82}" id="{F8E6BE8F-AD21-4E59-B7F0-6D2A960CA63C}">
    <text>No data found. Samples not run</text>
  </threadedComment>
  <threadedComment ref="U46" dT="2021-03-18T22:50:53.34" personId="{13228369-CABB-4F18-8870-FFD30331FA82}" id="{93291B57-FA09-483C-BBED-A5C72DED6B4A}">
    <text>No data found. Samples not run</text>
  </threadedComment>
  <threadedComment ref="V46" dT="2021-03-18T22:50:53.34" personId="{13228369-CABB-4F18-8870-FFD30331FA82}" id="{9A703965-F2ED-4DD7-A213-F8A745588073}">
    <text>No data found. Samples not run</text>
  </threadedComment>
  <threadedComment ref="W46" dT="2021-03-18T22:50:53.34" personId="{13228369-CABB-4F18-8870-FFD30331FA82}" id="{132AA673-2DE7-44C4-832A-3E2E9B13C6F2}">
    <text>No data found. Samples not run</text>
  </threadedComment>
  <threadedComment ref="X46" dT="2021-03-18T22:50:53.34" personId="{13228369-CABB-4F18-8870-FFD30331FA82}" id="{FFA7000E-C175-4265-BC88-1F5BCB98588A}">
    <text>No data found. Samples not run</text>
  </threadedComment>
  <threadedComment ref="R47" dT="2021-03-18T22:50:53.34" personId="{13228369-CABB-4F18-8870-FFD30331FA82}" id="{C1250324-F166-4726-A0E2-3E218AD83E20}">
    <text>No data found. Samples not run</text>
  </threadedComment>
  <threadedComment ref="S47" dT="2021-03-18T22:50:53.34" personId="{13228369-CABB-4F18-8870-FFD30331FA82}" id="{054918DE-0384-4250-8FFC-B55480D6E0E6}">
    <text>No data found. Samples not run</text>
  </threadedComment>
  <threadedComment ref="T47" dT="2021-03-18T22:50:53.34" personId="{13228369-CABB-4F18-8870-FFD30331FA82}" id="{08C99E68-5E6B-44B8-A9DE-521657112847}">
    <text>No data found. Samples not run</text>
  </threadedComment>
  <threadedComment ref="U47" dT="2021-03-18T22:50:53.34" personId="{13228369-CABB-4F18-8870-FFD30331FA82}" id="{8F173D17-44B0-4D8D-B150-E76F5707F68B}">
    <text>No data found. Samples not run</text>
  </threadedComment>
  <threadedComment ref="V47" dT="2021-03-18T22:50:53.34" personId="{13228369-CABB-4F18-8870-FFD30331FA82}" id="{70DA9C47-08FD-4C71-987B-0BDA81AE297B}">
    <text>No data found. Samples not run</text>
  </threadedComment>
  <threadedComment ref="W47" dT="2021-03-18T22:50:53.34" personId="{13228369-CABB-4F18-8870-FFD30331FA82}" id="{167E751D-C543-429C-B35D-051B04C72C44}">
    <text>No data found. Samples not run</text>
  </threadedComment>
  <threadedComment ref="X47" dT="2021-03-18T22:50:53.34" personId="{13228369-CABB-4F18-8870-FFD30331FA82}" id="{46985881-155F-4F80-A8D0-A2BA58D848DB}">
    <text>No data found. Samples not run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O15" dT="2021-03-17T15:57:24.28" personId="{13228369-CABB-4F18-8870-FFD30331FA82}" id="{A7C90662-5F79-4DFE-BCDE-39D8748A231E}">
    <text>data came from above calibration curve</text>
  </threadedComment>
</ThreadedComments>
</file>

<file path=xl/threadedComments/threadedComment11.xml><?xml version="1.0" encoding="utf-8"?>
<ThreadedComments xmlns="http://schemas.microsoft.com/office/spreadsheetml/2018/threadedcomments" xmlns:x="http://schemas.openxmlformats.org/spreadsheetml/2006/main">
  <threadedComment ref="O15" dT="2021-03-17T15:49:55.29" personId="{13228369-CABB-4F18-8870-FFD30331FA82}" id="{C02D443E-F11E-4C0A-88FB-BD6D279E72E0}">
    <text>data came from way above the curve</text>
  </threadedComment>
  <threadedComment ref="O28" dT="2021-03-17T20:40:34.90" personId="{13228369-CABB-4F18-8870-FFD30331FA82}" id="{8DE120CB-ECA6-4027-B89C-3B9D7AA096CB}">
    <text>data came from above the curve</text>
  </threadedComment>
</ThreadedComments>
</file>

<file path=xl/threadedComments/threadedComment12.xml><?xml version="1.0" encoding="utf-8"?>
<ThreadedComments xmlns="http://schemas.microsoft.com/office/spreadsheetml/2018/threadedcomments" xmlns:x="http://schemas.openxmlformats.org/spreadsheetml/2006/main">
  <threadedComment ref="L43" dT="2021-03-16T23:09:44.58" personId="{13228369-CABB-4F18-8870-FFD30331FA82}" id="{9B5A00FE-9A3C-44E9-85C4-9EE1EFC8FC1F}">
    <text>sample not run on 8_18? Not sure where the NO3 and SO4 data came from</text>
  </threadedComment>
  <threadedComment ref="O43" dT="2021-03-18T22:18:47.65" personId="{13228369-CABB-4F18-8870-FFD30331FA82}" id="{45888B11-DF41-4890-80A8-BFC98D4C9A37}">
    <text>Can't find data</text>
  </threadedComment>
  <threadedComment ref="O44" dT="2021-03-18T22:18:47.65" personId="{13228369-CABB-4F18-8870-FFD30331FA82}" id="{0000B7EF-0B09-4A9A-969E-A6FE5B74B0B1}">
    <text>Can't find data</text>
  </threadedComment>
  <threadedComment ref="O45" dT="2021-03-18T22:18:47.65" personId="{13228369-CABB-4F18-8870-FFD30331FA82}" id="{2ECE7566-133B-4A6E-8030-63A707419F0A}">
    <text>Can't find data</text>
  </threadedComment>
</ThreadedComments>
</file>

<file path=xl/threadedComments/threadedComment13.xml><?xml version="1.0" encoding="utf-8"?>
<ThreadedComments xmlns="http://schemas.microsoft.com/office/spreadsheetml/2018/threadedcomments" xmlns:x="http://schemas.openxmlformats.org/spreadsheetml/2006/main">
  <threadedComment ref="N14" dT="2021-03-17T15:16:24.07" personId="{13228369-CABB-4F18-8870-FFD30331FA82}" id="{E1A2AB2D-C27C-4D43-8B19-2CE8FB4E642E}">
    <text>these values were taken from above the calibration curve.</text>
  </threadedComment>
  <threadedComment ref="N15" dT="2021-03-18T16:09:34.35" personId="{13228369-CABB-4F18-8870-FFD30331FA82}" id="{564DE395-5D75-4E41-98A3-C36F885975F2}">
    <text>these values were taken from well above the calibration curve. Nothing we can do about it now.</text>
  </threadedComment>
  <threadedComment ref="N16" dT="2021-03-18T16:09:38.30" personId="{13228369-CABB-4F18-8870-FFD30331FA82}" id="{D6B762B8-12ED-4515-98CE-91629BD0779C}">
    <text>these values were taken from well above the calibration curve. Nothing we can do about it now.</text>
  </threadedComment>
  <threadedComment ref="N17" dT="2021-03-18T16:09:41.87" personId="{13228369-CABB-4F18-8870-FFD30331FA82}" id="{200FCD53-D337-4470-9863-A8DE9930DE9B}">
    <text>these values were taken from well above the calibration curve. Nothing we can do about it now.</text>
  </threadedComment>
  <threadedComment ref="N18" dT="2021-03-18T16:09:44.69" personId="{13228369-CABB-4F18-8870-FFD30331FA82}" id="{61757BC4-696C-4320-945F-8923AD6745EA}">
    <text>these values were taken from well above the calibration curve. Nothing we can do about it now.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28" dT="2021-03-09T19:19:49.01" personId="{13228369-CABB-4F18-8870-FFD30331FA82}" id="{FBB32AEB-0B4D-43D0-BFA7-1D1E8A181D50}">
    <text>Not run</text>
  </threadedComment>
  <threadedComment ref="F29" dT="2021-03-09T19:19:49.01" personId="{13228369-CABB-4F18-8870-FFD30331FA82}" id="{C03C4BF3-6182-45DC-BF51-815D457D7D7D}">
    <text>Not run</text>
  </threadedComment>
  <threadedComment ref="F30" dT="2021-03-09T19:19:49.01" personId="{13228369-CABB-4F18-8870-FFD30331FA82}" id="{395120FB-727B-4FEC-A325-A96ED6D7E63E}">
    <text>Not run</text>
  </threadedComment>
  <threadedComment ref="D50" dT="2021-03-09T19:16:53.54" personId="{13228369-CABB-4F18-8870-FFD30331FA82}" id="{03AFD567-7CB5-4541-B3BA-F0077FBA1DE1}">
    <text>No data in log book</text>
  </threadedComment>
  <threadedComment ref="E50" dT="2021-03-09T19:16:53.54" personId="{13228369-CABB-4F18-8870-FFD30331FA82}" id="{CA5A0526-A7E9-456D-AC2E-504BDC94B628}">
    <text>No data in log book</text>
  </threadedComment>
  <threadedComment ref="D52" dT="2021-03-09T19:16:53.54" personId="{13228369-CABB-4F18-8870-FFD30331FA82}" id="{18BD71D1-3201-4FA9-A177-FDAA655D46E7}">
    <text>No data in log book</text>
  </threadedComment>
  <threadedComment ref="E52" dT="2021-03-09T19:16:53.54" personId="{13228369-CABB-4F18-8870-FFD30331FA82}" id="{A62890C6-F5F0-4C09-96DC-9BD705A2EF05}">
    <text>No data in log book</text>
  </threadedComment>
  <threadedComment ref="R55" dT="2021-03-18T22:50:53.34" personId="{13228369-CABB-4F18-8870-FFD30331FA82}" id="{141936DB-87CA-4692-B2AF-0B0947F49234}">
    <text>No data found. Samples not run</text>
  </threadedComment>
  <threadedComment ref="S55" dT="2021-03-18T22:50:53.34" personId="{13228369-CABB-4F18-8870-FFD30331FA82}" id="{AA8D3912-5912-4BBF-A177-60D97FE1D3C3}">
    <text>No data found. Samples not run</text>
  </threadedComment>
  <threadedComment ref="T55" dT="2021-03-18T22:50:53.34" personId="{13228369-CABB-4F18-8870-FFD30331FA82}" id="{2C94785B-8CCD-415D-AB11-A2BB42B4B866}">
    <text>No data found. Samples not run</text>
  </threadedComment>
  <threadedComment ref="U55" dT="2021-03-18T22:50:53.34" personId="{13228369-CABB-4F18-8870-FFD30331FA82}" id="{DBD2FE19-C22A-4EB9-88C8-EFC643FC8BE4}">
    <text>No data found. Samples not run</text>
  </threadedComment>
  <threadedComment ref="V55" dT="2021-03-18T22:50:53.34" personId="{13228369-CABB-4F18-8870-FFD30331FA82}" id="{8CF9C54F-138F-4FD2-A342-C6F53C019A4F}">
    <text>No data found. Samples not run</text>
  </threadedComment>
  <threadedComment ref="W55" dT="2021-03-18T22:50:53.34" personId="{13228369-CABB-4F18-8870-FFD30331FA82}" id="{38271080-4241-4965-8F7C-4281F5FA26A1}">
    <text>No data found. Samples not run</text>
  </threadedComment>
  <threadedComment ref="R56" dT="2021-03-18T22:50:53.34" personId="{13228369-CABB-4F18-8870-FFD30331FA82}" id="{F0F8D082-5BD8-429F-833E-F40B220118A6}">
    <text>No data found. Samples not run</text>
  </threadedComment>
  <threadedComment ref="S56" dT="2021-03-18T22:50:53.34" personId="{13228369-CABB-4F18-8870-FFD30331FA82}" id="{2B43954F-CD67-4768-ABAA-3DAC2FF4292C}">
    <text>No data found. Samples not run</text>
  </threadedComment>
  <threadedComment ref="T56" dT="2021-03-18T22:50:53.34" personId="{13228369-CABB-4F18-8870-FFD30331FA82}" id="{E527B23B-3B85-4ECF-8FFA-A56FCBD63822}">
    <text>No data found. Samples not run</text>
  </threadedComment>
  <threadedComment ref="U56" dT="2021-03-18T22:50:53.34" personId="{13228369-CABB-4F18-8870-FFD30331FA82}" id="{0F50EF75-FD18-45FE-9C1A-1735F72B5F36}">
    <text>No data found. Samples not run</text>
  </threadedComment>
  <threadedComment ref="V56" dT="2021-03-18T22:50:53.34" personId="{13228369-CABB-4F18-8870-FFD30331FA82}" id="{4888A5ED-EDCB-4B03-BD8A-C8A105F905BF}">
    <text>No data found. Samples not run</text>
  </threadedComment>
  <threadedComment ref="W56" dT="2021-03-18T22:50:53.34" personId="{13228369-CABB-4F18-8870-FFD30331FA82}" id="{3E139576-910A-462A-A8DB-BC785A17B6DA}">
    <text>No data found. Samples not run</text>
  </threadedComment>
  <threadedComment ref="R57" dT="2021-03-18T22:50:53.34" personId="{13228369-CABB-4F18-8870-FFD30331FA82}" id="{7C2BC89A-8B84-47AB-8DA1-24F5C556A42B}">
    <text>No data found. Samples not run</text>
  </threadedComment>
  <threadedComment ref="S57" dT="2021-03-18T22:50:53.34" personId="{13228369-CABB-4F18-8870-FFD30331FA82}" id="{13F3436D-1F28-48BB-ADBB-17D69788B788}">
    <text>No data found. Samples not run</text>
  </threadedComment>
  <threadedComment ref="T57" dT="2021-03-18T22:50:53.34" personId="{13228369-CABB-4F18-8870-FFD30331FA82}" id="{B64CCA1C-05C9-4F71-AA90-CCC81496BF44}">
    <text>No data found. Samples not run</text>
  </threadedComment>
  <threadedComment ref="U57" dT="2021-03-18T22:50:53.34" personId="{13228369-CABB-4F18-8870-FFD30331FA82}" id="{AF380D5F-CEC0-487E-B443-6FCCD50DE605}">
    <text>No data found. Samples not run</text>
  </threadedComment>
  <threadedComment ref="V57" dT="2021-03-18T22:50:53.34" personId="{13228369-CABB-4F18-8870-FFD30331FA82}" id="{C157320F-08A9-4746-8BE2-8155E0711F8D}">
    <text>No data found. Samples not run</text>
  </threadedComment>
  <threadedComment ref="W57" dT="2021-03-18T22:50:53.34" personId="{13228369-CABB-4F18-8870-FFD30331FA82}" id="{A819086A-538F-48AA-B20F-80F1DC0329CF}">
    <text>No data found. Samples not run</text>
  </threadedComment>
  <threadedComment ref="D58" dT="2021-03-09T19:16:53.54" personId="{13228369-CABB-4F18-8870-FFD30331FA82}" id="{08B96EBC-1F8E-4511-95C0-F7FA203F8FD6}">
    <text>No data in log book</text>
  </threadedComment>
  <threadedComment ref="E58" dT="2021-03-09T19:16:53.54" personId="{13228369-CABB-4F18-8870-FFD30331FA82}" id="{CD1D98FA-08BD-4CA8-B3D3-20A851DCD497}">
    <text>No data in log book</text>
  </threadedComment>
  <threadedComment ref="R58" dT="2021-03-18T22:50:53.34" personId="{13228369-CABB-4F18-8870-FFD30331FA82}" id="{114588C8-EDBF-406E-95F8-9E8E43890904}">
    <text>No data found. Samples not run</text>
  </threadedComment>
  <threadedComment ref="S58" dT="2021-03-18T22:50:53.34" personId="{13228369-CABB-4F18-8870-FFD30331FA82}" id="{FB10ED86-21ED-4AD0-A3BA-10BF3E314B40}">
    <text>No data found. Samples not run</text>
  </threadedComment>
  <threadedComment ref="T58" dT="2021-03-18T22:50:53.34" personId="{13228369-CABB-4F18-8870-FFD30331FA82}" id="{90470E6B-ABBE-4A7D-AE98-82A5B2D74C4E}">
    <text>No data found. Samples not run</text>
  </threadedComment>
  <threadedComment ref="U58" dT="2021-03-18T22:50:53.34" personId="{13228369-CABB-4F18-8870-FFD30331FA82}" id="{25B1D1A4-8F3D-4408-ABF6-86D5C66A472C}">
    <text>No data found. Samples not run</text>
  </threadedComment>
  <threadedComment ref="V58" dT="2021-03-18T22:50:53.34" personId="{13228369-CABB-4F18-8870-FFD30331FA82}" id="{E12FA93C-5713-4805-BCDB-2E7CDB38F56F}">
    <text>No data found. Samples not run</text>
  </threadedComment>
  <threadedComment ref="W58" dT="2021-03-18T22:50:53.34" personId="{13228369-CABB-4F18-8870-FFD30331FA82}" id="{2C140551-52B9-47C0-AEBE-CEBC34FBD032}">
    <text>No data found. Samples not run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43" dT="2021-03-09T19:16:53.54" personId="{13228369-CABB-4F18-8870-FFD30331FA82}" id="{09FA25B7-BBD4-41ED-9313-DA6752DEA40A}">
    <text>No data in log book</text>
  </threadedComment>
  <threadedComment ref="D43" dT="2021-03-09T19:16:53.54" personId="{13228369-CABB-4F18-8870-FFD30331FA82}" id="{577489C1-EFA2-4D45-94B7-887253473FC6}">
    <text>No data in log book</text>
  </threadedComment>
  <threadedComment ref="C45" dT="2021-03-09T19:16:53.54" personId="{13228369-CABB-4F18-8870-FFD30331FA82}" id="{205E5F41-2AF0-4B8D-995D-578256BCC8B5}">
    <text>No data in log book</text>
  </threadedComment>
  <threadedComment ref="D45" dT="2021-03-09T19:16:53.54" personId="{13228369-CABB-4F18-8870-FFD30331FA82}" id="{D23AFE21-2523-411E-B9C0-0D63B5EB70D8}">
    <text>No data in log book</text>
  </threadedComment>
  <threadedComment ref="Q61" dT="2021-03-18T22:50:53.34" personId="{13228369-CABB-4F18-8870-FFD30331FA82}" id="{BB3E36B2-9E15-4496-9661-2EC8AA2DFCED}">
    <text>No data found. Samples not run</text>
  </threadedComment>
  <threadedComment ref="R61" dT="2021-03-18T22:50:53.34" personId="{13228369-CABB-4F18-8870-FFD30331FA82}" id="{BDEEB571-6BF7-4B2C-88AD-4FC1D9F3C4C8}">
    <text>No data found. Samples not run</text>
  </threadedComment>
  <threadedComment ref="S61" dT="2021-03-18T22:50:53.34" personId="{13228369-CABB-4F18-8870-FFD30331FA82}" id="{CCE40AB5-45AC-4A95-BE67-9D3B126DC5CC}">
    <text>No data found. Samples not run</text>
  </threadedComment>
  <threadedComment ref="T61" dT="2021-03-18T22:50:53.34" personId="{13228369-CABB-4F18-8870-FFD30331FA82}" id="{5E272598-2769-490C-BB22-AE0966A534D6}">
    <text>No data found. Samples not run</text>
  </threadedComment>
  <threadedComment ref="U61" dT="2021-03-18T22:50:53.34" personId="{13228369-CABB-4F18-8870-FFD30331FA82}" id="{DD98EF40-6883-4447-B015-2FA077772730}">
    <text>No data found. Samples not run</text>
  </threadedComment>
  <threadedComment ref="V61" dT="2021-03-18T22:50:53.34" personId="{13228369-CABB-4F18-8870-FFD30331FA82}" id="{C8FB9995-D67D-4CC4-9EB9-B00B1F1D8AD1}">
    <text>No data found. Samples not run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N14" dT="2021-03-17T16:06:18.69" personId="{13228369-CABB-4F18-8870-FFD30331FA82}" id="{CCA51213-16B7-417A-8374-2B70271C644C}">
    <text>data came from above calibration curve</text>
  </threadedComment>
  <threadedComment ref="M36" dT="2021-03-09T17:42:23.83" personId="{13228369-CABB-4F18-8870-FFD30331FA82}" id="{04CCE5A8-1CA6-4141-850E-78BD134681E0}">
    <text>sample was run 3 times with nearly the same results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N14" dT="2021-03-17T16:06:02.36" personId="{13228369-CABB-4F18-8870-FFD30331FA82}" id="{3CD9F1D5-1327-4E06-A565-986E578FDA8C}">
    <text>data came from above calibration curve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N14" dT="2021-03-17T16:05:28.78" personId="{13228369-CABB-4F18-8870-FFD30331FA82}" id="{DDA9CC8E-E304-4C2C-8ED6-380DFCBFE93D}">
    <text>data came from above calibration curve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M37" dT="2021-03-17T20:08:20.27" personId="{13228369-CABB-4F18-8870-FFD30331FA82}" id="{98743D42-F625-4E7D-ADDB-CF3F9565A09F}">
    <text>couldn't find the data to reprocess. Leave as is.</text>
  </threadedComment>
  <threadedComment ref="P37" dT="2021-03-19T15:12:38.84" personId="{13228369-CABB-4F18-8870-FFD30331FA82}" id="{79F15545-3D15-4DE7-9D20-E784000121AB}">
    <text>data confirmed against data file. No re-run data found.</text>
  </threadedComment>
  <threadedComment ref="Z37" dT="2021-03-19T15:13:00.83" personId="{13228369-CABB-4F18-8870-FFD30331FA82}" id="{A6458531-1194-410D-B8D0-8D9733CD609A}">
    <text>data confirmed against data file. No re-run data found.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O15" dT="2021-03-17T16:01:23.19" personId="{13228369-CABB-4F18-8870-FFD30331FA82}" id="{120171A0-5F2B-4762-85C9-C5F5DD06690F}">
    <text>data came from above calibration curve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O15" dT="2021-03-17T15:59:31.54" personId="{13228369-CABB-4F18-8870-FFD30331FA82}" id="{22D89F42-367C-48D7-A239-D21FB5A1D5B6}">
    <text>data came from above calibration curve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3.bin"/><Relationship Id="rId4" Type="http://schemas.microsoft.com/office/2017/10/relationships/threadedComment" Target="../threadedComments/threadedComment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Relationship Id="rId4" Type="http://schemas.microsoft.com/office/2017/10/relationships/threadedComment" Target="../threadedComments/threadedComment6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8.bin"/><Relationship Id="rId4" Type="http://schemas.microsoft.com/office/2017/10/relationships/threadedComment" Target="../threadedComments/threadedComment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21.bin"/><Relationship Id="rId4" Type="http://schemas.microsoft.com/office/2017/10/relationships/threadedComment" Target="../threadedComments/threadedComment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2.bin"/><Relationship Id="rId4" Type="http://schemas.microsoft.com/office/2017/10/relationships/threadedComment" Target="../threadedComments/threadedComment9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3.bin"/><Relationship Id="rId4" Type="http://schemas.microsoft.com/office/2017/10/relationships/threadedComment" Target="../threadedComments/threadedComment10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4.bin"/><Relationship Id="rId4" Type="http://schemas.microsoft.com/office/2017/10/relationships/threadedComment" Target="../threadedComments/threadedComment11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5.bin"/><Relationship Id="rId4" Type="http://schemas.microsoft.com/office/2017/10/relationships/threadedComment" Target="../threadedComments/threadedComment12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6.bin"/><Relationship Id="rId4" Type="http://schemas.microsoft.com/office/2017/10/relationships/threadedComment" Target="../threadedComments/threadedComment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3"/>
  <sheetViews>
    <sheetView workbookViewId="0">
      <selection activeCell="N9" sqref="N9:O9"/>
    </sheetView>
  </sheetViews>
  <sheetFormatPr defaultColWidth="9.1796875" defaultRowHeight="14.5" x14ac:dyDescent="0.35"/>
  <cols>
    <col min="1" max="1" width="9.1796875" style="14"/>
    <col min="2" max="2" width="12.1796875" style="14" customWidth="1"/>
    <col min="3" max="3" width="13.90625" style="3" customWidth="1"/>
    <col min="4" max="4" width="9.1796875" style="3"/>
    <col min="5" max="5" width="12.6328125" style="3" customWidth="1"/>
    <col min="6" max="6" width="14" style="3" customWidth="1"/>
    <col min="7" max="7" width="12.08984375" style="3" customWidth="1"/>
    <col min="8" max="8" width="9.1796875" style="3"/>
    <col min="9" max="9" width="13.54296875" style="3" customWidth="1"/>
    <col min="10" max="10" width="13.1796875" style="3" customWidth="1"/>
    <col min="11" max="12" width="9.1796875" style="3"/>
    <col min="13" max="13" width="12.7265625" style="31" customWidth="1"/>
    <col min="14" max="14" width="12.90625" style="31" customWidth="1"/>
    <col min="15" max="15" width="10.6328125" style="31" customWidth="1"/>
    <col min="16" max="16384" width="9.1796875" style="3"/>
  </cols>
  <sheetData>
    <row r="1" spans="1:15" x14ac:dyDescent="0.35">
      <c r="A1" s="14" t="s">
        <v>291</v>
      </c>
      <c r="H1" s="5"/>
    </row>
    <row r="2" spans="1:15" x14ac:dyDescent="0.35">
      <c r="A2" s="36">
        <v>43466</v>
      </c>
      <c r="G2" s="4"/>
      <c r="H2" s="5"/>
    </row>
    <row r="3" spans="1:15" s="202" customFormat="1" x14ac:dyDescent="0.35">
      <c r="A3" s="36" t="s">
        <v>289</v>
      </c>
      <c r="B3" s="27"/>
      <c r="G3" s="25"/>
      <c r="H3" s="5"/>
    </row>
    <row r="4" spans="1:15" s="202" customFormat="1" x14ac:dyDescent="0.35">
      <c r="A4" s="36" t="s">
        <v>292</v>
      </c>
      <c r="B4" s="27"/>
      <c r="G4" s="25"/>
      <c r="H4" s="5"/>
    </row>
    <row r="5" spans="1:15" x14ac:dyDescent="0.35">
      <c r="G5" s="4"/>
      <c r="H5" s="5"/>
    </row>
    <row r="6" spans="1:15" s="31" customFormat="1" x14ac:dyDescent="0.35">
      <c r="A6" s="27" t="s">
        <v>84</v>
      </c>
      <c r="B6" s="27"/>
      <c r="E6" s="31" t="s">
        <v>85</v>
      </c>
      <c r="G6" s="25"/>
      <c r="H6" s="5"/>
      <c r="I6" s="31" t="s">
        <v>86</v>
      </c>
      <c r="K6" s="25"/>
      <c r="M6" s="31" t="s">
        <v>112</v>
      </c>
    </row>
    <row r="7" spans="1:15" s="31" customFormat="1" x14ac:dyDescent="0.35">
      <c r="A7" s="27"/>
      <c r="B7" s="27"/>
      <c r="G7" s="25"/>
      <c r="H7" s="5"/>
      <c r="K7" s="25"/>
    </row>
    <row r="8" spans="1:15" x14ac:dyDescent="0.35">
      <c r="A8" s="38" t="s">
        <v>290</v>
      </c>
      <c r="B8" s="39" t="s">
        <v>293</v>
      </c>
      <c r="C8" s="39" t="s">
        <v>2</v>
      </c>
      <c r="D8" s="38"/>
      <c r="E8" s="101" t="s">
        <v>294</v>
      </c>
      <c r="F8" s="39" t="s">
        <v>293</v>
      </c>
      <c r="G8" s="39" t="s">
        <v>2</v>
      </c>
      <c r="H8" s="37"/>
      <c r="I8" s="101" t="s">
        <v>294</v>
      </c>
      <c r="J8" s="39" t="s">
        <v>293</v>
      </c>
      <c r="K8" s="39" t="s">
        <v>2</v>
      </c>
      <c r="M8" s="101" t="s">
        <v>290</v>
      </c>
      <c r="N8" s="39" t="s">
        <v>293</v>
      </c>
      <c r="O8" s="39" t="s">
        <v>2</v>
      </c>
    </row>
    <row r="9" spans="1:15" s="202" customFormat="1" x14ac:dyDescent="0.35">
      <c r="A9" s="101"/>
      <c r="B9" s="39" t="s">
        <v>298</v>
      </c>
      <c r="C9" s="39" t="s">
        <v>0</v>
      </c>
      <c r="D9" s="101"/>
      <c r="E9" s="101"/>
      <c r="F9" s="39" t="s">
        <v>298</v>
      </c>
      <c r="G9" s="39" t="s">
        <v>0</v>
      </c>
      <c r="H9" s="101"/>
      <c r="I9" s="101"/>
      <c r="J9" s="39" t="s">
        <v>298</v>
      </c>
      <c r="K9" s="39" t="s">
        <v>0</v>
      </c>
      <c r="M9" s="101"/>
      <c r="N9" s="39" t="s">
        <v>298</v>
      </c>
      <c r="O9" s="39" t="s">
        <v>0</v>
      </c>
    </row>
    <row r="10" spans="1:15" x14ac:dyDescent="0.35">
      <c r="A10" s="39" t="s">
        <v>284</v>
      </c>
      <c r="B10" s="39">
        <v>23</v>
      </c>
      <c r="C10" s="40">
        <v>289.10000000000002</v>
      </c>
      <c r="D10" s="38"/>
      <c r="E10" s="3" t="s">
        <v>87</v>
      </c>
      <c r="F10" s="72" t="s">
        <v>35</v>
      </c>
      <c r="G10" s="72">
        <v>188.8</v>
      </c>
      <c r="H10" s="37"/>
      <c r="I10" s="3" t="s">
        <v>97</v>
      </c>
      <c r="J10" s="72">
        <v>21</v>
      </c>
      <c r="K10" s="72">
        <v>295.39999999999998</v>
      </c>
      <c r="M10" s="31" t="s">
        <v>101</v>
      </c>
      <c r="N10" s="75" t="s">
        <v>94</v>
      </c>
      <c r="O10" s="72">
        <v>295.8</v>
      </c>
    </row>
    <row r="11" spans="1:15" x14ac:dyDescent="0.35">
      <c r="A11" s="39" t="s">
        <v>284</v>
      </c>
      <c r="B11" s="39">
        <v>22</v>
      </c>
      <c r="C11" s="40">
        <v>136</v>
      </c>
      <c r="D11" s="38"/>
      <c r="E11" s="31" t="s">
        <v>87</v>
      </c>
      <c r="F11" s="72" t="s">
        <v>36</v>
      </c>
      <c r="G11" s="72">
        <v>119.6</v>
      </c>
      <c r="H11" s="37"/>
      <c r="I11" s="31" t="s">
        <v>97</v>
      </c>
      <c r="J11" s="72" t="s">
        <v>35</v>
      </c>
      <c r="K11" s="72">
        <v>506.8</v>
      </c>
      <c r="M11" s="31" t="s">
        <v>101</v>
      </c>
      <c r="N11" s="75" t="s">
        <v>38</v>
      </c>
      <c r="O11" s="72">
        <v>247.1</v>
      </c>
    </row>
    <row r="12" spans="1:15" x14ac:dyDescent="0.35">
      <c r="A12" s="39" t="s">
        <v>284</v>
      </c>
      <c r="B12" s="39">
        <v>21</v>
      </c>
      <c r="C12" s="40">
        <v>78.099999999999994</v>
      </c>
      <c r="D12" s="38"/>
      <c r="E12" s="31" t="s">
        <v>87</v>
      </c>
      <c r="F12" s="72" t="s">
        <v>37</v>
      </c>
      <c r="G12" s="72">
        <v>482.1</v>
      </c>
      <c r="H12" s="37"/>
      <c r="I12" s="31" t="s">
        <v>97</v>
      </c>
      <c r="J12" s="72" t="s">
        <v>36</v>
      </c>
      <c r="K12" s="72">
        <v>201.7</v>
      </c>
      <c r="M12" s="31" t="s">
        <v>101</v>
      </c>
      <c r="N12" s="75" t="s">
        <v>37</v>
      </c>
      <c r="O12" s="72">
        <v>170.4</v>
      </c>
    </row>
    <row r="13" spans="1:15" x14ac:dyDescent="0.35">
      <c r="A13" s="39" t="s">
        <v>284</v>
      </c>
      <c r="B13" s="39">
        <v>20</v>
      </c>
      <c r="C13" s="40">
        <v>232.4</v>
      </c>
      <c r="D13" s="38"/>
      <c r="E13" s="31" t="s">
        <v>87</v>
      </c>
      <c r="F13" s="72">
        <v>14</v>
      </c>
      <c r="G13" s="72">
        <v>253.1</v>
      </c>
      <c r="H13" s="37"/>
      <c r="I13" s="31" t="s">
        <v>97</v>
      </c>
      <c r="J13" s="72" t="s">
        <v>37</v>
      </c>
      <c r="K13" s="72">
        <v>376.4</v>
      </c>
      <c r="M13" s="31" t="s">
        <v>101</v>
      </c>
      <c r="N13" s="75" t="s">
        <v>36</v>
      </c>
      <c r="O13" s="72">
        <v>202.5</v>
      </c>
    </row>
    <row r="14" spans="1:15" x14ac:dyDescent="0.35">
      <c r="A14" s="39" t="s">
        <v>284</v>
      </c>
      <c r="B14" s="39">
        <v>19</v>
      </c>
      <c r="C14" s="40">
        <v>192.6</v>
      </c>
      <c r="D14" s="38"/>
      <c r="E14" s="31" t="s">
        <v>87</v>
      </c>
      <c r="F14" s="72">
        <v>13</v>
      </c>
      <c r="G14" s="72">
        <v>307.39999999999998</v>
      </c>
      <c r="I14" s="31" t="s">
        <v>97</v>
      </c>
      <c r="J14" s="72" t="s">
        <v>38</v>
      </c>
      <c r="K14" s="72">
        <v>186.2</v>
      </c>
      <c r="M14" s="31" t="s">
        <v>101</v>
      </c>
      <c r="N14" s="75" t="s">
        <v>35</v>
      </c>
      <c r="O14" s="72">
        <v>542</v>
      </c>
    </row>
    <row r="15" spans="1:15" x14ac:dyDescent="0.35">
      <c r="A15" s="39" t="s">
        <v>284</v>
      </c>
      <c r="B15" s="39">
        <v>18</v>
      </c>
      <c r="C15" s="40">
        <v>154</v>
      </c>
      <c r="D15" s="38"/>
      <c r="E15" s="31" t="s">
        <v>87</v>
      </c>
      <c r="F15" s="72">
        <v>12</v>
      </c>
      <c r="G15" s="72">
        <v>331.4</v>
      </c>
      <c r="I15" s="31" t="s">
        <v>97</v>
      </c>
      <c r="J15" s="75" t="s">
        <v>94</v>
      </c>
      <c r="K15" s="72">
        <v>132.9</v>
      </c>
      <c r="N15" s="75"/>
      <c r="O15" s="204">
        <f>SUM(O10:O14)</f>
        <v>1457.8</v>
      </c>
    </row>
    <row r="16" spans="1:15" x14ac:dyDescent="0.35">
      <c r="A16" s="39" t="s">
        <v>284</v>
      </c>
      <c r="B16" s="39">
        <v>17</v>
      </c>
      <c r="C16" s="40">
        <v>137.30000000000001</v>
      </c>
      <c r="D16" s="38"/>
      <c r="E16" s="31" t="s">
        <v>87</v>
      </c>
      <c r="F16" s="72">
        <v>11</v>
      </c>
      <c r="G16" s="72">
        <v>381.8</v>
      </c>
      <c r="J16" s="72"/>
      <c r="K16" s="204">
        <f>SUM(K10:K15)</f>
        <v>1699.4000000000003</v>
      </c>
    </row>
    <row r="17" spans="1:11" x14ac:dyDescent="0.35">
      <c r="A17" s="39" t="s">
        <v>284</v>
      </c>
      <c r="B17" s="39">
        <v>16</v>
      </c>
      <c r="C17" s="40">
        <v>170.6</v>
      </c>
      <c r="D17" s="38"/>
      <c r="F17" s="72"/>
      <c r="G17" s="204">
        <f>SUM(G10:G16)</f>
        <v>2064.2000000000003</v>
      </c>
      <c r="J17" s="72"/>
      <c r="K17" s="72"/>
    </row>
    <row r="18" spans="1:11" x14ac:dyDescent="0.35">
      <c r="A18" s="39" t="s">
        <v>284</v>
      </c>
      <c r="B18" s="39">
        <v>15</v>
      </c>
      <c r="C18" s="40">
        <v>254.6</v>
      </c>
      <c r="D18" s="38"/>
      <c r="F18" s="72"/>
      <c r="G18" s="72"/>
      <c r="I18" s="3">
        <v>116</v>
      </c>
      <c r="J18" s="75" t="s">
        <v>98</v>
      </c>
      <c r="K18" s="72">
        <v>416.7</v>
      </c>
    </row>
    <row r="19" spans="1:11" x14ac:dyDescent="0.35">
      <c r="A19" s="39" t="s">
        <v>284</v>
      </c>
      <c r="B19" s="39">
        <v>14</v>
      </c>
      <c r="C19" s="40">
        <v>270.39999999999998</v>
      </c>
      <c r="D19" s="38"/>
      <c r="E19" s="3">
        <v>106</v>
      </c>
      <c r="F19" s="72" t="s">
        <v>88</v>
      </c>
      <c r="G19" s="72">
        <v>422.2</v>
      </c>
      <c r="I19" s="3">
        <v>116</v>
      </c>
      <c r="J19" s="75" t="s">
        <v>93</v>
      </c>
      <c r="K19" s="72">
        <v>277.3</v>
      </c>
    </row>
    <row r="20" spans="1:11" x14ac:dyDescent="0.35">
      <c r="A20" s="39" t="s">
        <v>284</v>
      </c>
      <c r="B20" s="39">
        <v>13</v>
      </c>
      <c r="C20" s="40">
        <v>139.80000000000001</v>
      </c>
      <c r="D20" s="38"/>
      <c r="E20" s="31">
        <v>106</v>
      </c>
      <c r="F20" s="72" t="s">
        <v>89</v>
      </c>
      <c r="G20" s="72">
        <v>794.1</v>
      </c>
      <c r="J20" s="72"/>
      <c r="K20" s="204">
        <f>SUM(K18:K19)</f>
        <v>694</v>
      </c>
    </row>
    <row r="21" spans="1:11" x14ac:dyDescent="0.35">
      <c r="A21" s="39" t="s">
        <v>284</v>
      </c>
      <c r="B21" s="39">
        <v>12</v>
      </c>
      <c r="C21" s="40">
        <v>146.30000000000001</v>
      </c>
      <c r="D21" s="38"/>
      <c r="E21" s="31">
        <v>106</v>
      </c>
      <c r="F21" s="72" t="s">
        <v>90</v>
      </c>
      <c r="G21" s="72">
        <v>639.6</v>
      </c>
      <c r="J21" s="72"/>
      <c r="K21" s="72"/>
    </row>
    <row r="22" spans="1:11" x14ac:dyDescent="0.35">
      <c r="A22" s="38"/>
      <c r="B22" s="38"/>
      <c r="C22" s="41">
        <f>SUM(C10:C21)</f>
        <v>2201.2000000000003</v>
      </c>
      <c r="D22" s="38"/>
      <c r="F22" s="72"/>
      <c r="G22" s="204">
        <f>SUM(G19:G21)</f>
        <v>1855.9</v>
      </c>
      <c r="I22" s="3">
        <v>118</v>
      </c>
      <c r="J22" s="72" t="s">
        <v>99</v>
      </c>
      <c r="K22" s="72">
        <v>769.2</v>
      </c>
    </row>
    <row r="23" spans="1:11" x14ac:dyDescent="0.35">
      <c r="A23" s="42"/>
      <c r="B23" s="42"/>
      <c r="C23" s="41"/>
      <c r="D23" s="38"/>
      <c r="E23" s="31"/>
      <c r="F23" s="72"/>
      <c r="G23" s="204"/>
      <c r="I23" s="3">
        <v>118</v>
      </c>
      <c r="J23" s="75" t="s">
        <v>100</v>
      </c>
      <c r="K23" s="72">
        <v>358.1</v>
      </c>
    </row>
    <row r="24" spans="1:11" x14ac:dyDescent="0.35">
      <c r="A24" s="39" t="s">
        <v>285</v>
      </c>
      <c r="B24" s="39" t="s">
        <v>42</v>
      </c>
      <c r="C24" s="40">
        <v>273.10000000000002</v>
      </c>
      <c r="D24" s="38"/>
      <c r="E24" s="3">
        <v>107</v>
      </c>
      <c r="F24" s="72" t="s">
        <v>91</v>
      </c>
      <c r="G24" s="72">
        <v>870.2</v>
      </c>
      <c r="J24" s="72"/>
      <c r="K24" s="204">
        <f>SUM(K22:K23)</f>
        <v>1127.3000000000002</v>
      </c>
    </row>
    <row r="25" spans="1:11" x14ac:dyDescent="0.35">
      <c r="A25" s="39" t="s">
        <v>285</v>
      </c>
      <c r="B25" s="39" t="s">
        <v>39</v>
      </c>
      <c r="C25" s="40">
        <v>200.8</v>
      </c>
      <c r="D25" s="38"/>
      <c r="E25" s="31">
        <v>107</v>
      </c>
      <c r="F25" s="72" t="s">
        <v>92</v>
      </c>
      <c r="G25" s="205">
        <v>300.7</v>
      </c>
    </row>
    <row r="26" spans="1:11" x14ac:dyDescent="0.35">
      <c r="A26" s="39" t="s">
        <v>285</v>
      </c>
      <c r="B26" s="39" t="s">
        <v>40</v>
      </c>
      <c r="C26" s="40">
        <v>186.2</v>
      </c>
      <c r="D26" s="38"/>
      <c r="E26" s="39"/>
      <c r="F26" s="39"/>
      <c r="G26" s="46">
        <f>SUM(G24:G25)</f>
        <v>1170.9000000000001</v>
      </c>
    </row>
    <row r="27" spans="1:11" x14ac:dyDescent="0.35">
      <c r="A27" s="39" t="s">
        <v>285</v>
      </c>
      <c r="B27" s="39" t="s">
        <v>41</v>
      </c>
      <c r="C27" s="40">
        <v>214.8</v>
      </c>
      <c r="D27" s="38"/>
      <c r="E27" s="39"/>
      <c r="F27" s="39"/>
      <c r="G27" s="40"/>
    </row>
    <row r="28" spans="1:11" x14ac:dyDescent="0.35">
      <c r="A28" s="39" t="s">
        <v>285</v>
      </c>
      <c r="B28" s="45" t="s">
        <v>83</v>
      </c>
      <c r="C28" s="40">
        <v>322.3</v>
      </c>
      <c r="D28" s="38"/>
      <c r="E28" s="43">
        <v>108</v>
      </c>
      <c r="F28" s="45" t="s">
        <v>96</v>
      </c>
      <c r="G28" s="40">
        <v>754.8</v>
      </c>
    </row>
    <row r="29" spans="1:11" x14ac:dyDescent="0.35">
      <c r="A29" s="38"/>
      <c r="B29" s="38"/>
      <c r="C29" s="41">
        <f>SUM(C24:C28)</f>
        <v>1197.2</v>
      </c>
      <c r="D29" s="38"/>
      <c r="E29" s="43">
        <v>108</v>
      </c>
      <c r="F29" s="45" t="s">
        <v>95</v>
      </c>
      <c r="G29" s="40">
        <v>570.29999999999995</v>
      </c>
    </row>
    <row r="30" spans="1:11" x14ac:dyDescent="0.35">
      <c r="A30" s="42"/>
      <c r="B30" s="42"/>
      <c r="C30" s="41"/>
      <c r="D30" s="38"/>
      <c r="E30" s="39"/>
      <c r="F30" s="48"/>
      <c r="G30" s="46">
        <f>SUM(G28:G29)</f>
        <v>1325.1</v>
      </c>
    </row>
    <row r="31" spans="1:11" x14ac:dyDescent="0.35">
      <c r="A31" s="39" t="s">
        <v>286</v>
      </c>
      <c r="B31" s="39" t="s">
        <v>43</v>
      </c>
      <c r="C31" s="40">
        <v>323.8</v>
      </c>
      <c r="D31" s="38"/>
      <c r="E31" s="39"/>
      <c r="F31" s="39"/>
      <c r="G31" s="40"/>
    </row>
    <row r="32" spans="1:11" x14ac:dyDescent="0.35">
      <c r="A32" s="39" t="s">
        <v>286</v>
      </c>
      <c r="B32" s="39" t="s">
        <v>44</v>
      </c>
      <c r="C32" s="40">
        <v>730.1</v>
      </c>
      <c r="D32" s="38"/>
      <c r="E32" s="38"/>
      <c r="F32" s="38"/>
      <c r="G32" s="41"/>
    </row>
    <row r="33" spans="1:7" x14ac:dyDescent="0.35">
      <c r="A33" s="39" t="s">
        <v>286</v>
      </c>
      <c r="B33" s="39" t="s">
        <v>35</v>
      </c>
      <c r="C33" s="40">
        <v>310.39999999999998</v>
      </c>
      <c r="D33" s="38"/>
      <c r="E33" s="38"/>
      <c r="F33" s="38"/>
      <c r="G33" s="38"/>
    </row>
    <row r="34" spans="1:7" x14ac:dyDescent="0.35">
      <c r="A34" s="39" t="s">
        <v>286</v>
      </c>
      <c r="B34" s="39" t="s">
        <v>36</v>
      </c>
      <c r="C34" s="40">
        <v>264.60000000000002</v>
      </c>
      <c r="D34" s="38"/>
      <c r="E34" s="38"/>
      <c r="F34" s="38"/>
      <c r="G34" s="38"/>
    </row>
    <row r="35" spans="1:7" x14ac:dyDescent="0.35">
      <c r="A35" s="39" t="s">
        <v>286</v>
      </c>
      <c r="B35" s="39" t="s">
        <v>37</v>
      </c>
      <c r="C35" s="40">
        <v>249.4</v>
      </c>
      <c r="D35" s="38"/>
      <c r="E35" s="38"/>
      <c r="F35" s="38"/>
      <c r="G35" s="38"/>
    </row>
    <row r="36" spans="1:7" x14ac:dyDescent="0.35">
      <c r="A36" s="39" t="s">
        <v>286</v>
      </c>
      <c r="B36" s="39" t="s">
        <v>38</v>
      </c>
      <c r="C36" s="40">
        <v>199.9</v>
      </c>
      <c r="E36" s="38"/>
      <c r="F36" s="38"/>
      <c r="G36" s="38"/>
    </row>
    <row r="37" spans="1:7" x14ac:dyDescent="0.35">
      <c r="A37" s="38"/>
      <c r="B37" s="38"/>
      <c r="C37" s="41">
        <f>SUM(C31:C36)</f>
        <v>2078.2000000000003</v>
      </c>
      <c r="E37" s="38"/>
      <c r="F37" s="38"/>
      <c r="G37" s="38"/>
    </row>
    <row r="38" spans="1:7" x14ac:dyDescent="0.35">
      <c r="E38" s="38"/>
      <c r="F38" s="38"/>
      <c r="G38" s="38"/>
    </row>
    <row r="39" spans="1:7" x14ac:dyDescent="0.35">
      <c r="A39" s="39" t="s">
        <v>287</v>
      </c>
      <c r="B39" s="39">
        <v>21</v>
      </c>
      <c r="C39" s="40">
        <v>213.2</v>
      </c>
      <c r="E39" s="38"/>
      <c r="F39" s="38"/>
      <c r="G39" s="38"/>
    </row>
    <row r="40" spans="1:7" x14ac:dyDescent="0.35">
      <c r="A40" s="39" t="s">
        <v>287</v>
      </c>
      <c r="B40" s="39">
        <v>20</v>
      </c>
      <c r="C40" s="40">
        <v>262.7</v>
      </c>
    </row>
    <row r="41" spans="1:7" x14ac:dyDescent="0.35">
      <c r="A41" s="39" t="s">
        <v>287</v>
      </c>
      <c r="B41" s="39">
        <v>19</v>
      </c>
      <c r="C41" s="40">
        <v>242.3</v>
      </c>
      <c r="G41" s="4"/>
    </row>
    <row r="42" spans="1:7" x14ac:dyDescent="0.35">
      <c r="A42" s="39" t="s">
        <v>287</v>
      </c>
      <c r="B42" s="39">
        <v>18</v>
      </c>
      <c r="C42" s="40">
        <v>326.5</v>
      </c>
      <c r="G42" s="4"/>
    </row>
    <row r="43" spans="1:7" x14ac:dyDescent="0.35">
      <c r="A43" s="39" t="s">
        <v>287</v>
      </c>
      <c r="B43" s="39">
        <v>17</v>
      </c>
      <c r="C43" s="40">
        <v>267.5</v>
      </c>
    </row>
    <row r="44" spans="1:7" x14ac:dyDescent="0.35">
      <c r="A44" s="39" t="s">
        <v>287</v>
      </c>
      <c r="B44" s="39">
        <v>16</v>
      </c>
      <c r="C44" s="40">
        <v>533.1</v>
      </c>
    </row>
    <row r="45" spans="1:7" x14ac:dyDescent="0.35">
      <c r="A45" s="39" t="s">
        <v>287</v>
      </c>
      <c r="B45" s="39">
        <v>15</v>
      </c>
      <c r="C45" s="40">
        <v>431.2</v>
      </c>
    </row>
    <row r="46" spans="1:7" x14ac:dyDescent="0.35">
      <c r="A46" s="39" t="s">
        <v>287</v>
      </c>
      <c r="B46" s="39" t="s">
        <v>38</v>
      </c>
      <c r="C46" s="40">
        <v>332.1</v>
      </c>
    </row>
    <row r="47" spans="1:7" x14ac:dyDescent="0.35">
      <c r="A47" s="39"/>
      <c r="B47" s="39"/>
      <c r="C47" s="46">
        <f>SUM(C39:C46)</f>
        <v>2608.6</v>
      </c>
    </row>
    <row r="48" spans="1:7" x14ac:dyDescent="0.35">
      <c r="A48" s="39"/>
      <c r="B48" s="39"/>
      <c r="C48" s="40"/>
    </row>
    <row r="49" spans="1:3" x14ac:dyDescent="0.35">
      <c r="A49" s="39" t="s">
        <v>288</v>
      </c>
      <c r="B49" s="39" t="s">
        <v>35</v>
      </c>
      <c r="C49" s="40">
        <v>152.4</v>
      </c>
    </row>
    <row r="50" spans="1:3" x14ac:dyDescent="0.35">
      <c r="A50" s="39" t="s">
        <v>288</v>
      </c>
      <c r="B50" s="39" t="s">
        <v>36</v>
      </c>
      <c r="C50" s="40">
        <v>226.4</v>
      </c>
    </row>
    <row r="51" spans="1:3" x14ac:dyDescent="0.35">
      <c r="A51" s="39" t="s">
        <v>288</v>
      </c>
      <c r="B51" s="39" t="s">
        <v>37</v>
      </c>
      <c r="C51" s="40">
        <v>292.89999999999998</v>
      </c>
    </row>
    <row r="52" spans="1:3" x14ac:dyDescent="0.35">
      <c r="A52" s="39" t="s">
        <v>288</v>
      </c>
      <c r="B52" s="39" t="s">
        <v>38</v>
      </c>
      <c r="C52" s="40">
        <v>244.9</v>
      </c>
    </row>
    <row r="53" spans="1:3" x14ac:dyDescent="0.35">
      <c r="A53" s="38"/>
      <c r="B53" s="38"/>
      <c r="C53" s="41">
        <f>SUM(C49:C52)</f>
        <v>916.6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O144"/>
  <sheetViews>
    <sheetView zoomScaleNormal="100" workbookViewId="0">
      <pane ySplit="11" topLeftCell="A12" activePane="bottomLeft" state="frozen"/>
      <selection pane="bottomLeft" activeCell="A8" sqref="A8"/>
    </sheetView>
  </sheetViews>
  <sheetFormatPr defaultColWidth="9.1796875" defaultRowHeight="14.5" x14ac:dyDescent="0.35"/>
  <cols>
    <col min="1" max="1" width="9.7265625" style="43" bestFit="1" customWidth="1"/>
    <col min="2" max="2" width="10.453125" style="43" bestFit="1" customWidth="1"/>
    <col min="3" max="7" width="9.1796875" style="43"/>
    <col min="8" max="8" width="5.54296875" style="43" bestFit="1" customWidth="1"/>
    <col min="9" max="9" width="17.1796875" style="43" bestFit="1" customWidth="1"/>
    <col min="10" max="10" width="16.7265625" style="43" bestFit="1" customWidth="1"/>
    <col min="11" max="11" width="6.7265625" style="43" bestFit="1" customWidth="1"/>
    <col min="12" max="18" width="7.26953125" style="43" bestFit="1" customWidth="1"/>
    <col min="19" max="19" width="7.26953125" style="68" customWidth="1"/>
    <col min="20" max="20" width="7.26953125" style="68" bestFit="1" customWidth="1"/>
    <col min="21" max="21" width="7.26953125" style="43" customWidth="1"/>
    <col min="22" max="22" width="8.7265625" style="43" bestFit="1" customWidth="1"/>
    <col min="23" max="26" width="7.26953125" style="43" bestFit="1" customWidth="1"/>
    <col min="27" max="27" width="11.453125" style="43" customWidth="1"/>
    <col min="28" max="28" width="7.1796875" style="68" bestFit="1" customWidth="1"/>
    <col min="29" max="29" width="7.54296875" style="68" bestFit="1" customWidth="1"/>
    <col min="30" max="30" width="14.54296875" style="43" bestFit="1" customWidth="1"/>
    <col min="31" max="31" width="14.54296875" style="68" customWidth="1"/>
    <col min="32" max="32" width="11.7265625" style="43" bestFit="1" customWidth="1"/>
    <col min="33" max="33" width="12.26953125" style="43" customWidth="1"/>
    <col min="34" max="16384" width="9.1796875" style="43"/>
  </cols>
  <sheetData>
    <row r="1" spans="1:41" s="31" customFormat="1" x14ac:dyDescent="0.35">
      <c r="A1" s="31" t="s">
        <v>46</v>
      </c>
      <c r="F1" s="25"/>
      <c r="G1" s="25"/>
    </row>
    <row r="2" spans="1:41" x14ac:dyDescent="0.35">
      <c r="F2" s="25"/>
      <c r="G2" s="25"/>
      <c r="H2" s="31"/>
      <c r="N2" s="31"/>
    </row>
    <row r="3" spans="1:41" x14ac:dyDescent="0.35">
      <c r="A3" s="43" t="s">
        <v>8</v>
      </c>
      <c r="F3" s="2"/>
      <c r="G3" s="2"/>
      <c r="N3" s="31"/>
    </row>
    <row r="4" spans="1:41" s="31" customFormat="1" x14ac:dyDescent="0.35">
      <c r="A4" s="31" t="s">
        <v>74</v>
      </c>
      <c r="F4" s="25"/>
      <c r="G4" s="25"/>
    </row>
    <row r="5" spans="1:41" x14ac:dyDescent="0.35">
      <c r="A5" s="9" t="s">
        <v>78</v>
      </c>
      <c r="F5" s="2"/>
      <c r="G5" s="2"/>
      <c r="N5" s="31"/>
    </row>
    <row r="6" spans="1:41" s="203" customFormat="1" x14ac:dyDescent="0.35">
      <c r="A6" s="26" t="s">
        <v>358</v>
      </c>
      <c r="F6" s="163"/>
      <c r="G6" s="163"/>
      <c r="N6" s="202"/>
    </row>
    <row r="7" spans="1:41" x14ac:dyDescent="0.35">
      <c r="F7" s="2"/>
      <c r="G7" s="2"/>
      <c r="N7" s="31"/>
    </row>
    <row r="8" spans="1:41" s="31" customFormat="1" x14ac:dyDescent="0.35">
      <c r="A8" s="31" t="s">
        <v>367</v>
      </c>
      <c r="F8" s="25"/>
      <c r="G8" s="25"/>
      <c r="AF8" s="26" t="s">
        <v>170</v>
      </c>
    </row>
    <row r="9" spans="1:41" x14ac:dyDescent="0.35">
      <c r="F9" s="2"/>
      <c r="G9" s="2"/>
      <c r="N9" s="31"/>
    </row>
    <row r="10" spans="1:41" x14ac:dyDescent="0.35">
      <c r="A10" s="43" t="s">
        <v>9</v>
      </c>
      <c r="B10" s="43" t="s">
        <v>10</v>
      </c>
      <c r="C10" s="43" t="s">
        <v>11</v>
      </c>
      <c r="D10" s="43" t="s">
        <v>7</v>
      </c>
      <c r="E10" s="43" t="s">
        <v>12</v>
      </c>
      <c r="F10" s="2" t="s">
        <v>13</v>
      </c>
      <c r="G10" s="2" t="s">
        <v>81</v>
      </c>
      <c r="H10" s="43" t="s">
        <v>14</v>
      </c>
      <c r="I10" s="43" t="s">
        <v>15</v>
      </c>
      <c r="J10" s="43" t="s">
        <v>16</v>
      </c>
      <c r="K10" s="43" t="s">
        <v>3</v>
      </c>
      <c r="L10" s="43" t="s">
        <v>31</v>
      </c>
      <c r="M10" s="43" t="s">
        <v>30</v>
      </c>
      <c r="N10" s="43" t="s">
        <v>18</v>
      </c>
      <c r="O10" s="43" t="s">
        <v>17</v>
      </c>
      <c r="P10" s="43" t="s">
        <v>20</v>
      </c>
      <c r="Q10" s="43" t="s">
        <v>19</v>
      </c>
      <c r="R10" s="43" t="s">
        <v>21</v>
      </c>
      <c r="S10" s="68" t="s">
        <v>47</v>
      </c>
      <c r="T10" s="68" t="s">
        <v>24</v>
      </c>
      <c r="U10" s="43" t="s">
        <v>48</v>
      </c>
      <c r="V10" s="43" t="s">
        <v>4</v>
      </c>
      <c r="W10" s="43" t="s">
        <v>22</v>
      </c>
      <c r="X10" s="43" t="s">
        <v>23</v>
      </c>
      <c r="Y10" s="43" t="s">
        <v>25</v>
      </c>
      <c r="Z10" s="43" t="s">
        <v>49</v>
      </c>
      <c r="AA10" s="43" t="s">
        <v>26</v>
      </c>
      <c r="AB10" s="68" t="s">
        <v>123</v>
      </c>
      <c r="AC10" s="68" t="s">
        <v>124</v>
      </c>
      <c r="AD10" s="68" t="s">
        <v>27</v>
      </c>
      <c r="AF10" s="93" t="s">
        <v>171</v>
      </c>
      <c r="AG10" s="93" t="s">
        <v>172</v>
      </c>
      <c r="AH10" s="93" t="s">
        <v>173</v>
      </c>
      <c r="AI10" s="93" t="s">
        <v>174</v>
      </c>
      <c r="AJ10" s="93" t="s">
        <v>175</v>
      </c>
      <c r="AK10" s="93" t="s">
        <v>176</v>
      </c>
      <c r="AL10" s="93" t="s">
        <v>177</v>
      </c>
      <c r="AM10" s="93" t="s">
        <v>178</v>
      </c>
      <c r="AN10" s="93" t="s">
        <v>179</v>
      </c>
      <c r="AO10" s="93" t="s">
        <v>180</v>
      </c>
    </row>
    <row r="11" spans="1:41" x14ac:dyDescent="0.35">
      <c r="D11" s="43" t="s">
        <v>6</v>
      </c>
      <c r="E11" s="43" t="s">
        <v>6</v>
      </c>
      <c r="F11" s="2"/>
      <c r="G11" s="2"/>
      <c r="I11" s="203" t="s">
        <v>357</v>
      </c>
      <c r="J11" s="43" t="s">
        <v>28</v>
      </c>
      <c r="K11" s="27" t="s">
        <v>352</v>
      </c>
      <c r="L11" s="43" t="s">
        <v>5</v>
      </c>
      <c r="M11" s="43" t="s">
        <v>5</v>
      </c>
      <c r="N11" s="43" t="s">
        <v>5</v>
      </c>
      <c r="O11" s="43" t="s">
        <v>5</v>
      </c>
      <c r="P11" s="43" t="s">
        <v>5</v>
      </c>
      <c r="Q11" s="43" t="s">
        <v>5</v>
      </c>
      <c r="R11" s="43" t="s">
        <v>5</v>
      </c>
      <c r="S11" s="68" t="s">
        <v>5</v>
      </c>
      <c r="T11" s="68" t="s">
        <v>5</v>
      </c>
      <c r="U11" s="43" t="s">
        <v>5</v>
      </c>
      <c r="V11" s="43" t="s">
        <v>5</v>
      </c>
      <c r="W11" s="43" t="s">
        <v>5</v>
      </c>
      <c r="X11" s="43" t="s">
        <v>5</v>
      </c>
      <c r="Y11" s="43" t="s">
        <v>5</v>
      </c>
      <c r="Z11" s="43" t="s">
        <v>5</v>
      </c>
      <c r="AD11" s="68"/>
      <c r="AF11" s="94"/>
      <c r="AG11" s="94"/>
      <c r="AH11" s="94"/>
      <c r="AI11" s="94"/>
      <c r="AJ11" s="94"/>
      <c r="AK11" s="94"/>
      <c r="AL11" s="94"/>
      <c r="AM11" s="94"/>
      <c r="AN11" s="94"/>
      <c r="AO11" s="94"/>
    </row>
    <row r="12" spans="1:41" x14ac:dyDescent="0.35">
      <c r="F12" s="2"/>
      <c r="G12" s="2"/>
      <c r="N12" s="31"/>
      <c r="AD12" s="68"/>
      <c r="AF12" s="94"/>
      <c r="AG12" s="94"/>
      <c r="AH12" s="94"/>
      <c r="AI12" s="94"/>
      <c r="AJ12" s="94"/>
      <c r="AK12" s="94"/>
      <c r="AL12" s="94"/>
      <c r="AM12" s="94"/>
      <c r="AN12" s="94"/>
      <c r="AO12" s="94"/>
    </row>
    <row r="13" spans="1:41" x14ac:dyDescent="0.35">
      <c r="A13" s="43" t="s">
        <v>56</v>
      </c>
      <c r="F13" s="2"/>
      <c r="G13" s="2"/>
      <c r="H13" s="25">
        <f>AVERAGE(B69:B75)</f>
        <v>7.2999999999999989</v>
      </c>
      <c r="I13" s="165">
        <f>'Influent Results Master'!D34</f>
        <v>1670.1111111111111</v>
      </c>
      <c r="J13" s="165">
        <f>'Influent Results Master'!F34</f>
        <v>320.66666666666669</v>
      </c>
      <c r="K13" s="165">
        <f>'Influent Results Master'!G34</f>
        <v>287.22222222222223</v>
      </c>
      <c r="L13" s="165">
        <f>'Influent Results Master'!H34</f>
        <v>47.333333333333336</v>
      </c>
      <c r="M13" s="165">
        <f>'Influent Results Master'!I34</f>
        <v>21.777777777777775</v>
      </c>
      <c r="N13" s="165">
        <f>'Influent Results Master'!J34</f>
        <v>614.55555555555554</v>
      </c>
      <c r="O13" s="165">
        <f>'Influent Results Master'!K34</f>
        <v>28.111111111111114</v>
      </c>
      <c r="P13" s="165">
        <f>'Influent Results Master'!L34</f>
        <v>153.01111111111109</v>
      </c>
      <c r="Q13" s="165">
        <f>'Influent Results Master'!M34</f>
        <v>62.398888888888884</v>
      </c>
      <c r="R13" s="165">
        <f>'Influent Results Master'!N34</f>
        <v>206.23333333333335</v>
      </c>
      <c r="S13" s="165">
        <f>'Influent Results Master'!O34</f>
        <v>23.54111111111111</v>
      </c>
      <c r="T13" s="170">
        <f>'Influent Results Master'!P34</f>
        <v>6.3293333333333335</v>
      </c>
      <c r="U13" s="171">
        <f>'Influent Results Master'!Q34</f>
        <v>0.20000000000000004</v>
      </c>
      <c r="V13" s="176">
        <f>'Influent Results Master'!R34</f>
        <v>4.7000000000000007E-2</v>
      </c>
      <c r="W13" s="177">
        <f>'Influent Results Master'!S34</f>
        <v>0.02</v>
      </c>
      <c r="X13" s="176">
        <f>'Influent Results Master'!T34</f>
        <v>4.5777777777777785E-2</v>
      </c>
      <c r="Y13" s="177">
        <f>'Influent Results Master'!U34</f>
        <v>0.04</v>
      </c>
      <c r="Z13" s="170">
        <f>'Influent Results Master'!V34</f>
        <v>1.3484444444444446</v>
      </c>
      <c r="AB13" s="69">
        <f>((J13/50)+(L13/35.45)+(M13/62)+(N13/48.03))</f>
        <v>20.895045443353979</v>
      </c>
      <c r="AC13" s="69">
        <f>((P13/20.04)+(Q13/12.16)+(R13/22.99)+(T13/39.1))</f>
        <v>21.89921500465627</v>
      </c>
      <c r="AD13" s="69">
        <f>ABS((AB13-AC13)/(AB13+AC13)*100)</f>
        <v>2.3465052340891206</v>
      </c>
      <c r="AE13" s="69"/>
      <c r="AF13" s="93">
        <v>7.3</v>
      </c>
      <c r="AG13" s="93">
        <v>2.1877300000000002</v>
      </c>
      <c r="AH13" s="93">
        <v>0.25259999999999999</v>
      </c>
      <c r="AI13" s="93">
        <v>-0.80869999999999997</v>
      </c>
      <c r="AJ13" s="93">
        <v>-1.0582</v>
      </c>
      <c r="AK13" s="93">
        <v>-1.8478000000000001</v>
      </c>
      <c r="AL13" s="93">
        <v>-5.7299999999999997E-2</v>
      </c>
      <c r="AM13" s="93">
        <v>-1.4037999999999999</v>
      </c>
      <c r="AN13" s="93">
        <v>-1.5056</v>
      </c>
      <c r="AO13" s="93">
        <v>-0.90980000000000005</v>
      </c>
    </row>
    <row r="14" spans="1:41" s="57" customFormat="1" x14ac:dyDescent="0.35">
      <c r="F14" s="58"/>
      <c r="G14" s="58"/>
      <c r="H14" s="58"/>
      <c r="J14" s="62"/>
      <c r="L14" s="12"/>
      <c r="M14" s="12"/>
      <c r="N14" s="62"/>
      <c r="O14" s="62"/>
      <c r="P14" s="62"/>
      <c r="Q14" s="62"/>
      <c r="S14" s="68"/>
      <c r="T14" s="68"/>
      <c r="U14" s="163"/>
      <c r="V14" s="50"/>
      <c r="W14" s="176"/>
      <c r="Y14" s="50"/>
      <c r="Z14" s="58"/>
      <c r="AB14" s="69"/>
      <c r="AC14" s="69"/>
      <c r="AD14" s="69"/>
      <c r="AE14" s="69"/>
      <c r="AF14" s="94"/>
      <c r="AG14" s="94"/>
      <c r="AH14" s="94"/>
      <c r="AI14" s="94"/>
      <c r="AJ14" s="94"/>
      <c r="AK14" s="94"/>
      <c r="AL14" s="94"/>
      <c r="AM14" s="94"/>
      <c r="AN14" s="94"/>
      <c r="AO14" s="94"/>
    </row>
    <row r="15" spans="1:41" x14ac:dyDescent="0.35">
      <c r="A15" s="43">
        <v>4</v>
      </c>
      <c r="B15" s="10">
        <v>43481</v>
      </c>
      <c r="C15" s="43">
        <v>1</v>
      </c>
      <c r="D15" s="43">
        <v>141</v>
      </c>
      <c r="E15" s="43">
        <v>141</v>
      </c>
      <c r="F15" s="2">
        <f>D15/142</f>
        <v>0.99295774647887325</v>
      </c>
      <c r="G15" s="2">
        <v>0.99</v>
      </c>
      <c r="H15" s="43">
        <v>7.7</v>
      </c>
      <c r="I15" s="43">
        <v>3700</v>
      </c>
      <c r="J15" s="43">
        <v>311</v>
      </c>
      <c r="K15" s="43">
        <v>475</v>
      </c>
      <c r="L15" s="43">
        <v>116</v>
      </c>
      <c r="M15" s="191">
        <v>32</v>
      </c>
      <c r="N15" s="31">
        <v>1936</v>
      </c>
      <c r="O15" s="43">
        <v>91</v>
      </c>
      <c r="P15" s="21">
        <v>333.4</v>
      </c>
      <c r="Q15" s="21">
        <v>150.1</v>
      </c>
      <c r="R15" s="21">
        <v>568.20000000000005</v>
      </c>
      <c r="S15" s="175">
        <v>25.81</v>
      </c>
      <c r="T15" s="175">
        <v>25.41</v>
      </c>
      <c r="U15" s="174">
        <v>0.25600000000000001</v>
      </c>
      <c r="V15" s="174">
        <v>0.53100000000000003</v>
      </c>
      <c r="W15" s="177">
        <v>0.02</v>
      </c>
      <c r="X15" s="174">
        <v>0.36399999999999999</v>
      </c>
      <c r="Y15" s="80">
        <v>0.04</v>
      </c>
      <c r="Z15" s="172">
        <v>2.843</v>
      </c>
      <c r="AB15" s="69">
        <f t="shared" ref="AB15:AB21" si="0">((J15/50)+(L15/35.45)+(M15/62)+(N15/48.03))</f>
        <v>50.316484164085338</v>
      </c>
      <c r="AC15" s="69">
        <f t="shared" ref="AC15:AC61" si="1">((P15/20.04)+(Q15/12.16)+(R15/22.99)+(T15/39.1))</f>
        <v>54.345442188589608</v>
      </c>
      <c r="AD15" s="69">
        <f t="shared" ref="AD15:AD61" si="2">ABS((AB15-AC15)/(AB15+AC15)*100)</f>
        <v>3.8494972956336166</v>
      </c>
      <c r="AE15" s="69"/>
      <c r="AF15" s="93">
        <v>7.7</v>
      </c>
      <c r="AG15" s="93">
        <v>4.1651800000000003</v>
      </c>
      <c r="AH15" s="93">
        <v>0.76180000000000003</v>
      </c>
      <c r="AI15" s="93">
        <v>-0.27350000000000002</v>
      </c>
      <c r="AJ15" s="93">
        <v>-0.52249999999999996</v>
      </c>
      <c r="AK15" s="93">
        <v>-2.3035999999999999</v>
      </c>
      <c r="AL15" s="93">
        <v>1.014</v>
      </c>
      <c r="AM15" s="93">
        <v>-0.30299999999999999</v>
      </c>
      <c r="AN15" s="93">
        <v>-0.3483</v>
      </c>
      <c r="AO15" s="93">
        <v>-0.34789999999999999</v>
      </c>
    </row>
    <row r="16" spans="1:41" x14ac:dyDescent="0.35">
      <c r="A16" s="43">
        <v>4</v>
      </c>
      <c r="B16" s="10">
        <v>43482</v>
      </c>
      <c r="C16" s="31">
        <v>2</v>
      </c>
      <c r="D16" s="31">
        <v>142</v>
      </c>
      <c r="E16" s="31">
        <f>E15+D16</f>
        <v>283</v>
      </c>
      <c r="F16" s="2">
        <f t="shared" ref="F16:F20" si="3">D16/142</f>
        <v>1</v>
      </c>
      <c r="G16" s="25">
        <f>G15+F16</f>
        <v>1.99</v>
      </c>
      <c r="H16" s="25">
        <v>7.6</v>
      </c>
      <c r="I16" s="31">
        <v>1998</v>
      </c>
      <c r="J16" s="31">
        <v>333</v>
      </c>
      <c r="K16" s="31">
        <v>349</v>
      </c>
      <c r="L16" s="31">
        <v>64</v>
      </c>
      <c r="M16" s="191">
        <v>15</v>
      </c>
      <c r="N16" s="31">
        <v>727</v>
      </c>
      <c r="O16" s="31">
        <v>32</v>
      </c>
      <c r="P16" s="21">
        <v>192.9</v>
      </c>
      <c r="Q16" s="21">
        <v>66.25</v>
      </c>
      <c r="R16" s="21">
        <v>256</v>
      </c>
      <c r="S16" s="21">
        <v>26.33</v>
      </c>
      <c r="T16" s="21">
        <v>16.41</v>
      </c>
      <c r="U16" s="171">
        <v>0.2</v>
      </c>
      <c r="V16" s="11">
        <v>0.26900000000000002</v>
      </c>
      <c r="W16" s="177">
        <v>0.02</v>
      </c>
      <c r="X16" s="11">
        <v>0.217</v>
      </c>
      <c r="Y16" s="80">
        <v>0.04</v>
      </c>
      <c r="Z16" s="18">
        <v>1.504</v>
      </c>
      <c r="AB16" s="69">
        <f t="shared" si="0"/>
        <v>23.843668245511772</v>
      </c>
      <c r="AC16" s="69">
        <f t="shared" si="1"/>
        <v>26.628908594143393</v>
      </c>
      <c r="AD16" s="69">
        <f t="shared" si="2"/>
        <v>5.5183240544265635</v>
      </c>
      <c r="AE16" s="69"/>
      <c r="AF16" s="93">
        <v>7.6</v>
      </c>
      <c r="AG16" s="93">
        <v>7.22532</v>
      </c>
      <c r="AH16" s="93">
        <v>0.63690000000000002</v>
      </c>
      <c r="AI16" s="93">
        <v>-0.68230000000000002</v>
      </c>
      <c r="AJ16" s="93">
        <v>-0.93189999999999995</v>
      </c>
      <c r="AK16" s="93">
        <v>-2.1425999999999998</v>
      </c>
      <c r="AL16" s="93">
        <v>0.63780000000000003</v>
      </c>
      <c r="AM16" s="93">
        <v>-0.377</v>
      </c>
      <c r="AN16" s="93">
        <v>-0.64659999999999995</v>
      </c>
      <c r="AO16" s="93">
        <v>-0.59909999999999997</v>
      </c>
    </row>
    <row r="17" spans="1:41" x14ac:dyDescent="0.35">
      <c r="A17" s="43">
        <v>4</v>
      </c>
      <c r="B17" s="10">
        <v>43483</v>
      </c>
      <c r="C17" s="43">
        <v>3</v>
      </c>
      <c r="D17" s="43">
        <v>147</v>
      </c>
      <c r="E17" s="31">
        <f t="shared" ref="E17:E20" si="4">E16+D17</f>
        <v>430</v>
      </c>
      <c r="F17" s="2">
        <f t="shared" si="3"/>
        <v>1.0352112676056338</v>
      </c>
      <c r="G17" s="25">
        <f t="shared" ref="G17:G20" si="5">G16+F17</f>
        <v>3.0252112676056337</v>
      </c>
      <c r="H17" s="43">
        <v>7.49</v>
      </c>
      <c r="I17" s="43">
        <v>1828</v>
      </c>
      <c r="J17" s="43">
        <v>321</v>
      </c>
      <c r="K17" s="27">
        <v>271</v>
      </c>
      <c r="L17" s="27">
        <v>50</v>
      </c>
      <c r="M17" s="191">
        <v>12</v>
      </c>
      <c r="N17" s="31">
        <v>719</v>
      </c>
      <c r="O17" s="43">
        <v>29</v>
      </c>
      <c r="P17" s="175">
        <v>176</v>
      </c>
      <c r="Q17" s="175">
        <v>65.3</v>
      </c>
      <c r="R17" s="21">
        <v>239.1</v>
      </c>
      <c r="S17" s="21">
        <v>27.14</v>
      </c>
      <c r="T17" s="21">
        <v>15.28</v>
      </c>
      <c r="U17" s="171">
        <v>0.2</v>
      </c>
      <c r="V17" s="174">
        <v>0.17100000000000001</v>
      </c>
      <c r="W17" s="177">
        <v>0.02</v>
      </c>
      <c r="X17" s="11">
        <v>0.22</v>
      </c>
      <c r="Y17" s="80">
        <v>0.04</v>
      </c>
      <c r="Z17" s="172">
        <v>1.4530000000000001</v>
      </c>
      <c r="AB17" s="69">
        <f t="shared" si="0"/>
        <v>22.993796157722031</v>
      </c>
      <c r="AC17" s="69">
        <f t="shared" si="1"/>
        <v>24.943467746779621</v>
      </c>
      <c r="AD17" s="69">
        <f t="shared" si="2"/>
        <v>4.0671315595767714</v>
      </c>
      <c r="AE17" s="69"/>
      <c r="AF17" s="93">
        <v>7.49</v>
      </c>
      <c r="AG17" s="93">
        <v>6.23184</v>
      </c>
      <c r="AH17" s="93">
        <v>0.4793</v>
      </c>
      <c r="AI17" s="93">
        <v>-0.71289999999999998</v>
      </c>
      <c r="AJ17" s="93">
        <v>-0.96240000000000003</v>
      </c>
      <c r="AK17" s="93">
        <v>-2.044</v>
      </c>
      <c r="AL17" s="93">
        <v>0.35620000000000002</v>
      </c>
      <c r="AM17" s="93">
        <v>-0.49170000000000003</v>
      </c>
      <c r="AN17" s="93">
        <v>-0.87409999999999999</v>
      </c>
      <c r="AO17" s="93">
        <v>-0.72309999999999997</v>
      </c>
    </row>
    <row r="18" spans="1:41" x14ac:dyDescent="0.35">
      <c r="A18" s="43">
        <v>4</v>
      </c>
      <c r="B18" s="10">
        <v>43484</v>
      </c>
      <c r="C18" s="43">
        <v>4</v>
      </c>
      <c r="D18" s="43">
        <v>140</v>
      </c>
      <c r="E18" s="31">
        <f t="shared" si="4"/>
        <v>570</v>
      </c>
      <c r="F18" s="2">
        <f t="shared" si="3"/>
        <v>0.9859154929577465</v>
      </c>
      <c r="G18" s="25">
        <f t="shared" si="5"/>
        <v>4.0111267605633802</v>
      </c>
      <c r="H18" s="43">
        <v>7.69</v>
      </c>
      <c r="I18" s="43">
        <v>1745</v>
      </c>
      <c r="J18" s="43">
        <v>385</v>
      </c>
      <c r="K18" s="27">
        <v>251</v>
      </c>
      <c r="L18" s="27">
        <v>50</v>
      </c>
      <c r="M18" s="191">
        <v>14</v>
      </c>
      <c r="N18" s="31">
        <v>710</v>
      </c>
      <c r="O18" s="43">
        <v>29</v>
      </c>
      <c r="P18" s="175">
        <v>178.4</v>
      </c>
      <c r="Q18" s="175">
        <v>65.97</v>
      </c>
      <c r="R18" s="21">
        <v>236.1</v>
      </c>
      <c r="S18" s="21">
        <v>27.45</v>
      </c>
      <c r="T18" s="21">
        <v>15.41</v>
      </c>
      <c r="U18" s="171">
        <v>0.2</v>
      </c>
      <c r="V18" s="174">
        <v>0.126</v>
      </c>
      <c r="W18" s="177">
        <v>0.02</v>
      </c>
      <c r="X18" s="11">
        <v>0.24199999999999999</v>
      </c>
      <c r="Y18" s="80">
        <v>0.04</v>
      </c>
      <c r="Z18" s="172">
        <v>1.427</v>
      </c>
      <c r="AB18" s="69">
        <f t="shared" si="0"/>
        <v>24.118671336541723</v>
      </c>
      <c r="AC18" s="69">
        <f t="shared" si="1"/>
        <v>24.991160200164881</v>
      </c>
      <c r="AD18" s="69">
        <f t="shared" si="2"/>
        <v>1.7766073234664332</v>
      </c>
      <c r="AE18" s="69"/>
      <c r="AF18" s="93">
        <v>7.69</v>
      </c>
      <c r="AG18" s="93">
        <v>3.7494499999999999</v>
      </c>
      <c r="AH18" s="93">
        <v>0.75680000000000003</v>
      </c>
      <c r="AI18" s="93">
        <v>-0.71779999999999999</v>
      </c>
      <c r="AJ18" s="93">
        <v>-0.96730000000000005</v>
      </c>
      <c r="AK18" s="93">
        <v>-2.1686999999999999</v>
      </c>
      <c r="AL18" s="93">
        <v>0.91110000000000002</v>
      </c>
      <c r="AM18" s="93">
        <v>-0.18240000000000001</v>
      </c>
      <c r="AN18" s="93">
        <v>-1.0061</v>
      </c>
      <c r="AO18" s="93">
        <v>-0.44569999999999999</v>
      </c>
    </row>
    <row r="19" spans="1:41" x14ac:dyDescent="0.35">
      <c r="A19" s="43">
        <v>4</v>
      </c>
      <c r="B19" s="10">
        <v>43485</v>
      </c>
      <c r="C19" s="43">
        <v>5</v>
      </c>
      <c r="D19" s="43">
        <v>143</v>
      </c>
      <c r="E19" s="31">
        <f t="shared" si="4"/>
        <v>713</v>
      </c>
      <c r="F19" s="2">
        <f t="shared" si="3"/>
        <v>1.0070422535211268</v>
      </c>
      <c r="G19" s="25">
        <f t="shared" si="5"/>
        <v>5.0181690140845072</v>
      </c>
      <c r="H19" s="43">
        <v>7.58</v>
      </c>
      <c r="I19" s="43">
        <v>1754</v>
      </c>
      <c r="J19" s="43">
        <v>300</v>
      </c>
      <c r="K19" s="27">
        <v>247</v>
      </c>
      <c r="L19" s="27">
        <v>51</v>
      </c>
      <c r="M19" s="191">
        <v>14</v>
      </c>
      <c r="N19" s="31">
        <v>706</v>
      </c>
      <c r="O19" s="43">
        <v>29</v>
      </c>
      <c r="P19" s="175">
        <v>178.5</v>
      </c>
      <c r="Q19" s="175">
        <v>66.16</v>
      </c>
      <c r="R19" s="21">
        <v>244.5</v>
      </c>
      <c r="S19" s="21">
        <v>27.84</v>
      </c>
      <c r="T19" s="21">
        <v>15.6</v>
      </c>
      <c r="U19" s="171">
        <v>0.2</v>
      </c>
      <c r="V19" s="174">
        <v>0.105</v>
      </c>
      <c r="W19" s="177">
        <v>0.02</v>
      </c>
      <c r="X19" s="11">
        <v>0.26100000000000001</v>
      </c>
      <c r="Y19" s="80">
        <v>0.04</v>
      </c>
      <c r="Z19" s="172">
        <v>1.47</v>
      </c>
      <c r="AB19" s="69">
        <f t="shared" si="0"/>
        <v>22.363598798720833</v>
      </c>
      <c r="AC19" s="69">
        <f t="shared" si="1"/>
        <v>25.382010805707036</v>
      </c>
      <c r="AD19" s="69">
        <f t="shared" si="2"/>
        <v>6.3218629566021489</v>
      </c>
      <c r="AE19" s="69"/>
      <c r="AF19" s="93">
        <v>7.58</v>
      </c>
      <c r="AG19" s="93">
        <v>8.4437999999999995</v>
      </c>
      <c r="AH19" s="93">
        <v>0.54749999999999999</v>
      </c>
      <c r="AI19" s="93">
        <v>-0.71360000000000001</v>
      </c>
      <c r="AJ19" s="93">
        <v>-0.96319999999999995</v>
      </c>
      <c r="AK19" s="93">
        <v>-2.1652</v>
      </c>
      <c r="AL19" s="93">
        <v>0.49149999999999999</v>
      </c>
      <c r="AM19" s="93">
        <v>-0.35749999999999998</v>
      </c>
      <c r="AN19" s="93">
        <v>-1.0764</v>
      </c>
      <c r="AO19" s="93">
        <v>-0.65600000000000003</v>
      </c>
    </row>
    <row r="20" spans="1:41" x14ac:dyDescent="0.35">
      <c r="A20" s="43">
        <v>4</v>
      </c>
      <c r="B20" s="10">
        <v>43486</v>
      </c>
      <c r="C20" s="43">
        <v>6</v>
      </c>
      <c r="D20" s="43">
        <v>150</v>
      </c>
      <c r="E20" s="31">
        <f t="shared" si="4"/>
        <v>863</v>
      </c>
      <c r="F20" s="2">
        <f t="shared" si="3"/>
        <v>1.056338028169014</v>
      </c>
      <c r="G20" s="25">
        <f t="shared" si="5"/>
        <v>6.0745070422535212</v>
      </c>
      <c r="H20" s="43">
        <v>7.56</v>
      </c>
      <c r="I20" s="43">
        <v>1726</v>
      </c>
      <c r="J20" s="43">
        <v>288</v>
      </c>
      <c r="K20" s="27">
        <v>273</v>
      </c>
      <c r="L20" s="27">
        <v>50</v>
      </c>
      <c r="M20" s="191">
        <v>15</v>
      </c>
      <c r="N20" s="31">
        <v>700</v>
      </c>
      <c r="O20" s="43">
        <v>28</v>
      </c>
      <c r="P20" s="175">
        <v>171.7</v>
      </c>
      <c r="Q20" s="175">
        <v>65.87</v>
      </c>
      <c r="R20" s="21">
        <v>239.4</v>
      </c>
      <c r="S20" s="21">
        <v>27.46</v>
      </c>
      <c r="T20" s="21">
        <v>14.99</v>
      </c>
      <c r="U20" s="171">
        <v>0.2</v>
      </c>
      <c r="V20" s="30">
        <v>9.1999999999999998E-2</v>
      </c>
      <c r="W20" s="177">
        <v>0.02</v>
      </c>
      <c r="X20" s="11">
        <v>0.28599999999999998</v>
      </c>
      <c r="Y20" s="80">
        <v>0.04</v>
      </c>
      <c r="Z20" s="172">
        <v>1.377</v>
      </c>
      <c r="AB20" s="69">
        <f t="shared" si="0"/>
        <v>21.98659716247041</v>
      </c>
      <c r="AC20" s="69">
        <f t="shared" si="1"/>
        <v>24.781404160505925</v>
      </c>
      <c r="AD20" s="69">
        <f t="shared" si="2"/>
        <v>5.9758957384874893</v>
      </c>
      <c r="AE20" s="69"/>
      <c r="AF20" s="93">
        <v>7.56</v>
      </c>
      <c r="AG20" s="93">
        <v>7.7703600000000002</v>
      </c>
      <c r="AH20" s="93">
        <v>0.496</v>
      </c>
      <c r="AI20" s="93">
        <v>-0.72850000000000004</v>
      </c>
      <c r="AJ20" s="93">
        <v>-0.97809999999999997</v>
      </c>
      <c r="AK20" s="93">
        <v>-2.1617000000000002</v>
      </c>
      <c r="AL20" s="93">
        <v>0.40339999999999998</v>
      </c>
      <c r="AM20" s="93">
        <v>-0.34370000000000001</v>
      </c>
      <c r="AN20" s="93">
        <v>-1.147</v>
      </c>
      <c r="AO20" s="93">
        <v>-0.69259999999999999</v>
      </c>
    </row>
    <row r="21" spans="1:41" x14ac:dyDescent="0.35">
      <c r="A21" s="43">
        <v>4</v>
      </c>
      <c r="B21" s="10">
        <v>43487</v>
      </c>
      <c r="C21" s="43">
        <v>7</v>
      </c>
      <c r="D21" s="43">
        <v>149</v>
      </c>
      <c r="E21" s="31">
        <f>E20+D21</f>
        <v>1012</v>
      </c>
      <c r="F21" s="2">
        <f>D21/142</f>
        <v>1.0492957746478873</v>
      </c>
      <c r="G21" s="25">
        <f>G20+F21</f>
        <v>7.1238028169014083</v>
      </c>
      <c r="H21" s="43">
        <v>7.64</v>
      </c>
      <c r="I21" s="43">
        <v>1703</v>
      </c>
      <c r="J21" s="43">
        <v>296</v>
      </c>
      <c r="K21" s="27">
        <v>289</v>
      </c>
      <c r="L21" s="43">
        <v>45</v>
      </c>
      <c r="M21" s="191">
        <v>16</v>
      </c>
      <c r="N21" s="43">
        <v>648</v>
      </c>
      <c r="O21" s="43">
        <v>28</v>
      </c>
      <c r="P21" s="175">
        <v>155.19999999999999</v>
      </c>
      <c r="Q21" s="175">
        <v>56.87</v>
      </c>
      <c r="R21" s="175">
        <v>215.3</v>
      </c>
      <c r="S21" s="175">
        <v>25.32</v>
      </c>
      <c r="T21" s="175">
        <v>12.42</v>
      </c>
      <c r="U21" s="171">
        <v>0.2</v>
      </c>
      <c r="V21" s="27">
        <v>8.2000000000000003E-2</v>
      </c>
      <c r="W21" s="81">
        <v>0.02</v>
      </c>
      <c r="X21" s="11">
        <v>0.30099999999999999</v>
      </c>
      <c r="Y21" s="81">
        <v>0.04</v>
      </c>
      <c r="Z21" s="18">
        <v>1.45</v>
      </c>
      <c r="AB21" s="69">
        <f t="shared" si="0"/>
        <v>20.939025798261408</v>
      </c>
      <c r="AC21" s="69">
        <f t="shared" si="1"/>
        <v>22.103908526210635</v>
      </c>
      <c r="AD21" s="69">
        <f t="shared" si="2"/>
        <v>2.7063274059522775</v>
      </c>
      <c r="AE21" s="69"/>
      <c r="AF21" s="93">
        <v>7.64</v>
      </c>
      <c r="AG21" s="93">
        <v>3.8354300000000001</v>
      </c>
      <c r="AH21" s="93">
        <v>0.55620000000000003</v>
      </c>
      <c r="AI21" s="93">
        <v>-0.78</v>
      </c>
      <c r="AJ21" s="93">
        <v>-1.0296000000000001</v>
      </c>
      <c r="AK21" s="93">
        <v>-2.2271000000000001</v>
      </c>
      <c r="AL21" s="93">
        <v>0.50409999999999999</v>
      </c>
      <c r="AM21" s="93">
        <v>-0.21959999999999999</v>
      </c>
      <c r="AN21" s="93">
        <v>-1.2228000000000001</v>
      </c>
      <c r="AO21" s="93">
        <v>-0.6522</v>
      </c>
    </row>
    <row r="22" spans="1:41" x14ac:dyDescent="0.35">
      <c r="B22" s="10"/>
      <c r="E22" s="31"/>
      <c r="F22" s="25"/>
      <c r="G22" s="25"/>
      <c r="K22" s="27"/>
      <c r="L22" s="27"/>
      <c r="N22" s="31"/>
      <c r="P22" s="65"/>
      <c r="Q22" s="65"/>
      <c r="R22" s="11"/>
      <c r="S22" s="11"/>
      <c r="T22" s="11"/>
      <c r="U22" s="11"/>
      <c r="V22" s="66"/>
      <c r="W22" s="49"/>
      <c r="X22" s="32"/>
      <c r="Y22" s="65"/>
      <c r="Z22" s="65"/>
      <c r="AB22" s="69"/>
      <c r="AC22" s="69"/>
      <c r="AD22" s="69"/>
      <c r="AE22" s="69"/>
      <c r="AF22" s="94"/>
      <c r="AG22" s="94"/>
      <c r="AH22" s="94"/>
      <c r="AI22" s="94"/>
      <c r="AJ22" s="94"/>
      <c r="AK22" s="94"/>
      <c r="AL22" s="94"/>
      <c r="AM22" s="94"/>
      <c r="AN22" s="94"/>
      <c r="AO22" s="94"/>
    </row>
    <row r="23" spans="1:41" x14ac:dyDescent="0.35">
      <c r="A23" s="43" t="s">
        <v>55</v>
      </c>
      <c r="F23" s="2"/>
      <c r="G23" s="2"/>
      <c r="H23" s="69">
        <f>AVERAGE(B76:B90)</f>
        <v>8.0093333333333323</v>
      </c>
      <c r="I23" s="165">
        <f>'Influent Results Master'!D37</f>
        <v>792.8888888888888</v>
      </c>
      <c r="J23" s="165">
        <f>'Influent Results Master'!F37</f>
        <v>161.7777777777778</v>
      </c>
      <c r="K23" s="170">
        <f>'Influent Results Master'!G37</f>
        <v>7.1555555555555559</v>
      </c>
      <c r="L23" s="165">
        <f>'Influent Results Master'!H37</f>
        <v>11.777777777777779</v>
      </c>
      <c r="M23" s="170">
        <f>'Influent Results Master'!I37</f>
        <v>4.7</v>
      </c>
      <c r="N23" s="165">
        <f>'Influent Results Master'!J37</f>
        <v>323.22222222222223</v>
      </c>
      <c r="O23" s="165">
        <f>'Influent Results Master'!K37</f>
        <v>17.333333333333332</v>
      </c>
      <c r="P23" s="165">
        <f>'Influent Results Master'!L37</f>
        <v>110.73333333333333</v>
      </c>
      <c r="Q23" s="165">
        <f>'Influent Results Master'!M37</f>
        <v>36.826666666666675</v>
      </c>
      <c r="R23" s="165">
        <f>'Influent Results Master'!N37</f>
        <v>60.793333333333329</v>
      </c>
      <c r="S23" s="165">
        <f>'Influent Results Master'!O37</f>
        <v>12.273333333333333</v>
      </c>
      <c r="T23" s="170">
        <f>'Influent Results Master'!P37</f>
        <v>3.2865555555555557</v>
      </c>
      <c r="U23" s="171">
        <f>'Influent Results Master'!Q37</f>
        <v>0.20000000000000004</v>
      </c>
      <c r="V23" s="177">
        <f>'Influent Results Master'!R37</f>
        <v>0.02</v>
      </c>
      <c r="W23" s="177">
        <f>'Influent Results Master'!S37</f>
        <v>0.02</v>
      </c>
      <c r="X23" s="176">
        <f>'Influent Results Master'!T37</f>
        <v>4.3000000000000003E-2</v>
      </c>
      <c r="Y23" s="177">
        <f>'Influent Results Master'!U37</f>
        <v>0.04</v>
      </c>
      <c r="Z23" s="170">
        <f>'Influent Results Master'!V37</f>
        <v>1.2584444444444445</v>
      </c>
      <c r="AB23" s="69">
        <f>((J23/50)+(L23/35.45)+(M23/62)+(N23/48.03))</f>
        <v>10.373188636120361</v>
      </c>
      <c r="AC23" s="69">
        <f t="shared" si="1"/>
        <v>11.282517455045328</v>
      </c>
      <c r="AD23" s="69">
        <f t="shared" si="2"/>
        <v>4.1990264140864122</v>
      </c>
      <c r="AE23" s="69"/>
      <c r="AF23" s="93">
        <v>8.01</v>
      </c>
      <c r="AG23" s="93">
        <v>7.4652200000000004</v>
      </c>
      <c r="AH23" s="93">
        <v>0.61680000000000001</v>
      </c>
      <c r="AI23" s="93">
        <v>-1.0588</v>
      </c>
      <c r="AJ23" s="93">
        <v>-1.3086</v>
      </c>
      <c r="AK23" s="93">
        <v>-2.8633999999999999</v>
      </c>
      <c r="AL23" s="93">
        <v>0.57609999999999995</v>
      </c>
      <c r="AM23" s="93">
        <v>-0.84299999999999997</v>
      </c>
      <c r="AN23" s="93">
        <v>-1.8180000000000001</v>
      </c>
      <c r="AO23" s="93">
        <v>-0.64070000000000005</v>
      </c>
    </row>
    <row r="24" spans="1:41" s="68" customFormat="1" x14ac:dyDescent="0.35">
      <c r="F24" s="69"/>
      <c r="G24" s="69"/>
      <c r="M24" s="65"/>
      <c r="N24" s="27"/>
      <c r="O24" s="65"/>
      <c r="P24" s="65"/>
      <c r="Q24" s="65"/>
      <c r="R24" s="67"/>
      <c r="S24" s="67"/>
      <c r="T24" s="67"/>
      <c r="U24" s="67"/>
      <c r="V24" s="65"/>
      <c r="W24" s="66"/>
      <c r="X24" s="67"/>
      <c r="Y24" s="65"/>
      <c r="AB24" s="69"/>
      <c r="AC24" s="69"/>
      <c r="AD24" s="69"/>
      <c r="AE24" s="69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x14ac:dyDescent="0.35">
      <c r="A25" s="43">
        <v>4</v>
      </c>
      <c r="B25" s="10">
        <v>43488</v>
      </c>
      <c r="C25" s="43">
        <v>8</v>
      </c>
      <c r="D25" s="43">
        <v>143</v>
      </c>
      <c r="E25" s="43">
        <f>D25+E21</f>
        <v>1155</v>
      </c>
      <c r="F25" s="69">
        <f>D25/142</f>
        <v>1.0070422535211268</v>
      </c>
      <c r="G25" s="69">
        <f>G21+F25</f>
        <v>8.1308450704225343</v>
      </c>
      <c r="H25" s="43">
        <v>7.86</v>
      </c>
      <c r="I25" s="43">
        <v>1162</v>
      </c>
      <c r="J25" s="43">
        <v>215</v>
      </c>
      <c r="K25" s="43">
        <v>155</v>
      </c>
      <c r="L25" s="27">
        <v>17</v>
      </c>
      <c r="M25" s="172">
        <v>3.8</v>
      </c>
      <c r="N25" s="31">
        <v>434</v>
      </c>
      <c r="O25" s="43">
        <v>22</v>
      </c>
      <c r="P25" s="175">
        <v>80.819999999999993</v>
      </c>
      <c r="Q25" s="175">
        <v>30.7</v>
      </c>
      <c r="R25" s="21">
        <v>151.69999999999999</v>
      </c>
      <c r="S25" s="21">
        <v>22.87</v>
      </c>
      <c r="T25" s="18">
        <v>9.0960000000000001</v>
      </c>
      <c r="U25" s="171">
        <v>0.2</v>
      </c>
      <c r="V25" s="43">
        <v>8.7999999999999995E-2</v>
      </c>
      <c r="W25" s="177">
        <v>0.02</v>
      </c>
      <c r="X25" s="174">
        <v>0.15</v>
      </c>
      <c r="Y25" s="80">
        <v>0.04</v>
      </c>
      <c r="Z25" s="163">
        <v>0.84</v>
      </c>
      <c r="AB25" s="69">
        <f t="shared" ref="AB25:AB39" si="6">((J25/50)+(L25/35.45)+(M25/62)+(N25/48.03))</f>
        <v>13.876858137360253</v>
      </c>
      <c r="AC25" s="69">
        <f t="shared" si="1"/>
        <v>13.388760551596601</v>
      </c>
      <c r="AD25" s="69">
        <f t="shared" si="2"/>
        <v>1.7901577489651543</v>
      </c>
      <c r="AE25" s="69"/>
      <c r="AF25" s="93">
        <v>7.86</v>
      </c>
      <c r="AG25" s="93">
        <v>1.4579899999999999</v>
      </c>
      <c r="AH25" s="93">
        <v>0.42870000000000003</v>
      </c>
      <c r="AI25" s="93">
        <v>-1.0994999999999999</v>
      </c>
      <c r="AJ25" s="93">
        <v>-1.3492</v>
      </c>
      <c r="AK25" s="93">
        <v>-2.5705</v>
      </c>
      <c r="AL25" s="93">
        <v>0.2616</v>
      </c>
      <c r="AM25" s="93">
        <v>-0.35020000000000001</v>
      </c>
      <c r="AN25" s="93">
        <v>-1.3709</v>
      </c>
      <c r="AO25" s="93">
        <v>-0.7671</v>
      </c>
    </row>
    <row r="26" spans="1:41" x14ac:dyDescent="0.35">
      <c r="A26" s="43">
        <v>4</v>
      </c>
      <c r="B26" s="10">
        <v>43489</v>
      </c>
      <c r="C26" s="43">
        <v>9</v>
      </c>
      <c r="D26" s="43">
        <v>143</v>
      </c>
      <c r="E26" s="31">
        <f>E25+D26</f>
        <v>1298</v>
      </c>
      <c r="F26" s="25">
        <f>D26/142</f>
        <v>1.0070422535211268</v>
      </c>
      <c r="G26" s="25">
        <f>G25+F26</f>
        <v>9.1378873239436604</v>
      </c>
      <c r="H26" s="43">
        <v>7.72</v>
      </c>
      <c r="I26" s="43">
        <v>1021</v>
      </c>
      <c r="J26" s="43">
        <v>164</v>
      </c>
      <c r="K26" s="27">
        <v>134</v>
      </c>
      <c r="L26" s="27">
        <v>14</v>
      </c>
      <c r="M26" s="172">
        <v>2.7</v>
      </c>
      <c r="N26" s="31">
        <v>409</v>
      </c>
      <c r="O26" s="31">
        <v>20</v>
      </c>
      <c r="P26" s="175">
        <v>69.44</v>
      </c>
      <c r="Q26" s="175">
        <v>25.05</v>
      </c>
      <c r="R26" s="21">
        <v>100.5</v>
      </c>
      <c r="S26" s="21">
        <v>20.6</v>
      </c>
      <c r="T26" s="18">
        <v>7.516</v>
      </c>
      <c r="U26" s="171">
        <v>0.2</v>
      </c>
      <c r="V26" s="30">
        <v>6.2E-2</v>
      </c>
      <c r="W26" s="177">
        <v>0.02</v>
      </c>
      <c r="X26" s="174">
        <v>0.16</v>
      </c>
      <c r="Y26" s="80">
        <v>0.04</v>
      </c>
      <c r="Z26" s="163">
        <v>0.86</v>
      </c>
      <c r="AB26" s="69">
        <f t="shared" si="6"/>
        <v>12.233981951920358</v>
      </c>
      <c r="AC26" s="69">
        <f t="shared" si="1"/>
        <v>10.088793673674346</v>
      </c>
      <c r="AD26" s="25">
        <f t="shared" si="2"/>
        <v>9.6098635502405738</v>
      </c>
      <c r="AE26" s="25"/>
      <c r="AF26" s="93">
        <v>7.72</v>
      </c>
      <c r="AG26" s="93">
        <v>-7.94754</v>
      </c>
      <c r="AH26" s="93">
        <v>0.12889999999999999</v>
      </c>
      <c r="AI26" s="93">
        <v>-1.1517999999999999</v>
      </c>
      <c r="AJ26" s="93">
        <v>-1.4016</v>
      </c>
      <c r="AK26" s="93">
        <v>-2.5400999999999998</v>
      </c>
      <c r="AL26" s="93">
        <v>-0.3614</v>
      </c>
      <c r="AM26" s="93">
        <v>-0.55149999999999999</v>
      </c>
      <c r="AN26" s="93">
        <v>-1.5584</v>
      </c>
      <c r="AO26" s="93">
        <v>-1.0904</v>
      </c>
    </row>
    <row r="27" spans="1:41" x14ac:dyDescent="0.35">
      <c r="A27" s="43">
        <v>4</v>
      </c>
      <c r="B27" s="10">
        <v>43490</v>
      </c>
      <c r="C27" s="43">
        <v>10</v>
      </c>
      <c r="D27" s="43">
        <v>143</v>
      </c>
      <c r="E27" s="31">
        <f t="shared" ref="E27:E31" si="7">E26+D27</f>
        <v>1441</v>
      </c>
      <c r="F27" s="25">
        <f t="shared" ref="F27:F31" si="8">D27/142</f>
        <v>1.0070422535211268</v>
      </c>
      <c r="G27" s="25">
        <f t="shared" ref="G27:G31" si="9">G26+F27</f>
        <v>10.144929577464787</v>
      </c>
      <c r="H27" s="43">
        <v>7.67</v>
      </c>
      <c r="I27" s="43">
        <v>960</v>
      </c>
      <c r="J27" s="43">
        <v>173</v>
      </c>
      <c r="K27" s="27">
        <v>113</v>
      </c>
      <c r="L27" s="27">
        <v>13</v>
      </c>
      <c r="M27" s="172">
        <v>3</v>
      </c>
      <c r="N27" s="31">
        <v>408</v>
      </c>
      <c r="O27" s="43">
        <v>18</v>
      </c>
      <c r="P27" s="175">
        <v>88.97</v>
      </c>
      <c r="Q27" s="21">
        <v>35.81</v>
      </c>
      <c r="R27" s="21">
        <v>72.36</v>
      </c>
      <c r="S27" s="21">
        <v>20.93</v>
      </c>
      <c r="T27" s="18">
        <v>8.6910000000000007</v>
      </c>
      <c r="U27" s="171">
        <v>0.2</v>
      </c>
      <c r="V27" s="80">
        <v>0.02</v>
      </c>
      <c r="W27" s="177">
        <v>0.02</v>
      </c>
      <c r="X27" s="174">
        <v>0.20399999999999999</v>
      </c>
      <c r="Y27" s="80">
        <v>0.04</v>
      </c>
      <c r="Z27" s="163">
        <v>0.95799999999999996</v>
      </c>
      <c r="AB27" s="69">
        <f t="shared" si="6"/>
        <v>12.369791596253979</v>
      </c>
      <c r="AC27" s="69">
        <f t="shared" si="1"/>
        <v>10.754253704504269</v>
      </c>
      <c r="AD27" s="69">
        <f t="shared" si="2"/>
        <v>6.9863982306622452</v>
      </c>
      <c r="AE27" s="69"/>
      <c r="AF27" s="93">
        <v>7.67</v>
      </c>
      <c r="AG27" s="93">
        <v>-4.92394</v>
      </c>
      <c r="AH27" s="93">
        <v>0.20830000000000001</v>
      </c>
      <c r="AI27" s="93">
        <v>-1.0650999999999999</v>
      </c>
      <c r="AJ27" s="93">
        <v>-1.3149</v>
      </c>
      <c r="AK27" s="93">
        <v>-2.4702999999999999</v>
      </c>
      <c r="AL27" s="93">
        <v>-0.15609999999999999</v>
      </c>
      <c r="AM27" s="93">
        <v>-0.48559999999999998</v>
      </c>
      <c r="AN27" s="93">
        <v>-1.9440999999999999</v>
      </c>
      <c r="AO27" s="93">
        <v>-0.96430000000000005</v>
      </c>
    </row>
    <row r="28" spans="1:41" x14ac:dyDescent="0.35">
      <c r="A28" s="43">
        <v>4</v>
      </c>
      <c r="B28" s="10">
        <v>43491</v>
      </c>
      <c r="C28" s="43">
        <v>11</v>
      </c>
      <c r="D28" s="43">
        <v>143</v>
      </c>
      <c r="E28" s="31">
        <f t="shared" si="7"/>
        <v>1584</v>
      </c>
      <c r="F28" s="25">
        <f t="shared" si="8"/>
        <v>1.0070422535211268</v>
      </c>
      <c r="G28" s="25">
        <f t="shared" si="9"/>
        <v>11.151971830985913</v>
      </c>
      <c r="H28" s="43">
        <v>7.75</v>
      </c>
      <c r="I28" s="43">
        <v>955</v>
      </c>
      <c r="J28" s="43">
        <v>174</v>
      </c>
      <c r="K28" s="27">
        <v>105</v>
      </c>
      <c r="L28" s="27">
        <v>12</v>
      </c>
      <c r="M28" s="172">
        <v>3.5</v>
      </c>
      <c r="N28" s="31">
        <v>405</v>
      </c>
      <c r="O28" s="43">
        <v>17</v>
      </c>
      <c r="P28" s="175">
        <v>99.89</v>
      </c>
      <c r="Q28" s="175">
        <v>35.450000000000003</v>
      </c>
      <c r="R28" s="21">
        <v>66.53</v>
      </c>
      <c r="S28" s="21">
        <v>21.61</v>
      </c>
      <c r="T28" s="18">
        <v>7.31</v>
      </c>
      <c r="U28" s="171">
        <v>0.2</v>
      </c>
      <c r="V28" s="80">
        <v>0.02</v>
      </c>
      <c r="W28" s="177">
        <v>0.02</v>
      </c>
      <c r="X28" s="174">
        <v>0.245</v>
      </c>
      <c r="Y28" s="80">
        <v>0.04</v>
      </c>
      <c r="Z28" s="163">
        <v>0.94299999999999995</v>
      </c>
      <c r="AB28" s="69">
        <f t="shared" si="6"/>
        <v>12.307186405773338</v>
      </c>
      <c r="AC28" s="69">
        <f t="shared" si="1"/>
        <v>10.980650411146049</v>
      </c>
      <c r="AD28" s="69">
        <f t="shared" si="2"/>
        <v>5.6962611214430883</v>
      </c>
      <c r="AE28" s="69"/>
      <c r="AF28" s="93">
        <v>7.75</v>
      </c>
      <c r="AG28" s="93">
        <v>-3.3569499999999999</v>
      </c>
      <c r="AH28" s="93">
        <v>0.33950000000000002</v>
      </c>
      <c r="AI28" s="93">
        <v>-1.0230999999999999</v>
      </c>
      <c r="AJ28" s="93">
        <v>-1.2728999999999999</v>
      </c>
      <c r="AK28" s="93">
        <v>-2.5506000000000002</v>
      </c>
      <c r="AL28" s="93">
        <v>5.1400000000000001E-2</v>
      </c>
      <c r="AM28" s="93">
        <v>-0.30830000000000002</v>
      </c>
      <c r="AN28" s="93">
        <v>-1.8933</v>
      </c>
      <c r="AO28" s="93">
        <v>-0.88800000000000001</v>
      </c>
    </row>
    <row r="29" spans="1:41" x14ac:dyDescent="0.35">
      <c r="A29" s="43">
        <v>4</v>
      </c>
      <c r="B29" s="28">
        <v>43492</v>
      </c>
      <c r="C29" s="43">
        <v>12</v>
      </c>
      <c r="D29" s="43">
        <v>144</v>
      </c>
      <c r="E29" s="31">
        <f t="shared" si="7"/>
        <v>1728</v>
      </c>
      <c r="F29" s="25">
        <f t="shared" si="8"/>
        <v>1.0140845070422535</v>
      </c>
      <c r="G29" s="25">
        <f t="shared" si="9"/>
        <v>12.166056338028167</v>
      </c>
      <c r="H29" s="43">
        <v>7.81</v>
      </c>
      <c r="I29" s="43">
        <v>950</v>
      </c>
      <c r="J29" s="43">
        <v>169</v>
      </c>
      <c r="K29" s="24">
        <v>94</v>
      </c>
      <c r="L29" s="27">
        <v>12</v>
      </c>
      <c r="M29" s="18">
        <v>2.2999999999999998</v>
      </c>
      <c r="N29" s="186">
        <v>344</v>
      </c>
      <c r="O29" s="43">
        <v>17</v>
      </c>
      <c r="P29" s="175">
        <v>96.56</v>
      </c>
      <c r="Q29" s="175">
        <v>35.229999999999997</v>
      </c>
      <c r="R29" s="175">
        <v>60.88</v>
      </c>
      <c r="S29" s="175">
        <v>20.8</v>
      </c>
      <c r="T29" s="172">
        <v>7.1020000000000003</v>
      </c>
      <c r="U29" s="171">
        <v>0.2</v>
      </c>
      <c r="V29" s="30">
        <v>3.7999999999999999E-2</v>
      </c>
      <c r="W29" s="177">
        <v>0.02</v>
      </c>
      <c r="X29" s="174">
        <v>0.22</v>
      </c>
      <c r="Y29" s="80">
        <v>0.04</v>
      </c>
      <c r="Z29" s="170">
        <v>1.034</v>
      </c>
      <c r="AB29" s="69">
        <f t="shared" si="6"/>
        <v>10.917792008454457</v>
      </c>
      <c r="AC29" s="69">
        <f t="shared" si="1"/>
        <v>10.545311922454273</v>
      </c>
      <c r="AD29" s="69">
        <f t="shared" si="2"/>
        <v>1.7354437046907305</v>
      </c>
      <c r="AE29" s="69"/>
      <c r="AF29" s="93">
        <v>7.81</v>
      </c>
      <c r="AG29" s="93">
        <v>1.54349</v>
      </c>
      <c r="AH29" s="93">
        <v>0.39150000000000001</v>
      </c>
      <c r="AI29" s="93">
        <v>-1.0851</v>
      </c>
      <c r="AJ29" s="93">
        <v>-1.3349</v>
      </c>
      <c r="AK29" s="93">
        <v>-2.6230000000000002</v>
      </c>
      <c r="AL29" s="93">
        <v>0.16539999999999999</v>
      </c>
      <c r="AM29" s="93">
        <v>-0.29759999999999998</v>
      </c>
      <c r="AN29" s="93">
        <v>-1.6031</v>
      </c>
      <c r="AO29" s="93">
        <v>-0.82609999999999995</v>
      </c>
    </row>
    <row r="30" spans="1:41" x14ac:dyDescent="0.35">
      <c r="A30" s="43">
        <v>4</v>
      </c>
      <c r="B30" s="28">
        <v>43493</v>
      </c>
      <c r="C30" s="43">
        <v>13</v>
      </c>
      <c r="D30" s="43">
        <v>152</v>
      </c>
      <c r="E30" s="31">
        <f t="shared" si="7"/>
        <v>1880</v>
      </c>
      <c r="F30" s="25">
        <f t="shared" si="8"/>
        <v>1.0704225352112675</v>
      </c>
      <c r="G30" s="25">
        <f t="shared" si="9"/>
        <v>13.236478873239435</v>
      </c>
      <c r="H30" s="43">
        <v>7.68</v>
      </c>
      <c r="I30" s="43">
        <v>947</v>
      </c>
      <c r="J30" s="43">
        <v>167</v>
      </c>
      <c r="K30" s="24">
        <v>80</v>
      </c>
      <c r="L30" s="27">
        <v>12</v>
      </c>
      <c r="M30" s="18">
        <v>3.5</v>
      </c>
      <c r="N30" s="186">
        <v>344</v>
      </c>
      <c r="O30" s="43">
        <v>18</v>
      </c>
      <c r="P30" s="175">
        <v>103.2</v>
      </c>
      <c r="Q30" s="175">
        <v>35.799999999999997</v>
      </c>
      <c r="R30" s="175">
        <v>57.49</v>
      </c>
      <c r="S30" s="175">
        <v>20.99</v>
      </c>
      <c r="T30" s="172">
        <v>6.4779999999999998</v>
      </c>
      <c r="U30" s="171">
        <v>0.2</v>
      </c>
      <c r="V30" s="80">
        <v>0.02</v>
      </c>
      <c r="W30" s="177">
        <v>0.02</v>
      </c>
      <c r="X30" s="174">
        <v>0.248</v>
      </c>
      <c r="Y30" s="80">
        <v>0.04</v>
      </c>
      <c r="Z30" s="170">
        <v>1.012</v>
      </c>
      <c r="AB30" s="69">
        <f t="shared" si="6"/>
        <v>10.897146847164136</v>
      </c>
      <c r="AC30" s="69">
        <f t="shared" si="1"/>
        <v>10.760109753121688</v>
      </c>
      <c r="AD30" s="69">
        <f t="shared" si="2"/>
        <v>0.63275370732154201</v>
      </c>
      <c r="AE30" s="69"/>
      <c r="AF30" s="93">
        <v>7.68</v>
      </c>
      <c r="AG30" s="93">
        <v>2.9140600000000001</v>
      </c>
      <c r="AH30" s="93">
        <v>0.28720000000000001</v>
      </c>
      <c r="AI30" s="93">
        <v>-1.0606</v>
      </c>
      <c r="AJ30" s="93">
        <v>-1.3104</v>
      </c>
      <c r="AK30" s="93">
        <v>-2.4967999999999999</v>
      </c>
      <c r="AL30" s="93">
        <v>-6.5299999999999997E-2</v>
      </c>
      <c r="AM30" s="93">
        <v>-0.37969999999999998</v>
      </c>
      <c r="AN30" s="93">
        <v>-1.8532999999999999</v>
      </c>
      <c r="AO30" s="93">
        <v>-0.95250000000000001</v>
      </c>
    </row>
    <row r="31" spans="1:41" x14ac:dyDescent="0.35">
      <c r="A31" s="43">
        <v>4</v>
      </c>
      <c r="B31" s="28">
        <v>43494</v>
      </c>
      <c r="C31" s="68">
        <v>14</v>
      </c>
      <c r="D31" s="43">
        <v>142</v>
      </c>
      <c r="E31" s="31">
        <f t="shared" si="7"/>
        <v>2022</v>
      </c>
      <c r="F31" s="25">
        <f t="shared" si="8"/>
        <v>1</v>
      </c>
      <c r="G31" s="25">
        <f t="shared" si="9"/>
        <v>14.236478873239435</v>
      </c>
      <c r="H31" s="43">
        <v>7.79</v>
      </c>
      <c r="I31" s="43">
        <v>950</v>
      </c>
      <c r="J31" s="43">
        <v>167</v>
      </c>
      <c r="K31" s="24">
        <v>74</v>
      </c>
      <c r="L31" s="24">
        <v>11</v>
      </c>
      <c r="M31" s="172">
        <v>3.4</v>
      </c>
      <c r="N31" s="31">
        <v>341</v>
      </c>
      <c r="O31" s="43">
        <v>16</v>
      </c>
      <c r="P31" s="175">
        <v>93.32</v>
      </c>
      <c r="Q31" s="175">
        <v>32.630000000000003</v>
      </c>
      <c r="R31" s="175">
        <v>51.6</v>
      </c>
      <c r="S31" s="175">
        <v>19.82</v>
      </c>
      <c r="T31" s="172">
        <v>6.0410000000000004</v>
      </c>
      <c r="U31" s="171">
        <v>0.2</v>
      </c>
      <c r="V31" s="80">
        <v>0.02</v>
      </c>
      <c r="W31" s="177">
        <v>0.02</v>
      </c>
      <c r="X31" s="174">
        <v>0.23599999999999999</v>
      </c>
      <c r="Y31" s="80">
        <v>0.04</v>
      </c>
      <c r="Z31" s="163">
        <v>0.85799999999999998</v>
      </c>
      <c r="AB31" s="69">
        <f t="shared" si="6"/>
        <v>10.804864237328655</v>
      </c>
      <c r="AC31" s="69">
        <f t="shared" si="1"/>
        <v>9.7390301738964418</v>
      </c>
      <c r="AD31" s="69">
        <f t="shared" si="2"/>
        <v>5.1880818801806425</v>
      </c>
      <c r="AE31" s="69"/>
      <c r="AF31" s="93">
        <v>7.79</v>
      </c>
      <c r="AG31" s="93">
        <v>-2.4367399999999999</v>
      </c>
      <c r="AH31" s="93">
        <v>0.35560000000000003</v>
      </c>
      <c r="AI31" s="93">
        <v>-1.0948</v>
      </c>
      <c r="AJ31" s="93">
        <v>-1.3446</v>
      </c>
      <c r="AK31" s="93">
        <v>-2.6061000000000001</v>
      </c>
      <c r="AL31" s="93">
        <v>7.5600000000000001E-2</v>
      </c>
      <c r="AM31" s="93">
        <v>-0.28649999999999998</v>
      </c>
      <c r="AN31" s="93">
        <v>-1.8911</v>
      </c>
      <c r="AO31" s="93">
        <v>-0.88</v>
      </c>
    </row>
    <row r="32" spans="1:41" x14ac:dyDescent="0.35">
      <c r="A32" s="68">
        <v>4</v>
      </c>
      <c r="B32" s="28">
        <v>43495</v>
      </c>
      <c r="C32" s="68">
        <v>15</v>
      </c>
      <c r="D32" s="43">
        <v>150</v>
      </c>
      <c r="E32" s="31">
        <f t="shared" ref="E32:E36" si="10">E31+D32</f>
        <v>2172</v>
      </c>
      <c r="F32" s="25">
        <f t="shared" ref="F32:F36" si="11">D32/142</f>
        <v>1.056338028169014</v>
      </c>
      <c r="G32" s="25">
        <f t="shared" ref="G32:G36" si="12">G31+F32</f>
        <v>15.292816901408449</v>
      </c>
      <c r="H32" s="43">
        <v>7.82</v>
      </c>
      <c r="I32" s="43">
        <v>941</v>
      </c>
      <c r="J32" s="43">
        <v>167</v>
      </c>
      <c r="K32" s="24">
        <v>70</v>
      </c>
      <c r="L32" s="24">
        <v>12</v>
      </c>
      <c r="M32" s="172">
        <v>3.6</v>
      </c>
      <c r="N32" s="31">
        <v>342</v>
      </c>
      <c r="O32" s="43">
        <v>16</v>
      </c>
      <c r="P32" s="175">
        <v>103.3</v>
      </c>
      <c r="Q32" s="175">
        <v>40.65</v>
      </c>
      <c r="R32" s="175">
        <v>64.88</v>
      </c>
      <c r="S32" s="175">
        <v>21.85</v>
      </c>
      <c r="T32" s="172">
        <v>7.4240000000000004</v>
      </c>
      <c r="U32" s="171">
        <v>0.2</v>
      </c>
      <c r="V32" s="33">
        <v>0.02</v>
      </c>
      <c r="W32" s="177">
        <v>0.02</v>
      </c>
      <c r="X32" s="174">
        <v>0.26</v>
      </c>
      <c r="Y32" s="80">
        <v>0.04</v>
      </c>
      <c r="Z32" s="172">
        <v>1.026</v>
      </c>
      <c r="AB32" s="69">
        <f t="shared" si="6"/>
        <v>10.857119109124067</v>
      </c>
      <c r="AC32" s="69">
        <f t="shared" si="1"/>
        <v>11.509586936826929</v>
      </c>
      <c r="AD32" s="69">
        <f t="shared" si="2"/>
        <v>2.9171386540441318</v>
      </c>
      <c r="AE32" s="69"/>
      <c r="AF32" s="93">
        <v>7.82</v>
      </c>
      <c r="AG32" s="93">
        <v>7.0955399999999997</v>
      </c>
      <c r="AH32" s="93">
        <v>0.42259999999999998</v>
      </c>
      <c r="AI32" s="93">
        <v>-1.0699000000000001</v>
      </c>
      <c r="AJ32" s="93">
        <v>-1.3197000000000001</v>
      </c>
      <c r="AK32" s="93">
        <v>-2.6408</v>
      </c>
      <c r="AL32" s="93">
        <v>0.2601</v>
      </c>
      <c r="AM32" s="93">
        <v>-0.22500000000000001</v>
      </c>
      <c r="AN32" s="93">
        <v>-1.8566</v>
      </c>
      <c r="AO32" s="93">
        <v>-0.76249999999999996</v>
      </c>
    </row>
    <row r="33" spans="1:41" s="68" customFormat="1" x14ac:dyDescent="0.35">
      <c r="A33" s="68">
        <v>4</v>
      </c>
      <c r="B33" s="28">
        <v>43496</v>
      </c>
      <c r="C33" s="68">
        <v>16</v>
      </c>
      <c r="D33" s="68">
        <v>145</v>
      </c>
      <c r="E33" s="31">
        <f t="shared" si="10"/>
        <v>2317</v>
      </c>
      <c r="F33" s="25">
        <f t="shared" si="11"/>
        <v>1.0211267605633803</v>
      </c>
      <c r="G33" s="25">
        <f t="shared" si="12"/>
        <v>16.31394366197183</v>
      </c>
      <c r="H33" s="68">
        <v>7.64</v>
      </c>
      <c r="I33" s="68">
        <v>948</v>
      </c>
      <c r="J33" s="68">
        <v>172</v>
      </c>
      <c r="K33" s="65">
        <v>57</v>
      </c>
      <c r="L33" s="65">
        <v>12</v>
      </c>
      <c r="M33" s="172">
        <v>3.8</v>
      </c>
      <c r="N33" s="31">
        <v>343</v>
      </c>
      <c r="O33" s="68">
        <v>17</v>
      </c>
      <c r="P33" s="175">
        <v>99.05</v>
      </c>
      <c r="Q33" s="175">
        <v>38.409999999999997</v>
      </c>
      <c r="R33" s="175">
        <v>62.34</v>
      </c>
      <c r="S33" s="175">
        <v>21.16</v>
      </c>
      <c r="T33" s="172">
        <v>7.0270000000000001</v>
      </c>
      <c r="U33" s="171">
        <v>0.2</v>
      </c>
      <c r="V33" s="177">
        <v>0.02</v>
      </c>
      <c r="W33" s="177">
        <v>0.02</v>
      </c>
      <c r="X33" s="174">
        <v>0.25</v>
      </c>
      <c r="Y33" s="80">
        <v>0.04</v>
      </c>
      <c r="Z33" s="172">
        <v>0.996</v>
      </c>
      <c r="AB33" s="69">
        <f t="shared" si="6"/>
        <v>10.981165236208618</v>
      </c>
      <c r="AC33" s="69">
        <f t="shared" si="1"/>
        <v>10.992664290905534</v>
      </c>
      <c r="AD33" s="69">
        <f t="shared" si="2"/>
        <v>5.2330681289426653E-2</v>
      </c>
      <c r="AE33" s="69"/>
      <c r="AF33" s="93">
        <v>7.64</v>
      </c>
      <c r="AG33" s="93">
        <v>3.8166600000000002</v>
      </c>
      <c r="AH33" s="93">
        <v>0.24249999999999999</v>
      </c>
      <c r="AI33" s="93">
        <v>-1.0807</v>
      </c>
      <c r="AJ33" s="93">
        <v>-1.3305</v>
      </c>
      <c r="AK33" s="93">
        <v>-2.4432999999999998</v>
      </c>
      <c r="AL33" s="93">
        <v>-0.1067</v>
      </c>
      <c r="AM33" s="93">
        <v>-0.40389999999999998</v>
      </c>
      <c r="AN33" s="93">
        <v>-1.9695</v>
      </c>
      <c r="AO33" s="93">
        <v>-0.94910000000000005</v>
      </c>
    </row>
    <row r="34" spans="1:41" s="68" customFormat="1" x14ac:dyDescent="0.35">
      <c r="A34" s="68">
        <v>4</v>
      </c>
      <c r="B34" s="28">
        <v>43497</v>
      </c>
      <c r="C34" s="68">
        <v>17</v>
      </c>
      <c r="D34" s="68">
        <v>144</v>
      </c>
      <c r="E34" s="31">
        <f t="shared" si="10"/>
        <v>2461</v>
      </c>
      <c r="F34" s="25">
        <f t="shared" si="11"/>
        <v>1.0140845070422535</v>
      </c>
      <c r="G34" s="25">
        <f t="shared" si="12"/>
        <v>17.328028169014082</v>
      </c>
      <c r="H34" s="68">
        <v>7.65</v>
      </c>
      <c r="I34" s="68">
        <v>947</v>
      </c>
      <c r="J34" s="68">
        <v>168</v>
      </c>
      <c r="K34" s="65">
        <v>50</v>
      </c>
      <c r="L34" s="65">
        <v>12</v>
      </c>
      <c r="M34" s="172">
        <v>4</v>
      </c>
      <c r="N34" s="31">
        <v>343</v>
      </c>
      <c r="O34" s="68">
        <v>17</v>
      </c>
      <c r="P34" s="175">
        <v>94.14</v>
      </c>
      <c r="Q34" s="175">
        <v>35.94</v>
      </c>
      <c r="R34" s="175">
        <v>57.29</v>
      </c>
      <c r="S34" s="175">
        <v>20.05</v>
      </c>
      <c r="T34" s="172">
        <v>7.4790000000000001</v>
      </c>
      <c r="U34" s="171">
        <v>0.2</v>
      </c>
      <c r="V34" s="80">
        <v>0.02</v>
      </c>
      <c r="W34" s="177">
        <v>0.02</v>
      </c>
      <c r="X34" s="174">
        <v>0.248</v>
      </c>
      <c r="Y34" s="80">
        <v>0.04</v>
      </c>
      <c r="Z34" s="172">
        <v>1.034</v>
      </c>
      <c r="AB34" s="69">
        <f t="shared" si="6"/>
        <v>10.90439104266023</v>
      </c>
      <c r="AC34" s="69">
        <f t="shared" si="1"/>
        <v>10.336428691114339</v>
      </c>
      <c r="AD34" s="69">
        <f t="shared" si="2"/>
        <v>2.6739191738574291</v>
      </c>
      <c r="AE34" s="69"/>
      <c r="AF34" s="93">
        <v>7.65</v>
      </c>
      <c r="AG34" s="93">
        <v>0.57021999999999995</v>
      </c>
      <c r="AH34" s="93">
        <v>0.22220000000000001</v>
      </c>
      <c r="AI34" s="93">
        <v>-1.0951</v>
      </c>
      <c r="AJ34" s="93">
        <v>-1.3449</v>
      </c>
      <c r="AK34" s="93">
        <v>-2.4621</v>
      </c>
      <c r="AL34" s="93">
        <v>-0.15329999999999999</v>
      </c>
      <c r="AM34" s="93">
        <v>-0.4037</v>
      </c>
      <c r="AN34" s="93">
        <v>-1.8912</v>
      </c>
      <c r="AO34" s="93">
        <v>-0.97550000000000003</v>
      </c>
    </row>
    <row r="35" spans="1:41" s="68" customFormat="1" x14ac:dyDescent="0.35">
      <c r="A35" s="68">
        <v>4</v>
      </c>
      <c r="B35" s="28">
        <v>43498</v>
      </c>
      <c r="C35" s="68">
        <v>18</v>
      </c>
      <c r="D35" s="68">
        <v>146</v>
      </c>
      <c r="E35" s="31">
        <f t="shared" si="10"/>
        <v>2607</v>
      </c>
      <c r="F35" s="25">
        <f t="shared" si="11"/>
        <v>1.028169014084507</v>
      </c>
      <c r="G35" s="25">
        <f t="shared" si="12"/>
        <v>18.35619718309859</v>
      </c>
      <c r="H35" s="68">
        <v>7.8</v>
      </c>
      <c r="I35" s="68">
        <v>926</v>
      </c>
      <c r="J35" s="68">
        <v>180</v>
      </c>
      <c r="K35" s="65">
        <v>44</v>
      </c>
      <c r="L35" s="65">
        <v>12</v>
      </c>
      <c r="M35" s="172">
        <v>3.9</v>
      </c>
      <c r="N35" s="31">
        <v>341</v>
      </c>
      <c r="O35" s="68">
        <v>18</v>
      </c>
      <c r="P35" s="175">
        <v>97.64</v>
      </c>
      <c r="Q35" s="175">
        <v>37.67</v>
      </c>
      <c r="R35" s="175">
        <v>60.17</v>
      </c>
      <c r="S35" s="175">
        <v>19.510000000000002</v>
      </c>
      <c r="T35" s="172">
        <v>6.319</v>
      </c>
      <c r="U35" s="171">
        <v>0.2</v>
      </c>
      <c r="V35" s="80">
        <v>0.02</v>
      </c>
      <c r="W35" s="177">
        <v>0.02</v>
      </c>
      <c r="X35" s="174">
        <v>0.248</v>
      </c>
      <c r="Y35" s="80">
        <v>0.04</v>
      </c>
      <c r="Z35" s="172">
        <v>1.032</v>
      </c>
      <c r="AB35" s="69">
        <f t="shared" si="6"/>
        <v>11.101137498168548</v>
      </c>
      <c r="AC35" s="69">
        <f t="shared" si="1"/>
        <v>10.748953464706926</v>
      </c>
      <c r="AD35" s="69">
        <f t="shared" si="2"/>
        <v>1.6118195299964773</v>
      </c>
      <c r="AE35" s="69"/>
      <c r="AF35" s="93">
        <v>7.8</v>
      </c>
      <c r="AG35" s="93">
        <v>1.9795499999999999</v>
      </c>
      <c r="AH35" s="93">
        <v>0.41270000000000001</v>
      </c>
      <c r="AI35" s="93">
        <v>-1.0882000000000001</v>
      </c>
      <c r="AJ35" s="93">
        <v>-1.3380000000000001</v>
      </c>
      <c r="AK35" s="93">
        <v>-2.5859000000000001</v>
      </c>
      <c r="AL35" s="93">
        <v>0.23250000000000001</v>
      </c>
      <c r="AM35" s="93">
        <v>-0.22950000000000001</v>
      </c>
      <c r="AN35" s="93">
        <v>-1.8789</v>
      </c>
      <c r="AO35" s="93">
        <v>-0.7802</v>
      </c>
    </row>
    <row r="36" spans="1:41" s="68" customFormat="1" x14ac:dyDescent="0.35">
      <c r="A36" s="68">
        <v>4</v>
      </c>
      <c r="B36" s="28">
        <v>43499</v>
      </c>
      <c r="C36" s="68">
        <v>19</v>
      </c>
      <c r="D36" s="68">
        <v>143</v>
      </c>
      <c r="E36" s="31">
        <f t="shared" si="10"/>
        <v>2750</v>
      </c>
      <c r="F36" s="25">
        <f t="shared" si="11"/>
        <v>1.0070422535211268</v>
      </c>
      <c r="G36" s="25">
        <f t="shared" si="12"/>
        <v>19.363239436619718</v>
      </c>
      <c r="H36" s="68">
        <v>7.7</v>
      </c>
      <c r="I36" s="68">
        <v>935</v>
      </c>
      <c r="J36" s="68">
        <v>179</v>
      </c>
      <c r="K36" s="65">
        <v>45</v>
      </c>
      <c r="L36" s="65">
        <v>12</v>
      </c>
      <c r="M36" s="172">
        <v>4.2</v>
      </c>
      <c r="N36" s="31">
        <v>343</v>
      </c>
      <c r="O36" s="68">
        <v>16</v>
      </c>
      <c r="P36" s="165">
        <v>86.41</v>
      </c>
      <c r="Q36" s="165">
        <v>33.32</v>
      </c>
      <c r="R36" s="175">
        <v>54.31</v>
      </c>
      <c r="S36" s="175">
        <v>17.79</v>
      </c>
      <c r="T36" s="172">
        <v>5.9260000000000002</v>
      </c>
      <c r="U36" s="171">
        <v>0.2</v>
      </c>
      <c r="V36" s="80">
        <v>0.02</v>
      </c>
      <c r="W36" s="177">
        <v>0.02</v>
      </c>
      <c r="X36" s="174">
        <v>0.27800000000000002</v>
      </c>
      <c r="Y36" s="80">
        <v>0.04</v>
      </c>
      <c r="Z36" s="172">
        <v>1.018</v>
      </c>
      <c r="AB36" s="69">
        <f t="shared" si="6"/>
        <v>11.127616849111842</v>
      </c>
      <c r="AC36" s="69">
        <f t="shared" si="1"/>
        <v>9.5658993772099983</v>
      </c>
      <c r="AD36" s="69">
        <f t="shared" si="2"/>
        <v>7.5468927311413729</v>
      </c>
      <c r="AE36" s="69"/>
      <c r="AF36" s="93">
        <v>7.7</v>
      </c>
      <c r="AG36" s="93">
        <v>-4.9347700000000003</v>
      </c>
      <c r="AH36" s="93">
        <v>0.2631</v>
      </c>
      <c r="AI36" s="93">
        <v>-1.1237999999999999</v>
      </c>
      <c r="AJ36" s="93">
        <v>-1.3735999999999999</v>
      </c>
      <c r="AK36" s="93">
        <v>-2.4834000000000001</v>
      </c>
      <c r="AL36" s="93">
        <v>-6.6400000000000001E-2</v>
      </c>
      <c r="AM36" s="93">
        <v>-0.27450000000000002</v>
      </c>
      <c r="AN36" s="93">
        <v>-1.9263999999999999</v>
      </c>
      <c r="AO36" s="93">
        <v>-0.92959999999999998</v>
      </c>
    </row>
    <row r="37" spans="1:41" s="68" customFormat="1" x14ac:dyDescent="0.35">
      <c r="A37" s="68">
        <v>4</v>
      </c>
      <c r="B37" s="28">
        <v>43500</v>
      </c>
      <c r="C37" s="68">
        <v>20</v>
      </c>
      <c r="D37" s="68">
        <v>145</v>
      </c>
      <c r="E37" s="31">
        <f t="shared" ref="E37" si="13">E36+D37</f>
        <v>2895</v>
      </c>
      <c r="F37" s="25">
        <f t="shared" ref="F37" si="14">D37/142</f>
        <v>1.0211267605633803</v>
      </c>
      <c r="G37" s="25">
        <f t="shared" ref="G37" si="15">G36+F37</f>
        <v>20.384366197183098</v>
      </c>
      <c r="H37" s="68">
        <v>7.7</v>
      </c>
      <c r="I37" s="68">
        <v>938</v>
      </c>
      <c r="J37" s="68">
        <v>165</v>
      </c>
      <c r="K37" s="65">
        <v>39</v>
      </c>
      <c r="L37" s="65">
        <v>12</v>
      </c>
      <c r="M37" s="172">
        <v>4.3</v>
      </c>
      <c r="N37" s="31">
        <v>337</v>
      </c>
      <c r="O37" s="68">
        <v>16</v>
      </c>
      <c r="P37" s="165">
        <v>83.52</v>
      </c>
      <c r="Q37" s="165">
        <v>33.020000000000003</v>
      </c>
      <c r="R37" s="175">
        <v>50.76</v>
      </c>
      <c r="S37" s="175">
        <v>17.46</v>
      </c>
      <c r="T37" s="172">
        <v>5.6619999999999999</v>
      </c>
      <c r="U37" s="171">
        <v>0.2</v>
      </c>
      <c r="V37" s="80">
        <v>0.02</v>
      </c>
      <c r="W37" s="177">
        <v>0.02</v>
      </c>
      <c r="X37" s="174">
        <v>0.24399999999999999</v>
      </c>
      <c r="Y37" s="80">
        <v>0.04</v>
      </c>
      <c r="Z37" s="172">
        <v>1.004</v>
      </c>
      <c r="AB37" s="69">
        <f t="shared" si="6"/>
        <v>10.724307828540022</v>
      </c>
      <c r="AC37" s="69">
        <f t="shared" si="1"/>
        <v>9.2358498665461415</v>
      </c>
      <c r="AD37" s="69">
        <f t="shared" si="2"/>
        <v>7.4571453028164827</v>
      </c>
      <c r="AE37" s="69"/>
      <c r="AF37" s="93">
        <v>7.7</v>
      </c>
      <c r="AG37" s="93">
        <v>-4.9790099999999997</v>
      </c>
      <c r="AH37" s="93">
        <v>0.21759999999999999</v>
      </c>
      <c r="AI37" s="93">
        <v>-1.139</v>
      </c>
      <c r="AJ37" s="93">
        <v>-1.3888</v>
      </c>
      <c r="AK37" s="93">
        <v>-2.5179</v>
      </c>
      <c r="AL37" s="93">
        <v>-0.14710000000000001</v>
      </c>
      <c r="AM37" s="93">
        <v>-0.36130000000000001</v>
      </c>
      <c r="AN37" s="93">
        <v>-1.9350000000000001</v>
      </c>
      <c r="AO37" s="93">
        <v>-0.9647</v>
      </c>
    </row>
    <row r="38" spans="1:41" s="68" customFormat="1" x14ac:dyDescent="0.35">
      <c r="A38" s="68">
        <v>4</v>
      </c>
      <c r="B38" s="28">
        <v>43501</v>
      </c>
      <c r="C38" s="68">
        <v>21</v>
      </c>
      <c r="D38" s="68">
        <v>143</v>
      </c>
      <c r="E38" s="31">
        <f t="shared" ref="E38" si="16">E37+D38</f>
        <v>3038</v>
      </c>
      <c r="F38" s="25">
        <f t="shared" ref="F38" si="17">D38/142</f>
        <v>1.0070422535211268</v>
      </c>
      <c r="G38" s="25">
        <f t="shared" ref="G38" si="18">G37+F38</f>
        <v>21.391408450704226</v>
      </c>
      <c r="H38" s="68">
        <v>7.64</v>
      </c>
      <c r="I38" s="68">
        <v>940</v>
      </c>
      <c r="J38" s="68">
        <v>164</v>
      </c>
      <c r="K38" s="65">
        <v>36</v>
      </c>
      <c r="L38" s="65">
        <v>12</v>
      </c>
      <c r="M38" s="172">
        <v>4.4000000000000004</v>
      </c>
      <c r="N38" s="31">
        <v>343</v>
      </c>
      <c r="O38" s="68">
        <v>16</v>
      </c>
      <c r="P38" s="12">
        <v>102.6</v>
      </c>
      <c r="Q38" s="12">
        <v>41.96</v>
      </c>
      <c r="R38" s="12">
        <v>63.49</v>
      </c>
      <c r="S38" s="12">
        <v>11.61</v>
      </c>
      <c r="T38" s="6">
        <v>7</v>
      </c>
      <c r="U38" s="171">
        <v>0.2</v>
      </c>
      <c r="V38" s="177">
        <v>0.02</v>
      </c>
      <c r="W38" s="177">
        <v>0.02</v>
      </c>
      <c r="X38" s="163">
        <v>0.22900000000000001</v>
      </c>
      <c r="Y38" s="177">
        <v>0.04</v>
      </c>
      <c r="Z38" s="170">
        <v>1.0549999999999999</v>
      </c>
      <c r="AB38" s="69">
        <f t="shared" si="6"/>
        <v>10.830842655563455</v>
      </c>
      <c r="AC38" s="69">
        <f t="shared" si="1"/>
        <v>11.511082000463995</v>
      </c>
      <c r="AD38" s="25">
        <f t="shared" si="2"/>
        <v>3.0446765682607562</v>
      </c>
      <c r="AE38" s="25"/>
      <c r="AF38" s="93">
        <v>7.64</v>
      </c>
      <c r="AG38" s="93">
        <v>7.2638400000000001</v>
      </c>
      <c r="AH38" s="93">
        <v>0.2359</v>
      </c>
      <c r="AI38" s="93">
        <v>-1.0716000000000001</v>
      </c>
      <c r="AJ38" s="93">
        <v>-1.3213999999999999</v>
      </c>
      <c r="AK38" s="93">
        <v>-2.4651999999999998</v>
      </c>
      <c r="AL38" s="93">
        <v>-9.69E-2</v>
      </c>
      <c r="AM38" s="93">
        <v>-0.46460000000000001</v>
      </c>
      <c r="AN38" s="93">
        <v>-1.859</v>
      </c>
      <c r="AO38" s="93">
        <v>-0.93279999999999996</v>
      </c>
    </row>
    <row r="39" spans="1:41" s="68" customFormat="1" x14ac:dyDescent="0.35">
      <c r="A39" s="68">
        <v>4</v>
      </c>
      <c r="B39" s="28">
        <v>43502</v>
      </c>
      <c r="C39" s="68">
        <v>22</v>
      </c>
      <c r="D39" s="68">
        <v>144</v>
      </c>
      <c r="E39" s="31">
        <f t="shared" ref="E39" si="19">E38+D39</f>
        <v>3182</v>
      </c>
      <c r="F39" s="25">
        <f t="shared" ref="F39" si="20">D39/142</f>
        <v>1.0140845070422535</v>
      </c>
      <c r="G39" s="25">
        <f t="shared" ref="G39" si="21">G38+F39</f>
        <v>22.405492957746478</v>
      </c>
      <c r="H39" s="68">
        <v>7.63</v>
      </c>
      <c r="I39" s="68">
        <v>939</v>
      </c>
      <c r="J39" s="68">
        <v>166</v>
      </c>
      <c r="K39" s="65">
        <v>34</v>
      </c>
      <c r="L39" s="65">
        <v>12</v>
      </c>
      <c r="M39" s="172">
        <v>4.4000000000000004</v>
      </c>
      <c r="N39" s="31">
        <v>335</v>
      </c>
      <c r="O39" s="68">
        <v>15</v>
      </c>
      <c r="P39" s="12">
        <v>103.7</v>
      </c>
      <c r="Q39" s="12">
        <v>42.47</v>
      </c>
      <c r="R39" s="12">
        <v>64.349999999999994</v>
      </c>
      <c r="S39" s="12">
        <v>11.47</v>
      </c>
      <c r="T39" s="6">
        <v>6.8</v>
      </c>
      <c r="U39" s="171">
        <v>0.2</v>
      </c>
      <c r="V39" s="177">
        <v>0.02</v>
      </c>
      <c r="W39" s="177">
        <v>0.02</v>
      </c>
      <c r="X39" s="163">
        <v>0.21199999999999999</v>
      </c>
      <c r="Y39" s="177">
        <v>0.04</v>
      </c>
      <c r="Z39" s="170">
        <v>1.0860000000000001</v>
      </c>
      <c r="AB39" s="69">
        <f t="shared" si="6"/>
        <v>10.704280090499953</v>
      </c>
      <c r="AC39" s="69">
        <f t="shared" si="1"/>
        <v>11.640205488492539</v>
      </c>
      <c r="AD39" s="25">
        <f t="shared" si="2"/>
        <v>4.1886191323755968</v>
      </c>
      <c r="AE39" s="25"/>
      <c r="AF39" s="93">
        <v>7.63</v>
      </c>
      <c r="AG39" s="93">
        <v>8.6751199999999997</v>
      </c>
      <c r="AH39" s="93">
        <v>0.23780000000000001</v>
      </c>
      <c r="AI39" s="93">
        <v>-1.0766</v>
      </c>
      <c r="AJ39" s="93">
        <v>-1.3264</v>
      </c>
      <c r="AK39" s="93">
        <v>-2.4500999999999999</v>
      </c>
      <c r="AL39" s="93">
        <v>-9.2799999999999994E-2</v>
      </c>
      <c r="AM39" s="93">
        <v>-0.50139999999999996</v>
      </c>
      <c r="AN39" s="93">
        <v>-1.8522000000000001</v>
      </c>
      <c r="AO39" s="93">
        <v>-0.93069999999999997</v>
      </c>
    </row>
    <row r="40" spans="1:41" s="68" customFormat="1" x14ac:dyDescent="0.35">
      <c r="B40" s="28"/>
      <c r="E40" s="31"/>
      <c r="F40" s="25"/>
      <c r="G40" s="25"/>
      <c r="K40" s="65"/>
      <c r="L40" s="65"/>
      <c r="N40" s="31"/>
      <c r="P40" s="15"/>
      <c r="R40" s="32"/>
      <c r="S40" s="32"/>
      <c r="T40" s="32"/>
      <c r="U40" s="67"/>
      <c r="AB40" s="69"/>
      <c r="AC40" s="69"/>
      <c r="AD40" s="69"/>
      <c r="AE40" s="69"/>
      <c r="AF40" s="94"/>
      <c r="AG40" s="94"/>
      <c r="AH40" s="94"/>
      <c r="AI40" s="94"/>
      <c r="AJ40" s="94"/>
      <c r="AK40" s="94"/>
      <c r="AL40" s="94"/>
      <c r="AM40" s="94"/>
      <c r="AN40" s="94"/>
      <c r="AO40" s="94"/>
    </row>
    <row r="41" spans="1:41" x14ac:dyDescent="0.35">
      <c r="A41" s="43" t="s">
        <v>56</v>
      </c>
      <c r="B41" s="28"/>
      <c r="E41" s="31"/>
      <c r="F41" s="25"/>
      <c r="G41" s="25"/>
      <c r="H41" s="69">
        <f>AVERAGE(B91:B98)</f>
        <v>7.1912500000000001</v>
      </c>
      <c r="I41" s="165">
        <f>'Influent Results Master'!D34</f>
        <v>1670.1111111111111</v>
      </c>
      <c r="J41" s="165">
        <f>'Influent Results Master'!F34</f>
        <v>320.66666666666669</v>
      </c>
      <c r="K41" s="165">
        <f>'Influent Results Master'!G34</f>
        <v>287.22222222222223</v>
      </c>
      <c r="L41" s="165">
        <f>'Influent Results Master'!H34</f>
        <v>47.333333333333336</v>
      </c>
      <c r="M41" s="165">
        <f>'Influent Results Master'!I34</f>
        <v>21.777777777777775</v>
      </c>
      <c r="N41" s="165">
        <f>'Influent Results Master'!J34</f>
        <v>614.55555555555554</v>
      </c>
      <c r="O41" s="165">
        <f>'Influent Results Master'!K34</f>
        <v>28.111111111111114</v>
      </c>
      <c r="P41" s="165">
        <f>'Influent Results Master'!L34</f>
        <v>153.01111111111109</v>
      </c>
      <c r="Q41" s="165">
        <f>'Influent Results Master'!M34</f>
        <v>62.398888888888884</v>
      </c>
      <c r="R41" s="165">
        <f>'Influent Results Master'!N34</f>
        <v>206.23333333333335</v>
      </c>
      <c r="S41" s="165">
        <f>'Influent Results Master'!O34</f>
        <v>23.54111111111111</v>
      </c>
      <c r="T41" s="170">
        <f>'Influent Results Master'!P34</f>
        <v>6.3293333333333335</v>
      </c>
      <c r="U41" s="171">
        <f>'Influent Results Master'!Q34</f>
        <v>0.20000000000000004</v>
      </c>
      <c r="V41" s="176">
        <f>'Influent Results Master'!R34</f>
        <v>4.7000000000000007E-2</v>
      </c>
      <c r="W41" s="177">
        <f>'Influent Results Master'!S34</f>
        <v>0.02</v>
      </c>
      <c r="X41" s="176">
        <f>'Influent Results Master'!T34</f>
        <v>4.5777777777777785E-2</v>
      </c>
      <c r="Y41" s="177">
        <f>'Influent Results Master'!U34</f>
        <v>0.04</v>
      </c>
      <c r="Z41" s="170">
        <f>'Influent Results Master'!V34</f>
        <v>1.3484444444444446</v>
      </c>
      <c r="AB41" s="69">
        <f>((J41/50)+(L41/35.45)+(M41/62)+(N41/48.03))</f>
        <v>20.895045443353979</v>
      </c>
      <c r="AC41" s="69">
        <f t="shared" si="1"/>
        <v>21.89921500465627</v>
      </c>
      <c r="AD41" s="69">
        <f t="shared" si="2"/>
        <v>2.3465052340891206</v>
      </c>
      <c r="AE41" s="69"/>
      <c r="AF41" s="93">
        <v>7.19</v>
      </c>
      <c r="AG41" s="93">
        <v>2.1705299999999998</v>
      </c>
      <c r="AH41" s="93">
        <v>0.14360000000000001</v>
      </c>
      <c r="AI41" s="93">
        <v>-0.8085</v>
      </c>
      <c r="AJ41" s="93">
        <v>-1.0581</v>
      </c>
      <c r="AK41" s="93">
        <v>-1.7370000000000001</v>
      </c>
      <c r="AL41" s="93">
        <v>-0.27539999999999998</v>
      </c>
      <c r="AM41" s="93">
        <v>-1.5129999999999999</v>
      </c>
      <c r="AN41" s="93">
        <v>-1.5029999999999999</v>
      </c>
      <c r="AO41" s="93">
        <v>-1.0188999999999999</v>
      </c>
    </row>
    <row r="42" spans="1:41" s="68" customFormat="1" x14ac:dyDescent="0.35">
      <c r="B42" s="28"/>
      <c r="E42" s="31"/>
      <c r="F42" s="25"/>
      <c r="G42" s="25"/>
      <c r="K42" s="65"/>
      <c r="L42" s="65"/>
      <c r="N42" s="31"/>
      <c r="P42" s="15"/>
      <c r="R42" s="32"/>
      <c r="S42" s="32"/>
      <c r="T42" s="32"/>
      <c r="U42" s="171"/>
      <c r="W42" s="176"/>
      <c r="Y42" s="176"/>
      <c r="AB42" s="69"/>
      <c r="AC42" s="69"/>
      <c r="AD42" s="69"/>
      <c r="AE42" s="69"/>
      <c r="AF42" s="94"/>
      <c r="AG42" s="94"/>
      <c r="AH42" s="94"/>
      <c r="AI42" s="94"/>
      <c r="AJ42" s="94"/>
      <c r="AK42" s="94"/>
      <c r="AL42" s="94"/>
      <c r="AM42" s="94"/>
      <c r="AN42" s="94"/>
      <c r="AO42" s="94"/>
    </row>
    <row r="43" spans="1:41" x14ac:dyDescent="0.35">
      <c r="A43" s="43">
        <v>4</v>
      </c>
      <c r="B43" s="28">
        <v>43503</v>
      </c>
      <c r="C43" s="43">
        <v>23</v>
      </c>
      <c r="D43" s="43">
        <v>145</v>
      </c>
      <c r="E43" s="31">
        <f>E39+D43</f>
        <v>3327</v>
      </c>
      <c r="F43" s="25">
        <f t="shared" ref="F43:F46" si="22">D43/142</f>
        <v>1.0211267605633803</v>
      </c>
      <c r="G43" s="25">
        <f>G39+F43</f>
        <v>23.426619718309858</v>
      </c>
      <c r="H43" s="43">
        <v>7.52</v>
      </c>
      <c r="I43" s="43">
        <v>1456</v>
      </c>
      <c r="J43" s="43">
        <v>262</v>
      </c>
      <c r="K43" s="24">
        <v>87</v>
      </c>
      <c r="L43" s="24">
        <v>43</v>
      </c>
      <c r="M43" s="43">
        <v>19</v>
      </c>
      <c r="N43" s="31">
        <v>527</v>
      </c>
      <c r="O43" s="43">
        <v>24</v>
      </c>
      <c r="P43" s="175">
        <v>174.2</v>
      </c>
      <c r="Q43" s="175">
        <v>72.150000000000006</v>
      </c>
      <c r="R43" s="175">
        <v>91.78</v>
      </c>
      <c r="S43" s="175">
        <v>20.97</v>
      </c>
      <c r="T43" s="172">
        <v>8.6929999999999996</v>
      </c>
      <c r="U43" s="171">
        <v>0.2</v>
      </c>
      <c r="V43" s="43">
        <v>3.5000000000000003E-2</v>
      </c>
      <c r="W43" s="177">
        <v>0.02</v>
      </c>
      <c r="X43" s="163">
        <v>0.31900000000000001</v>
      </c>
      <c r="Y43" s="177">
        <v>0.04</v>
      </c>
      <c r="Z43" s="170">
        <v>1.857</v>
      </c>
      <c r="AB43" s="69">
        <f t="shared" ref="AB43:AB50" si="23">((J43/50)+(L43/35.45)+(M43/62)+(N43/48.03))</f>
        <v>17.731736609028413</v>
      </c>
      <c r="AC43" s="69">
        <f t="shared" si="1"/>
        <v>18.840500802999642</v>
      </c>
      <c r="AD43" s="69">
        <f t="shared" si="2"/>
        <v>3.031710041362067</v>
      </c>
      <c r="AE43" s="69"/>
      <c r="AF43" s="93">
        <v>7.52</v>
      </c>
      <c r="AG43" s="93">
        <v>1.5865</v>
      </c>
      <c r="AH43" s="93">
        <v>0.46700000000000003</v>
      </c>
      <c r="AI43" s="93">
        <v>-0.79710000000000003</v>
      </c>
      <c r="AJ43" s="93">
        <v>-1.0467</v>
      </c>
      <c r="AK43" s="93">
        <v>-2.1589999999999998</v>
      </c>
      <c r="AL43" s="93">
        <v>0.3755</v>
      </c>
      <c r="AM43" s="93">
        <v>-0.33429999999999999</v>
      </c>
      <c r="AN43" s="93">
        <v>-1.4986999999999999</v>
      </c>
      <c r="AO43" s="93">
        <v>-0.69159999999999999</v>
      </c>
    </row>
    <row r="44" spans="1:41" x14ac:dyDescent="0.35">
      <c r="A44" s="43">
        <v>4</v>
      </c>
      <c r="B44" s="28">
        <v>43504</v>
      </c>
      <c r="C44" s="43">
        <v>24</v>
      </c>
      <c r="D44" s="43">
        <v>142</v>
      </c>
      <c r="E44" s="31">
        <f t="shared" ref="E44:E46" si="24">E43+D44</f>
        <v>3469</v>
      </c>
      <c r="F44" s="25">
        <f t="shared" si="22"/>
        <v>1</v>
      </c>
      <c r="G44" s="25">
        <f t="shared" ref="G44:G46" si="25">G43+F44</f>
        <v>24.426619718309858</v>
      </c>
      <c r="H44" s="43">
        <v>7.57</v>
      </c>
      <c r="I44" s="43">
        <v>1682</v>
      </c>
      <c r="J44" s="43">
        <v>311</v>
      </c>
      <c r="K44" s="24">
        <v>184</v>
      </c>
      <c r="L44" s="24">
        <v>55</v>
      </c>
      <c r="M44" s="43">
        <v>22</v>
      </c>
      <c r="N44" s="31">
        <v>593</v>
      </c>
      <c r="O44" s="43">
        <v>18</v>
      </c>
      <c r="P44" s="175">
        <v>173.4</v>
      </c>
      <c r="Q44" s="175">
        <v>71.98</v>
      </c>
      <c r="R44" s="175">
        <v>173.7</v>
      </c>
      <c r="S44" s="175">
        <v>21.35</v>
      </c>
      <c r="T44" s="175">
        <v>10.220000000000001</v>
      </c>
      <c r="U44" s="171">
        <v>0.2</v>
      </c>
      <c r="V44" s="176">
        <v>0.06</v>
      </c>
      <c r="W44" s="177">
        <v>0.02</v>
      </c>
      <c r="X44" s="163">
        <v>0.21199999999999999</v>
      </c>
      <c r="Y44" s="177">
        <v>0.04</v>
      </c>
      <c r="Z44" s="170">
        <v>1.736</v>
      </c>
      <c r="AB44" s="69">
        <f t="shared" si="23"/>
        <v>20.472769804106825</v>
      </c>
      <c r="AC44" s="69">
        <f t="shared" si="1"/>
        <v>22.388942474855899</v>
      </c>
      <c r="AD44" s="69">
        <f t="shared" si="2"/>
        <v>4.4705929111692644</v>
      </c>
      <c r="AE44" s="69"/>
      <c r="AF44" s="93">
        <v>7.57</v>
      </c>
      <c r="AG44" s="93">
        <v>5.1752700000000003</v>
      </c>
      <c r="AH44" s="93">
        <v>0.56510000000000005</v>
      </c>
      <c r="AI44" s="93">
        <v>-0.77569999999999995</v>
      </c>
      <c r="AJ44" s="93">
        <v>-1.0253000000000001</v>
      </c>
      <c r="AK44" s="93">
        <v>-2.1377000000000002</v>
      </c>
      <c r="AL44" s="93">
        <v>0.57440000000000002</v>
      </c>
      <c r="AM44" s="93">
        <v>-0.41520000000000001</v>
      </c>
      <c r="AN44" s="93">
        <v>-1.3</v>
      </c>
      <c r="AO44" s="93">
        <v>-0.5907</v>
      </c>
    </row>
    <row r="45" spans="1:41" x14ac:dyDescent="0.35">
      <c r="A45" s="43">
        <v>4</v>
      </c>
      <c r="B45" s="28">
        <v>43505</v>
      </c>
      <c r="C45" s="43">
        <v>25</v>
      </c>
      <c r="D45" s="43">
        <v>145</v>
      </c>
      <c r="E45" s="31">
        <f t="shared" si="24"/>
        <v>3614</v>
      </c>
      <c r="F45" s="25">
        <f t="shared" si="22"/>
        <v>1.0211267605633803</v>
      </c>
      <c r="G45" s="25">
        <f t="shared" si="25"/>
        <v>25.447746478873238</v>
      </c>
      <c r="H45" s="43">
        <v>7.58</v>
      </c>
      <c r="I45" s="43">
        <v>1726</v>
      </c>
      <c r="J45" s="43">
        <v>312</v>
      </c>
      <c r="K45" s="24">
        <v>232</v>
      </c>
      <c r="L45" s="24">
        <v>55</v>
      </c>
      <c r="M45" s="43">
        <v>22</v>
      </c>
      <c r="N45" s="31">
        <v>622</v>
      </c>
      <c r="O45" s="43">
        <v>17</v>
      </c>
      <c r="P45" s="175">
        <v>157.5</v>
      </c>
      <c r="Q45" s="175">
        <v>63.78</v>
      </c>
      <c r="R45" s="175">
        <v>208.7</v>
      </c>
      <c r="S45" s="175">
        <v>21.2</v>
      </c>
      <c r="T45" s="175">
        <v>10.32</v>
      </c>
      <c r="U45" s="171">
        <v>0.2</v>
      </c>
      <c r="V45" s="43">
        <v>6.7000000000000004E-2</v>
      </c>
      <c r="W45" s="177">
        <v>0.02</v>
      </c>
      <c r="X45" s="163">
        <v>0.185</v>
      </c>
      <c r="Y45" s="177">
        <v>0.04</v>
      </c>
      <c r="Z45" s="170">
        <v>1.631</v>
      </c>
      <c r="AB45" s="69">
        <f t="shared" si="23"/>
        <v>21.096559102462017</v>
      </c>
      <c r="AC45" s="69">
        <f t="shared" si="1"/>
        <v>22.446145784629223</v>
      </c>
      <c r="AD45" s="69">
        <f t="shared" si="2"/>
        <v>3.0994553178695794</v>
      </c>
      <c r="AE45" s="69"/>
      <c r="AF45" s="93">
        <v>7.58</v>
      </c>
      <c r="AG45" s="93">
        <v>3.51912</v>
      </c>
      <c r="AH45" s="93">
        <v>0.52890000000000004</v>
      </c>
      <c r="AI45" s="93">
        <v>-0.79410000000000003</v>
      </c>
      <c r="AJ45" s="93">
        <v>-1.0437000000000001</v>
      </c>
      <c r="AK45" s="93">
        <v>-2.1444000000000001</v>
      </c>
      <c r="AL45" s="93">
        <v>0.4924</v>
      </c>
      <c r="AM45" s="93">
        <v>-0.46710000000000002</v>
      </c>
      <c r="AN45" s="93">
        <v>-1.3022</v>
      </c>
      <c r="AO45" s="93">
        <v>-0.63649999999999995</v>
      </c>
    </row>
    <row r="46" spans="1:41" x14ac:dyDescent="0.35">
      <c r="A46" s="43">
        <v>4</v>
      </c>
      <c r="B46" s="28">
        <v>43506</v>
      </c>
      <c r="C46" s="43">
        <v>26</v>
      </c>
      <c r="D46" s="43">
        <v>140</v>
      </c>
      <c r="E46" s="31">
        <f t="shared" si="24"/>
        <v>3754</v>
      </c>
      <c r="F46" s="25">
        <f t="shared" si="22"/>
        <v>0.9859154929577465</v>
      </c>
      <c r="G46" s="25">
        <f t="shared" si="25"/>
        <v>26.433661971830986</v>
      </c>
      <c r="H46" s="43">
        <v>7.61</v>
      </c>
      <c r="I46" s="43">
        <v>1673</v>
      </c>
      <c r="J46" s="43">
        <v>315</v>
      </c>
      <c r="K46" s="24">
        <v>252</v>
      </c>
      <c r="L46" s="24">
        <v>55</v>
      </c>
      <c r="M46" s="43">
        <v>23</v>
      </c>
      <c r="N46" s="31">
        <v>620</v>
      </c>
      <c r="O46" s="43">
        <v>18</v>
      </c>
      <c r="P46" s="175">
        <v>147.9</v>
      </c>
      <c r="Q46" s="175">
        <v>57.42</v>
      </c>
      <c r="R46" s="175">
        <v>200.2</v>
      </c>
      <c r="S46" s="175">
        <v>19.54</v>
      </c>
      <c r="T46" s="172">
        <v>9.7360000000000007</v>
      </c>
      <c r="U46" s="171">
        <v>0.2</v>
      </c>
      <c r="V46" s="43">
        <v>6.8000000000000005E-2</v>
      </c>
      <c r="W46" s="177">
        <v>0.02</v>
      </c>
      <c r="X46" s="163">
        <v>0.154</v>
      </c>
      <c r="Y46" s="177">
        <v>0.04</v>
      </c>
      <c r="Z46" s="170">
        <v>1.593</v>
      </c>
      <c r="AB46" s="69">
        <f t="shared" si="23"/>
        <v>21.131047493454204</v>
      </c>
      <c r="AC46" s="69">
        <f t="shared" si="1"/>
        <v>21.059415523478918</v>
      </c>
      <c r="AD46" s="69">
        <f t="shared" si="2"/>
        <v>0.1697823746246549</v>
      </c>
      <c r="AE46" s="69"/>
      <c r="AF46" s="93">
        <v>7.61</v>
      </c>
      <c r="AG46" s="93">
        <v>-0.43702800000000003</v>
      </c>
      <c r="AH46" s="93">
        <v>0.53749999999999998</v>
      </c>
      <c r="AI46" s="93">
        <v>-0.81289999999999996</v>
      </c>
      <c r="AJ46" s="93">
        <v>-1.0625</v>
      </c>
      <c r="AK46" s="93">
        <v>-2.1684999999999999</v>
      </c>
      <c r="AL46" s="93">
        <v>0.4919</v>
      </c>
      <c r="AM46" s="93">
        <v>-0.50849999999999995</v>
      </c>
      <c r="AN46" s="93">
        <v>-1.3199000000000001</v>
      </c>
      <c r="AO46" s="93">
        <v>-0.64559999999999995</v>
      </c>
    </row>
    <row r="47" spans="1:41" x14ac:dyDescent="0.35">
      <c r="A47" s="43">
        <v>4</v>
      </c>
      <c r="B47" s="28">
        <v>43507</v>
      </c>
      <c r="C47" s="68">
        <v>27</v>
      </c>
      <c r="D47" s="43">
        <v>151</v>
      </c>
      <c r="E47" s="31">
        <f t="shared" ref="E47:E49" si="26">E46+D47</f>
        <v>3905</v>
      </c>
      <c r="F47" s="25">
        <f t="shared" ref="F47:F49" si="27">D47/142</f>
        <v>1.0633802816901408</v>
      </c>
      <c r="G47" s="25">
        <f t="shared" ref="G47:G49" si="28">G46+F47</f>
        <v>27.497042253521126</v>
      </c>
      <c r="H47" s="43">
        <v>7.6</v>
      </c>
      <c r="I47" s="43">
        <v>1693</v>
      </c>
      <c r="J47" s="43">
        <v>312</v>
      </c>
      <c r="K47" s="24">
        <v>266</v>
      </c>
      <c r="L47" s="24">
        <v>55</v>
      </c>
      <c r="M47" s="43">
        <v>22</v>
      </c>
      <c r="N47" s="31">
        <v>619</v>
      </c>
      <c r="O47" s="43">
        <v>19</v>
      </c>
      <c r="P47" s="175">
        <v>147.5</v>
      </c>
      <c r="Q47" s="175">
        <v>58.16</v>
      </c>
      <c r="R47" s="175">
        <v>213</v>
      </c>
      <c r="S47" s="175">
        <v>20.88</v>
      </c>
      <c r="T47" s="172">
        <v>9.5980000000000008</v>
      </c>
      <c r="U47" s="171">
        <v>0.2</v>
      </c>
      <c r="V47" s="43">
        <v>7.3999999999999996E-2</v>
      </c>
      <c r="W47" s="177">
        <v>0.02</v>
      </c>
      <c r="X47" s="163">
        <v>0.13700000000000001</v>
      </c>
      <c r="Y47" s="177">
        <v>0.04</v>
      </c>
      <c r="Z47" s="170">
        <v>1.6220000000000001</v>
      </c>
      <c r="AB47" s="69">
        <f t="shared" si="23"/>
        <v>21.034098140563206</v>
      </c>
      <c r="AC47" s="69">
        <f t="shared" si="1"/>
        <v>21.653545105384115</v>
      </c>
      <c r="AD47" s="69">
        <f t="shared" si="2"/>
        <v>1.4511153994890977</v>
      </c>
      <c r="AE47" s="69"/>
      <c r="AF47" s="93">
        <v>7.6</v>
      </c>
      <c r="AG47" s="93">
        <v>1.5726100000000001</v>
      </c>
      <c r="AH47" s="93">
        <v>0.52200000000000002</v>
      </c>
      <c r="AI47" s="93">
        <v>-0.81620000000000004</v>
      </c>
      <c r="AJ47" s="93">
        <v>-1.0657000000000001</v>
      </c>
      <c r="AK47" s="93">
        <v>-2.1629</v>
      </c>
      <c r="AL47" s="93">
        <v>0.46739999999999998</v>
      </c>
      <c r="AM47" s="93">
        <v>-0.57430000000000003</v>
      </c>
      <c r="AN47" s="93">
        <v>-1.2851999999999999</v>
      </c>
      <c r="AO47" s="93">
        <v>-0.65459999999999996</v>
      </c>
    </row>
    <row r="48" spans="1:41" x14ac:dyDescent="0.35">
      <c r="A48" s="43">
        <v>4</v>
      </c>
      <c r="B48" s="28">
        <v>43508</v>
      </c>
      <c r="C48" s="68">
        <v>28</v>
      </c>
      <c r="D48" s="43">
        <v>145</v>
      </c>
      <c r="E48" s="31">
        <f t="shared" si="26"/>
        <v>4050</v>
      </c>
      <c r="F48" s="25">
        <f t="shared" si="27"/>
        <v>1.0211267605633803</v>
      </c>
      <c r="G48" s="25">
        <f t="shared" si="28"/>
        <v>28.518169014084506</v>
      </c>
      <c r="H48" s="43">
        <v>7.61</v>
      </c>
      <c r="I48" s="43">
        <v>1704</v>
      </c>
      <c r="J48" s="43">
        <v>310</v>
      </c>
      <c r="K48" s="24">
        <v>270</v>
      </c>
      <c r="L48" s="24">
        <v>54</v>
      </c>
      <c r="M48" s="43">
        <v>21</v>
      </c>
      <c r="N48" s="31">
        <v>619</v>
      </c>
      <c r="O48" s="43">
        <v>21</v>
      </c>
      <c r="P48" s="175">
        <v>141.80000000000001</v>
      </c>
      <c r="Q48" s="175">
        <v>55.71</v>
      </c>
      <c r="R48" s="175">
        <v>206.3</v>
      </c>
      <c r="S48" s="175">
        <v>20.440000000000001</v>
      </c>
      <c r="T48" s="172">
        <v>9.3339999999999996</v>
      </c>
      <c r="U48" s="171">
        <v>0.2</v>
      </c>
      <c r="V48" s="43">
        <v>7.3999999999999996E-2</v>
      </c>
      <c r="W48" s="177">
        <v>0.02</v>
      </c>
      <c r="X48" s="163">
        <v>0.11799999999999999</v>
      </c>
      <c r="Y48" s="177">
        <v>0.04</v>
      </c>
      <c r="Z48" s="170">
        <v>1.5740000000000001</v>
      </c>
      <c r="AB48" s="69">
        <f t="shared" si="23"/>
        <v>20.94976036359428</v>
      </c>
      <c r="AC48" s="69">
        <f t="shared" si="1"/>
        <v>20.869450729361805</v>
      </c>
      <c r="AD48" s="69">
        <f t="shared" si="2"/>
        <v>0.19204005081291797</v>
      </c>
      <c r="AE48" s="69"/>
      <c r="AF48" s="93">
        <v>7.61</v>
      </c>
      <c r="AG48" s="93">
        <v>-0.21315400000000001</v>
      </c>
      <c r="AH48" s="93">
        <v>0.51349999999999996</v>
      </c>
      <c r="AI48" s="93">
        <v>-0.82750000000000001</v>
      </c>
      <c r="AJ48" s="93">
        <v>-1.0770999999999999</v>
      </c>
      <c r="AK48" s="93">
        <v>-2.1745000000000001</v>
      </c>
      <c r="AL48" s="93">
        <v>0.4491</v>
      </c>
      <c r="AM48" s="93">
        <v>-0.62909999999999999</v>
      </c>
      <c r="AN48" s="93">
        <v>-1.2999000000000001</v>
      </c>
      <c r="AO48" s="93">
        <v>-0.66439999999999999</v>
      </c>
    </row>
    <row r="49" spans="1:41" x14ac:dyDescent="0.35">
      <c r="A49" s="43">
        <v>4</v>
      </c>
      <c r="B49" s="28">
        <v>43509</v>
      </c>
      <c r="C49" s="68">
        <v>29</v>
      </c>
      <c r="D49" s="43">
        <v>142</v>
      </c>
      <c r="E49" s="31">
        <f t="shared" si="26"/>
        <v>4192</v>
      </c>
      <c r="F49" s="25">
        <f t="shared" si="27"/>
        <v>1</v>
      </c>
      <c r="G49" s="25">
        <f t="shared" si="28"/>
        <v>29.518169014084506</v>
      </c>
      <c r="H49" s="43">
        <v>7.8</v>
      </c>
      <c r="I49" s="43">
        <v>1671</v>
      </c>
      <c r="J49" s="43">
        <v>314</v>
      </c>
      <c r="K49" s="24">
        <v>277</v>
      </c>
      <c r="L49" s="24">
        <v>54</v>
      </c>
      <c r="M49" s="43">
        <v>22</v>
      </c>
      <c r="N49" s="31">
        <v>623</v>
      </c>
      <c r="O49" s="43">
        <v>27</v>
      </c>
      <c r="P49" s="175">
        <v>163.9</v>
      </c>
      <c r="Q49" s="175">
        <v>56.82</v>
      </c>
      <c r="R49" s="175">
        <v>219.8</v>
      </c>
      <c r="S49" s="175">
        <v>22.36</v>
      </c>
      <c r="T49" s="172">
        <v>8.7140000000000004</v>
      </c>
      <c r="U49" s="171">
        <v>0.2</v>
      </c>
      <c r="V49" s="43">
        <v>7.3999999999999996E-2</v>
      </c>
      <c r="W49" s="177">
        <v>0.02</v>
      </c>
      <c r="X49" s="163">
        <v>0.109</v>
      </c>
      <c r="Y49" s="177">
        <v>0.04</v>
      </c>
      <c r="Z49" s="170">
        <v>1.5880000000000001</v>
      </c>
      <c r="AB49" s="69">
        <f t="shared" si="23"/>
        <v>21.129170678384096</v>
      </c>
      <c r="AC49" s="69">
        <f t="shared" si="1"/>
        <v>22.634883089013652</v>
      </c>
      <c r="AD49" s="69">
        <f t="shared" si="2"/>
        <v>3.4405231714417734</v>
      </c>
      <c r="AE49" s="69"/>
      <c r="AF49" s="93">
        <v>7.8</v>
      </c>
      <c r="AG49" s="93">
        <v>3.9259900000000001</v>
      </c>
      <c r="AH49" s="93">
        <v>0.76280000000000003</v>
      </c>
      <c r="AI49" s="93">
        <v>-0.77659999999999996</v>
      </c>
      <c r="AJ49" s="93">
        <v>-1.0261</v>
      </c>
      <c r="AK49" s="93">
        <v>-2.3662000000000001</v>
      </c>
      <c r="AL49" s="93">
        <v>0.89319999999999999</v>
      </c>
      <c r="AM49" s="93">
        <v>-0.47910000000000003</v>
      </c>
      <c r="AN49" s="93">
        <v>-1.2434000000000001</v>
      </c>
      <c r="AO49" s="93">
        <v>-0.46960000000000002</v>
      </c>
    </row>
    <row r="50" spans="1:41" x14ac:dyDescent="0.35">
      <c r="A50" s="43">
        <v>4</v>
      </c>
      <c r="B50" s="28">
        <v>43510</v>
      </c>
      <c r="C50" s="43">
        <v>30</v>
      </c>
      <c r="D50" s="43">
        <v>144</v>
      </c>
      <c r="E50" s="31">
        <f t="shared" ref="E50" si="29">E49+D50</f>
        <v>4336</v>
      </c>
      <c r="F50" s="25">
        <f t="shared" ref="F50" si="30">D50/142</f>
        <v>1.0140845070422535</v>
      </c>
      <c r="G50" s="25">
        <f t="shared" ref="G50" si="31">G49+F50</f>
        <v>30.532253521126758</v>
      </c>
      <c r="H50" s="43">
        <v>7.6</v>
      </c>
      <c r="I50" s="43">
        <v>1720</v>
      </c>
      <c r="J50" s="43">
        <v>283</v>
      </c>
      <c r="K50" s="24">
        <v>288</v>
      </c>
      <c r="L50" s="24">
        <v>55</v>
      </c>
      <c r="M50" s="43">
        <v>23</v>
      </c>
      <c r="N50" s="31">
        <v>724</v>
      </c>
      <c r="O50" s="31">
        <v>25</v>
      </c>
      <c r="P50" s="175">
        <v>169.7</v>
      </c>
      <c r="Q50" s="175">
        <v>58.43</v>
      </c>
      <c r="R50" s="175">
        <v>217.6</v>
      </c>
      <c r="S50" s="175">
        <v>22.67</v>
      </c>
      <c r="T50" s="172">
        <v>8.9329999999999998</v>
      </c>
      <c r="U50" s="171">
        <v>0.2</v>
      </c>
      <c r="V50" s="65">
        <v>7.2999999999999995E-2</v>
      </c>
      <c r="W50" s="177">
        <v>0.02</v>
      </c>
      <c r="X50" s="163">
        <v>0.106</v>
      </c>
      <c r="Y50" s="177">
        <v>0.04</v>
      </c>
      <c r="Z50" s="170">
        <v>1.615</v>
      </c>
      <c r="AB50" s="69">
        <f t="shared" si="23"/>
        <v>22.656360839279735</v>
      </c>
      <c r="AC50" s="69">
        <f t="shared" si="1"/>
        <v>22.966612805601354</v>
      </c>
      <c r="AD50" s="69">
        <f t="shared" si="2"/>
        <v>0.68003451229757717</v>
      </c>
      <c r="AE50" s="69"/>
      <c r="AF50" s="93">
        <v>7.6</v>
      </c>
      <c r="AG50" s="93">
        <v>0.27641700000000002</v>
      </c>
      <c r="AH50" s="93">
        <v>0.51939999999999997</v>
      </c>
      <c r="AI50" s="93">
        <v>-0.71619999999999995</v>
      </c>
      <c r="AJ50" s="93">
        <v>-0.96579999999999999</v>
      </c>
      <c r="AK50" s="93">
        <v>-2.2084000000000001</v>
      </c>
      <c r="AL50" s="93">
        <v>0.40429999999999999</v>
      </c>
      <c r="AM50" s="93">
        <v>-0.74990000000000001</v>
      </c>
      <c r="AN50" s="93">
        <v>-1.2561</v>
      </c>
      <c r="AO50" s="93">
        <v>-0.71509999999999996</v>
      </c>
    </row>
    <row r="51" spans="1:41" s="68" customFormat="1" x14ac:dyDescent="0.35">
      <c r="B51" s="28"/>
      <c r="E51" s="31"/>
      <c r="F51" s="25"/>
      <c r="G51" s="25"/>
      <c r="K51" s="65"/>
      <c r="L51" s="65"/>
      <c r="N51" s="31"/>
      <c r="P51" s="66"/>
      <c r="Q51" s="65"/>
      <c r="R51" s="32"/>
      <c r="S51" s="32"/>
      <c r="T51" s="32"/>
      <c r="U51" s="67"/>
      <c r="AB51" s="69"/>
      <c r="AC51" s="69"/>
      <c r="AD51" s="69"/>
      <c r="AE51" s="69"/>
      <c r="AF51" s="94"/>
      <c r="AG51" s="94"/>
      <c r="AH51" s="94"/>
      <c r="AI51" s="94"/>
      <c r="AJ51" s="94"/>
      <c r="AK51" s="94"/>
      <c r="AL51" s="94"/>
      <c r="AM51" s="94"/>
      <c r="AN51" s="94"/>
      <c r="AO51" s="94"/>
    </row>
    <row r="52" spans="1:41" x14ac:dyDescent="0.35">
      <c r="A52" s="43" t="s">
        <v>76</v>
      </c>
      <c r="B52" s="28"/>
      <c r="F52" s="2"/>
      <c r="G52" s="2"/>
      <c r="H52" s="69">
        <f>AVERAGE(B99:B107)</f>
        <v>7.2355555555555577</v>
      </c>
      <c r="I52" s="165">
        <f>'Influent Results Master'!D38</f>
        <v>2311.5</v>
      </c>
      <c r="J52" s="165">
        <f>'Influent Results Master'!F38</f>
        <v>244.83333333333331</v>
      </c>
      <c r="K52" s="165">
        <f>'Influent Results Master'!G38</f>
        <v>85.666666666666671</v>
      </c>
      <c r="L52" s="165">
        <f>'Influent Results Master'!H38</f>
        <v>91.5</v>
      </c>
      <c r="M52" s="165">
        <f>'Influent Results Master'!I38</f>
        <v>16.333333333333332</v>
      </c>
      <c r="N52" s="165">
        <f>'Influent Results Master'!J38</f>
        <v>975.66666666666674</v>
      </c>
      <c r="O52" s="165">
        <f>'Influent Results Master'!K38</f>
        <v>20</v>
      </c>
      <c r="P52" s="165">
        <f>'Influent Results Master'!L38</f>
        <v>158.21666666666667</v>
      </c>
      <c r="Q52" s="165">
        <f>'Influent Results Master'!M38</f>
        <v>44.49</v>
      </c>
      <c r="R52" s="165">
        <f>'Influent Results Master'!N38</f>
        <v>407.98333333333335</v>
      </c>
      <c r="S52" s="165">
        <f>'Influent Results Master'!O38</f>
        <v>22.978333333333335</v>
      </c>
      <c r="T52" s="170">
        <f>'Influent Results Master'!P38</f>
        <v>8.5111666666666679</v>
      </c>
      <c r="U52" s="171">
        <f>'Influent Results Master'!Q38</f>
        <v>0.20000000000000004</v>
      </c>
      <c r="V52" s="177">
        <f>'Influent Results Master'!R38</f>
        <v>0.02</v>
      </c>
      <c r="W52" s="177">
        <f>'Influent Results Master'!S38</f>
        <v>0.02</v>
      </c>
      <c r="X52" s="163">
        <f>'Influent Results Master'!T38</f>
        <v>0.44666666666666671</v>
      </c>
      <c r="Y52" s="177">
        <f>'Influent Results Master'!U38</f>
        <v>0.04</v>
      </c>
      <c r="Z52" s="170">
        <f>'Influent Results Master'!V38</f>
        <v>1.7963333333333331</v>
      </c>
      <c r="AB52" s="69">
        <f>((J52/50)+(L52/35.45)+(M52/62)+(N52/48.03))</f>
        <v>28.054900498795039</v>
      </c>
      <c r="AC52" s="69">
        <f t="shared" si="1"/>
        <v>29.517558751050874</v>
      </c>
      <c r="AD52" s="69">
        <f t="shared" si="2"/>
        <v>2.5405519780010954</v>
      </c>
      <c r="AE52" s="69"/>
      <c r="AF52" s="93">
        <v>7.24</v>
      </c>
      <c r="AG52" s="93">
        <v>-0.38539800000000002</v>
      </c>
      <c r="AH52" s="93">
        <v>1.01E-2</v>
      </c>
      <c r="AI52" s="93">
        <v>-0.67859999999999998</v>
      </c>
      <c r="AJ52" s="93">
        <v>-0.92800000000000005</v>
      </c>
      <c r="AK52" s="93">
        <v>-1.91</v>
      </c>
      <c r="AL52" s="93">
        <v>-0.69779999999999998</v>
      </c>
      <c r="AM52" s="93">
        <v>-0.65249999999999997</v>
      </c>
      <c r="AN52" s="93">
        <v>-1.9323999999999999</v>
      </c>
      <c r="AO52" s="93">
        <v>-1.3079000000000001</v>
      </c>
    </row>
    <row r="53" spans="1:41" s="68" customFormat="1" x14ac:dyDescent="0.35">
      <c r="B53" s="28"/>
      <c r="F53" s="69"/>
      <c r="G53" s="69"/>
      <c r="K53" s="65"/>
      <c r="L53" s="65"/>
      <c r="N53" s="31"/>
      <c r="P53" s="66"/>
      <c r="Q53" s="65"/>
      <c r="R53" s="32"/>
      <c r="S53" s="32"/>
      <c r="T53" s="32"/>
      <c r="U53" s="67"/>
      <c r="Y53" s="176"/>
      <c r="AB53" s="69"/>
      <c r="AC53" s="69"/>
      <c r="AD53" s="69"/>
      <c r="AE53" s="69"/>
      <c r="AF53" s="94"/>
      <c r="AG53" s="94"/>
      <c r="AH53" s="94"/>
      <c r="AI53" s="94"/>
      <c r="AJ53" s="94"/>
      <c r="AK53" s="94"/>
      <c r="AL53" s="94"/>
      <c r="AM53" s="94"/>
      <c r="AN53" s="94"/>
      <c r="AO53" s="94"/>
    </row>
    <row r="54" spans="1:41" x14ac:dyDescent="0.35">
      <c r="A54" s="43">
        <v>4</v>
      </c>
      <c r="B54" s="28">
        <v>43511</v>
      </c>
      <c r="C54" s="43">
        <v>31</v>
      </c>
      <c r="D54" s="43">
        <v>146</v>
      </c>
      <c r="E54" s="31">
        <f>E50+D54</f>
        <v>4482</v>
      </c>
      <c r="F54" s="25">
        <f t="shared" ref="F54" si="32">D54/142</f>
        <v>1.028169014084507</v>
      </c>
      <c r="G54" s="25">
        <f>G50+F54</f>
        <v>31.560422535211266</v>
      </c>
      <c r="H54" s="43">
        <v>7.72</v>
      </c>
      <c r="I54" s="43">
        <v>2090</v>
      </c>
      <c r="J54" s="43">
        <v>270</v>
      </c>
      <c r="K54" s="24">
        <v>239</v>
      </c>
      <c r="L54" s="24">
        <v>80</v>
      </c>
      <c r="M54" s="186">
        <v>17</v>
      </c>
      <c r="N54" s="31">
        <v>950</v>
      </c>
      <c r="O54" s="43">
        <v>21</v>
      </c>
      <c r="P54" s="21">
        <v>215.2</v>
      </c>
      <c r="Q54" s="175">
        <v>75.14</v>
      </c>
      <c r="R54" s="21">
        <v>210</v>
      </c>
      <c r="S54" s="21">
        <v>23.54</v>
      </c>
      <c r="T54" s="172">
        <v>9.5299999999999994</v>
      </c>
      <c r="U54" s="171">
        <v>0.2</v>
      </c>
      <c r="V54" s="43">
        <v>4.7E-2</v>
      </c>
      <c r="W54" s="177">
        <v>0.02</v>
      </c>
      <c r="X54" s="163">
        <v>0.13100000000000001</v>
      </c>
      <c r="Y54" s="177">
        <v>0.04</v>
      </c>
      <c r="Z54" s="170">
        <v>2.242</v>
      </c>
      <c r="AB54" s="69">
        <f t="shared" ref="AB54:AB61" si="33">((J54/50)+(L54/35.45)+(M54/62)+(N54/48.03))</f>
        <v>27.710197726546788</v>
      </c>
      <c r="AC54" s="69">
        <f t="shared" si="1"/>
        <v>26.295939548819426</v>
      </c>
      <c r="AD54" s="69">
        <f t="shared" si="2"/>
        <v>2.6186990017752052</v>
      </c>
      <c r="AE54" s="69"/>
      <c r="AF54" s="93">
        <v>7.72</v>
      </c>
      <c r="AG54" s="93">
        <v>-4.4013600000000004</v>
      </c>
      <c r="AH54" s="93">
        <v>0.67490000000000006</v>
      </c>
      <c r="AI54" s="93">
        <v>-0.56179999999999997</v>
      </c>
      <c r="AJ54" s="93">
        <v>-0.81130000000000002</v>
      </c>
      <c r="AK54" s="93">
        <v>-2.3591000000000002</v>
      </c>
      <c r="AL54" s="93">
        <v>0.72370000000000001</v>
      </c>
      <c r="AM54" s="93">
        <v>-0.6099</v>
      </c>
      <c r="AN54" s="93">
        <v>-1.4003000000000001</v>
      </c>
      <c r="AO54" s="93">
        <v>-0.55120000000000002</v>
      </c>
    </row>
    <row r="55" spans="1:41" x14ac:dyDescent="0.35">
      <c r="A55" s="43">
        <v>4</v>
      </c>
      <c r="B55" s="28">
        <v>43512</v>
      </c>
      <c r="C55" s="43">
        <v>32</v>
      </c>
      <c r="D55" s="43">
        <v>145</v>
      </c>
      <c r="E55" s="31">
        <f>E54+D55</f>
        <v>4627</v>
      </c>
      <c r="F55" s="25">
        <f t="shared" ref="F55" si="34">D55/142</f>
        <v>1.0211267605633803</v>
      </c>
      <c r="G55" s="25">
        <f>G54+F55</f>
        <v>32.58154929577465</v>
      </c>
      <c r="H55" s="43">
        <v>7.71</v>
      </c>
      <c r="I55" s="43">
        <v>2350</v>
      </c>
      <c r="J55" s="43">
        <v>259</v>
      </c>
      <c r="K55" s="24">
        <v>156</v>
      </c>
      <c r="L55" s="24">
        <v>90</v>
      </c>
      <c r="M55" s="186">
        <v>17</v>
      </c>
      <c r="N55" s="31">
        <v>1039</v>
      </c>
      <c r="O55" s="43">
        <v>19</v>
      </c>
      <c r="P55" s="165">
        <v>200.1</v>
      </c>
      <c r="Q55" s="165">
        <v>67.78</v>
      </c>
      <c r="R55" s="12">
        <v>284</v>
      </c>
      <c r="S55" s="165">
        <v>22</v>
      </c>
      <c r="T55" s="165">
        <v>10.01</v>
      </c>
      <c r="U55" s="171">
        <v>0.2</v>
      </c>
      <c r="V55" s="43">
        <v>3.5999999999999997E-2</v>
      </c>
      <c r="W55" s="177">
        <v>0.02</v>
      </c>
      <c r="X55" s="163">
        <v>0.104</v>
      </c>
      <c r="Y55" s="177">
        <v>0.04</v>
      </c>
      <c r="Z55" s="170">
        <v>1.9690000000000001</v>
      </c>
      <c r="AB55" s="69">
        <f t="shared" si="33"/>
        <v>29.625293709986849</v>
      </c>
      <c r="AC55" s="69">
        <f t="shared" si="1"/>
        <v>28.168250370385785</v>
      </c>
      <c r="AD55" s="69">
        <f t="shared" si="2"/>
        <v>2.5211178216978274</v>
      </c>
      <c r="AE55" s="69"/>
      <c r="AF55" s="93">
        <v>7.71</v>
      </c>
      <c r="AG55" s="93">
        <v>-4.2313999999999998</v>
      </c>
      <c r="AH55" s="93">
        <v>0.59940000000000004</v>
      </c>
      <c r="AI55" s="93">
        <v>-0.56779999999999997</v>
      </c>
      <c r="AJ55" s="93">
        <v>-0.81720000000000004</v>
      </c>
      <c r="AK55" s="93">
        <v>-2.3660999999999999</v>
      </c>
      <c r="AL55" s="93">
        <v>0.56079999999999997</v>
      </c>
      <c r="AM55" s="93">
        <v>-0.755</v>
      </c>
      <c r="AN55" s="93">
        <v>-1.5714999999999999</v>
      </c>
      <c r="AO55" s="93">
        <v>-0.63859999999999995</v>
      </c>
    </row>
    <row r="56" spans="1:41" x14ac:dyDescent="0.35">
      <c r="A56" s="43">
        <v>4</v>
      </c>
      <c r="B56" s="28">
        <v>43513</v>
      </c>
      <c r="C56" s="43">
        <v>33</v>
      </c>
      <c r="D56" s="43">
        <v>144</v>
      </c>
      <c r="E56" s="31">
        <f t="shared" ref="E56:E60" si="35">E55+D56</f>
        <v>4771</v>
      </c>
      <c r="F56" s="25">
        <f t="shared" ref="F56:F60" si="36">D56/142</f>
        <v>1.0140845070422535</v>
      </c>
      <c r="G56" s="25">
        <f t="shared" ref="G56:G60" si="37">G55+F56</f>
        <v>33.595633802816906</v>
      </c>
      <c r="H56" s="43">
        <v>7.73</v>
      </c>
      <c r="I56" s="43">
        <v>2390</v>
      </c>
      <c r="J56" s="43">
        <v>257</v>
      </c>
      <c r="K56" s="24">
        <v>128</v>
      </c>
      <c r="L56" s="24">
        <v>89</v>
      </c>
      <c r="M56" s="186">
        <v>16</v>
      </c>
      <c r="N56" s="31">
        <v>1039</v>
      </c>
      <c r="O56" s="43">
        <v>20</v>
      </c>
      <c r="P56" s="175">
        <v>172.3</v>
      </c>
      <c r="Q56" s="175">
        <v>59.41</v>
      </c>
      <c r="R56" s="21">
        <v>334</v>
      </c>
      <c r="S56" s="175">
        <v>22.41</v>
      </c>
      <c r="T56" s="172">
        <v>9.7880000000000003</v>
      </c>
      <c r="U56" s="171">
        <v>0.2</v>
      </c>
      <c r="V56" s="43">
        <v>2.5999999999999999E-2</v>
      </c>
      <c r="W56" s="177">
        <v>0.02</v>
      </c>
      <c r="X56" s="43">
        <v>7.5999999999999998E-2</v>
      </c>
      <c r="Y56" s="177">
        <v>0.04</v>
      </c>
      <c r="Z56" s="170">
        <v>1.6539999999999999</v>
      </c>
      <c r="AB56" s="69">
        <f t="shared" si="33"/>
        <v>29.540955933017923</v>
      </c>
      <c r="AC56" s="69">
        <f t="shared" si="1"/>
        <v>28.261883337890701</v>
      </c>
      <c r="AD56" s="69">
        <f t="shared" si="2"/>
        <v>2.2128196664051436</v>
      </c>
      <c r="AE56" s="69"/>
      <c r="AF56" s="93">
        <v>7.73</v>
      </c>
      <c r="AG56" s="93">
        <v>-3.7087699999999999</v>
      </c>
      <c r="AH56" s="93">
        <v>0.55020000000000002</v>
      </c>
      <c r="AI56" s="93">
        <v>-0.62490000000000001</v>
      </c>
      <c r="AJ56" s="93">
        <v>-0.87439999999999996</v>
      </c>
      <c r="AK56" s="93">
        <v>-2.387</v>
      </c>
      <c r="AL56" s="93">
        <v>0.47049999999999997</v>
      </c>
      <c r="AM56" s="93">
        <v>-0.87439999999999996</v>
      </c>
      <c r="AN56" s="93">
        <v>-1.7809999999999999</v>
      </c>
      <c r="AO56" s="93">
        <v>-0.67969999999999997</v>
      </c>
    </row>
    <row r="57" spans="1:41" x14ac:dyDescent="0.35">
      <c r="A57" s="43">
        <v>4</v>
      </c>
      <c r="B57" s="28">
        <v>43514</v>
      </c>
      <c r="C57" s="43">
        <v>34</v>
      </c>
      <c r="D57" s="43">
        <v>143</v>
      </c>
      <c r="E57" s="31">
        <f t="shared" si="35"/>
        <v>4914</v>
      </c>
      <c r="F57" s="25">
        <f t="shared" si="36"/>
        <v>1.0070422535211268</v>
      </c>
      <c r="G57" s="25">
        <f t="shared" si="37"/>
        <v>34.602676056338034</v>
      </c>
      <c r="H57" s="43">
        <v>7.71</v>
      </c>
      <c r="I57" s="43">
        <v>2400</v>
      </c>
      <c r="J57" s="43">
        <v>238</v>
      </c>
      <c r="K57" s="24">
        <v>107</v>
      </c>
      <c r="L57" s="24">
        <v>89</v>
      </c>
      <c r="M57" s="186">
        <v>16</v>
      </c>
      <c r="N57" s="31">
        <v>1048</v>
      </c>
      <c r="O57" s="43">
        <v>20</v>
      </c>
      <c r="P57" s="175">
        <v>161.19999999999999</v>
      </c>
      <c r="Q57" s="175">
        <v>56.93</v>
      </c>
      <c r="R57" s="21">
        <v>348</v>
      </c>
      <c r="S57" s="175">
        <v>22.94</v>
      </c>
      <c r="T57" s="172">
        <v>9.2439999999999998</v>
      </c>
      <c r="U57" s="171">
        <v>0.2</v>
      </c>
      <c r="V57" s="43">
        <v>2.4E-2</v>
      </c>
      <c r="W57" s="177">
        <v>0.02</v>
      </c>
      <c r="X57" s="43">
        <v>7.1999999999999995E-2</v>
      </c>
      <c r="Y57" s="177">
        <v>0.04</v>
      </c>
      <c r="Z57" s="170">
        <v>1.5780000000000001</v>
      </c>
      <c r="AB57" s="69">
        <f t="shared" si="33"/>
        <v>29.348338818714364</v>
      </c>
      <c r="AC57" s="69">
        <f t="shared" si="1"/>
        <v>28.099091127995379</v>
      </c>
      <c r="AD57" s="69">
        <f t="shared" si="2"/>
        <v>2.1745928266553105</v>
      </c>
      <c r="AE57" s="69"/>
      <c r="AF57" s="93">
        <v>7.71</v>
      </c>
      <c r="AG57" s="93">
        <v>-3.7871999999999999</v>
      </c>
      <c r="AH57" s="93">
        <v>0.46800000000000003</v>
      </c>
      <c r="AI57" s="93">
        <v>-0.64710000000000001</v>
      </c>
      <c r="AJ57" s="93">
        <v>-0.89649999999999996</v>
      </c>
      <c r="AK57" s="93">
        <v>-2.3988</v>
      </c>
      <c r="AL57" s="93">
        <v>0.3165</v>
      </c>
      <c r="AM57" s="93">
        <v>-0.95050000000000001</v>
      </c>
      <c r="AN57" s="93">
        <v>-1.8459000000000001</v>
      </c>
      <c r="AO57" s="93">
        <v>-0.75149999999999995</v>
      </c>
    </row>
    <row r="58" spans="1:41" x14ac:dyDescent="0.35">
      <c r="A58" s="43">
        <v>4</v>
      </c>
      <c r="B58" s="28">
        <v>43515</v>
      </c>
      <c r="C58" s="43">
        <v>35</v>
      </c>
      <c r="D58" s="43">
        <v>143</v>
      </c>
      <c r="E58" s="31">
        <f t="shared" si="35"/>
        <v>5057</v>
      </c>
      <c r="F58" s="25">
        <f t="shared" si="36"/>
        <v>1.0070422535211268</v>
      </c>
      <c r="G58" s="25">
        <f t="shared" si="37"/>
        <v>35.609718309859161</v>
      </c>
      <c r="H58" s="43">
        <v>7.58</v>
      </c>
      <c r="I58" s="43">
        <v>2390</v>
      </c>
      <c r="J58" s="43">
        <v>249</v>
      </c>
      <c r="K58" s="24">
        <v>100</v>
      </c>
      <c r="L58" s="24">
        <v>88</v>
      </c>
      <c r="M58" s="186">
        <v>16</v>
      </c>
      <c r="N58" s="31">
        <v>1041</v>
      </c>
      <c r="O58" s="43">
        <v>20</v>
      </c>
      <c r="P58" s="175">
        <v>149.69999999999999</v>
      </c>
      <c r="Q58" s="175">
        <v>55.14</v>
      </c>
      <c r="R58" s="21">
        <v>342</v>
      </c>
      <c r="S58" s="175">
        <v>22.78</v>
      </c>
      <c r="T58" s="172">
        <v>8.8989999999999991</v>
      </c>
      <c r="U58" s="171">
        <v>0.2</v>
      </c>
      <c r="V58" s="43">
        <v>2.1999999999999999E-2</v>
      </c>
      <c r="W58" s="177">
        <v>0.02</v>
      </c>
      <c r="X58" s="176">
        <v>7.0000000000000007E-2</v>
      </c>
      <c r="Y58" s="177">
        <v>0.04</v>
      </c>
      <c r="Z58" s="170">
        <v>1.601</v>
      </c>
      <c r="AB58" s="69">
        <f t="shared" si="33"/>
        <v>29.394387829572938</v>
      </c>
      <c r="AC58" s="69">
        <f t="shared" si="1"/>
        <v>27.108228319703358</v>
      </c>
      <c r="AD58" s="69">
        <f t="shared" si="2"/>
        <v>4.0461126681810518</v>
      </c>
      <c r="AE58" s="69"/>
      <c r="AF58" s="93">
        <v>7.58</v>
      </c>
      <c r="AG58" s="93">
        <v>-5.8692500000000001</v>
      </c>
      <c r="AH58" s="93">
        <v>0.3291</v>
      </c>
      <c r="AI58" s="93">
        <v>-0.67630000000000001</v>
      </c>
      <c r="AJ58" s="93">
        <v>-0.92569999999999997</v>
      </c>
      <c r="AK58" s="93">
        <v>-2.2454999999999998</v>
      </c>
      <c r="AL58" s="93">
        <v>5.7299999999999997E-2</v>
      </c>
      <c r="AM58" s="93">
        <v>-1.0685</v>
      </c>
      <c r="AN58" s="93">
        <v>-1.9142999999999999</v>
      </c>
      <c r="AO58" s="93">
        <v>-0.87180000000000002</v>
      </c>
    </row>
    <row r="59" spans="1:41" x14ac:dyDescent="0.35">
      <c r="A59" s="43">
        <v>4</v>
      </c>
      <c r="B59" s="28">
        <v>43516</v>
      </c>
      <c r="C59" s="43">
        <v>36</v>
      </c>
      <c r="D59" s="43">
        <v>143</v>
      </c>
      <c r="E59" s="31">
        <f t="shared" si="35"/>
        <v>5200</v>
      </c>
      <c r="F59" s="25">
        <f t="shared" si="36"/>
        <v>1.0070422535211268</v>
      </c>
      <c r="G59" s="25">
        <f t="shared" si="37"/>
        <v>36.616760563380289</v>
      </c>
      <c r="H59" s="43">
        <v>7.56</v>
      </c>
      <c r="I59" s="43">
        <v>2410</v>
      </c>
      <c r="J59" s="43">
        <v>252</v>
      </c>
      <c r="K59" s="24">
        <v>119</v>
      </c>
      <c r="L59" s="24">
        <v>88</v>
      </c>
      <c r="M59" s="186">
        <v>16</v>
      </c>
      <c r="N59" s="31">
        <v>1031</v>
      </c>
      <c r="O59" s="43">
        <v>17</v>
      </c>
      <c r="P59" s="175">
        <v>143.9</v>
      </c>
      <c r="Q59" s="175">
        <v>53.89</v>
      </c>
      <c r="R59" s="21">
        <v>340</v>
      </c>
      <c r="S59" s="175">
        <v>22.34</v>
      </c>
      <c r="T59" s="172">
        <v>8.3729999999999993</v>
      </c>
      <c r="U59" s="171">
        <v>0.2</v>
      </c>
      <c r="V59" s="50">
        <v>0.03</v>
      </c>
      <c r="W59" s="177">
        <v>0.02</v>
      </c>
      <c r="X59" s="43">
        <v>6.6000000000000003E-2</v>
      </c>
      <c r="Y59" s="177">
        <v>0.04</v>
      </c>
      <c r="Z59" s="170">
        <v>1.54</v>
      </c>
      <c r="AB59" s="69">
        <f t="shared" si="33"/>
        <v>29.246184623243561</v>
      </c>
      <c r="AC59" s="69">
        <f t="shared" si="1"/>
        <v>26.615564078597608</v>
      </c>
      <c r="AD59" s="69">
        <f t="shared" si="2"/>
        <v>4.7091625410560241</v>
      </c>
      <c r="AE59" s="69"/>
      <c r="AF59" s="93">
        <v>7.56</v>
      </c>
      <c r="AG59" s="93">
        <v>-6.60914</v>
      </c>
      <c r="AH59" s="93">
        <v>0.29909999999999998</v>
      </c>
      <c r="AI59" s="93">
        <v>-0.69340000000000002</v>
      </c>
      <c r="AJ59" s="93">
        <v>-0.94279999999999997</v>
      </c>
      <c r="AK59" s="93">
        <v>-2.2193000000000001</v>
      </c>
      <c r="AL59" s="93">
        <v>4.5999999999999999E-3</v>
      </c>
      <c r="AM59" s="93">
        <v>-1.1063000000000001</v>
      </c>
      <c r="AN59" s="93">
        <v>-1.7947</v>
      </c>
      <c r="AO59" s="93">
        <v>-0.89449999999999996</v>
      </c>
    </row>
    <row r="60" spans="1:41" x14ac:dyDescent="0.35">
      <c r="A60" s="43">
        <v>4</v>
      </c>
      <c r="B60" s="28">
        <v>43517</v>
      </c>
      <c r="C60" s="43">
        <v>37</v>
      </c>
      <c r="D60" s="43">
        <v>143</v>
      </c>
      <c r="E60" s="31">
        <f t="shared" si="35"/>
        <v>5343</v>
      </c>
      <c r="F60" s="25">
        <f t="shared" si="36"/>
        <v>1.0070422535211268</v>
      </c>
      <c r="G60" s="25">
        <f t="shared" si="37"/>
        <v>37.623802816901417</v>
      </c>
      <c r="H60" s="43">
        <v>7.58</v>
      </c>
      <c r="I60" s="43">
        <v>2380</v>
      </c>
      <c r="J60" s="43">
        <v>243</v>
      </c>
      <c r="K60" s="24">
        <v>98</v>
      </c>
      <c r="L60" s="24">
        <v>88</v>
      </c>
      <c r="M60" s="186">
        <v>16</v>
      </c>
      <c r="N60" s="31">
        <v>1034</v>
      </c>
      <c r="O60" s="43">
        <v>19</v>
      </c>
      <c r="P60" s="175">
        <v>138.6</v>
      </c>
      <c r="Q60" s="175">
        <v>52.61</v>
      </c>
      <c r="R60" s="21">
        <v>341</v>
      </c>
      <c r="S60" s="175">
        <v>22.02</v>
      </c>
      <c r="T60" s="172">
        <v>8.1809999999999992</v>
      </c>
      <c r="U60" s="171">
        <v>0.2</v>
      </c>
      <c r="V60" s="43">
        <v>3.1E-2</v>
      </c>
      <c r="W60" s="177">
        <v>0.02</v>
      </c>
      <c r="X60" s="43">
        <v>6.5000000000000002E-2</v>
      </c>
      <c r="Y60" s="177">
        <v>0.04</v>
      </c>
      <c r="Z60" s="170">
        <v>1.53</v>
      </c>
      <c r="AB60" s="69">
        <f t="shared" si="33"/>
        <v>29.128645585142372</v>
      </c>
      <c r="AC60" s="69">
        <f t="shared" si="1"/>
        <v>26.284416549568906</v>
      </c>
      <c r="AD60" s="69">
        <f t="shared" si="2"/>
        <v>5.1327772297784886</v>
      </c>
      <c r="AE60" s="69"/>
      <c r="AF60" s="93">
        <v>7.58</v>
      </c>
      <c r="AG60" s="93">
        <v>-7.1522399999999999</v>
      </c>
      <c r="AH60" s="93">
        <v>0.28689999999999999</v>
      </c>
      <c r="AI60" s="93">
        <v>-0.70620000000000005</v>
      </c>
      <c r="AJ60" s="93">
        <v>-0.9556</v>
      </c>
      <c r="AK60" s="93">
        <v>-2.2547000000000001</v>
      </c>
      <c r="AL60" s="93">
        <v>-1.4E-2</v>
      </c>
      <c r="AM60" s="93">
        <v>-1.1082000000000001</v>
      </c>
      <c r="AN60" s="93">
        <v>-1.7968</v>
      </c>
      <c r="AO60" s="93">
        <v>-0.90090000000000003</v>
      </c>
    </row>
    <row r="61" spans="1:41" s="68" customFormat="1" x14ac:dyDescent="0.35">
      <c r="A61" s="68">
        <v>4</v>
      </c>
      <c r="B61" s="28">
        <v>43518</v>
      </c>
      <c r="C61" s="68">
        <v>38</v>
      </c>
      <c r="D61" s="68">
        <v>145</v>
      </c>
      <c r="E61" s="31">
        <f t="shared" ref="E61" si="38">E60+D61</f>
        <v>5488</v>
      </c>
      <c r="F61" s="25">
        <f t="shared" ref="F61" si="39">D61/142</f>
        <v>1.0211267605633803</v>
      </c>
      <c r="G61" s="25">
        <f t="shared" ref="G61" si="40">G60+F61</f>
        <v>38.644929577464801</v>
      </c>
      <c r="H61" s="68">
        <v>7.51</v>
      </c>
      <c r="I61" s="68">
        <v>2410</v>
      </c>
      <c r="J61" s="68">
        <v>243</v>
      </c>
      <c r="K61" s="65">
        <v>95</v>
      </c>
      <c r="L61" s="65">
        <v>88</v>
      </c>
      <c r="M61" s="186">
        <v>16</v>
      </c>
      <c r="N61" s="31">
        <v>1040</v>
      </c>
      <c r="O61" s="68">
        <v>16</v>
      </c>
      <c r="P61" s="175">
        <v>137.30000000000001</v>
      </c>
      <c r="Q61" s="175">
        <v>53.16</v>
      </c>
      <c r="R61" s="21">
        <v>339</v>
      </c>
      <c r="S61" s="175">
        <v>22.93</v>
      </c>
      <c r="T61" s="172">
        <v>8.1980000000000004</v>
      </c>
      <c r="U61" s="171">
        <v>0.2</v>
      </c>
      <c r="V61" s="50">
        <v>0.03</v>
      </c>
      <c r="W61" s="177">
        <v>0.02</v>
      </c>
      <c r="X61" s="50">
        <v>0.06</v>
      </c>
      <c r="Y61" s="177">
        <v>0.04</v>
      </c>
      <c r="Z61" s="170">
        <v>1.51</v>
      </c>
      <c r="AB61" s="69">
        <f t="shared" si="33"/>
        <v>29.253567508940002</v>
      </c>
      <c r="AC61" s="69">
        <f t="shared" si="1"/>
        <v>26.178216990486909</v>
      </c>
      <c r="AD61" s="69">
        <f t="shared" si="2"/>
        <v>5.5479911863290043</v>
      </c>
      <c r="AE61" s="69"/>
      <c r="AF61" s="93">
        <v>7.51</v>
      </c>
      <c r="AG61" s="93">
        <v>-7.63</v>
      </c>
      <c r="AH61" s="93">
        <v>0.21290000000000001</v>
      </c>
      <c r="AI61" s="93">
        <v>-0.70840000000000003</v>
      </c>
      <c r="AJ61" s="93">
        <v>-0.95779999999999998</v>
      </c>
      <c r="AK61" s="93">
        <v>-2.1837</v>
      </c>
      <c r="AL61" s="93">
        <v>-0.15329999999999999</v>
      </c>
      <c r="AM61" s="93">
        <v>-1.2128000000000001</v>
      </c>
      <c r="AN61" s="93">
        <v>-1.8161</v>
      </c>
      <c r="AO61" s="93">
        <v>-0.96619999999999995</v>
      </c>
    </row>
    <row r="62" spans="1:41" x14ac:dyDescent="0.35">
      <c r="B62" s="28"/>
      <c r="F62" s="2"/>
      <c r="G62" s="2"/>
      <c r="K62" s="24"/>
      <c r="L62" s="24"/>
      <c r="N62" s="31"/>
      <c r="P62" s="66"/>
      <c r="Q62" s="65"/>
      <c r="R62" s="32"/>
      <c r="S62" s="32"/>
      <c r="T62" s="32"/>
      <c r="U62" s="8"/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1" s="31" customFormat="1" x14ac:dyDescent="0.35">
      <c r="A63" s="31" t="s">
        <v>33</v>
      </c>
      <c r="F63" s="25"/>
      <c r="G63" s="25"/>
      <c r="AF63" s="43"/>
      <c r="AG63" s="43"/>
      <c r="AH63" s="43"/>
      <c r="AI63" s="43"/>
      <c r="AJ63" s="43"/>
      <c r="AK63" s="43"/>
      <c r="AL63" s="43"/>
      <c r="AM63" s="43"/>
      <c r="AN63" s="43"/>
      <c r="AO63" s="43"/>
    </row>
    <row r="64" spans="1:41" x14ac:dyDescent="0.35">
      <c r="A64" s="31"/>
      <c r="B64" s="31"/>
      <c r="C64" s="31"/>
      <c r="D64" s="31"/>
      <c r="E64" s="31"/>
      <c r="F64" s="31"/>
      <c r="G64" s="31"/>
    </row>
    <row r="65" spans="1:41" x14ac:dyDescent="0.35">
      <c r="A65" s="31" t="s">
        <v>32</v>
      </c>
      <c r="B65" s="31"/>
      <c r="C65" s="31"/>
      <c r="D65" s="31"/>
      <c r="E65" s="31"/>
      <c r="F65" s="31"/>
      <c r="G65" s="31"/>
    </row>
    <row r="66" spans="1:41" x14ac:dyDescent="0.35">
      <c r="A66" s="31"/>
      <c r="B66" s="31"/>
      <c r="C66" s="31"/>
      <c r="D66" s="31"/>
      <c r="E66" s="31"/>
      <c r="F66" s="31"/>
      <c r="G66" s="31"/>
    </row>
    <row r="67" spans="1:41" x14ac:dyDescent="0.35">
      <c r="A67" s="31" t="s">
        <v>10</v>
      </c>
      <c r="B67" s="31" t="s">
        <v>14</v>
      </c>
      <c r="C67" s="31"/>
      <c r="D67" s="31"/>
      <c r="E67" s="31"/>
    </row>
    <row r="68" spans="1:41" x14ac:dyDescent="0.35">
      <c r="A68" s="31"/>
      <c r="B68" s="31"/>
      <c r="C68" s="31"/>
      <c r="D68" s="31"/>
      <c r="E68" s="31"/>
    </row>
    <row r="69" spans="1:41" x14ac:dyDescent="0.35">
      <c r="A69" s="28">
        <v>43480</v>
      </c>
      <c r="B69" s="31">
        <v>7.4</v>
      </c>
      <c r="C69" s="31"/>
      <c r="D69" s="31"/>
      <c r="E69" s="31"/>
      <c r="F69" s="31"/>
      <c r="G69" s="31"/>
    </row>
    <row r="70" spans="1:41" x14ac:dyDescent="0.35">
      <c r="A70" s="28">
        <v>43481</v>
      </c>
      <c r="B70" s="31">
        <v>7.2</v>
      </c>
      <c r="C70" s="31"/>
      <c r="D70" s="31"/>
      <c r="E70" s="28"/>
      <c r="F70" s="31"/>
      <c r="G70" s="31"/>
      <c r="AF70" s="68"/>
      <c r="AG70" s="68"/>
      <c r="AH70" s="68"/>
      <c r="AI70" s="68"/>
      <c r="AJ70" s="68"/>
      <c r="AK70" s="68"/>
      <c r="AL70" s="68"/>
      <c r="AM70" s="68"/>
      <c r="AN70" s="68"/>
      <c r="AO70" s="68"/>
    </row>
    <row r="71" spans="1:41" x14ac:dyDescent="0.35">
      <c r="A71" s="28">
        <v>43482</v>
      </c>
      <c r="B71" s="31">
        <v>7.2</v>
      </c>
      <c r="C71" s="31"/>
      <c r="D71" s="31"/>
      <c r="E71" s="28"/>
      <c r="F71" s="31"/>
      <c r="G71" s="31"/>
    </row>
    <row r="72" spans="1:41" x14ac:dyDescent="0.35">
      <c r="A72" s="28">
        <v>43483</v>
      </c>
      <c r="B72" s="31">
        <v>7.3</v>
      </c>
      <c r="C72" s="31"/>
      <c r="D72" s="31"/>
      <c r="E72" s="28"/>
      <c r="F72" s="31"/>
      <c r="G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</row>
    <row r="73" spans="1:41" x14ac:dyDescent="0.35">
      <c r="A73" s="28">
        <v>43484</v>
      </c>
      <c r="B73" s="31">
        <v>7.3</v>
      </c>
      <c r="C73" s="31"/>
      <c r="D73" s="31"/>
      <c r="E73" s="28"/>
      <c r="F73" s="31"/>
      <c r="G73" s="31"/>
    </row>
    <row r="74" spans="1:41" x14ac:dyDescent="0.35">
      <c r="A74" s="28">
        <v>43485</v>
      </c>
      <c r="B74" s="31">
        <v>7.3</v>
      </c>
      <c r="C74" s="31"/>
      <c r="D74" s="31"/>
      <c r="E74" s="28"/>
      <c r="F74" s="31"/>
      <c r="G74" s="31"/>
    </row>
    <row r="75" spans="1:41" x14ac:dyDescent="0.35">
      <c r="A75" s="28">
        <v>43486</v>
      </c>
      <c r="B75" s="31">
        <v>7.4</v>
      </c>
      <c r="C75" s="31"/>
      <c r="D75" s="31"/>
      <c r="E75" s="28"/>
      <c r="F75" s="31"/>
      <c r="G75" s="31"/>
    </row>
    <row r="76" spans="1:41" x14ac:dyDescent="0.35">
      <c r="A76" s="28">
        <v>43487</v>
      </c>
      <c r="B76" s="31">
        <v>7.99</v>
      </c>
      <c r="C76" s="31" t="s">
        <v>108</v>
      </c>
      <c r="E76" s="28"/>
      <c r="F76" s="31"/>
      <c r="G76" s="31"/>
    </row>
    <row r="77" spans="1:41" x14ac:dyDescent="0.35">
      <c r="A77" s="28">
        <v>43488</v>
      </c>
      <c r="B77" s="31">
        <v>7.98</v>
      </c>
      <c r="C77" s="31"/>
      <c r="D77" s="31"/>
      <c r="E77" s="28"/>
      <c r="F77" s="31"/>
      <c r="G77" s="31"/>
    </row>
    <row r="78" spans="1:41" x14ac:dyDescent="0.35">
      <c r="A78" s="28">
        <v>43489</v>
      </c>
      <c r="B78" s="31">
        <v>8.07</v>
      </c>
      <c r="C78" s="31"/>
      <c r="D78" s="31"/>
      <c r="E78" s="28"/>
      <c r="F78" s="31"/>
      <c r="G78" s="31"/>
    </row>
    <row r="79" spans="1:41" x14ac:dyDescent="0.35">
      <c r="A79" s="28">
        <v>43490</v>
      </c>
      <c r="B79" s="31">
        <v>7.9</v>
      </c>
      <c r="C79" s="31"/>
      <c r="D79" s="31"/>
      <c r="E79" s="28"/>
      <c r="F79" s="31"/>
      <c r="G79" s="31"/>
    </row>
    <row r="80" spans="1:41" x14ac:dyDescent="0.35">
      <c r="A80" s="28">
        <v>43491</v>
      </c>
      <c r="B80" s="31">
        <v>8.0299999999999994</v>
      </c>
      <c r="C80" s="31"/>
      <c r="D80" s="31"/>
      <c r="E80" s="28"/>
      <c r="F80" s="31"/>
      <c r="G80" s="31"/>
    </row>
    <row r="81" spans="1:41" x14ac:dyDescent="0.35">
      <c r="A81" s="28">
        <v>43492</v>
      </c>
      <c r="B81" s="31">
        <v>8</v>
      </c>
      <c r="C81" s="31"/>
      <c r="D81" s="31"/>
      <c r="E81" s="28"/>
      <c r="F81" s="31"/>
      <c r="G81" s="31"/>
    </row>
    <row r="82" spans="1:41" x14ac:dyDescent="0.35">
      <c r="A82" s="28">
        <v>43493</v>
      </c>
      <c r="B82" s="31">
        <v>8</v>
      </c>
      <c r="C82" s="31"/>
      <c r="D82" s="31"/>
      <c r="E82" s="28"/>
      <c r="F82" s="31"/>
      <c r="G82" s="31"/>
    </row>
    <row r="83" spans="1:41" x14ac:dyDescent="0.35">
      <c r="A83" s="28">
        <v>43494</v>
      </c>
      <c r="B83" s="31">
        <v>8.07</v>
      </c>
      <c r="C83" s="31"/>
      <c r="D83" s="31"/>
      <c r="E83" s="31"/>
      <c r="F83" s="25"/>
      <c r="G83" s="25"/>
    </row>
    <row r="84" spans="1:41" x14ac:dyDescent="0.35">
      <c r="A84" s="28">
        <v>43495</v>
      </c>
      <c r="B84" s="31">
        <v>8.0399999999999991</v>
      </c>
      <c r="C84" s="31"/>
      <c r="D84" s="31"/>
      <c r="E84" s="31"/>
      <c r="F84" s="25"/>
      <c r="G84" s="25"/>
    </row>
    <row r="85" spans="1:41" x14ac:dyDescent="0.35">
      <c r="A85" s="28">
        <v>43496</v>
      </c>
      <c r="B85" s="31">
        <v>8.0399999999999991</v>
      </c>
      <c r="C85" s="31"/>
      <c r="D85" s="31"/>
      <c r="E85" s="31"/>
      <c r="F85" s="25"/>
      <c r="G85" s="25"/>
    </row>
    <row r="86" spans="1:41" x14ac:dyDescent="0.35">
      <c r="A86" s="28">
        <v>43497</v>
      </c>
      <c r="B86" s="68">
        <v>7.97</v>
      </c>
    </row>
    <row r="87" spans="1:41" x14ac:dyDescent="0.35">
      <c r="A87" s="28">
        <v>43498</v>
      </c>
      <c r="B87" s="83">
        <v>8.09</v>
      </c>
      <c r="F87" s="2"/>
      <c r="G87" s="2"/>
      <c r="N87" s="31"/>
    </row>
    <row r="88" spans="1:41" s="31" customFormat="1" x14ac:dyDescent="0.35">
      <c r="A88" s="28">
        <v>43499</v>
      </c>
      <c r="B88" s="31">
        <v>7.98</v>
      </c>
      <c r="F88" s="25"/>
      <c r="G88" s="25"/>
      <c r="AF88" s="43"/>
      <c r="AG88" s="43"/>
      <c r="AH88" s="43"/>
      <c r="AI88" s="43"/>
      <c r="AJ88" s="43"/>
      <c r="AK88" s="43"/>
      <c r="AL88" s="43"/>
      <c r="AM88" s="43"/>
      <c r="AN88" s="43"/>
      <c r="AO88" s="43"/>
    </row>
    <row r="89" spans="1:41" s="31" customFormat="1" x14ac:dyDescent="0.35">
      <c r="A89" s="28">
        <v>43500</v>
      </c>
      <c r="B89" s="31">
        <v>7.96</v>
      </c>
      <c r="F89" s="25"/>
      <c r="G89" s="25"/>
      <c r="AF89" s="43"/>
      <c r="AG89" s="43"/>
      <c r="AH89" s="43"/>
      <c r="AI89" s="43"/>
      <c r="AJ89" s="43"/>
      <c r="AK89" s="43"/>
      <c r="AL89" s="43"/>
      <c r="AM89" s="43"/>
      <c r="AN89" s="43"/>
      <c r="AO89" s="43"/>
    </row>
    <row r="90" spans="1:41" s="31" customFormat="1" x14ac:dyDescent="0.35">
      <c r="A90" s="28">
        <v>43501</v>
      </c>
      <c r="B90" s="31">
        <v>8.02</v>
      </c>
      <c r="F90" s="25"/>
      <c r="G90" s="25"/>
      <c r="AF90" s="43"/>
      <c r="AG90" s="43"/>
      <c r="AH90" s="43"/>
      <c r="AI90" s="43"/>
      <c r="AJ90" s="43"/>
      <c r="AK90" s="43"/>
      <c r="AL90" s="43"/>
      <c r="AM90" s="43"/>
      <c r="AN90" s="43"/>
      <c r="AO90" s="43"/>
    </row>
    <row r="91" spans="1:41" s="31" customFormat="1" x14ac:dyDescent="0.35">
      <c r="A91" s="28">
        <v>43502</v>
      </c>
      <c r="B91" s="31">
        <v>7.18</v>
      </c>
      <c r="C91" s="31" t="s">
        <v>154</v>
      </c>
      <c r="F91" s="25"/>
      <c r="G91" s="25"/>
      <c r="AF91" s="43"/>
      <c r="AG91" s="43"/>
      <c r="AH91" s="43"/>
      <c r="AI91" s="43"/>
      <c r="AJ91" s="43"/>
      <c r="AK91" s="43"/>
      <c r="AL91" s="43"/>
      <c r="AM91" s="43"/>
      <c r="AN91" s="43"/>
      <c r="AO91" s="43"/>
    </row>
    <row r="92" spans="1:41" s="31" customFormat="1" x14ac:dyDescent="0.35">
      <c r="A92" s="28">
        <v>43503</v>
      </c>
      <c r="B92" s="31">
        <v>7.15</v>
      </c>
      <c r="F92" s="25"/>
      <c r="G92" s="25"/>
      <c r="AF92" s="43"/>
      <c r="AG92" s="43"/>
      <c r="AH92" s="43"/>
      <c r="AI92" s="43"/>
      <c r="AJ92" s="43"/>
      <c r="AK92" s="43"/>
      <c r="AL92" s="43"/>
      <c r="AM92" s="43"/>
      <c r="AN92" s="43"/>
      <c r="AO92" s="43"/>
    </row>
    <row r="93" spans="1:41" s="31" customFormat="1" x14ac:dyDescent="0.35">
      <c r="A93" s="28">
        <v>43504</v>
      </c>
      <c r="B93" s="31">
        <v>7.19</v>
      </c>
      <c r="F93" s="25"/>
      <c r="G93" s="25"/>
      <c r="M93" s="27"/>
      <c r="N93" s="27"/>
      <c r="O93" s="27"/>
      <c r="P93" s="27"/>
      <c r="Q93" s="27"/>
      <c r="R93" s="26"/>
      <c r="S93" s="26"/>
      <c r="T93" s="26"/>
      <c r="U93" s="26"/>
      <c r="V93" s="27"/>
      <c r="W93" s="18"/>
      <c r="X93" s="26"/>
      <c r="Y93" s="27"/>
      <c r="AF93" s="43"/>
      <c r="AG93" s="43"/>
      <c r="AH93" s="43"/>
      <c r="AI93" s="43"/>
      <c r="AJ93" s="43"/>
      <c r="AK93" s="43"/>
      <c r="AL93" s="43"/>
      <c r="AM93" s="43"/>
      <c r="AN93" s="43"/>
      <c r="AO93" s="43"/>
    </row>
    <row r="94" spans="1:41" s="31" customFormat="1" x14ac:dyDescent="0.35">
      <c r="A94" s="28">
        <v>43505</v>
      </c>
      <c r="B94" s="31">
        <v>7.19</v>
      </c>
      <c r="F94" s="25"/>
      <c r="G94" s="25"/>
      <c r="M94" s="27"/>
      <c r="N94" s="27"/>
      <c r="O94" s="27"/>
      <c r="P94" s="27"/>
      <c r="Q94" s="27"/>
      <c r="R94" s="26"/>
      <c r="S94" s="26"/>
      <c r="T94" s="26"/>
      <c r="U94" s="26"/>
      <c r="V94" s="27"/>
      <c r="W94" s="18"/>
      <c r="X94" s="26"/>
      <c r="Y94" s="27"/>
      <c r="AF94" s="43"/>
      <c r="AG94" s="43"/>
      <c r="AH94" s="43"/>
      <c r="AI94" s="43"/>
      <c r="AJ94" s="43"/>
      <c r="AK94" s="43"/>
      <c r="AL94" s="43"/>
      <c r="AM94" s="43"/>
      <c r="AN94" s="43"/>
      <c r="AO94" s="43"/>
    </row>
    <row r="95" spans="1:41" s="31" customFormat="1" x14ac:dyDescent="0.35">
      <c r="A95" s="28">
        <v>43506</v>
      </c>
      <c r="B95" s="31">
        <v>7.17</v>
      </c>
      <c r="F95" s="25"/>
      <c r="G95" s="25"/>
      <c r="R95" s="26"/>
      <c r="S95" s="26"/>
      <c r="T95" s="26"/>
      <c r="U95" s="27"/>
      <c r="W95" s="6"/>
      <c r="X95" s="26"/>
      <c r="Y95" s="27"/>
      <c r="AF95" s="43"/>
      <c r="AG95" s="43"/>
      <c r="AH95" s="43"/>
      <c r="AI95" s="43"/>
      <c r="AJ95" s="43"/>
      <c r="AK95" s="43"/>
      <c r="AL95" s="43"/>
      <c r="AM95" s="43"/>
      <c r="AN95" s="43"/>
      <c r="AO95" s="43"/>
    </row>
    <row r="96" spans="1:41" s="31" customFormat="1" x14ac:dyDescent="0.35">
      <c r="A96" s="28">
        <v>43507</v>
      </c>
      <c r="B96" s="31">
        <v>7.26</v>
      </c>
      <c r="F96" s="25"/>
      <c r="G96" s="25"/>
      <c r="AF96" s="43"/>
      <c r="AG96" s="43"/>
      <c r="AH96" s="43"/>
      <c r="AI96" s="43"/>
      <c r="AJ96" s="43"/>
      <c r="AK96" s="43"/>
      <c r="AL96" s="43"/>
      <c r="AM96" s="43"/>
      <c r="AN96" s="43"/>
      <c r="AO96" s="43"/>
    </row>
    <row r="97" spans="1:25" s="31" customFormat="1" x14ac:dyDescent="0.35">
      <c r="A97" s="28">
        <v>43508</v>
      </c>
      <c r="B97" s="31">
        <v>7.34</v>
      </c>
      <c r="F97" s="25"/>
      <c r="G97" s="25"/>
    </row>
    <row r="98" spans="1:25" s="31" customFormat="1" x14ac:dyDescent="0.35">
      <c r="A98" s="28">
        <v>43509</v>
      </c>
      <c r="B98" s="31">
        <v>7.05</v>
      </c>
      <c r="F98" s="25"/>
      <c r="G98" s="25"/>
    </row>
    <row r="99" spans="1:25" s="31" customFormat="1" x14ac:dyDescent="0.35">
      <c r="A99" s="28">
        <v>43510</v>
      </c>
      <c r="B99" s="85">
        <v>7.26</v>
      </c>
      <c r="C99" s="31" t="s">
        <v>159</v>
      </c>
      <c r="F99" s="25"/>
      <c r="G99" s="25"/>
    </row>
    <row r="100" spans="1:25" s="31" customFormat="1" x14ac:dyDescent="0.35">
      <c r="A100" s="28">
        <v>43511</v>
      </c>
      <c r="B100" s="85">
        <v>7.11</v>
      </c>
      <c r="F100" s="25"/>
      <c r="G100" s="25"/>
      <c r="X100" s="26"/>
      <c r="Y100" s="26"/>
    </row>
    <row r="101" spans="1:25" s="31" customFormat="1" x14ac:dyDescent="0.35">
      <c r="A101" s="28">
        <v>43512</v>
      </c>
      <c r="B101" s="85">
        <v>7.23</v>
      </c>
      <c r="F101" s="25"/>
      <c r="G101" s="25"/>
      <c r="H101" s="25"/>
      <c r="K101" s="27"/>
      <c r="L101" s="27"/>
      <c r="U101" s="26"/>
      <c r="X101" s="26"/>
      <c r="Y101" s="26"/>
    </row>
    <row r="102" spans="1:25" s="31" customFormat="1" x14ac:dyDescent="0.35">
      <c r="A102" s="28">
        <v>43513</v>
      </c>
      <c r="B102" s="85">
        <v>7.25</v>
      </c>
      <c r="F102" s="25"/>
      <c r="G102" s="25"/>
      <c r="K102" s="27"/>
      <c r="L102" s="27"/>
      <c r="R102" s="27"/>
      <c r="S102" s="27"/>
      <c r="T102" s="27"/>
      <c r="U102" s="13"/>
      <c r="X102" s="26"/>
      <c r="Y102" s="26"/>
    </row>
    <row r="103" spans="1:25" s="31" customFormat="1" x14ac:dyDescent="0.35">
      <c r="A103" s="28">
        <v>43514</v>
      </c>
      <c r="B103" s="85">
        <v>7.2</v>
      </c>
      <c r="F103" s="25"/>
      <c r="G103" s="25"/>
      <c r="K103" s="27"/>
      <c r="L103" s="27"/>
      <c r="O103" s="6"/>
      <c r="R103" s="27"/>
      <c r="S103" s="27"/>
      <c r="T103" s="27"/>
      <c r="U103" s="13"/>
      <c r="V103" s="6"/>
      <c r="X103" s="26"/>
    </row>
    <row r="104" spans="1:25" s="31" customFormat="1" x14ac:dyDescent="0.35">
      <c r="A104" s="28">
        <v>43515</v>
      </c>
      <c r="B104" s="25">
        <v>7.2</v>
      </c>
      <c r="F104" s="25"/>
      <c r="G104" s="25"/>
      <c r="J104" s="27"/>
      <c r="K104" s="27"/>
      <c r="L104" s="27"/>
      <c r="R104" s="27"/>
      <c r="S104" s="27"/>
      <c r="T104" s="27"/>
      <c r="U104" s="13"/>
      <c r="W104" s="12"/>
      <c r="X104" s="26"/>
    </row>
    <row r="105" spans="1:25" s="31" customFormat="1" x14ac:dyDescent="0.35">
      <c r="A105" s="28">
        <v>43516</v>
      </c>
      <c r="B105" s="25">
        <v>7.27</v>
      </c>
      <c r="F105" s="25"/>
      <c r="G105" s="25"/>
      <c r="J105" s="27"/>
      <c r="K105" s="27"/>
      <c r="L105" s="27"/>
      <c r="O105" s="27"/>
      <c r="R105" s="27"/>
      <c r="S105" s="27"/>
      <c r="T105" s="27"/>
      <c r="U105" s="13"/>
      <c r="V105" s="18"/>
      <c r="X105" s="26"/>
    </row>
    <row r="106" spans="1:25" s="31" customFormat="1" x14ac:dyDescent="0.35">
      <c r="A106" s="28">
        <v>43517</v>
      </c>
      <c r="B106" s="25">
        <v>7.31</v>
      </c>
      <c r="F106" s="25"/>
      <c r="G106" s="25"/>
      <c r="J106" s="27"/>
      <c r="K106" s="27"/>
      <c r="L106" s="27"/>
      <c r="O106" s="27"/>
      <c r="R106" s="27"/>
      <c r="S106" s="27"/>
      <c r="T106" s="27"/>
      <c r="U106" s="13"/>
      <c r="V106" s="18"/>
      <c r="X106" s="26"/>
    </row>
    <row r="107" spans="1:25" s="31" customFormat="1" x14ac:dyDescent="0.35">
      <c r="A107" s="28">
        <v>43518</v>
      </c>
      <c r="B107" s="25">
        <v>7.29</v>
      </c>
      <c r="F107" s="25"/>
      <c r="G107" s="25"/>
      <c r="J107" s="27"/>
      <c r="K107" s="27"/>
      <c r="L107" s="27"/>
      <c r="O107" s="27"/>
      <c r="R107" s="27"/>
      <c r="S107" s="27"/>
      <c r="T107" s="27"/>
      <c r="U107" s="13"/>
      <c r="V107" s="18"/>
      <c r="X107" s="26"/>
    </row>
    <row r="108" spans="1:25" s="31" customFormat="1" x14ac:dyDescent="0.35">
      <c r="B108" s="28"/>
      <c r="F108" s="25"/>
      <c r="G108" s="25"/>
      <c r="J108" s="27"/>
      <c r="K108" s="27"/>
      <c r="L108" s="27"/>
      <c r="O108" s="27"/>
      <c r="R108" s="27"/>
      <c r="S108" s="27"/>
      <c r="T108" s="27"/>
      <c r="U108" s="13"/>
      <c r="V108" s="18"/>
      <c r="X108" s="26"/>
    </row>
    <row r="109" spans="1:25" s="31" customFormat="1" x14ac:dyDescent="0.35">
      <c r="B109" s="28"/>
      <c r="F109" s="25"/>
      <c r="G109" s="25"/>
      <c r="J109" s="27"/>
      <c r="K109" s="27"/>
      <c r="L109" s="27"/>
      <c r="O109" s="27"/>
      <c r="R109" s="26"/>
      <c r="S109" s="26"/>
      <c r="T109" s="26"/>
      <c r="U109" s="13"/>
      <c r="V109" s="18"/>
      <c r="X109" s="26"/>
    </row>
    <row r="110" spans="1:25" s="31" customFormat="1" x14ac:dyDescent="0.35">
      <c r="F110" s="25"/>
      <c r="G110" s="25"/>
    </row>
    <row r="111" spans="1:25" s="31" customFormat="1" x14ac:dyDescent="0.35">
      <c r="F111" s="25"/>
      <c r="G111" s="25"/>
    </row>
    <row r="112" spans="1:25" s="31" customFormat="1" x14ac:dyDescent="0.35">
      <c r="F112" s="25"/>
      <c r="G112" s="25"/>
    </row>
    <row r="113" spans="1:10" s="31" customFormat="1" x14ac:dyDescent="0.35"/>
    <row r="114" spans="1:10" s="31" customFormat="1" x14ac:dyDescent="0.35"/>
    <row r="115" spans="1:10" s="31" customFormat="1" x14ac:dyDescent="0.35"/>
    <row r="116" spans="1:10" s="31" customFormat="1" x14ac:dyDescent="0.35"/>
    <row r="117" spans="1:10" s="31" customFormat="1" x14ac:dyDescent="0.35"/>
    <row r="118" spans="1:10" s="31" customFormat="1" x14ac:dyDescent="0.35"/>
    <row r="119" spans="1:10" s="31" customFormat="1" x14ac:dyDescent="0.35">
      <c r="A119" s="28"/>
      <c r="E119" s="28"/>
      <c r="J119" s="28"/>
    </row>
    <row r="120" spans="1:10" s="31" customFormat="1" x14ac:dyDescent="0.35">
      <c r="A120" s="28"/>
      <c r="E120" s="28"/>
    </row>
    <row r="121" spans="1:10" s="31" customFormat="1" x14ac:dyDescent="0.35">
      <c r="A121" s="28"/>
      <c r="E121" s="28"/>
      <c r="J121" s="28"/>
    </row>
    <row r="122" spans="1:10" s="31" customFormat="1" x14ac:dyDescent="0.35">
      <c r="A122" s="28"/>
      <c r="E122" s="28"/>
      <c r="J122" s="28"/>
    </row>
    <row r="123" spans="1:10" s="31" customFormat="1" x14ac:dyDescent="0.35">
      <c r="A123" s="28"/>
      <c r="E123" s="28"/>
      <c r="J123" s="28"/>
    </row>
    <row r="124" spans="1:10" s="31" customFormat="1" x14ac:dyDescent="0.35">
      <c r="A124" s="28"/>
      <c r="E124" s="28"/>
      <c r="J124" s="28"/>
    </row>
    <row r="125" spans="1:10" s="31" customFormat="1" x14ac:dyDescent="0.35">
      <c r="A125" s="28"/>
      <c r="E125" s="28"/>
      <c r="J125" s="28"/>
    </row>
    <row r="126" spans="1:10" s="31" customFormat="1" x14ac:dyDescent="0.35">
      <c r="A126" s="28"/>
      <c r="E126" s="28"/>
      <c r="J126" s="28"/>
    </row>
    <row r="127" spans="1:10" s="31" customFormat="1" x14ac:dyDescent="0.35">
      <c r="A127" s="28"/>
      <c r="E127" s="28"/>
      <c r="J127" s="28"/>
    </row>
    <row r="128" spans="1:10" s="31" customFormat="1" x14ac:dyDescent="0.35">
      <c r="A128" s="28"/>
      <c r="E128" s="28"/>
      <c r="J128" s="28"/>
    </row>
    <row r="129" spans="1:41" s="31" customFormat="1" x14ac:dyDescent="0.35">
      <c r="A129" s="28"/>
      <c r="E129" s="28"/>
      <c r="J129" s="28"/>
    </row>
    <row r="130" spans="1:41" s="31" customFormat="1" x14ac:dyDescent="0.35">
      <c r="A130" s="28"/>
      <c r="E130" s="28"/>
      <c r="J130" s="28"/>
    </row>
    <row r="131" spans="1:41" s="31" customFormat="1" x14ac:dyDescent="0.35">
      <c r="A131" s="28"/>
      <c r="E131" s="28"/>
      <c r="J131" s="28"/>
    </row>
    <row r="132" spans="1:41" s="31" customFormat="1" x14ac:dyDescent="0.35">
      <c r="A132" s="28"/>
      <c r="F132" s="25"/>
      <c r="G132" s="25"/>
    </row>
    <row r="133" spans="1:41" s="31" customFormat="1" x14ac:dyDescent="0.35">
      <c r="A133" s="28"/>
      <c r="F133" s="25"/>
      <c r="G133" s="25"/>
    </row>
    <row r="134" spans="1:41" s="31" customFormat="1" x14ac:dyDescent="0.35">
      <c r="A134" s="22"/>
      <c r="F134" s="25"/>
      <c r="G134" s="25"/>
    </row>
    <row r="135" spans="1:41" s="31" customFormat="1" x14ac:dyDescent="0.35"/>
    <row r="136" spans="1:41" x14ac:dyDescent="0.35"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</row>
    <row r="137" spans="1:41" x14ac:dyDescent="0.35"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</row>
    <row r="138" spans="1:41" x14ac:dyDescent="0.35"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</row>
    <row r="139" spans="1:41" x14ac:dyDescent="0.35"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</row>
    <row r="140" spans="1:41" x14ac:dyDescent="0.35"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</row>
    <row r="141" spans="1:41" x14ac:dyDescent="0.35"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</row>
    <row r="142" spans="1:41" x14ac:dyDescent="0.35"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</row>
    <row r="143" spans="1:41" x14ac:dyDescent="0.35"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</row>
    <row r="144" spans="1:41" x14ac:dyDescent="0.35"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O144"/>
  <sheetViews>
    <sheetView zoomScaleNormal="100" workbookViewId="0">
      <pane ySplit="11" topLeftCell="A12" activePane="bottomLeft" state="frozen"/>
      <selection pane="bottomLeft" activeCell="A9" sqref="A9"/>
    </sheetView>
  </sheetViews>
  <sheetFormatPr defaultColWidth="9.1796875" defaultRowHeight="14.5" x14ac:dyDescent="0.35"/>
  <cols>
    <col min="1" max="1" width="9.7265625" style="43" bestFit="1" customWidth="1"/>
    <col min="2" max="2" width="10.54296875" style="43" bestFit="1" customWidth="1"/>
    <col min="3" max="7" width="9.1796875" style="43"/>
    <col min="8" max="8" width="5.54296875" style="43" bestFit="1" customWidth="1"/>
    <col min="9" max="9" width="17.1796875" style="43" bestFit="1" customWidth="1"/>
    <col min="10" max="10" width="16.7265625" style="43" bestFit="1" customWidth="1"/>
    <col min="11" max="11" width="6.7265625" style="43" bestFit="1" customWidth="1"/>
    <col min="12" max="14" width="7.26953125" style="43" bestFit="1" customWidth="1"/>
    <col min="15" max="15" width="6.81640625" style="43" bestFit="1" customWidth="1"/>
    <col min="16" max="18" width="7.26953125" style="43" bestFit="1" customWidth="1"/>
    <col min="19" max="19" width="7.26953125" style="68" customWidth="1"/>
    <col min="20" max="20" width="7.26953125" style="68" bestFit="1" customWidth="1"/>
    <col min="21" max="21" width="7.26953125" style="43" customWidth="1"/>
    <col min="22" max="26" width="7.26953125" style="43" bestFit="1" customWidth="1"/>
    <col min="27" max="27" width="11.453125" style="43" customWidth="1"/>
    <col min="28" max="28" width="7.1796875" style="68" bestFit="1" customWidth="1"/>
    <col min="29" max="29" width="7.54296875" style="68" bestFit="1" customWidth="1"/>
    <col min="30" max="30" width="14.54296875" style="43" bestFit="1" customWidth="1"/>
    <col min="31" max="31" width="11.7265625" style="43" bestFit="1" customWidth="1"/>
    <col min="32" max="32" width="12.26953125" style="43" customWidth="1"/>
    <col min="33" max="16384" width="9.1796875" style="43"/>
  </cols>
  <sheetData>
    <row r="1" spans="1:41" s="31" customFormat="1" x14ac:dyDescent="0.35">
      <c r="A1" s="31" t="s">
        <v>46</v>
      </c>
      <c r="F1" s="25"/>
      <c r="G1" s="25"/>
    </row>
    <row r="2" spans="1:41" x14ac:dyDescent="0.35">
      <c r="F2" s="25"/>
      <c r="G2" s="25"/>
      <c r="H2" s="31"/>
      <c r="N2" s="31"/>
    </row>
    <row r="3" spans="1:41" x14ac:dyDescent="0.35">
      <c r="A3" s="43" t="s">
        <v>8</v>
      </c>
      <c r="F3" s="2"/>
      <c r="G3" s="2"/>
      <c r="N3" s="31"/>
    </row>
    <row r="4" spans="1:41" s="31" customFormat="1" x14ac:dyDescent="0.35">
      <c r="A4" s="31" t="s">
        <v>74</v>
      </c>
      <c r="F4" s="25"/>
      <c r="G4" s="25"/>
    </row>
    <row r="5" spans="1:41" x14ac:dyDescent="0.35">
      <c r="A5" s="9" t="s">
        <v>78</v>
      </c>
      <c r="F5" s="2"/>
      <c r="G5" s="2"/>
      <c r="N5" s="31"/>
    </row>
    <row r="6" spans="1:41" s="203" customFormat="1" x14ac:dyDescent="0.35">
      <c r="A6" s="26" t="s">
        <v>358</v>
      </c>
      <c r="F6" s="163"/>
      <c r="G6" s="163"/>
      <c r="N6" s="202"/>
    </row>
    <row r="7" spans="1:41" x14ac:dyDescent="0.35">
      <c r="F7" s="2"/>
      <c r="G7" s="2"/>
      <c r="N7" s="31"/>
    </row>
    <row r="8" spans="1:41" s="31" customFormat="1" x14ac:dyDescent="0.35">
      <c r="A8" s="31" t="s">
        <v>368</v>
      </c>
      <c r="F8" s="25"/>
      <c r="G8" s="25"/>
      <c r="AF8" s="26" t="s">
        <v>170</v>
      </c>
    </row>
    <row r="9" spans="1:41" x14ac:dyDescent="0.35">
      <c r="F9" s="2"/>
      <c r="G9" s="2"/>
      <c r="N9" s="31"/>
    </row>
    <row r="10" spans="1:41" x14ac:dyDescent="0.35">
      <c r="A10" s="43" t="s">
        <v>9</v>
      </c>
      <c r="B10" s="43" t="s">
        <v>10</v>
      </c>
      <c r="C10" s="43" t="s">
        <v>11</v>
      </c>
      <c r="D10" s="43" t="s">
        <v>7</v>
      </c>
      <c r="E10" s="43" t="s">
        <v>12</v>
      </c>
      <c r="F10" s="2" t="s">
        <v>13</v>
      </c>
      <c r="G10" s="2" t="s">
        <v>82</v>
      </c>
      <c r="H10" s="43" t="s">
        <v>14</v>
      </c>
      <c r="I10" s="43" t="s">
        <v>15</v>
      </c>
      <c r="J10" s="43" t="s">
        <v>16</v>
      </c>
      <c r="K10" s="43" t="s">
        <v>3</v>
      </c>
      <c r="L10" s="43" t="s">
        <v>31</v>
      </c>
      <c r="M10" s="43" t="s">
        <v>30</v>
      </c>
      <c r="N10" s="43" t="s">
        <v>18</v>
      </c>
      <c r="O10" s="43" t="s">
        <v>17</v>
      </c>
      <c r="P10" s="43" t="s">
        <v>20</v>
      </c>
      <c r="Q10" s="43" t="s">
        <v>19</v>
      </c>
      <c r="R10" s="43" t="s">
        <v>21</v>
      </c>
      <c r="S10" s="68" t="s">
        <v>47</v>
      </c>
      <c r="T10" s="68" t="s">
        <v>24</v>
      </c>
      <c r="U10" s="43" t="s">
        <v>48</v>
      </c>
      <c r="V10" s="43" t="s">
        <v>4</v>
      </c>
      <c r="W10" s="43" t="s">
        <v>22</v>
      </c>
      <c r="X10" s="43" t="s">
        <v>23</v>
      </c>
      <c r="Y10" s="43" t="s">
        <v>25</v>
      </c>
      <c r="Z10" s="43" t="s">
        <v>49</v>
      </c>
      <c r="AA10" s="43" t="s">
        <v>26</v>
      </c>
      <c r="AB10" s="68" t="s">
        <v>123</v>
      </c>
      <c r="AC10" s="68" t="s">
        <v>124</v>
      </c>
      <c r="AD10" s="68" t="s">
        <v>27</v>
      </c>
      <c r="AF10" s="94" t="s">
        <v>171</v>
      </c>
      <c r="AG10" s="94" t="s">
        <v>172</v>
      </c>
      <c r="AH10" s="94" t="s">
        <v>173</v>
      </c>
      <c r="AI10" s="94" t="s">
        <v>174</v>
      </c>
      <c r="AJ10" s="94" t="s">
        <v>175</v>
      </c>
      <c r="AK10" s="94" t="s">
        <v>176</v>
      </c>
      <c r="AL10" s="94" t="s">
        <v>177</v>
      </c>
      <c r="AM10" s="94" t="s">
        <v>178</v>
      </c>
      <c r="AN10" s="94" t="s">
        <v>179</v>
      </c>
      <c r="AO10" s="94" t="s">
        <v>180</v>
      </c>
    </row>
    <row r="11" spans="1:41" x14ac:dyDescent="0.35">
      <c r="D11" s="43" t="s">
        <v>6</v>
      </c>
      <c r="E11" s="43" t="s">
        <v>6</v>
      </c>
      <c r="F11" s="2"/>
      <c r="G11" s="2"/>
      <c r="I11" s="203" t="s">
        <v>357</v>
      </c>
      <c r="J11" s="43" t="s">
        <v>28</v>
      </c>
      <c r="K11" s="27" t="s">
        <v>352</v>
      </c>
      <c r="L11" s="43" t="s">
        <v>5</v>
      </c>
      <c r="M11" s="43" t="s">
        <v>5</v>
      </c>
      <c r="N11" s="43" t="s">
        <v>5</v>
      </c>
      <c r="O11" s="43" t="s">
        <v>5</v>
      </c>
      <c r="P11" s="43" t="s">
        <v>5</v>
      </c>
      <c r="Q11" s="43" t="s">
        <v>5</v>
      </c>
      <c r="R11" s="43" t="s">
        <v>5</v>
      </c>
      <c r="S11" s="68" t="s">
        <v>5</v>
      </c>
      <c r="T11" s="68" t="s">
        <v>5</v>
      </c>
      <c r="U11" s="43" t="s">
        <v>5</v>
      </c>
      <c r="V11" s="43" t="s">
        <v>5</v>
      </c>
      <c r="W11" s="43" t="s">
        <v>5</v>
      </c>
      <c r="X11" s="43" t="s">
        <v>5</v>
      </c>
      <c r="Y11" s="43" t="s">
        <v>5</v>
      </c>
      <c r="Z11" s="43" t="s">
        <v>5</v>
      </c>
      <c r="AD11" s="68"/>
      <c r="AF11" s="94"/>
      <c r="AG11" s="94"/>
      <c r="AH11" s="94"/>
      <c r="AI11" s="94"/>
      <c r="AJ11" s="94"/>
      <c r="AK11" s="94"/>
      <c r="AL11" s="94"/>
      <c r="AM11" s="94"/>
      <c r="AN11" s="94"/>
      <c r="AO11" s="94"/>
    </row>
    <row r="12" spans="1:41" x14ac:dyDescent="0.35">
      <c r="F12" s="2"/>
      <c r="G12" s="2"/>
      <c r="N12" s="31"/>
      <c r="AD12" s="68"/>
      <c r="AF12" s="94"/>
      <c r="AG12" s="94"/>
      <c r="AH12" s="94"/>
      <c r="AI12" s="94"/>
      <c r="AJ12" s="94"/>
      <c r="AK12" s="94"/>
      <c r="AL12" s="94"/>
      <c r="AM12" s="94"/>
      <c r="AN12" s="94"/>
      <c r="AO12" s="94"/>
    </row>
    <row r="13" spans="1:41" x14ac:dyDescent="0.35">
      <c r="A13" s="43" t="s">
        <v>57</v>
      </c>
      <c r="F13" s="2"/>
      <c r="G13" s="2"/>
      <c r="H13" s="25">
        <f>AVERAGE(B69:B75)</f>
        <v>7.2142857142857135</v>
      </c>
      <c r="I13" s="165">
        <f>'Influent Results Master'!D35</f>
        <v>2012</v>
      </c>
      <c r="J13" s="165">
        <f>'Influent Results Master'!F35</f>
        <v>293.88888888888891</v>
      </c>
      <c r="K13" s="165">
        <f>'Influent Results Master'!G35</f>
        <v>661.22222222222217</v>
      </c>
      <c r="L13" s="165">
        <f>'Influent Results Master'!H35</f>
        <v>53.44444444444445</v>
      </c>
      <c r="M13" s="167">
        <f>'Influent Results Master'!I35</f>
        <v>3.3333333333333335</v>
      </c>
      <c r="N13" s="165">
        <f>'Influent Results Master'!J35</f>
        <v>800.8888888888888</v>
      </c>
      <c r="O13" s="165">
        <f>'Influent Results Master'!K35</f>
        <v>26.555555555555557</v>
      </c>
      <c r="P13" s="165">
        <f>'Influent Results Master'!L35</f>
        <v>183.55555555555557</v>
      </c>
      <c r="Q13" s="165">
        <f>'Influent Results Master'!M35</f>
        <v>35.531111111111109</v>
      </c>
      <c r="R13" s="165">
        <f>'Influent Results Master'!N35</f>
        <v>315.04444444444442</v>
      </c>
      <c r="S13" s="165">
        <f>'Influent Results Master'!O35</f>
        <v>16.411111111111111</v>
      </c>
      <c r="T13" s="170">
        <f>'Influent Results Master'!P35</f>
        <v>7.6787777777777784</v>
      </c>
      <c r="U13" s="171">
        <f>'Influent Results Master'!Q35</f>
        <v>0.20000000000000004</v>
      </c>
      <c r="V13" s="163">
        <f>'Influent Results Master'!R35</f>
        <v>0.44400000000000001</v>
      </c>
      <c r="W13" s="30">
        <f>'Influent Results Master'!S35</f>
        <v>8.1000000000000003E-2</v>
      </c>
      <c r="X13" s="170">
        <f>'Influent Results Master'!T35</f>
        <v>0.99611111111111106</v>
      </c>
      <c r="Y13" s="30">
        <f>'Influent Results Master'!U35</f>
        <v>9.8999999999999991E-2</v>
      </c>
      <c r="Z13" s="170">
        <f>'Influent Results Master'!V35</f>
        <v>1.699888888888889</v>
      </c>
      <c r="AB13" s="69">
        <f>((J13/50)+(L13/35.45)+(M13/62)+(N13/48.03))</f>
        <v>24.113905366209003</v>
      </c>
      <c r="AC13" s="69">
        <f>((P13/20.04)+(Q13/12.16)+(R13/22.99)+(T13/39.1))</f>
        <v>25.98135601585059</v>
      </c>
      <c r="AD13" s="69">
        <f>ABS((AB13-AC13)/(AB13+AC13)*100)</f>
        <v>3.7277989935997597</v>
      </c>
      <c r="AF13" s="94">
        <v>7.21</v>
      </c>
      <c r="AG13" s="94">
        <v>5.8131399999999998</v>
      </c>
      <c r="AH13" s="94">
        <v>0.1613</v>
      </c>
      <c r="AI13" s="94">
        <v>-0.65810000000000002</v>
      </c>
      <c r="AJ13" s="94">
        <v>-0.90759999999999996</v>
      </c>
      <c r="AK13" s="94">
        <v>-1.7970999999999999</v>
      </c>
      <c r="AL13" s="94">
        <v>-0.55940000000000001</v>
      </c>
      <c r="AM13" s="94">
        <v>-0.15959999999999999</v>
      </c>
      <c r="AN13" s="94">
        <v>-0.45879999999999999</v>
      </c>
      <c r="AO13" s="94">
        <v>-1.3207</v>
      </c>
    </row>
    <row r="14" spans="1:41" s="57" customFormat="1" x14ac:dyDescent="0.35">
      <c r="F14" s="58"/>
      <c r="G14" s="58"/>
      <c r="M14" s="59"/>
      <c r="N14" s="27"/>
      <c r="O14" s="59"/>
      <c r="P14" s="59"/>
      <c r="Q14" s="59"/>
      <c r="R14" s="61"/>
      <c r="S14" s="67"/>
      <c r="T14" s="67"/>
      <c r="U14" s="61"/>
      <c r="V14" s="59"/>
      <c r="W14" s="60"/>
      <c r="X14" s="61"/>
      <c r="Y14" s="59"/>
      <c r="AB14" s="69"/>
      <c r="AC14" s="69"/>
      <c r="AD14" s="69"/>
      <c r="AF14" s="94"/>
      <c r="AG14" s="94"/>
      <c r="AH14" s="94"/>
      <c r="AI14" s="94"/>
      <c r="AJ14" s="94"/>
      <c r="AK14" s="94"/>
      <c r="AL14" s="94"/>
      <c r="AM14" s="94"/>
      <c r="AN14" s="94"/>
      <c r="AO14" s="94"/>
    </row>
    <row r="15" spans="1:41" x14ac:dyDescent="0.35">
      <c r="A15" s="43">
        <v>5</v>
      </c>
      <c r="B15" s="10">
        <v>43481</v>
      </c>
      <c r="C15" s="43">
        <v>1</v>
      </c>
      <c r="D15" s="43">
        <v>137</v>
      </c>
      <c r="E15" s="43">
        <v>137</v>
      </c>
      <c r="F15" s="2">
        <f>D15/133</f>
        <v>1.0300751879699248</v>
      </c>
      <c r="G15" s="2">
        <v>1.03</v>
      </c>
      <c r="H15" s="43">
        <v>7.72</v>
      </c>
      <c r="I15" s="43">
        <v>4330</v>
      </c>
      <c r="J15" s="43">
        <v>279</v>
      </c>
      <c r="K15" s="43">
        <v>837</v>
      </c>
      <c r="L15" s="43">
        <v>102</v>
      </c>
      <c r="M15" s="65">
        <v>8.6</v>
      </c>
      <c r="N15" s="31">
        <v>2472</v>
      </c>
      <c r="O15" s="43">
        <v>97</v>
      </c>
      <c r="P15" s="21">
        <v>473</v>
      </c>
      <c r="Q15" s="21">
        <v>157.19999999999999</v>
      </c>
      <c r="R15" s="21">
        <v>594</v>
      </c>
      <c r="S15" s="175">
        <v>22.44</v>
      </c>
      <c r="T15" s="21">
        <v>17.440000000000001</v>
      </c>
      <c r="U15" s="18">
        <v>1.381</v>
      </c>
      <c r="V15" s="18">
        <v>1.7470000000000001</v>
      </c>
      <c r="W15" s="27">
        <v>2.5999999999999999E-2</v>
      </c>
      <c r="X15" s="18">
        <v>3.4129999999999998</v>
      </c>
      <c r="Y15" s="81">
        <v>0.04</v>
      </c>
      <c r="Z15" s="21">
        <v>11.88</v>
      </c>
      <c r="AB15" s="69">
        <f t="shared" ref="AB15:AB21" si="0">((J15/50)+(L15/35.45)+(M15/62)+(N15/48.03))</f>
        <v>60.06383424254922</v>
      </c>
      <c r="AC15" s="69">
        <f t="shared" ref="AC15:AC61" si="1">((P15/20.04)+(Q15/12.16)+(R15/22.99)+(T15/39.1))</f>
        <v>62.813782369914293</v>
      </c>
      <c r="AD15" s="69">
        <f t="shared" ref="AD15:AD61" si="2">ABS((AB15-AC15)/(AB15+AC15)*100)</f>
        <v>2.2379569226492833</v>
      </c>
      <c r="AF15" s="94">
        <v>7.72</v>
      </c>
      <c r="AG15" s="94">
        <v>4.6229800000000001</v>
      </c>
      <c r="AH15" s="94">
        <v>0.83809999999999996</v>
      </c>
      <c r="AI15" s="94">
        <v>-8.2799999999999999E-2</v>
      </c>
      <c r="AJ15" s="94">
        <v>-0.33179999999999998</v>
      </c>
      <c r="AK15" s="94">
        <v>-2.3828</v>
      </c>
      <c r="AL15" s="94">
        <v>1.0361</v>
      </c>
      <c r="AM15" s="94">
        <v>0.58550000000000002</v>
      </c>
      <c r="AN15" s="94">
        <v>0.26729999999999998</v>
      </c>
      <c r="AO15" s="94">
        <v>-0.40210000000000001</v>
      </c>
    </row>
    <row r="16" spans="1:41" x14ac:dyDescent="0.35">
      <c r="A16" s="43">
        <v>5</v>
      </c>
      <c r="B16" s="10">
        <v>43482</v>
      </c>
      <c r="C16" s="31">
        <v>2</v>
      </c>
      <c r="D16" s="31">
        <v>133</v>
      </c>
      <c r="E16" s="31">
        <f>E15+D16</f>
        <v>270</v>
      </c>
      <c r="F16" s="2">
        <f t="shared" ref="F16:F20" si="3">D16/133</f>
        <v>1</v>
      </c>
      <c r="G16" s="25">
        <f>G15+F16</f>
        <v>2.0300000000000002</v>
      </c>
      <c r="H16" s="25">
        <v>7.49</v>
      </c>
      <c r="I16" s="31">
        <v>2540</v>
      </c>
      <c r="J16" s="31">
        <v>322</v>
      </c>
      <c r="K16" s="31">
        <v>752</v>
      </c>
      <c r="L16" s="31">
        <v>68</v>
      </c>
      <c r="M16" s="26">
        <v>2.5</v>
      </c>
      <c r="N16" s="31">
        <v>1096</v>
      </c>
      <c r="O16" s="31">
        <v>37</v>
      </c>
      <c r="P16" s="21">
        <v>263</v>
      </c>
      <c r="Q16" s="21">
        <v>70.33</v>
      </c>
      <c r="R16" s="21">
        <v>306.89999999999998</v>
      </c>
      <c r="S16" s="21">
        <v>23.26</v>
      </c>
      <c r="T16" s="21">
        <v>20.82</v>
      </c>
      <c r="U16" s="11">
        <v>0.36299999999999999</v>
      </c>
      <c r="V16" s="18">
        <v>1.4830000000000001</v>
      </c>
      <c r="W16" s="81">
        <v>0.02</v>
      </c>
      <c r="X16" s="18">
        <v>1.845</v>
      </c>
      <c r="Y16" s="81">
        <v>0.04</v>
      </c>
      <c r="Z16" s="18">
        <v>6.1369999999999996</v>
      </c>
      <c r="AB16" s="69">
        <f t="shared" si="0"/>
        <v>31.217588634683437</v>
      </c>
      <c r="AC16" s="69">
        <f t="shared" si="1"/>
        <v>32.78923271533818</v>
      </c>
      <c r="AD16" s="69">
        <f t="shared" si="2"/>
        <v>2.4554321672376123</v>
      </c>
      <c r="AF16" s="94">
        <v>7.49</v>
      </c>
      <c r="AG16" s="94">
        <v>5.7712599999999998</v>
      </c>
      <c r="AH16" s="94">
        <v>0.58340000000000003</v>
      </c>
      <c r="AI16" s="94">
        <v>-0.45710000000000001</v>
      </c>
      <c r="AJ16" s="94">
        <v>-0.70660000000000001</v>
      </c>
      <c r="AK16" s="94">
        <v>-2.0554999999999999</v>
      </c>
      <c r="AL16" s="94">
        <v>0.4254</v>
      </c>
      <c r="AM16" s="94">
        <v>0.35449999999999998</v>
      </c>
      <c r="AN16" s="94">
        <v>-2.2100000000000002E-2</v>
      </c>
      <c r="AO16" s="94">
        <v>-0.75800000000000001</v>
      </c>
    </row>
    <row r="17" spans="1:41" x14ac:dyDescent="0.35">
      <c r="A17" s="43">
        <v>5</v>
      </c>
      <c r="B17" s="10">
        <v>43483</v>
      </c>
      <c r="C17" s="43">
        <v>3</v>
      </c>
      <c r="D17" s="43">
        <v>131</v>
      </c>
      <c r="E17" s="31">
        <f t="shared" ref="E17:E20" si="4">E16+D17</f>
        <v>401</v>
      </c>
      <c r="F17" s="2">
        <f t="shared" si="3"/>
        <v>0.98496240601503759</v>
      </c>
      <c r="G17" s="25">
        <f t="shared" ref="G17:G20" si="5">G16+F17</f>
        <v>3.0149624060150377</v>
      </c>
      <c r="H17" s="43">
        <v>7.53</v>
      </c>
      <c r="I17" s="43">
        <v>2250</v>
      </c>
      <c r="J17" s="43">
        <v>295</v>
      </c>
      <c r="K17" s="27">
        <v>626</v>
      </c>
      <c r="L17" s="27">
        <v>57</v>
      </c>
      <c r="M17" s="26">
        <v>2.5</v>
      </c>
      <c r="N17" s="31">
        <v>1027</v>
      </c>
      <c r="O17" s="43">
        <v>32</v>
      </c>
      <c r="P17" s="175">
        <v>200.2</v>
      </c>
      <c r="Q17" s="175">
        <v>50.8</v>
      </c>
      <c r="R17" s="21">
        <v>295.89999999999998</v>
      </c>
      <c r="S17" s="21">
        <v>23.38</v>
      </c>
      <c r="T17" s="21">
        <v>18.010000000000002</v>
      </c>
      <c r="U17" s="11">
        <v>0.34899999999999998</v>
      </c>
      <c r="V17" s="18">
        <v>1.5569999999999999</v>
      </c>
      <c r="W17" s="81">
        <v>0.02</v>
      </c>
      <c r="X17" s="18">
        <v>1.5940000000000001</v>
      </c>
      <c r="Y17" s="81">
        <v>0.04</v>
      </c>
      <c r="Z17" s="18">
        <v>5.2320000000000002</v>
      </c>
      <c r="AB17" s="69">
        <f t="shared" si="0"/>
        <v>28.930690319191271</v>
      </c>
      <c r="AC17" s="69">
        <f t="shared" si="1"/>
        <v>27.499078746898082</v>
      </c>
      <c r="AD17" s="69">
        <f t="shared" si="2"/>
        <v>2.5369793213516716</v>
      </c>
      <c r="AF17" s="94">
        <v>7.53</v>
      </c>
      <c r="AG17" s="94">
        <v>-0.47014899999999998</v>
      </c>
      <c r="AH17" s="94">
        <v>0.4824</v>
      </c>
      <c r="AI17" s="94">
        <v>-0.56110000000000004</v>
      </c>
      <c r="AJ17" s="94">
        <v>-0.81059999999999999</v>
      </c>
      <c r="AK17" s="94">
        <v>-2.1252</v>
      </c>
      <c r="AL17" s="94">
        <v>0.20130000000000001</v>
      </c>
      <c r="AM17" s="94">
        <v>0.315</v>
      </c>
      <c r="AN17" s="94">
        <v>0.1804</v>
      </c>
      <c r="AO17" s="94">
        <v>-0.88109999999999999</v>
      </c>
    </row>
    <row r="18" spans="1:41" x14ac:dyDescent="0.35">
      <c r="A18" s="43">
        <v>5</v>
      </c>
      <c r="B18" s="10">
        <v>43484</v>
      </c>
      <c r="C18" s="43">
        <v>4</v>
      </c>
      <c r="D18" s="43">
        <v>131</v>
      </c>
      <c r="E18" s="31">
        <f t="shared" si="4"/>
        <v>532</v>
      </c>
      <c r="F18" s="2">
        <f t="shared" si="3"/>
        <v>0.98496240601503759</v>
      </c>
      <c r="G18" s="25">
        <f t="shared" si="5"/>
        <v>3.9999248120300752</v>
      </c>
      <c r="H18" s="43">
        <v>7.65</v>
      </c>
      <c r="I18" s="43">
        <v>2080</v>
      </c>
      <c r="J18" s="43">
        <v>353</v>
      </c>
      <c r="K18" s="27">
        <v>619</v>
      </c>
      <c r="L18" s="27">
        <v>58</v>
      </c>
      <c r="M18" s="26">
        <v>2.5</v>
      </c>
      <c r="N18" s="31">
        <v>979</v>
      </c>
      <c r="O18" s="43">
        <v>30</v>
      </c>
      <c r="P18" s="175">
        <v>181.9</v>
      </c>
      <c r="Q18" s="175">
        <v>45.92</v>
      </c>
      <c r="R18" s="21">
        <v>302.10000000000002</v>
      </c>
      <c r="S18" s="21">
        <v>22.96</v>
      </c>
      <c r="T18" s="21">
        <v>17.37</v>
      </c>
      <c r="U18" s="11">
        <v>0.35</v>
      </c>
      <c r="V18" s="18">
        <v>1.4590000000000001</v>
      </c>
      <c r="W18" s="81">
        <v>0.02</v>
      </c>
      <c r="X18" s="18">
        <v>1.4850000000000001</v>
      </c>
      <c r="Y18" s="81">
        <v>0.04</v>
      </c>
      <c r="Z18" s="18">
        <v>4.7629999999999999</v>
      </c>
      <c r="AB18" s="69">
        <f t="shared" si="0"/>
        <v>29.119523673521115</v>
      </c>
      <c r="AC18" s="69">
        <f t="shared" si="1"/>
        <v>26.437903488924185</v>
      </c>
      <c r="AD18" s="69">
        <f t="shared" si="2"/>
        <v>4.8267537241350214</v>
      </c>
      <c r="AF18" s="94">
        <v>7.65</v>
      </c>
      <c r="AG18" s="94">
        <v>-2.7545899999999999</v>
      </c>
      <c r="AH18" s="94">
        <v>0.64139999999999997</v>
      </c>
      <c r="AI18" s="94">
        <v>-0.61199999999999999</v>
      </c>
      <c r="AJ18" s="94">
        <v>-0.86140000000000005</v>
      </c>
      <c r="AK18" s="94">
        <v>-2.1665999999999999</v>
      </c>
      <c r="AL18" s="94">
        <v>0.51800000000000002</v>
      </c>
      <c r="AM18" s="94">
        <v>0.48880000000000001</v>
      </c>
      <c r="AN18" s="94">
        <v>1.8499999999999999E-2</v>
      </c>
      <c r="AO18" s="94">
        <v>-0.72340000000000004</v>
      </c>
    </row>
    <row r="19" spans="1:41" x14ac:dyDescent="0.35">
      <c r="A19" s="43">
        <v>5</v>
      </c>
      <c r="B19" s="10">
        <v>43485</v>
      </c>
      <c r="C19" s="43">
        <v>5</v>
      </c>
      <c r="D19" s="43">
        <v>139</v>
      </c>
      <c r="E19" s="31">
        <f t="shared" si="4"/>
        <v>671</v>
      </c>
      <c r="F19" s="2">
        <f t="shared" si="3"/>
        <v>1.0451127819548873</v>
      </c>
      <c r="G19" s="25">
        <f t="shared" si="5"/>
        <v>5.0450375939849623</v>
      </c>
      <c r="H19" s="43">
        <v>7.6</v>
      </c>
      <c r="I19" s="43">
        <v>2070</v>
      </c>
      <c r="J19" s="43">
        <v>296</v>
      </c>
      <c r="K19" s="27">
        <v>622</v>
      </c>
      <c r="L19" s="27">
        <v>58</v>
      </c>
      <c r="M19" s="26">
        <v>2.5</v>
      </c>
      <c r="N19" s="31">
        <v>957</v>
      </c>
      <c r="O19" s="43">
        <v>28</v>
      </c>
      <c r="P19" s="175">
        <v>174.9</v>
      </c>
      <c r="Q19" s="175">
        <v>44.61</v>
      </c>
      <c r="R19" s="21">
        <v>308.39999999999998</v>
      </c>
      <c r="S19" s="21">
        <v>23.08</v>
      </c>
      <c r="T19" s="21">
        <v>17.11</v>
      </c>
      <c r="U19" s="11">
        <v>0.317</v>
      </c>
      <c r="V19" s="18">
        <v>1.427</v>
      </c>
      <c r="W19" s="81">
        <v>0.02</v>
      </c>
      <c r="X19" s="18">
        <v>1.609</v>
      </c>
      <c r="Y19" s="81">
        <v>0.04</v>
      </c>
      <c r="Z19" s="18">
        <v>4.5970000000000004</v>
      </c>
      <c r="AB19" s="69">
        <f t="shared" si="0"/>
        <v>27.521476619596488</v>
      </c>
      <c r="AC19" s="69">
        <f t="shared" si="1"/>
        <v>26.248254400100201</v>
      </c>
      <c r="AD19" s="69">
        <f t="shared" si="2"/>
        <v>2.3679162892406609</v>
      </c>
      <c r="AF19" s="94">
        <v>7.6</v>
      </c>
      <c r="AG19" s="94">
        <v>-0.12597800000000001</v>
      </c>
      <c r="AH19" s="94">
        <v>0.50609999999999999</v>
      </c>
      <c r="AI19" s="94">
        <v>-0.62849999999999995</v>
      </c>
      <c r="AJ19" s="94">
        <v>-0.87790000000000001</v>
      </c>
      <c r="AK19" s="94">
        <v>-2.1913999999999998</v>
      </c>
      <c r="AL19" s="94">
        <v>0.25069999999999998</v>
      </c>
      <c r="AM19" s="94">
        <v>0.40500000000000003</v>
      </c>
      <c r="AN19" s="94">
        <v>-1.89E-2</v>
      </c>
      <c r="AO19" s="94">
        <v>-0.85540000000000005</v>
      </c>
    </row>
    <row r="20" spans="1:41" x14ac:dyDescent="0.35">
      <c r="A20" s="43">
        <v>5</v>
      </c>
      <c r="B20" s="10">
        <v>43486</v>
      </c>
      <c r="C20" s="43">
        <v>6</v>
      </c>
      <c r="D20" s="43">
        <v>140</v>
      </c>
      <c r="E20" s="31">
        <f t="shared" si="4"/>
        <v>811</v>
      </c>
      <c r="F20" s="2">
        <f t="shared" si="3"/>
        <v>1.0526315789473684</v>
      </c>
      <c r="G20" s="25">
        <f t="shared" si="5"/>
        <v>6.0976691729323305</v>
      </c>
      <c r="H20" s="43">
        <v>7.59</v>
      </c>
      <c r="I20" s="43">
        <v>2050</v>
      </c>
      <c r="J20" s="43">
        <v>292</v>
      </c>
      <c r="K20" s="27">
        <v>616</v>
      </c>
      <c r="L20" s="27">
        <v>57</v>
      </c>
      <c r="M20" s="26">
        <v>2.5</v>
      </c>
      <c r="N20" s="31">
        <v>953</v>
      </c>
      <c r="O20" s="43">
        <v>28</v>
      </c>
      <c r="P20" s="175">
        <v>173.6</v>
      </c>
      <c r="Q20" s="175">
        <v>43.6</v>
      </c>
      <c r="R20" s="21">
        <v>309.5</v>
      </c>
      <c r="S20" s="21">
        <v>22.62</v>
      </c>
      <c r="T20" s="21">
        <v>16.600000000000001</v>
      </c>
      <c r="U20" s="163">
        <v>0.307</v>
      </c>
      <c r="V20" s="170">
        <v>1.4039999999999999</v>
      </c>
      <c r="W20" s="43">
        <v>6.2E-2</v>
      </c>
      <c r="X20" s="170">
        <v>1.9850000000000001</v>
      </c>
      <c r="Y20" s="81">
        <v>0.04</v>
      </c>
      <c r="Z20" s="170">
        <v>4.6539999999999999</v>
      </c>
      <c r="AB20" s="69">
        <f t="shared" si="0"/>
        <v>27.329986592353873</v>
      </c>
      <c r="AC20" s="69">
        <f t="shared" si="1"/>
        <v>26.135128341784128</v>
      </c>
      <c r="AD20" s="69">
        <f t="shared" si="2"/>
        <v>2.2348371494976731</v>
      </c>
      <c r="AF20" s="94">
        <v>7.59</v>
      </c>
      <c r="AG20" s="94">
        <v>5.2538000000000001E-2</v>
      </c>
      <c r="AH20" s="94">
        <v>0.48809999999999998</v>
      </c>
      <c r="AI20" s="94">
        <v>-0.63160000000000005</v>
      </c>
      <c r="AJ20" s="94">
        <v>-0.88109999999999999</v>
      </c>
      <c r="AK20" s="94">
        <v>-2.1869999999999998</v>
      </c>
      <c r="AL20" s="94">
        <v>0.20799999999999999</v>
      </c>
      <c r="AM20" s="94">
        <v>0.48139999999999999</v>
      </c>
      <c r="AN20" s="94">
        <v>-1.9599999999999999E-2</v>
      </c>
      <c r="AO20" s="94">
        <v>-0.88019999999999998</v>
      </c>
    </row>
    <row r="21" spans="1:41" x14ac:dyDescent="0.35">
      <c r="A21" s="43">
        <v>5</v>
      </c>
      <c r="B21" s="10">
        <v>43487</v>
      </c>
      <c r="C21" s="43">
        <v>7</v>
      </c>
      <c r="D21" s="43">
        <v>138</v>
      </c>
      <c r="E21" s="31">
        <f>E20+D21</f>
        <v>949</v>
      </c>
      <c r="F21" s="2">
        <f>D21/133</f>
        <v>1.0375939849624061</v>
      </c>
      <c r="G21" s="25">
        <f>G20+F21</f>
        <v>7.1352631578947365</v>
      </c>
      <c r="H21" s="43">
        <v>7.65</v>
      </c>
      <c r="I21" s="43">
        <v>2030</v>
      </c>
      <c r="J21" s="43">
        <v>256</v>
      </c>
      <c r="K21" s="27">
        <v>589</v>
      </c>
      <c r="L21" s="43">
        <v>51</v>
      </c>
      <c r="M21" s="26">
        <v>2.5</v>
      </c>
      <c r="N21" s="43">
        <v>872</v>
      </c>
      <c r="O21" s="43">
        <v>26</v>
      </c>
      <c r="P21" s="175">
        <v>166.7</v>
      </c>
      <c r="Q21" s="175">
        <v>43.06</v>
      </c>
      <c r="R21" s="175">
        <v>306.60000000000002</v>
      </c>
      <c r="S21" s="175">
        <v>23.18</v>
      </c>
      <c r="T21" s="175">
        <v>16.28</v>
      </c>
      <c r="U21" s="163">
        <v>0.27800000000000002</v>
      </c>
      <c r="V21" s="170">
        <v>1.36</v>
      </c>
      <c r="W21" s="81">
        <v>0.02</v>
      </c>
      <c r="X21" s="170">
        <v>2.3580000000000001</v>
      </c>
      <c r="Y21" s="81">
        <v>0.04</v>
      </c>
      <c r="Z21" s="170">
        <v>4.4870000000000001</v>
      </c>
      <c r="AB21" s="69">
        <f t="shared" si="0"/>
        <v>24.754288152820752</v>
      </c>
      <c r="AC21" s="69">
        <f t="shared" si="1"/>
        <v>25.612083125796325</v>
      </c>
      <c r="AD21" s="69">
        <f t="shared" si="2"/>
        <v>1.703110530298908</v>
      </c>
      <c r="AF21" s="94">
        <v>7.65</v>
      </c>
      <c r="AG21" s="94">
        <v>4.6526399999999999</v>
      </c>
      <c r="AH21" s="94">
        <v>0.48959999999999998</v>
      </c>
      <c r="AI21" s="94">
        <v>-0.66710000000000003</v>
      </c>
      <c r="AJ21" s="94">
        <v>-0.91659999999999997</v>
      </c>
      <c r="AK21" s="94">
        <v>-2.3037000000000001</v>
      </c>
      <c r="AL21" s="94">
        <v>0.2215</v>
      </c>
      <c r="AM21" s="94">
        <v>0.57630000000000003</v>
      </c>
      <c r="AN21" s="94">
        <v>-2.8799999999999999E-2</v>
      </c>
      <c r="AO21" s="94">
        <v>-0.86819999999999997</v>
      </c>
    </row>
    <row r="22" spans="1:41" x14ac:dyDescent="0.35">
      <c r="B22" s="10"/>
      <c r="E22" s="31"/>
      <c r="F22" s="25"/>
      <c r="G22" s="25"/>
      <c r="K22" s="27"/>
      <c r="L22" s="27"/>
      <c r="N22" s="31"/>
      <c r="P22" s="68"/>
      <c r="Q22" s="68"/>
      <c r="R22" s="13"/>
      <c r="S22" s="13"/>
      <c r="T22" s="13"/>
      <c r="U22" s="11"/>
      <c r="V22" s="15"/>
      <c r="W22" s="70"/>
      <c r="X22" s="16"/>
      <c r="Y22" s="68"/>
      <c r="Z22" s="68"/>
      <c r="AB22" s="69"/>
      <c r="AC22" s="69"/>
      <c r="AD22" s="69"/>
      <c r="AF22" s="94"/>
      <c r="AG22" s="94"/>
      <c r="AH22" s="94"/>
      <c r="AI22" s="94"/>
      <c r="AJ22" s="94"/>
      <c r="AK22" s="94"/>
      <c r="AL22" s="94"/>
      <c r="AM22" s="94"/>
      <c r="AN22" s="94"/>
      <c r="AO22" s="94"/>
    </row>
    <row r="23" spans="1:41" x14ac:dyDescent="0.35">
      <c r="A23" s="43" t="s">
        <v>55</v>
      </c>
      <c r="F23" s="2"/>
      <c r="G23" s="2"/>
      <c r="H23" s="163">
        <f>AVERAGE(B76:B90)</f>
        <v>8.0540000000000003</v>
      </c>
      <c r="I23" s="165">
        <f>'Influent Results Master'!D37</f>
        <v>792.8888888888888</v>
      </c>
      <c r="J23" s="165">
        <f>'Influent Results Master'!F37</f>
        <v>161.7777777777778</v>
      </c>
      <c r="K23" s="170">
        <f>'Influent Results Master'!G37</f>
        <v>7.1555555555555559</v>
      </c>
      <c r="L23" s="165">
        <f>'Influent Results Master'!H37</f>
        <v>11.777777777777779</v>
      </c>
      <c r="M23" s="170">
        <f>'Influent Results Master'!I37</f>
        <v>4.7</v>
      </c>
      <c r="N23" s="165">
        <f>'Influent Results Master'!J37</f>
        <v>323.22222222222223</v>
      </c>
      <c r="O23" s="165">
        <f>'Influent Results Master'!K37</f>
        <v>17.333333333333332</v>
      </c>
      <c r="P23" s="165">
        <f>'Influent Results Master'!L37</f>
        <v>110.73333333333333</v>
      </c>
      <c r="Q23" s="165">
        <f>'Influent Results Master'!M37</f>
        <v>36.826666666666675</v>
      </c>
      <c r="R23" s="165">
        <f>'Influent Results Master'!N37</f>
        <v>60.793333333333329</v>
      </c>
      <c r="S23" s="165">
        <f>'Influent Results Master'!O37</f>
        <v>12.273333333333333</v>
      </c>
      <c r="T23" s="170">
        <f>'Influent Results Master'!P37</f>
        <v>3.2865555555555557</v>
      </c>
      <c r="U23" s="171">
        <f>'Influent Results Master'!Q37</f>
        <v>0.20000000000000004</v>
      </c>
      <c r="V23" s="177">
        <f>'Influent Results Master'!R37</f>
        <v>0.02</v>
      </c>
      <c r="W23" s="177">
        <f>'Influent Results Master'!S37</f>
        <v>0.02</v>
      </c>
      <c r="X23" s="176">
        <f>'Influent Results Master'!T37</f>
        <v>4.3000000000000003E-2</v>
      </c>
      <c r="Y23" s="177">
        <f>'Influent Results Master'!U37</f>
        <v>0.04</v>
      </c>
      <c r="Z23" s="170">
        <f>'Influent Results Master'!V37</f>
        <v>1.2584444444444445</v>
      </c>
      <c r="AB23" s="69">
        <f>((J23/50)+(L23/35.45)+(M23/62)+(N23/48.03))</f>
        <v>10.373188636120361</v>
      </c>
      <c r="AC23" s="69">
        <f t="shared" si="1"/>
        <v>11.282517455045328</v>
      </c>
      <c r="AD23" s="69">
        <f t="shared" si="2"/>
        <v>4.1990264140864122</v>
      </c>
      <c r="AF23" s="94">
        <v>8.0500000000000007</v>
      </c>
      <c r="AG23" s="94">
        <v>7.4688800000000004</v>
      </c>
      <c r="AH23" s="94">
        <v>0.65510000000000002</v>
      </c>
      <c r="AI23" s="94">
        <v>-1.0589999999999999</v>
      </c>
      <c r="AJ23" s="94">
        <v>-1.3088</v>
      </c>
      <c r="AK23" s="94">
        <v>-2.9049</v>
      </c>
      <c r="AL23" s="94">
        <v>0.65269999999999995</v>
      </c>
      <c r="AM23" s="94">
        <v>-0.80449999999999999</v>
      </c>
      <c r="AN23" s="94">
        <v>-1.8182</v>
      </c>
      <c r="AO23" s="94">
        <v>-0.60240000000000005</v>
      </c>
    </row>
    <row r="24" spans="1:41" s="68" customFormat="1" x14ac:dyDescent="0.35">
      <c r="F24" s="69"/>
      <c r="G24" s="69"/>
      <c r="M24" s="65"/>
      <c r="N24" s="27"/>
      <c r="O24" s="65"/>
      <c r="Q24" s="65"/>
      <c r="R24" s="67"/>
      <c r="S24" s="67"/>
      <c r="T24" s="67"/>
      <c r="U24" s="67"/>
      <c r="V24" s="65"/>
      <c r="W24" s="66"/>
      <c r="X24" s="67"/>
      <c r="Y24" s="65"/>
      <c r="AB24" s="69"/>
      <c r="AC24" s="69"/>
      <c r="AD24" s="69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x14ac:dyDescent="0.35">
      <c r="A25" s="43">
        <v>5</v>
      </c>
      <c r="B25" s="10">
        <v>43488</v>
      </c>
      <c r="C25" s="43">
        <v>8</v>
      </c>
      <c r="D25" s="43">
        <v>135</v>
      </c>
      <c r="E25" s="43">
        <f>D25+E21</f>
        <v>1084</v>
      </c>
      <c r="F25" s="69">
        <f>D25/133</f>
        <v>1.0150375939849625</v>
      </c>
      <c r="G25" s="69">
        <f>F25+G21</f>
        <v>8.1503007518796995</v>
      </c>
      <c r="H25" s="43">
        <v>7.89</v>
      </c>
      <c r="I25" s="43">
        <v>1275</v>
      </c>
      <c r="J25" s="43">
        <v>216</v>
      </c>
      <c r="K25" s="43">
        <v>312</v>
      </c>
      <c r="L25" s="27">
        <v>19</v>
      </c>
      <c r="M25" s="67">
        <v>2.5</v>
      </c>
      <c r="N25" s="31">
        <v>476</v>
      </c>
      <c r="O25" s="43">
        <v>23</v>
      </c>
      <c r="P25" s="175">
        <v>74.88</v>
      </c>
      <c r="Q25" s="175">
        <v>19.940000000000001</v>
      </c>
      <c r="R25" s="21">
        <v>210</v>
      </c>
      <c r="S25" s="21">
        <v>20.54</v>
      </c>
      <c r="T25" s="21">
        <v>11.12</v>
      </c>
      <c r="U25" s="13">
        <v>0.2</v>
      </c>
      <c r="V25" s="69">
        <v>0.3</v>
      </c>
      <c r="W25" s="80">
        <v>0.02</v>
      </c>
      <c r="X25" s="174">
        <v>0.39</v>
      </c>
      <c r="Y25" s="81">
        <v>0.04</v>
      </c>
      <c r="Z25" s="43">
        <v>0.81</v>
      </c>
      <c r="AB25" s="69">
        <f t="shared" ref="AB25:AB39" si="6">((J25/50)+(L25/35.45)+(M25/62)+(N25/48.03))</f>
        <v>14.806761351429877</v>
      </c>
      <c r="AC25" s="69">
        <f t="shared" si="1"/>
        <v>14.795134818261696</v>
      </c>
      <c r="AD25" s="69">
        <f t="shared" si="2"/>
        <v>3.9276312238691422E-2</v>
      </c>
      <c r="AF25" s="94">
        <v>7.89</v>
      </c>
      <c r="AG25" s="94">
        <v>3.0982599999999998</v>
      </c>
      <c r="AH25" s="94">
        <v>0.41149999999999998</v>
      </c>
      <c r="AI25" s="94">
        <v>-1.1033999999999999</v>
      </c>
      <c r="AJ25" s="94">
        <v>-1.3531</v>
      </c>
      <c r="AK25" s="94">
        <v>-2.5992000000000002</v>
      </c>
      <c r="AL25" s="94">
        <v>7.4200000000000002E-2</v>
      </c>
      <c r="AM25" s="94">
        <v>8.0500000000000002E-2</v>
      </c>
      <c r="AN25" s="94">
        <v>-0.89349999999999996</v>
      </c>
      <c r="AO25" s="94">
        <v>-0.93730000000000002</v>
      </c>
    </row>
    <row r="26" spans="1:41" x14ac:dyDescent="0.35">
      <c r="A26" s="43">
        <v>5</v>
      </c>
      <c r="B26" s="10">
        <v>43489</v>
      </c>
      <c r="C26" s="43">
        <v>9</v>
      </c>
      <c r="D26" s="43">
        <v>135</v>
      </c>
      <c r="E26" s="31">
        <f>D26+E25</f>
        <v>1219</v>
      </c>
      <c r="F26" s="25">
        <f>D26/133</f>
        <v>1.0150375939849625</v>
      </c>
      <c r="G26" s="25">
        <f>G25+F26</f>
        <v>9.1653383458646616</v>
      </c>
      <c r="H26" s="43">
        <v>7.79</v>
      </c>
      <c r="I26" s="43">
        <v>1088</v>
      </c>
      <c r="J26" s="43">
        <v>168</v>
      </c>
      <c r="K26" s="27">
        <v>228</v>
      </c>
      <c r="L26" s="27">
        <v>14</v>
      </c>
      <c r="M26" s="18">
        <v>1.6</v>
      </c>
      <c r="N26" s="186">
        <v>423</v>
      </c>
      <c r="O26" s="186">
        <v>20</v>
      </c>
      <c r="P26" s="21">
        <v>66.12</v>
      </c>
      <c r="Q26" s="21">
        <v>17.86</v>
      </c>
      <c r="R26" s="21">
        <v>162.19999999999999</v>
      </c>
      <c r="S26" s="21">
        <v>19.12</v>
      </c>
      <c r="T26" s="21">
        <v>10.41</v>
      </c>
      <c r="U26" s="13">
        <v>0.2</v>
      </c>
      <c r="V26" s="163">
        <v>0.11600000000000001</v>
      </c>
      <c r="W26" s="80">
        <v>0.02</v>
      </c>
      <c r="X26" s="174">
        <v>0.374</v>
      </c>
      <c r="Y26" s="81">
        <v>0.04</v>
      </c>
      <c r="Z26" s="43">
        <v>0.72</v>
      </c>
      <c r="AB26" s="69">
        <f t="shared" si="6"/>
        <v>12.587724505297615</v>
      </c>
      <c r="AC26" s="69">
        <f t="shared" si="1"/>
        <v>12.089633016120345</v>
      </c>
      <c r="AD26" s="25">
        <f t="shared" si="2"/>
        <v>2.0184150136211567</v>
      </c>
      <c r="AF26" s="94">
        <v>7.79</v>
      </c>
      <c r="AG26" s="94">
        <v>0.59753299999999998</v>
      </c>
      <c r="AH26" s="94">
        <v>0.1772</v>
      </c>
      <c r="AI26" s="94">
        <v>-1.1676</v>
      </c>
      <c r="AJ26" s="94">
        <v>-1.4174</v>
      </c>
      <c r="AK26" s="94">
        <v>-2.6017000000000001</v>
      </c>
      <c r="AL26" s="94">
        <v>-0.39019999999999999</v>
      </c>
      <c r="AM26" s="94">
        <v>-0.11940000000000001</v>
      </c>
      <c r="AN26" s="94">
        <v>-1.3231999999999999</v>
      </c>
      <c r="AO26" s="94">
        <v>-1.1674</v>
      </c>
    </row>
    <row r="27" spans="1:41" x14ac:dyDescent="0.35">
      <c r="A27" s="43">
        <v>5</v>
      </c>
      <c r="B27" s="10">
        <v>43490</v>
      </c>
      <c r="C27" s="43">
        <v>10</v>
      </c>
      <c r="D27" s="43">
        <v>134</v>
      </c>
      <c r="E27" s="31">
        <f t="shared" ref="E27:E31" si="7">D27+E26</f>
        <v>1353</v>
      </c>
      <c r="F27" s="25">
        <f t="shared" ref="F27:F31" si="8">D27/133</f>
        <v>1.0075187969924813</v>
      </c>
      <c r="G27" s="25">
        <f t="shared" ref="G27:G31" si="9">G26+F27</f>
        <v>10.172857142857143</v>
      </c>
      <c r="H27" s="43">
        <v>7.67</v>
      </c>
      <c r="I27" s="43">
        <v>1006</v>
      </c>
      <c r="J27" s="43">
        <v>173</v>
      </c>
      <c r="K27" s="27">
        <v>210</v>
      </c>
      <c r="L27" s="27">
        <v>13</v>
      </c>
      <c r="M27" s="18">
        <v>1.9</v>
      </c>
      <c r="N27" s="186">
        <v>414</v>
      </c>
      <c r="O27" s="186">
        <v>18</v>
      </c>
      <c r="P27" s="21">
        <v>85</v>
      </c>
      <c r="Q27" s="21">
        <v>21.15</v>
      </c>
      <c r="R27" s="21">
        <v>92.91</v>
      </c>
      <c r="S27" s="21">
        <v>19.399999999999999</v>
      </c>
      <c r="T27" s="21">
        <v>11.1</v>
      </c>
      <c r="U27" s="13">
        <v>0.2</v>
      </c>
      <c r="V27" s="50">
        <v>5.0999999999999997E-2</v>
      </c>
      <c r="W27" s="80">
        <v>0.02</v>
      </c>
      <c r="X27" s="174">
        <v>0.56599999999999995</v>
      </c>
      <c r="Y27" s="81">
        <v>0.04</v>
      </c>
      <c r="Z27" s="163">
        <v>0.94099999999999995</v>
      </c>
      <c r="AB27" s="69">
        <f t="shared" si="6"/>
        <v>12.476971584567734</v>
      </c>
      <c r="AC27" s="69">
        <f t="shared" si="1"/>
        <v>10.306035958674459</v>
      </c>
      <c r="AD27" s="25">
        <f t="shared" si="2"/>
        <v>9.5287490985236918</v>
      </c>
      <c r="AF27" s="94">
        <v>7.67</v>
      </c>
      <c r="AG27" s="94">
        <v>-7.7983599999999997</v>
      </c>
      <c r="AH27" s="94">
        <v>0.1875</v>
      </c>
      <c r="AI27" s="94">
        <v>-1.0669999999999999</v>
      </c>
      <c r="AJ27" s="94">
        <v>-1.3167</v>
      </c>
      <c r="AK27" s="94">
        <v>-2.4681999999999999</v>
      </c>
      <c r="AL27" s="94">
        <v>-0.40560000000000002</v>
      </c>
      <c r="AM27" s="94">
        <v>-2.98E-2</v>
      </c>
      <c r="AN27" s="94">
        <v>-1.5583</v>
      </c>
      <c r="AO27" s="94">
        <v>-1.1931</v>
      </c>
    </row>
    <row r="28" spans="1:41" x14ac:dyDescent="0.35">
      <c r="A28" s="43">
        <v>5</v>
      </c>
      <c r="B28" s="10">
        <v>43491</v>
      </c>
      <c r="C28" s="43">
        <v>11</v>
      </c>
      <c r="D28" s="43">
        <v>134</v>
      </c>
      <c r="E28" s="31">
        <f t="shared" si="7"/>
        <v>1487</v>
      </c>
      <c r="F28" s="25">
        <f t="shared" si="8"/>
        <v>1.0075187969924813</v>
      </c>
      <c r="G28" s="25">
        <f t="shared" si="9"/>
        <v>11.180375939849625</v>
      </c>
      <c r="H28" s="43">
        <v>7.71</v>
      </c>
      <c r="I28" s="43">
        <v>979</v>
      </c>
      <c r="J28" s="43">
        <v>171</v>
      </c>
      <c r="K28" s="27">
        <v>177</v>
      </c>
      <c r="L28" s="27">
        <v>13</v>
      </c>
      <c r="M28" s="18">
        <v>2</v>
      </c>
      <c r="N28" s="186">
        <v>409</v>
      </c>
      <c r="O28" s="186">
        <v>17</v>
      </c>
      <c r="P28" s="21">
        <v>96.11</v>
      </c>
      <c r="Q28" s="21">
        <v>25.49</v>
      </c>
      <c r="R28" s="21">
        <v>72.34</v>
      </c>
      <c r="S28" s="21">
        <v>18.97</v>
      </c>
      <c r="T28" s="18">
        <v>9.3510000000000009</v>
      </c>
      <c r="U28" s="13">
        <v>0.2</v>
      </c>
      <c r="V28" s="50">
        <v>3.5000000000000003E-2</v>
      </c>
      <c r="W28" s="80">
        <v>0.02</v>
      </c>
      <c r="X28" s="174">
        <v>0.78600000000000003</v>
      </c>
      <c r="Y28" s="81">
        <v>0.04</v>
      </c>
      <c r="Z28" s="170">
        <v>1.1060000000000001</v>
      </c>
      <c r="AB28" s="69">
        <f t="shared" si="6"/>
        <v>12.334482884628851</v>
      </c>
      <c r="AC28" s="69">
        <f t="shared" si="1"/>
        <v>10.277866771070395</v>
      </c>
      <c r="AD28" s="25">
        <f t="shared" si="2"/>
        <v>9.0951013268101697</v>
      </c>
      <c r="AF28" s="94">
        <v>7.71</v>
      </c>
      <c r="AG28" s="94">
        <v>-7.3510299999999997</v>
      </c>
      <c r="AH28" s="94">
        <v>0.2767</v>
      </c>
      <c r="AI28" s="94">
        <v>-1.0249999999999999</v>
      </c>
      <c r="AJ28" s="94">
        <v>-1.2747999999999999</v>
      </c>
      <c r="AK28" s="94">
        <v>-2.5154999999999998</v>
      </c>
      <c r="AL28" s="94">
        <v>-0.2</v>
      </c>
      <c r="AM28" s="94">
        <v>0.1472</v>
      </c>
      <c r="AN28" s="94">
        <v>-1.6654</v>
      </c>
      <c r="AO28" s="94">
        <v>-1.0767</v>
      </c>
    </row>
    <row r="29" spans="1:41" x14ac:dyDescent="0.35">
      <c r="A29" s="43">
        <v>5</v>
      </c>
      <c r="B29" s="28">
        <v>43492</v>
      </c>
      <c r="C29" s="43">
        <v>12</v>
      </c>
      <c r="D29" s="43">
        <v>134</v>
      </c>
      <c r="E29" s="31">
        <f t="shared" si="7"/>
        <v>1621</v>
      </c>
      <c r="F29" s="25">
        <f t="shared" si="8"/>
        <v>1.0075187969924813</v>
      </c>
      <c r="G29" s="25">
        <f t="shared" si="9"/>
        <v>12.187894736842107</v>
      </c>
      <c r="H29" s="43">
        <v>7.81</v>
      </c>
      <c r="I29" s="43">
        <v>957</v>
      </c>
      <c r="J29" s="43">
        <v>168</v>
      </c>
      <c r="K29" s="24">
        <v>150</v>
      </c>
      <c r="L29" s="27">
        <v>12</v>
      </c>
      <c r="M29" s="18">
        <v>3.3</v>
      </c>
      <c r="N29" s="186">
        <v>404</v>
      </c>
      <c r="O29" s="186">
        <v>17</v>
      </c>
      <c r="P29" s="21">
        <v>101.8</v>
      </c>
      <c r="Q29" s="21">
        <v>25.65</v>
      </c>
      <c r="R29" s="21">
        <v>61.14</v>
      </c>
      <c r="S29" s="21">
        <v>18.03</v>
      </c>
      <c r="T29" s="18">
        <v>8.4049999999999994</v>
      </c>
      <c r="U29" s="13">
        <v>0.2</v>
      </c>
      <c r="V29" s="50">
        <v>5.8000000000000003E-2</v>
      </c>
      <c r="W29" s="80">
        <v>0.02</v>
      </c>
      <c r="X29" s="174">
        <v>0.77</v>
      </c>
      <c r="Y29" s="81">
        <v>0.04</v>
      </c>
      <c r="Z29" s="170">
        <v>1.1599999999999999</v>
      </c>
      <c r="AB29" s="69">
        <f t="shared" si="6"/>
        <v>12.163140278688788</v>
      </c>
      <c r="AC29" s="69">
        <f t="shared" si="1"/>
        <v>10.06359409407596</v>
      </c>
      <c r="AD29" s="25">
        <f t="shared" si="2"/>
        <v>9.4460398428366581</v>
      </c>
      <c r="AF29" s="94">
        <v>7.81</v>
      </c>
      <c r="AG29" s="94">
        <v>-7.7273800000000001</v>
      </c>
      <c r="AH29" s="94">
        <v>0.39419999999999999</v>
      </c>
      <c r="AI29" s="94">
        <v>-1.0052000000000001</v>
      </c>
      <c r="AJ29" s="94">
        <v>-1.2551000000000001</v>
      </c>
      <c r="AK29" s="94">
        <v>-2.6254</v>
      </c>
      <c r="AL29" s="94">
        <v>1.2500000000000001E-2</v>
      </c>
      <c r="AM29" s="94">
        <v>0.22889999999999999</v>
      </c>
      <c r="AN29" s="94">
        <v>-1.4175</v>
      </c>
      <c r="AO29" s="94">
        <v>-0.98170000000000002</v>
      </c>
    </row>
    <row r="30" spans="1:41" x14ac:dyDescent="0.35">
      <c r="A30" s="43">
        <v>5</v>
      </c>
      <c r="B30" s="28">
        <v>43493</v>
      </c>
      <c r="C30" s="43">
        <v>13</v>
      </c>
      <c r="D30" s="43">
        <v>135</v>
      </c>
      <c r="E30" s="31">
        <f t="shared" si="7"/>
        <v>1756</v>
      </c>
      <c r="F30" s="25">
        <f t="shared" si="8"/>
        <v>1.0150375939849625</v>
      </c>
      <c r="G30" s="25">
        <f t="shared" si="9"/>
        <v>13.202932330827069</v>
      </c>
      <c r="H30" s="43">
        <v>7.68</v>
      </c>
      <c r="I30" s="43">
        <v>953</v>
      </c>
      <c r="J30" s="43">
        <v>164</v>
      </c>
      <c r="K30" s="24">
        <v>135</v>
      </c>
      <c r="L30" s="27">
        <v>12</v>
      </c>
      <c r="M30" s="18">
        <v>2.4</v>
      </c>
      <c r="N30" s="186">
        <v>404</v>
      </c>
      <c r="O30" s="186">
        <v>17</v>
      </c>
      <c r="P30" s="21">
        <v>109.3</v>
      </c>
      <c r="Q30" s="21">
        <v>28.56</v>
      </c>
      <c r="R30" s="21">
        <v>66.22</v>
      </c>
      <c r="S30" s="21">
        <v>20.3</v>
      </c>
      <c r="T30" s="18">
        <v>8.8160000000000007</v>
      </c>
      <c r="U30" s="13">
        <v>0.2</v>
      </c>
      <c r="V30" s="80">
        <v>0.02</v>
      </c>
      <c r="W30" s="80">
        <v>0.02</v>
      </c>
      <c r="X30" s="174">
        <v>0.86599999999999999</v>
      </c>
      <c r="Y30" s="81">
        <v>0.04</v>
      </c>
      <c r="Z30" s="170">
        <v>1.1060000000000001</v>
      </c>
      <c r="AB30" s="69">
        <f t="shared" si="6"/>
        <v>12.068624149656529</v>
      </c>
      <c r="AC30" s="69">
        <f t="shared" si="1"/>
        <v>10.908631947793248</v>
      </c>
      <c r="AD30" s="25">
        <f t="shared" si="2"/>
        <v>5.0484365798230675</v>
      </c>
      <c r="AF30" s="94">
        <v>7.68</v>
      </c>
      <c r="AG30" s="94">
        <v>-2.6648399999999999</v>
      </c>
      <c r="AH30" s="94">
        <v>0.28560000000000002</v>
      </c>
      <c r="AI30" s="94">
        <v>-0.98299999999999998</v>
      </c>
      <c r="AJ30" s="94">
        <v>-1.2327999999999999</v>
      </c>
      <c r="AK30" s="94">
        <v>-2.5053999999999998</v>
      </c>
      <c r="AL30" s="94">
        <v>-0.18970000000000001</v>
      </c>
      <c r="AM30" s="94">
        <v>0.13830000000000001</v>
      </c>
      <c r="AN30" s="94">
        <v>-1.8514999999999999</v>
      </c>
      <c r="AO30" s="94">
        <v>-1.0752999999999999</v>
      </c>
    </row>
    <row r="31" spans="1:41" x14ac:dyDescent="0.35">
      <c r="A31" s="43">
        <v>5</v>
      </c>
      <c r="B31" s="28">
        <v>43494</v>
      </c>
      <c r="C31" s="68">
        <v>14</v>
      </c>
      <c r="D31" s="43">
        <v>133</v>
      </c>
      <c r="E31" s="31">
        <f t="shared" si="7"/>
        <v>1889</v>
      </c>
      <c r="F31" s="25">
        <f t="shared" si="8"/>
        <v>1</v>
      </c>
      <c r="G31" s="25">
        <f t="shared" si="9"/>
        <v>14.202932330827069</v>
      </c>
      <c r="H31" s="43">
        <v>7.7</v>
      </c>
      <c r="I31" s="43">
        <v>958</v>
      </c>
      <c r="J31" s="43">
        <v>164</v>
      </c>
      <c r="K31" s="24">
        <v>124</v>
      </c>
      <c r="L31" s="21">
        <v>12</v>
      </c>
      <c r="M31" s="18">
        <v>2.4</v>
      </c>
      <c r="N31" s="186">
        <v>354</v>
      </c>
      <c r="O31" s="186">
        <v>17</v>
      </c>
      <c r="P31" s="21">
        <v>114.5</v>
      </c>
      <c r="Q31" s="21">
        <v>31.12</v>
      </c>
      <c r="R31" s="21">
        <v>66.959999999999994</v>
      </c>
      <c r="S31" s="21">
        <v>17.41</v>
      </c>
      <c r="T31" s="18">
        <v>9.923</v>
      </c>
      <c r="U31" s="13">
        <v>0.2</v>
      </c>
      <c r="V31" s="80">
        <v>0.02</v>
      </c>
      <c r="W31" s="80">
        <v>0.02</v>
      </c>
      <c r="X31" s="174">
        <v>0.8</v>
      </c>
      <c r="Y31" s="81">
        <v>0.04</v>
      </c>
      <c r="Z31" s="170">
        <v>1.0129999999999999</v>
      </c>
      <c r="AB31" s="69">
        <f t="shared" si="6"/>
        <v>11.027608118009642</v>
      </c>
      <c r="AC31" s="69">
        <f t="shared" si="1"/>
        <v>11.439139229753227</v>
      </c>
      <c r="AD31" s="25">
        <f t="shared" si="2"/>
        <v>1.8317342754315675</v>
      </c>
      <c r="AF31" s="94">
        <v>7.7</v>
      </c>
      <c r="AG31" s="94">
        <v>5.7048300000000003</v>
      </c>
      <c r="AH31" s="94">
        <v>0.33889999999999998</v>
      </c>
      <c r="AI31" s="94">
        <v>-1.0116000000000001</v>
      </c>
      <c r="AJ31" s="94">
        <v>-1.2614000000000001</v>
      </c>
      <c r="AK31" s="94">
        <v>-2.5266999999999999</v>
      </c>
      <c r="AL31" s="94">
        <v>-6.7799999999999999E-2</v>
      </c>
      <c r="AM31" s="94">
        <v>0.13489999999999999</v>
      </c>
      <c r="AN31" s="94">
        <v>-1.8146</v>
      </c>
      <c r="AO31" s="94">
        <v>-1.0066999999999999</v>
      </c>
    </row>
    <row r="32" spans="1:41" x14ac:dyDescent="0.35">
      <c r="A32" s="68">
        <v>5</v>
      </c>
      <c r="B32" s="28">
        <v>43495</v>
      </c>
      <c r="C32" s="68">
        <v>15</v>
      </c>
      <c r="D32" s="43">
        <v>138</v>
      </c>
      <c r="E32" s="31">
        <f t="shared" ref="E32:E37" si="10">D32+E31</f>
        <v>2027</v>
      </c>
      <c r="F32" s="25">
        <f t="shared" ref="F32:F36" si="11">D32/133</f>
        <v>1.0375939849624061</v>
      </c>
      <c r="G32" s="25">
        <f t="shared" ref="G32:G36" si="12">G31+F32</f>
        <v>15.240526315789475</v>
      </c>
      <c r="H32" s="43">
        <v>7.82</v>
      </c>
      <c r="I32" s="43">
        <v>945</v>
      </c>
      <c r="J32" s="43">
        <v>161</v>
      </c>
      <c r="K32" s="24">
        <v>116</v>
      </c>
      <c r="L32" s="27">
        <v>12</v>
      </c>
      <c r="M32" s="18">
        <v>2.8</v>
      </c>
      <c r="N32" s="186">
        <v>348</v>
      </c>
      <c r="O32" s="27">
        <v>16</v>
      </c>
      <c r="P32" s="21">
        <v>121.2</v>
      </c>
      <c r="Q32" s="21">
        <v>32.049999999999997</v>
      </c>
      <c r="R32" s="21">
        <v>68.540000000000006</v>
      </c>
      <c r="S32" s="21">
        <v>21.26</v>
      </c>
      <c r="T32" s="21">
        <v>10.01</v>
      </c>
      <c r="U32" s="13">
        <v>0.2</v>
      </c>
      <c r="V32" s="30">
        <v>0.03</v>
      </c>
      <c r="W32" s="80">
        <v>0.02</v>
      </c>
      <c r="X32" s="174">
        <v>0.90800000000000003</v>
      </c>
      <c r="Y32" s="81">
        <v>0.04</v>
      </c>
      <c r="Z32" s="172">
        <v>1.222</v>
      </c>
      <c r="AB32" s="69">
        <f t="shared" si="6"/>
        <v>10.849137807115241</v>
      </c>
      <c r="AC32" s="69">
        <f t="shared" si="1"/>
        <v>11.920901427015457</v>
      </c>
      <c r="AD32" s="25">
        <f t="shared" si="2"/>
        <v>4.7069028247158951</v>
      </c>
      <c r="AF32" s="94">
        <v>7.82</v>
      </c>
      <c r="AG32" s="94">
        <v>9.1646599999999996</v>
      </c>
      <c r="AH32" s="94">
        <v>0.47310000000000002</v>
      </c>
      <c r="AI32" s="94">
        <v>-0.999</v>
      </c>
      <c r="AJ32" s="94">
        <v>-1.2487999999999999</v>
      </c>
      <c r="AK32" s="94">
        <v>-2.6585999999999999</v>
      </c>
      <c r="AL32" s="94">
        <v>0.18809999999999999</v>
      </c>
      <c r="AM32" s="94">
        <v>0.29859999999999998</v>
      </c>
      <c r="AN32" s="94">
        <v>-1.6137999999999999</v>
      </c>
      <c r="AO32" s="94">
        <v>-0.88490000000000002</v>
      </c>
    </row>
    <row r="33" spans="1:41" s="68" customFormat="1" x14ac:dyDescent="0.35">
      <c r="A33" s="68">
        <v>5</v>
      </c>
      <c r="B33" s="28">
        <v>43496</v>
      </c>
      <c r="C33" s="68">
        <v>16</v>
      </c>
      <c r="D33" s="68">
        <v>132</v>
      </c>
      <c r="E33" s="31">
        <f t="shared" si="10"/>
        <v>2159</v>
      </c>
      <c r="F33" s="25">
        <f t="shared" si="11"/>
        <v>0.99248120300751874</v>
      </c>
      <c r="G33" s="25">
        <f t="shared" si="12"/>
        <v>16.233007518796995</v>
      </c>
      <c r="H33" s="68">
        <v>7.63</v>
      </c>
      <c r="I33" s="68">
        <v>951</v>
      </c>
      <c r="J33" s="68">
        <v>167</v>
      </c>
      <c r="K33" s="65">
        <v>110</v>
      </c>
      <c r="L33" s="27">
        <v>12</v>
      </c>
      <c r="M33" s="18">
        <v>2.8</v>
      </c>
      <c r="N33" s="186">
        <v>347</v>
      </c>
      <c r="O33" s="27">
        <v>16</v>
      </c>
      <c r="P33" s="21">
        <v>115.3</v>
      </c>
      <c r="Q33" s="21">
        <v>29.43</v>
      </c>
      <c r="R33" s="21">
        <v>64.709999999999994</v>
      </c>
      <c r="S33" s="21">
        <v>20.49</v>
      </c>
      <c r="T33" s="18">
        <v>9.0589999999999993</v>
      </c>
      <c r="U33" s="13">
        <v>0.2</v>
      </c>
      <c r="V33" s="65">
        <v>2.5999999999999999E-2</v>
      </c>
      <c r="W33" s="80">
        <v>0.02</v>
      </c>
      <c r="X33" s="174">
        <v>0.84799999999999998</v>
      </c>
      <c r="Y33" s="81">
        <v>0.04</v>
      </c>
      <c r="Z33" s="172">
        <v>1.1739999999999999</v>
      </c>
      <c r="AB33" s="69">
        <f t="shared" si="6"/>
        <v>10.948317486482303</v>
      </c>
      <c r="AC33" s="69">
        <f t="shared" si="1"/>
        <v>11.22011330103671</v>
      </c>
      <c r="AD33" s="25">
        <f t="shared" si="2"/>
        <v>1.226048957454535</v>
      </c>
      <c r="AF33" s="94">
        <v>7.63</v>
      </c>
      <c r="AG33" s="94">
        <v>5.1413500000000001</v>
      </c>
      <c r="AH33" s="94">
        <v>0.28370000000000001</v>
      </c>
      <c r="AI33" s="94">
        <v>-1.0135000000000001</v>
      </c>
      <c r="AJ33" s="94">
        <v>-1.2633000000000001</v>
      </c>
      <c r="AK33" s="94">
        <v>-2.4472999999999998</v>
      </c>
      <c r="AL33" s="94">
        <v>-0.20569999999999999</v>
      </c>
      <c r="AM33" s="94">
        <v>0.1019</v>
      </c>
      <c r="AN33" s="94">
        <v>-1.6940999999999999</v>
      </c>
      <c r="AO33" s="94">
        <v>-1.0893999999999999</v>
      </c>
    </row>
    <row r="34" spans="1:41" s="68" customFormat="1" x14ac:dyDescent="0.35">
      <c r="A34" s="68">
        <v>5</v>
      </c>
      <c r="B34" s="28">
        <v>43497</v>
      </c>
      <c r="C34" s="68">
        <v>17</v>
      </c>
      <c r="D34" s="68">
        <v>134</v>
      </c>
      <c r="E34" s="31">
        <f t="shared" si="10"/>
        <v>2293</v>
      </c>
      <c r="F34" s="25">
        <f t="shared" si="11"/>
        <v>1.0075187969924813</v>
      </c>
      <c r="G34" s="25">
        <f t="shared" si="12"/>
        <v>17.240526315789477</v>
      </c>
      <c r="H34" s="68">
        <v>7.61</v>
      </c>
      <c r="I34" s="68">
        <v>951</v>
      </c>
      <c r="J34" s="68">
        <v>165</v>
      </c>
      <c r="K34" s="65">
        <v>107</v>
      </c>
      <c r="L34" s="27">
        <v>12</v>
      </c>
      <c r="M34" s="18">
        <v>2.9</v>
      </c>
      <c r="N34" s="186">
        <v>347</v>
      </c>
      <c r="O34" s="27">
        <v>16</v>
      </c>
      <c r="P34" s="21">
        <v>109.2</v>
      </c>
      <c r="Q34" s="21">
        <v>26.8</v>
      </c>
      <c r="R34" s="21">
        <v>58.19</v>
      </c>
      <c r="S34" s="21">
        <v>19.170000000000002</v>
      </c>
      <c r="T34" s="18">
        <v>9.3940000000000001</v>
      </c>
      <c r="U34" s="13">
        <v>0.2</v>
      </c>
      <c r="V34" s="80">
        <v>0.02</v>
      </c>
      <c r="W34" s="80">
        <v>0.02</v>
      </c>
      <c r="X34" s="174">
        <v>0.86799999999999999</v>
      </c>
      <c r="Y34" s="81">
        <v>0.04</v>
      </c>
      <c r="Z34" s="172">
        <v>1.198</v>
      </c>
      <c r="AB34" s="69">
        <f t="shared" si="6"/>
        <v>10.909930389708109</v>
      </c>
      <c r="AC34" s="69">
        <f t="shared" si="1"/>
        <v>10.424405397772842</v>
      </c>
      <c r="AD34" s="25">
        <f t="shared" si="2"/>
        <v>2.275791460168981</v>
      </c>
      <c r="AF34" s="94">
        <v>7.61</v>
      </c>
      <c r="AG34" s="94">
        <v>1.0321499999999999</v>
      </c>
      <c r="AH34" s="94">
        <v>0.23799999999999999</v>
      </c>
      <c r="AI34" s="94">
        <v>-1.0278</v>
      </c>
      <c r="AJ34" s="94">
        <v>-1.2776000000000001</v>
      </c>
      <c r="AK34" s="94">
        <v>-2.4304999999999999</v>
      </c>
      <c r="AL34" s="94">
        <v>-0.31380000000000002</v>
      </c>
      <c r="AM34" s="94">
        <v>9.1399999999999995E-2</v>
      </c>
      <c r="AN34" s="94">
        <v>-1.8273999999999999</v>
      </c>
      <c r="AO34" s="94">
        <v>-1.1517999999999999</v>
      </c>
    </row>
    <row r="35" spans="1:41" s="68" customFormat="1" x14ac:dyDescent="0.35">
      <c r="A35" s="68">
        <v>5</v>
      </c>
      <c r="B35" s="28">
        <v>43498</v>
      </c>
      <c r="C35" s="68">
        <v>18</v>
      </c>
      <c r="D35" s="68">
        <v>135</v>
      </c>
      <c r="E35" s="31">
        <f t="shared" si="10"/>
        <v>2428</v>
      </c>
      <c r="F35" s="25">
        <f t="shared" si="11"/>
        <v>1.0150375939849625</v>
      </c>
      <c r="G35" s="25">
        <f t="shared" si="12"/>
        <v>18.255563909774441</v>
      </c>
      <c r="H35" s="68">
        <v>7.8</v>
      </c>
      <c r="I35" s="68">
        <v>944</v>
      </c>
      <c r="J35" s="68">
        <v>162</v>
      </c>
      <c r="K35" s="65">
        <v>98</v>
      </c>
      <c r="L35" s="27">
        <v>12</v>
      </c>
      <c r="M35" s="18">
        <v>3</v>
      </c>
      <c r="N35" s="186">
        <v>346</v>
      </c>
      <c r="O35" s="27">
        <v>16</v>
      </c>
      <c r="P35" s="21">
        <v>111.8</v>
      </c>
      <c r="Q35" s="21">
        <v>26.64</v>
      </c>
      <c r="R35" s="21">
        <v>58.08</v>
      </c>
      <c r="S35" s="21">
        <v>19.100000000000001</v>
      </c>
      <c r="T35" s="18">
        <v>8.0489999999999995</v>
      </c>
      <c r="U35" s="13">
        <v>0.2</v>
      </c>
      <c r="V35" s="80">
        <v>0.02</v>
      </c>
      <c r="W35" s="80">
        <v>0.02</v>
      </c>
      <c r="X35" s="174">
        <v>0.90200000000000002</v>
      </c>
      <c r="Y35" s="81">
        <v>0.04</v>
      </c>
      <c r="Z35" s="172">
        <v>1.238</v>
      </c>
      <c r="AB35" s="69">
        <f t="shared" si="6"/>
        <v>10.830722972300979</v>
      </c>
      <c r="AC35" s="69">
        <f t="shared" si="1"/>
        <v>10.501804356020763</v>
      </c>
      <c r="AD35" s="25">
        <f t="shared" si="2"/>
        <v>1.54186426773509</v>
      </c>
      <c r="AF35" s="94">
        <v>7.8</v>
      </c>
      <c r="AG35" s="94">
        <v>1.88229</v>
      </c>
      <c r="AH35" s="94">
        <v>0.42659999999999998</v>
      </c>
      <c r="AI35" s="94">
        <v>-1.0203</v>
      </c>
      <c r="AJ35" s="94">
        <v>-1.2701</v>
      </c>
      <c r="AK35" s="94">
        <v>-2.6320999999999999</v>
      </c>
      <c r="AL35" s="94">
        <v>5.0700000000000002E-2</v>
      </c>
      <c r="AM35" s="94">
        <v>0.28689999999999999</v>
      </c>
      <c r="AN35" s="94">
        <v>-1.8171999999999999</v>
      </c>
      <c r="AO35" s="94">
        <v>-0.97599999999999998</v>
      </c>
    </row>
    <row r="36" spans="1:41" s="68" customFormat="1" x14ac:dyDescent="0.35">
      <c r="A36" s="68">
        <v>5</v>
      </c>
      <c r="B36" s="28">
        <v>43499</v>
      </c>
      <c r="C36" s="68">
        <v>19</v>
      </c>
      <c r="D36" s="68">
        <v>132</v>
      </c>
      <c r="E36" s="31">
        <f t="shared" si="10"/>
        <v>2560</v>
      </c>
      <c r="F36" s="25">
        <f t="shared" si="11"/>
        <v>0.99248120300751874</v>
      </c>
      <c r="G36" s="25">
        <f t="shared" si="12"/>
        <v>19.248045112781959</v>
      </c>
      <c r="H36" s="68">
        <v>7.7</v>
      </c>
      <c r="I36" s="68">
        <v>941</v>
      </c>
      <c r="J36" s="68">
        <v>176</v>
      </c>
      <c r="K36" s="65">
        <v>90</v>
      </c>
      <c r="L36" s="27">
        <v>12</v>
      </c>
      <c r="M36" s="18">
        <v>2.9</v>
      </c>
      <c r="N36" s="186">
        <v>345</v>
      </c>
      <c r="O36" s="27">
        <v>15</v>
      </c>
      <c r="P36" s="21">
        <v>111.6</v>
      </c>
      <c r="Q36" s="21">
        <v>27.13</v>
      </c>
      <c r="R36" s="21">
        <v>60.54</v>
      </c>
      <c r="S36" s="21">
        <v>19.27</v>
      </c>
      <c r="T36" s="18">
        <v>8.0890000000000004</v>
      </c>
      <c r="U36" s="13">
        <v>0.2</v>
      </c>
      <c r="V36" s="80">
        <v>0.02</v>
      </c>
      <c r="W36" s="80">
        <v>0.02</v>
      </c>
      <c r="X36" s="174">
        <v>0.89400000000000002</v>
      </c>
      <c r="Y36" s="81">
        <v>0.04</v>
      </c>
      <c r="Z36" s="172">
        <v>1.206</v>
      </c>
      <c r="AB36" s="69">
        <f t="shared" si="6"/>
        <v>11.088289748442234</v>
      </c>
      <c r="AC36" s="69">
        <f t="shared" si="1"/>
        <v>10.640146431437083</v>
      </c>
      <c r="AD36" s="25">
        <f t="shared" si="2"/>
        <v>2.0624738627998216</v>
      </c>
      <c r="AF36" s="94">
        <v>7.7</v>
      </c>
      <c r="AG36" s="94">
        <v>1.4491000000000001</v>
      </c>
      <c r="AH36" s="94">
        <v>0.36259999999999998</v>
      </c>
      <c r="AI36" s="94">
        <v>-1.0244</v>
      </c>
      <c r="AJ36" s="94">
        <v>-1.2742</v>
      </c>
      <c r="AK36" s="94">
        <v>-2.4943</v>
      </c>
      <c r="AL36" s="94">
        <v>-6.8599999999999994E-2</v>
      </c>
      <c r="AM36" s="94">
        <v>0.219</v>
      </c>
      <c r="AN36" s="94">
        <v>-1.8201000000000001</v>
      </c>
      <c r="AO36" s="94">
        <v>-1.0311999999999999</v>
      </c>
    </row>
    <row r="37" spans="1:41" s="68" customFormat="1" x14ac:dyDescent="0.35">
      <c r="A37" s="68">
        <v>5</v>
      </c>
      <c r="B37" s="28">
        <v>43500</v>
      </c>
      <c r="C37" s="68">
        <v>20</v>
      </c>
      <c r="D37" s="68">
        <v>134</v>
      </c>
      <c r="E37" s="31">
        <f t="shared" si="10"/>
        <v>2694</v>
      </c>
      <c r="F37" s="25">
        <f t="shared" ref="F37" si="13">D37/133</f>
        <v>1.0075187969924813</v>
      </c>
      <c r="G37" s="25">
        <f t="shared" ref="G37" si="14">G36+F37</f>
        <v>20.255563909774441</v>
      </c>
      <c r="H37" s="68">
        <v>7.6</v>
      </c>
      <c r="I37" s="68">
        <v>946</v>
      </c>
      <c r="J37" s="68">
        <v>164</v>
      </c>
      <c r="K37" s="65">
        <v>85</v>
      </c>
      <c r="L37" s="27">
        <v>12</v>
      </c>
      <c r="M37" s="18">
        <v>2.8</v>
      </c>
      <c r="N37" s="186">
        <v>351</v>
      </c>
      <c r="O37" s="27">
        <v>16</v>
      </c>
      <c r="P37" s="21">
        <v>122.9</v>
      </c>
      <c r="Q37" s="21">
        <v>29.45</v>
      </c>
      <c r="R37" s="21">
        <v>64.11</v>
      </c>
      <c r="S37" s="21">
        <v>16.34</v>
      </c>
      <c r="T37" s="18">
        <v>9.1020000000000003</v>
      </c>
      <c r="U37" s="13">
        <v>0.2</v>
      </c>
      <c r="V37" s="177">
        <v>0.02</v>
      </c>
      <c r="W37" s="80">
        <v>0.02</v>
      </c>
      <c r="X37" s="174">
        <v>0.95</v>
      </c>
      <c r="Y37" s="81">
        <v>0.04</v>
      </c>
      <c r="Z37" s="172">
        <v>1.24</v>
      </c>
      <c r="AB37" s="69">
        <f t="shared" si="6"/>
        <v>10.971598769014054</v>
      </c>
      <c r="AC37" s="69">
        <f t="shared" si="1"/>
        <v>11.576000995480143</v>
      </c>
      <c r="AD37" s="25">
        <f t="shared" si="2"/>
        <v>2.6805612693988108</v>
      </c>
      <c r="AF37" s="94">
        <v>7.6</v>
      </c>
      <c r="AG37" s="94">
        <v>6.8251499999999998</v>
      </c>
      <c r="AH37" s="94">
        <v>0.27189999999999998</v>
      </c>
      <c r="AI37" s="94">
        <v>-0.98719999999999997</v>
      </c>
      <c r="AJ37" s="94">
        <v>-1.2370000000000001</v>
      </c>
      <c r="AK37" s="94">
        <v>-2.4258999999999999</v>
      </c>
      <c r="AL37" s="94">
        <v>-0.25700000000000001</v>
      </c>
      <c r="AM37" s="94">
        <v>0.1109</v>
      </c>
      <c r="AN37" s="94">
        <v>-1.7829999999999999</v>
      </c>
      <c r="AO37" s="94">
        <v>-1.1289</v>
      </c>
    </row>
    <row r="38" spans="1:41" s="68" customFormat="1" x14ac:dyDescent="0.35">
      <c r="A38" s="68">
        <v>5</v>
      </c>
      <c r="B38" s="28">
        <v>43501</v>
      </c>
      <c r="C38" s="68">
        <v>21</v>
      </c>
      <c r="D38" s="68">
        <v>134</v>
      </c>
      <c r="E38" s="31">
        <f t="shared" ref="E38" si="15">D38+E37</f>
        <v>2828</v>
      </c>
      <c r="F38" s="25">
        <f t="shared" ref="F38" si="16">D38/133</f>
        <v>1.0075187969924813</v>
      </c>
      <c r="G38" s="25">
        <f t="shared" ref="G38" si="17">G37+F38</f>
        <v>21.263082706766923</v>
      </c>
      <c r="H38" s="68">
        <v>7.64</v>
      </c>
      <c r="I38" s="68">
        <v>947</v>
      </c>
      <c r="J38" s="68">
        <v>161</v>
      </c>
      <c r="K38" s="65">
        <v>74</v>
      </c>
      <c r="L38" s="27">
        <v>12</v>
      </c>
      <c r="M38" s="18">
        <v>2.7</v>
      </c>
      <c r="N38" s="186">
        <v>349</v>
      </c>
      <c r="O38" s="27">
        <v>17</v>
      </c>
      <c r="P38" s="12">
        <v>119.6</v>
      </c>
      <c r="Q38" s="12">
        <v>28.65</v>
      </c>
      <c r="R38" s="12">
        <v>62.97</v>
      </c>
      <c r="S38" s="12">
        <v>11.38</v>
      </c>
      <c r="T38" s="6">
        <v>9.0030000000000001</v>
      </c>
      <c r="U38" s="171">
        <v>0.2</v>
      </c>
      <c r="V38" s="177">
        <v>0.02</v>
      </c>
      <c r="W38" s="177">
        <v>0.02</v>
      </c>
      <c r="X38" s="163">
        <v>0.93600000000000005</v>
      </c>
      <c r="Y38" s="177">
        <v>0.04</v>
      </c>
      <c r="Z38" s="170">
        <v>1.2689999999999999</v>
      </c>
      <c r="AB38" s="69">
        <f t="shared" si="6"/>
        <v>10.868345224522372</v>
      </c>
      <c r="AC38" s="69">
        <f t="shared" si="1"/>
        <v>11.293422116944329</v>
      </c>
      <c r="AD38" s="25">
        <f t="shared" si="2"/>
        <v>1.9180640509053608</v>
      </c>
      <c r="AF38" s="94">
        <v>7.64</v>
      </c>
      <c r="AG38" s="94">
        <v>5.89018</v>
      </c>
      <c r="AH38" s="94">
        <v>0.29330000000000001</v>
      </c>
      <c r="AI38" s="94">
        <v>-0.997</v>
      </c>
      <c r="AJ38" s="94">
        <v>-1.2467999999999999</v>
      </c>
      <c r="AK38" s="94">
        <v>-2.4737</v>
      </c>
      <c r="AL38" s="94">
        <v>-0.21429999999999999</v>
      </c>
      <c r="AM38" s="94">
        <v>0.13830000000000001</v>
      </c>
      <c r="AN38" s="94">
        <v>-1.7923</v>
      </c>
      <c r="AO38" s="94">
        <v>-1.1075999999999999</v>
      </c>
    </row>
    <row r="39" spans="1:41" s="68" customFormat="1" x14ac:dyDescent="0.35">
      <c r="A39" s="68">
        <v>5</v>
      </c>
      <c r="B39" s="28">
        <v>43502</v>
      </c>
      <c r="C39" s="68">
        <v>22</v>
      </c>
      <c r="D39" s="68">
        <v>134</v>
      </c>
      <c r="E39" s="31">
        <f t="shared" ref="E39" si="18">D39+E38</f>
        <v>2962</v>
      </c>
      <c r="F39" s="25">
        <f t="shared" ref="F39" si="19">D39/133</f>
        <v>1.0075187969924813</v>
      </c>
      <c r="G39" s="25">
        <f t="shared" ref="G39" si="20">G38+F39</f>
        <v>22.270601503759405</v>
      </c>
      <c r="H39" s="68">
        <v>7.68</v>
      </c>
      <c r="I39" s="68">
        <v>948</v>
      </c>
      <c r="J39" s="68">
        <v>161</v>
      </c>
      <c r="K39" s="65">
        <v>66</v>
      </c>
      <c r="L39" s="27">
        <v>12</v>
      </c>
      <c r="M39" s="18">
        <v>2.8</v>
      </c>
      <c r="N39" s="186">
        <v>338</v>
      </c>
      <c r="O39" s="27">
        <v>17</v>
      </c>
      <c r="P39" s="12">
        <v>122.1</v>
      </c>
      <c r="Q39" s="12">
        <v>28.72</v>
      </c>
      <c r="R39" s="12">
        <v>62.37</v>
      </c>
      <c r="S39" s="12">
        <v>11.45</v>
      </c>
      <c r="T39" s="6">
        <v>8.8640000000000008</v>
      </c>
      <c r="U39" s="171">
        <v>0.2</v>
      </c>
      <c r="V39" s="177">
        <v>0.02</v>
      </c>
      <c r="W39" s="177">
        <v>0.02</v>
      </c>
      <c r="X39" s="163">
        <v>0.97599999999999998</v>
      </c>
      <c r="Y39" s="177">
        <v>0.04</v>
      </c>
      <c r="Z39" s="170">
        <v>1.3680000000000001</v>
      </c>
      <c r="AB39" s="69">
        <f t="shared" si="6"/>
        <v>10.640934600785863</v>
      </c>
      <c r="AC39" s="69">
        <f t="shared" si="1"/>
        <v>11.394275904071153</v>
      </c>
      <c r="AD39" s="25">
        <f t="shared" si="2"/>
        <v>3.4188069277542739</v>
      </c>
      <c r="AF39" s="94">
        <v>7.68</v>
      </c>
      <c r="AG39" s="94">
        <v>7.7496799999999997</v>
      </c>
      <c r="AH39" s="94">
        <v>0.34449999999999997</v>
      </c>
      <c r="AI39" s="94">
        <v>-1.0004999999999999</v>
      </c>
      <c r="AJ39" s="94">
        <v>-1.2503</v>
      </c>
      <c r="AK39" s="94">
        <v>-2.5146999999999999</v>
      </c>
      <c r="AL39" s="94">
        <v>-0.1203</v>
      </c>
      <c r="AM39" s="94">
        <v>0.1983</v>
      </c>
      <c r="AN39" s="94">
        <v>-1.7797000000000001</v>
      </c>
      <c r="AO39" s="94">
        <v>-1.0647</v>
      </c>
    </row>
    <row r="40" spans="1:41" s="68" customFormat="1" x14ac:dyDescent="0.35">
      <c r="B40" s="28"/>
      <c r="E40" s="31"/>
      <c r="F40" s="25"/>
      <c r="G40" s="25"/>
      <c r="K40" s="65"/>
      <c r="L40" s="27"/>
      <c r="M40" s="186"/>
      <c r="N40" s="186"/>
      <c r="O40" s="27"/>
      <c r="P40" s="18"/>
      <c r="Q40" s="27"/>
      <c r="R40" s="11"/>
      <c r="S40" s="11"/>
      <c r="T40" s="11"/>
      <c r="U40" s="67"/>
      <c r="AB40" s="69"/>
      <c r="AC40" s="69"/>
      <c r="AD40" s="69"/>
      <c r="AF40" s="94"/>
      <c r="AG40" s="94"/>
      <c r="AH40" s="94"/>
      <c r="AI40" s="94"/>
      <c r="AJ40" s="94"/>
      <c r="AK40" s="94"/>
      <c r="AL40" s="94"/>
      <c r="AM40" s="94"/>
      <c r="AN40" s="94"/>
      <c r="AO40" s="94"/>
    </row>
    <row r="41" spans="1:41" x14ac:dyDescent="0.35">
      <c r="A41" s="43" t="s">
        <v>57</v>
      </c>
      <c r="B41" s="28"/>
      <c r="E41" s="31"/>
      <c r="F41" s="25"/>
      <c r="G41" s="25"/>
      <c r="H41" s="69">
        <f>AVERAGE(B91:B98)</f>
        <v>7.3162499999999993</v>
      </c>
      <c r="I41" s="165">
        <f>'Influent Results Master'!D35</f>
        <v>2012</v>
      </c>
      <c r="J41" s="165">
        <f>'Influent Results Master'!F35</f>
        <v>293.88888888888891</v>
      </c>
      <c r="K41" s="165">
        <f>'Influent Results Master'!G35</f>
        <v>661.22222222222217</v>
      </c>
      <c r="L41" s="165">
        <f>'Influent Results Master'!H35</f>
        <v>53.44444444444445</v>
      </c>
      <c r="M41" s="165">
        <f>'Influent Results Master'!I35</f>
        <v>3.3333333333333335</v>
      </c>
      <c r="N41" s="165">
        <f>'Influent Results Master'!J35</f>
        <v>800.8888888888888</v>
      </c>
      <c r="O41" s="165">
        <f>'Influent Results Master'!K35</f>
        <v>26.555555555555557</v>
      </c>
      <c r="P41" s="165">
        <f>'Influent Results Master'!L35</f>
        <v>183.55555555555557</v>
      </c>
      <c r="Q41" s="165">
        <f>'Influent Results Master'!M35</f>
        <v>35.531111111111109</v>
      </c>
      <c r="R41" s="165">
        <f>'Influent Results Master'!N35</f>
        <v>315.04444444444442</v>
      </c>
      <c r="S41" s="165">
        <f>'Influent Results Master'!O35</f>
        <v>16.411111111111111</v>
      </c>
      <c r="T41" s="170">
        <f>'Influent Results Master'!P35</f>
        <v>7.6787777777777784</v>
      </c>
      <c r="U41" s="171">
        <f>'Influent Results Master'!Q35</f>
        <v>0.20000000000000004</v>
      </c>
      <c r="V41" s="163">
        <f>'Influent Results Master'!R35</f>
        <v>0.44400000000000001</v>
      </c>
      <c r="W41" s="30">
        <f>'Influent Results Master'!S35</f>
        <v>8.1000000000000003E-2</v>
      </c>
      <c r="X41" s="170">
        <f>'Influent Results Master'!T35</f>
        <v>0.99611111111111106</v>
      </c>
      <c r="Y41" s="30">
        <f>'Influent Results Master'!U35</f>
        <v>9.8999999999999991E-2</v>
      </c>
      <c r="Z41" s="170">
        <f>'Influent Results Master'!V35</f>
        <v>1.699888888888889</v>
      </c>
      <c r="AB41" s="69">
        <f>((J41/50)+(L41/35.45)+(M41/62)+(N41/48.03))</f>
        <v>24.113905366209003</v>
      </c>
      <c r="AC41" s="69">
        <f t="shared" si="1"/>
        <v>25.98135601585059</v>
      </c>
      <c r="AD41" s="69">
        <f t="shared" si="2"/>
        <v>3.7277989935997597</v>
      </c>
      <c r="AF41" s="94">
        <v>7.32</v>
      </c>
      <c r="AG41" s="94">
        <v>5.8152100000000004</v>
      </c>
      <c r="AH41" s="94">
        <v>0.27029999999999998</v>
      </c>
      <c r="AI41" s="94">
        <v>-0.65820000000000001</v>
      </c>
      <c r="AJ41" s="94">
        <v>-0.90769999999999995</v>
      </c>
      <c r="AK41" s="94">
        <v>-1.9078999999999999</v>
      </c>
      <c r="AL41" s="94">
        <v>-0.34139999999999998</v>
      </c>
      <c r="AM41" s="94">
        <v>-4.6100000000000002E-2</v>
      </c>
      <c r="AN41" s="94">
        <v>-0.46089999999999998</v>
      </c>
      <c r="AO41" s="94">
        <v>-1.2117</v>
      </c>
    </row>
    <row r="42" spans="1:41" s="68" customFormat="1" x14ac:dyDescent="0.35">
      <c r="B42" s="28"/>
      <c r="E42" s="31"/>
      <c r="F42" s="25"/>
      <c r="G42" s="25"/>
      <c r="K42" s="65"/>
      <c r="L42" s="65"/>
      <c r="N42" s="31"/>
      <c r="O42" s="65"/>
      <c r="P42" s="66"/>
      <c r="Q42" s="65"/>
      <c r="R42" s="32"/>
      <c r="S42" s="32"/>
      <c r="T42" s="32"/>
      <c r="U42" s="171"/>
      <c r="X42" s="170"/>
      <c r="AB42" s="69"/>
      <c r="AC42" s="69"/>
      <c r="AD42" s="69"/>
      <c r="AF42" s="94"/>
      <c r="AG42" s="94"/>
      <c r="AH42" s="94"/>
      <c r="AI42" s="94"/>
      <c r="AJ42" s="94"/>
      <c r="AK42" s="94"/>
      <c r="AL42" s="94"/>
      <c r="AM42" s="94"/>
      <c r="AN42" s="94"/>
      <c r="AO42" s="94"/>
    </row>
    <row r="43" spans="1:41" x14ac:dyDescent="0.35">
      <c r="A43" s="43">
        <v>5</v>
      </c>
      <c r="B43" s="28">
        <v>43503</v>
      </c>
      <c r="C43" s="43">
        <v>23</v>
      </c>
      <c r="D43" s="43">
        <v>137</v>
      </c>
      <c r="E43" s="31">
        <f>D43+E39</f>
        <v>3099</v>
      </c>
      <c r="F43" s="25">
        <f t="shared" ref="F43:F46" si="21">D43/133</f>
        <v>1.0300751879699248</v>
      </c>
      <c r="G43" s="25">
        <f>G39+F43</f>
        <v>23.300676691729329</v>
      </c>
      <c r="H43" s="43">
        <v>7.47</v>
      </c>
      <c r="I43" s="43">
        <v>1574</v>
      </c>
      <c r="J43" s="43">
        <v>227</v>
      </c>
      <c r="K43" s="24">
        <v>145</v>
      </c>
      <c r="L43" s="24">
        <v>44</v>
      </c>
      <c r="M43" s="167">
        <v>1</v>
      </c>
      <c r="N43" s="31">
        <v>642</v>
      </c>
      <c r="O43" s="65">
        <v>21</v>
      </c>
      <c r="P43" s="175">
        <v>226.5</v>
      </c>
      <c r="Q43" s="175">
        <v>52.2</v>
      </c>
      <c r="R43" s="175">
        <v>99.29</v>
      </c>
      <c r="S43" s="175">
        <v>20.170000000000002</v>
      </c>
      <c r="T43" s="175">
        <v>10.29</v>
      </c>
      <c r="U43" s="171">
        <v>0.2</v>
      </c>
      <c r="V43" s="163">
        <v>0.20599999999999999</v>
      </c>
      <c r="W43" s="177">
        <v>0.02</v>
      </c>
      <c r="X43" s="170">
        <v>1.861</v>
      </c>
      <c r="Y43" s="177">
        <v>0.04</v>
      </c>
      <c r="Z43" s="170">
        <v>2.4729999999999999</v>
      </c>
      <c r="AB43" s="69">
        <f t="shared" ref="AB43:AB50" si="22">((J43/50)+(L43/35.45)+(M43/62)+(N43/48.03))</f>
        <v>19.163959645881953</v>
      </c>
      <c r="AC43" s="69">
        <f t="shared" si="1"/>
        <v>20.177163998746373</v>
      </c>
      <c r="AD43" s="69">
        <f t="shared" si="2"/>
        <v>2.5754331828871497</v>
      </c>
      <c r="AF43" s="94">
        <v>7.47</v>
      </c>
      <c r="AG43" s="94">
        <v>6.2579900000000004</v>
      </c>
      <c r="AH43" s="94">
        <v>0.44940000000000002</v>
      </c>
      <c r="AI43" s="94">
        <v>-0.623</v>
      </c>
      <c r="AJ43" s="94">
        <v>-0.87270000000000003</v>
      </c>
      <c r="AK43" s="94">
        <v>-2.1739999999999999</v>
      </c>
      <c r="AL43" s="94">
        <v>8.6099999999999996E-2</v>
      </c>
      <c r="AM43" s="94">
        <v>0.30159999999999998</v>
      </c>
      <c r="AN43" s="94">
        <v>-0.63560000000000005</v>
      </c>
      <c r="AO43" s="94">
        <v>-0.96330000000000005</v>
      </c>
    </row>
    <row r="44" spans="1:41" x14ac:dyDescent="0.35">
      <c r="A44" s="43">
        <v>5</v>
      </c>
      <c r="B44" s="28">
        <v>43504</v>
      </c>
      <c r="C44" s="43">
        <v>24</v>
      </c>
      <c r="D44" s="43">
        <v>134</v>
      </c>
      <c r="E44" s="31">
        <f t="shared" ref="E44:E46" si="23">D44+E43</f>
        <v>3233</v>
      </c>
      <c r="F44" s="25">
        <f t="shared" si="21"/>
        <v>1.0075187969924813</v>
      </c>
      <c r="G44" s="25">
        <f t="shared" ref="G44:G46" si="24">G43+F44</f>
        <v>24.308195488721811</v>
      </c>
      <c r="H44" s="43">
        <v>7.49</v>
      </c>
      <c r="I44" s="43">
        <v>1919</v>
      </c>
      <c r="J44" s="43">
        <v>276</v>
      </c>
      <c r="K44" s="24">
        <v>325</v>
      </c>
      <c r="L44" s="24">
        <v>63</v>
      </c>
      <c r="M44" s="167">
        <v>1</v>
      </c>
      <c r="N44" s="31">
        <v>788</v>
      </c>
      <c r="O44" s="65">
        <v>18</v>
      </c>
      <c r="P44" s="175">
        <v>228.3</v>
      </c>
      <c r="Q44" s="175">
        <v>55.93</v>
      </c>
      <c r="R44" s="175">
        <v>221.9</v>
      </c>
      <c r="S44" s="175">
        <v>19.66</v>
      </c>
      <c r="T44" s="175">
        <v>12.91</v>
      </c>
      <c r="U44" s="171">
        <v>0.2</v>
      </c>
      <c r="V44" s="163">
        <v>0.42699999999999999</v>
      </c>
      <c r="W44" s="177">
        <v>0.02</v>
      </c>
      <c r="X44" s="170">
        <v>1.748</v>
      </c>
      <c r="Y44" s="177">
        <v>0.04</v>
      </c>
      <c r="Z44" s="170">
        <v>2.3149999999999999</v>
      </c>
      <c r="AB44" s="69">
        <f t="shared" si="22"/>
        <v>23.719692607797214</v>
      </c>
      <c r="AC44" s="69">
        <f t="shared" si="1"/>
        <v>25.973923794472434</v>
      </c>
      <c r="AD44" s="69">
        <f t="shared" si="2"/>
        <v>4.5362590808992982</v>
      </c>
      <c r="AF44" s="94">
        <v>7.49</v>
      </c>
      <c r="AG44" s="94">
        <v>8.3635999999999999</v>
      </c>
      <c r="AH44" s="94">
        <v>0.51619999999999999</v>
      </c>
      <c r="AI44" s="94">
        <v>-0.58089999999999997</v>
      </c>
      <c r="AJ44" s="94">
        <v>-0.83040000000000003</v>
      </c>
      <c r="AK44" s="94">
        <v>-2.1139000000000001</v>
      </c>
      <c r="AL44" s="94">
        <v>0.24909999999999999</v>
      </c>
      <c r="AM44" s="94">
        <v>0.33150000000000002</v>
      </c>
      <c r="AN44" s="94">
        <v>-0.3735</v>
      </c>
      <c r="AO44" s="94">
        <v>-0.86709999999999998</v>
      </c>
    </row>
    <row r="45" spans="1:41" x14ac:dyDescent="0.35">
      <c r="A45" s="43">
        <v>5</v>
      </c>
      <c r="B45" s="28">
        <v>43505</v>
      </c>
      <c r="C45" s="43">
        <v>25</v>
      </c>
      <c r="D45" s="43">
        <v>135</v>
      </c>
      <c r="E45" s="31">
        <f t="shared" si="23"/>
        <v>3368</v>
      </c>
      <c r="F45" s="25">
        <f t="shared" si="21"/>
        <v>1.0150375939849625</v>
      </c>
      <c r="G45" s="25">
        <f t="shared" si="24"/>
        <v>25.323233082706775</v>
      </c>
      <c r="H45" s="43">
        <v>7.55</v>
      </c>
      <c r="I45" s="43">
        <v>2000</v>
      </c>
      <c r="J45" s="43">
        <v>281</v>
      </c>
      <c r="K45" s="24">
        <v>446</v>
      </c>
      <c r="L45" s="24">
        <v>63</v>
      </c>
      <c r="M45" s="167">
        <v>1</v>
      </c>
      <c r="N45" s="31">
        <v>824</v>
      </c>
      <c r="O45" s="65">
        <v>17</v>
      </c>
      <c r="P45" s="175">
        <v>185</v>
      </c>
      <c r="Q45" s="175">
        <v>48.61</v>
      </c>
      <c r="R45" s="21">
        <v>232</v>
      </c>
      <c r="S45" s="175">
        <v>19.170000000000002</v>
      </c>
      <c r="T45" s="175">
        <v>12.73</v>
      </c>
      <c r="U45" s="171">
        <v>0.2</v>
      </c>
      <c r="V45" s="163">
        <v>0.46800000000000003</v>
      </c>
      <c r="W45" s="177">
        <v>0.02</v>
      </c>
      <c r="X45" s="170">
        <v>1.371</v>
      </c>
      <c r="Y45" s="177">
        <v>0.04</v>
      </c>
      <c r="Z45" s="170">
        <v>1.944</v>
      </c>
      <c r="AB45" s="69">
        <f t="shared" si="22"/>
        <v>24.569224150582968</v>
      </c>
      <c r="AC45" s="69">
        <f t="shared" si="1"/>
        <v>23.64598933109081</v>
      </c>
      <c r="AD45" s="69">
        <f t="shared" si="2"/>
        <v>1.9148205572979009</v>
      </c>
      <c r="AF45" s="94">
        <v>7.55</v>
      </c>
      <c r="AG45" s="94">
        <v>0.41688599999999998</v>
      </c>
      <c r="AH45" s="94">
        <v>0.48720000000000002</v>
      </c>
      <c r="AI45" s="94">
        <v>-0.63980000000000004</v>
      </c>
      <c r="AJ45" s="94">
        <v>-0.88929999999999998</v>
      </c>
      <c r="AK45" s="94">
        <v>-2.1619000000000002</v>
      </c>
      <c r="AL45" s="94">
        <v>0.2235</v>
      </c>
      <c r="AM45" s="94">
        <v>0.29339999999999999</v>
      </c>
      <c r="AN45" s="94">
        <v>-0.43159999999999998</v>
      </c>
      <c r="AO45" s="94">
        <v>-0.86370000000000002</v>
      </c>
    </row>
    <row r="46" spans="1:41" x14ac:dyDescent="0.35">
      <c r="A46" s="43">
        <v>5</v>
      </c>
      <c r="B46" s="28">
        <v>43506</v>
      </c>
      <c r="C46" s="43">
        <v>26</v>
      </c>
      <c r="D46" s="43">
        <v>137</v>
      </c>
      <c r="E46" s="31">
        <f t="shared" si="23"/>
        <v>3505</v>
      </c>
      <c r="F46" s="25">
        <f t="shared" si="21"/>
        <v>1.0300751879699248</v>
      </c>
      <c r="G46" s="25">
        <f t="shared" si="24"/>
        <v>26.353308270676699</v>
      </c>
      <c r="H46" s="43">
        <v>7.6</v>
      </c>
      <c r="I46" s="43">
        <v>1946</v>
      </c>
      <c r="J46" s="43">
        <v>283</v>
      </c>
      <c r="K46" s="24">
        <v>519</v>
      </c>
      <c r="L46" s="24">
        <v>63</v>
      </c>
      <c r="M46" s="167">
        <v>1</v>
      </c>
      <c r="N46" s="31">
        <v>826</v>
      </c>
      <c r="O46" s="65">
        <v>16</v>
      </c>
      <c r="P46" s="175">
        <v>153.19999999999999</v>
      </c>
      <c r="Q46" s="175">
        <v>43.17</v>
      </c>
      <c r="R46" s="21">
        <v>242</v>
      </c>
      <c r="S46" s="175">
        <v>17.7</v>
      </c>
      <c r="T46" s="175">
        <v>11.97</v>
      </c>
      <c r="U46" s="171">
        <v>0.2</v>
      </c>
      <c r="V46" s="163">
        <v>0.48599999999999999</v>
      </c>
      <c r="W46" s="177">
        <v>0.02</v>
      </c>
      <c r="X46" s="170">
        <v>1.254</v>
      </c>
      <c r="Y46" s="177">
        <v>0.04</v>
      </c>
      <c r="Z46" s="170">
        <v>1.8029999999999999</v>
      </c>
      <c r="AB46" s="69">
        <f t="shared" si="22"/>
        <v>24.650864791848846</v>
      </c>
      <c r="AC46" s="69">
        <f t="shared" si="1"/>
        <v>22.027328949417093</v>
      </c>
      <c r="AD46" s="69">
        <f t="shared" si="2"/>
        <v>5.6204742132350587</v>
      </c>
      <c r="AF46" s="94">
        <v>7.6</v>
      </c>
      <c r="AG46" s="94">
        <v>-3.9649999999999999</v>
      </c>
      <c r="AH46" s="94">
        <v>0.45810000000000001</v>
      </c>
      <c r="AI46" s="94">
        <v>-0.70720000000000005</v>
      </c>
      <c r="AJ46" s="94">
        <v>-0.95669999999999999</v>
      </c>
      <c r="AK46" s="94">
        <v>-2.2058</v>
      </c>
      <c r="AL46" s="94">
        <v>0.1966</v>
      </c>
      <c r="AM46" s="94">
        <v>0.31069999999999998</v>
      </c>
      <c r="AN46" s="94">
        <v>-0.49740000000000001</v>
      </c>
      <c r="AO46" s="94">
        <v>-0.86140000000000005</v>
      </c>
    </row>
    <row r="47" spans="1:41" x14ac:dyDescent="0.35">
      <c r="A47" s="43">
        <v>5</v>
      </c>
      <c r="B47" s="28">
        <v>43507</v>
      </c>
      <c r="C47" s="68">
        <v>27</v>
      </c>
      <c r="D47" s="43">
        <v>137</v>
      </c>
      <c r="E47" s="31">
        <f t="shared" ref="E47:E48" si="25">D47+E46</f>
        <v>3642</v>
      </c>
      <c r="F47" s="25">
        <f t="shared" ref="F47:F48" si="26">D47/133</f>
        <v>1.0300751879699248</v>
      </c>
      <c r="G47" s="25">
        <f t="shared" ref="G47:G48" si="27">G46+F47</f>
        <v>27.383383458646623</v>
      </c>
      <c r="H47" s="43">
        <v>7.58</v>
      </c>
      <c r="I47" s="43">
        <v>1968</v>
      </c>
      <c r="J47" s="43">
        <v>279</v>
      </c>
      <c r="K47" s="24">
        <v>552</v>
      </c>
      <c r="L47" s="24">
        <v>63</v>
      </c>
      <c r="M47" s="167">
        <v>1</v>
      </c>
      <c r="N47" s="31">
        <v>829</v>
      </c>
      <c r="O47" s="43">
        <v>18</v>
      </c>
      <c r="P47" s="175">
        <v>149.1</v>
      </c>
      <c r="Q47" s="175">
        <v>44.45</v>
      </c>
      <c r="R47" s="21">
        <v>248</v>
      </c>
      <c r="S47" s="175">
        <v>17.940000000000001</v>
      </c>
      <c r="T47" s="175">
        <v>11.17</v>
      </c>
      <c r="U47" s="171">
        <v>0.2</v>
      </c>
      <c r="V47" s="163">
        <v>0.504</v>
      </c>
      <c r="W47" s="177">
        <v>0.02</v>
      </c>
      <c r="X47" s="170">
        <v>1.2410000000000001</v>
      </c>
      <c r="Y47" s="177">
        <v>0.04</v>
      </c>
      <c r="Z47" s="170">
        <v>1.788</v>
      </c>
      <c r="AB47" s="69">
        <f t="shared" si="22"/>
        <v>24.633325753747659</v>
      </c>
      <c r="AC47" s="69">
        <f t="shared" si="1"/>
        <v>22.16852396699494</v>
      </c>
      <c r="AD47" s="69">
        <f t="shared" si="2"/>
        <v>5.2664623331336378</v>
      </c>
      <c r="AF47" s="94">
        <v>7.58</v>
      </c>
      <c r="AG47" s="94">
        <v>-3.5776599999999998</v>
      </c>
      <c r="AH47" s="94">
        <v>0.4199</v>
      </c>
      <c r="AI47" s="94">
        <v>-0.71750000000000003</v>
      </c>
      <c r="AJ47" s="94">
        <v>-0.96699999999999997</v>
      </c>
      <c r="AK47" s="94">
        <v>-2.1916000000000002</v>
      </c>
      <c r="AL47" s="94">
        <v>0.1447</v>
      </c>
      <c r="AM47" s="94">
        <v>0.27960000000000002</v>
      </c>
      <c r="AN47" s="94">
        <v>-0.49430000000000002</v>
      </c>
      <c r="AO47" s="94">
        <v>-0.87519999999999998</v>
      </c>
    </row>
    <row r="48" spans="1:41" x14ac:dyDescent="0.35">
      <c r="A48" s="43">
        <v>5</v>
      </c>
      <c r="B48" s="28">
        <v>43508</v>
      </c>
      <c r="C48" s="68">
        <v>28</v>
      </c>
      <c r="D48" s="43">
        <v>133</v>
      </c>
      <c r="E48" s="31">
        <f t="shared" si="25"/>
        <v>3775</v>
      </c>
      <c r="F48" s="25">
        <f t="shared" si="26"/>
        <v>1</v>
      </c>
      <c r="G48" s="25">
        <f t="shared" si="27"/>
        <v>28.383383458646623</v>
      </c>
      <c r="H48" s="43">
        <v>7.59</v>
      </c>
      <c r="I48" s="43">
        <v>2000</v>
      </c>
      <c r="J48" s="43">
        <v>278</v>
      </c>
      <c r="K48" s="24">
        <v>592</v>
      </c>
      <c r="L48" s="24">
        <v>63</v>
      </c>
      <c r="M48" s="167">
        <v>1</v>
      </c>
      <c r="N48" s="31">
        <v>833</v>
      </c>
      <c r="O48" s="43">
        <v>23</v>
      </c>
      <c r="P48" s="175">
        <v>148.4</v>
      </c>
      <c r="Q48" s="175">
        <v>48.03</v>
      </c>
      <c r="R48" s="21">
        <v>246</v>
      </c>
      <c r="S48" s="175">
        <v>18.32</v>
      </c>
      <c r="T48" s="175">
        <v>10.95</v>
      </c>
      <c r="U48" s="171">
        <v>0.2</v>
      </c>
      <c r="V48" s="163">
        <v>0.499</v>
      </c>
      <c r="W48" s="177">
        <v>0.02</v>
      </c>
      <c r="X48" s="170">
        <v>1.1719999999999999</v>
      </c>
      <c r="Y48" s="177">
        <v>0.04</v>
      </c>
      <c r="Z48" s="170">
        <v>1.7390000000000001</v>
      </c>
      <c r="AB48" s="69">
        <f t="shared" si="22"/>
        <v>24.69660703627941</v>
      </c>
      <c r="AC48" s="69">
        <f t="shared" si="1"/>
        <v>22.335380778178198</v>
      </c>
      <c r="AD48" s="69">
        <f t="shared" si="2"/>
        <v>5.0204687656756288</v>
      </c>
      <c r="AF48" s="94">
        <v>7.59</v>
      </c>
      <c r="AG48" s="94">
        <v>-3.3194499999999998</v>
      </c>
      <c r="AH48" s="94">
        <v>0.42530000000000001</v>
      </c>
      <c r="AI48" s="94">
        <v>-0.71970000000000001</v>
      </c>
      <c r="AJ48" s="94">
        <v>-0.96930000000000005</v>
      </c>
      <c r="AK48" s="94">
        <v>-2.2037</v>
      </c>
      <c r="AL48" s="94">
        <v>0.19109999999999999</v>
      </c>
      <c r="AM48" s="94">
        <v>0.26190000000000002</v>
      </c>
      <c r="AN48" s="94">
        <v>-0.50170000000000003</v>
      </c>
      <c r="AO48" s="94">
        <v>-0.83420000000000005</v>
      </c>
    </row>
    <row r="49" spans="1:41" x14ac:dyDescent="0.35">
      <c r="A49" s="43">
        <v>5</v>
      </c>
      <c r="B49" s="28">
        <v>43509</v>
      </c>
      <c r="C49" s="68">
        <v>29</v>
      </c>
      <c r="D49" s="43">
        <v>135</v>
      </c>
      <c r="E49" s="31">
        <f>D49+E48</f>
        <v>3910</v>
      </c>
      <c r="F49" s="25">
        <f>D49/133</f>
        <v>1.0150375939849625</v>
      </c>
      <c r="G49" s="25">
        <f>G48+F49</f>
        <v>29.398421052631587</v>
      </c>
      <c r="H49" s="43">
        <v>7.83</v>
      </c>
      <c r="I49" s="43">
        <v>1956</v>
      </c>
      <c r="J49" s="43">
        <v>284</v>
      </c>
      <c r="K49" s="24">
        <v>622</v>
      </c>
      <c r="L49" s="24">
        <v>62</v>
      </c>
      <c r="M49" s="167">
        <v>1</v>
      </c>
      <c r="N49" s="31">
        <v>811</v>
      </c>
      <c r="O49" s="43">
        <v>20</v>
      </c>
      <c r="P49" s="175">
        <v>162.5</v>
      </c>
      <c r="Q49" s="175">
        <v>48.68</v>
      </c>
      <c r="R49" s="21">
        <v>255</v>
      </c>
      <c r="S49" s="175">
        <v>19.23</v>
      </c>
      <c r="T49" s="175">
        <v>10.36</v>
      </c>
      <c r="U49" s="171">
        <v>0.2</v>
      </c>
      <c r="V49" s="174">
        <v>0.502</v>
      </c>
      <c r="W49" s="177">
        <v>0.02</v>
      </c>
      <c r="X49" s="170">
        <v>1.167</v>
      </c>
      <c r="Y49" s="177">
        <v>0.04</v>
      </c>
      <c r="Z49" s="170">
        <v>1.738</v>
      </c>
      <c r="AB49" s="69">
        <f t="shared" si="22"/>
        <v>24.330351237643917</v>
      </c>
      <c r="AC49" s="69">
        <f t="shared" si="1"/>
        <v>23.468812580005363</v>
      </c>
      <c r="AD49" s="69">
        <f t="shared" si="2"/>
        <v>1.8024136592122593</v>
      </c>
      <c r="AF49" s="94">
        <v>7.83</v>
      </c>
      <c r="AG49" s="94">
        <v>0.57033</v>
      </c>
      <c r="AH49" s="94">
        <v>0.7107</v>
      </c>
      <c r="AI49" s="94">
        <v>-0.69569999999999999</v>
      </c>
      <c r="AJ49" s="94">
        <v>-0.94530000000000003</v>
      </c>
      <c r="AK49" s="94">
        <v>-2.4411</v>
      </c>
      <c r="AL49" s="94">
        <v>0.72819999999999996</v>
      </c>
      <c r="AM49" s="94">
        <v>0.50529999999999997</v>
      </c>
      <c r="AN49" s="94">
        <v>-0.4572</v>
      </c>
      <c r="AO49" s="94">
        <v>-0.58250000000000002</v>
      </c>
    </row>
    <row r="50" spans="1:41" x14ac:dyDescent="0.35">
      <c r="A50" s="43">
        <v>5</v>
      </c>
      <c r="B50" s="28">
        <v>43510</v>
      </c>
      <c r="C50" s="43">
        <v>30</v>
      </c>
      <c r="D50" s="43">
        <v>144</v>
      </c>
      <c r="E50" s="31">
        <f>D50+E49</f>
        <v>4054</v>
      </c>
      <c r="F50" s="25">
        <f>D50/133</f>
        <v>1.0827067669172932</v>
      </c>
      <c r="G50" s="25">
        <f>G49+F50</f>
        <v>30.481127819548881</v>
      </c>
      <c r="H50" s="43">
        <v>7.61</v>
      </c>
      <c r="I50" s="43">
        <v>2020</v>
      </c>
      <c r="J50" s="43">
        <v>283</v>
      </c>
      <c r="K50" s="24">
        <v>620</v>
      </c>
      <c r="L50" s="24">
        <v>65</v>
      </c>
      <c r="M50" s="65">
        <v>1.6</v>
      </c>
      <c r="N50" s="31">
        <v>829</v>
      </c>
      <c r="O50" s="43">
        <v>22</v>
      </c>
      <c r="P50" s="175">
        <v>160.6</v>
      </c>
      <c r="Q50" s="175">
        <v>49.4</v>
      </c>
      <c r="R50" s="21">
        <v>258</v>
      </c>
      <c r="S50" s="175">
        <v>18.87</v>
      </c>
      <c r="T50" s="175">
        <v>10.1</v>
      </c>
      <c r="U50" s="171">
        <v>0.2</v>
      </c>
      <c r="V50" s="174">
        <v>0.495</v>
      </c>
      <c r="W50" s="177">
        <v>0.02</v>
      </c>
      <c r="X50" s="170">
        <v>1.119</v>
      </c>
      <c r="Y50" s="177">
        <v>0.04</v>
      </c>
      <c r="Z50" s="170">
        <v>1.712</v>
      </c>
      <c r="AB50" s="69">
        <f t="shared" si="22"/>
        <v>24.779420662524217</v>
      </c>
      <c r="AC50" s="69">
        <f t="shared" si="1"/>
        <v>23.557054628762675</v>
      </c>
      <c r="AD50" s="69">
        <f t="shared" si="2"/>
        <v>2.5288687815883946</v>
      </c>
      <c r="AF50" s="94">
        <v>7.61</v>
      </c>
      <c r="AG50" s="94">
        <v>-0.32902399999999998</v>
      </c>
      <c r="AH50" s="94">
        <v>0.48599999999999999</v>
      </c>
      <c r="AI50" s="94">
        <v>-0.69410000000000005</v>
      </c>
      <c r="AJ50" s="94">
        <v>-0.94369999999999998</v>
      </c>
      <c r="AK50" s="94">
        <v>-2.2181999999999999</v>
      </c>
      <c r="AL50" s="94">
        <v>0.29020000000000001</v>
      </c>
      <c r="AM50" s="94">
        <v>0.26640000000000003</v>
      </c>
      <c r="AN50" s="94">
        <v>-0.4723</v>
      </c>
      <c r="AO50" s="94">
        <v>-0.79590000000000005</v>
      </c>
    </row>
    <row r="51" spans="1:41" s="68" customFormat="1" x14ac:dyDescent="0.35">
      <c r="B51" s="28"/>
      <c r="E51" s="31"/>
      <c r="F51" s="25"/>
      <c r="G51" s="25"/>
      <c r="K51" s="65"/>
      <c r="L51" s="65"/>
      <c r="N51" s="31"/>
      <c r="P51" s="66"/>
      <c r="Q51" s="65"/>
      <c r="R51" s="32"/>
      <c r="S51" s="32"/>
      <c r="T51" s="32"/>
      <c r="U51" s="67"/>
      <c r="AB51" s="69"/>
      <c r="AC51" s="69"/>
      <c r="AD51" s="69"/>
      <c r="AF51" s="94"/>
      <c r="AG51" s="94"/>
      <c r="AH51" s="94"/>
      <c r="AI51" s="94"/>
      <c r="AJ51" s="94"/>
      <c r="AK51" s="94"/>
      <c r="AL51" s="94"/>
      <c r="AM51" s="94"/>
      <c r="AN51" s="94"/>
      <c r="AO51" s="94"/>
    </row>
    <row r="52" spans="1:41" x14ac:dyDescent="0.35">
      <c r="A52" s="43" t="s">
        <v>76</v>
      </c>
      <c r="B52" s="28"/>
      <c r="F52" s="2"/>
      <c r="G52" s="2"/>
      <c r="H52" s="69">
        <f>AVERAGE(B99:B107)</f>
        <v>7.3466666666666658</v>
      </c>
      <c r="I52" s="165">
        <f>'Influent Results Master'!D38</f>
        <v>2311.5</v>
      </c>
      <c r="J52" s="165">
        <f>'Influent Results Master'!F38</f>
        <v>244.83333333333331</v>
      </c>
      <c r="K52" s="165">
        <f>'Influent Results Master'!G38</f>
        <v>85.666666666666671</v>
      </c>
      <c r="L52" s="165">
        <f>'Influent Results Master'!H38</f>
        <v>91.5</v>
      </c>
      <c r="M52" s="165">
        <f>'Influent Results Master'!I38</f>
        <v>16.333333333333332</v>
      </c>
      <c r="N52" s="165">
        <f>'Influent Results Master'!J38</f>
        <v>975.66666666666674</v>
      </c>
      <c r="O52" s="165">
        <f>'Influent Results Master'!K38</f>
        <v>20</v>
      </c>
      <c r="P52" s="165">
        <f>'Influent Results Master'!L38</f>
        <v>158.21666666666667</v>
      </c>
      <c r="Q52" s="165">
        <f>'Influent Results Master'!M38</f>
        <v>44.49</v>
      </c>
      <c r="R52" s="165">
        <f>'Influent Results Master'!N38</f>
        <v>407.98333333333335</v>
      </c>
      <c r="S52" s="165">
        <f>'Influent Results Master'!O38</f>
        <v>22.978333333333335</v>
      </c>
      <c r="T52" s="170">
        <f>'Influent Results Master'!P38</f>
        <v>8.5111666666666679</v>
      </c>
      <c r="U52" s="171">
        <f>'Influent Results Master'!Q38</f>
        <v>0.20000000000000004</v>
      </c>
      <c r="V52" s="177">
        <f>'Influent Results Master'!R38</f>
        <v>0.02</v>
      </c>
      <c r="W52" s="177">
        <f>'Influent Results Master'!S38</f>
        <v>0.02</v>
      </c>
      <c r="X52" s="163">
        <f>'Influent Results Master'!T38</f>
        <v>0.44666666666666671</v>
      </c>
      <c r="Y52" s="177">
        <f>'Influent Results Master'!U38</f>
        <v>0.04</v>
      </c>
      <c r="Z52" s="170">
        <f>'Influent Results Master'!V38</f>
        <v>1.7963333333333331</v>
      </c>
      <c r="AB52" s="69">
        <f>((J52/50)+(L52/35.45)+(M52/62)+(N52/48.03))</f>
        <v>28.054900498795039</v>
      </c>
      <c r="AC52" s="69">
        <f t="shared" si="1"/>
        <v>29.517558751050874</v>
      </c>
      <c r="AD52" s="69">
        <f t="shared" si="2"/>
        <v>2.5405519780010954</v>
      </c>
      <c r="AF52" s="94">
        <v>7.35</v>
      </c>
      <c r="AG52" s="94">
        <v>-0.38550800000000002</v>
      </c>
      <c r="AH52" s="94">
        <v>0.1191</v>
      </c>
      <c r="AI52" s="94">
        <v>-0.67869999999999997</v>
      </c>
      <c r="AJ52" s="94">
        <v>-0.92810000000000004</v>
      </c>
      <c r="AK52" s="94">
        <v>-2.0209000000000001</v>
      </c>
      <c r="AL52" s="94">
        <v>-0.47970000000000002</v>
      </c>
      <c r="AM52" s="94">
        <v>-0.54339999999999999</v>
      </c>
      <c r="AN52" s="94">
        <v>-1.9325000000000001</v>
      </c>
      <c r="AO52" s="94">
        <v>-1.1988000000000001</v>
      </c>
    </row>
    <row r="53" spans="1:41" s="68" customFormat="1" x14ac:dyDescent="0.35">
      <c r="B53" s="28"/>
      <c r="F53" s="69"/>
      <c r="G53" s="69"/>
      <c r="K53" s="65"/>
      <c r="L53" s="65"/>
      <c r="N53" s="31"/>
      <c r="P53" s="66"/>
      <c r="Q53" s="65"/>
      <c r="R53" s="32"/>
      <c r="S53" s="32"/>
      <c r="T53" s="32"/>
      <c r="U53" s="177"/>
      <c r="Y53" s="176"/>
      <c r="AB53" s="69"/>
      <c r="AC53" s="69"/>
      <c r="AD53" s="69"/>
      <c r="AF53" s="94"/>
      <c r="AG53" s="94"/>
      <c r="AH53" s="94"/>
      <c r="AI53" s="94"/>
      <c r="AJ53" s="94"/>
      <c r="AK53" s="94"/>
      <c r="AL53" s="94"/>
      <c r="AM53" s="94"/>
      <c r="AN53" s="94"/>
      <c r="AO53" s="94"/>
    </row>
    <row r="54" spans="1:41" x14ac:dyDescent="0.35">
      <c r="A54" s="43">
        <v>5</v>
      </c>
      <c r="B54" s="28">
        <v>43511</v>
      </c>
      <c r="C54" s="43">
        <v>31</v>
      </c>
      <c r="D54" s="43">
        <v>137</v>
      </c>
      <c r="E54" s="31">
        <f>D54+E50</f>
        <v>4191</v>
      </c>
      <c r="F54" s="25">
        <f>D54/133</f>
        <v>1.0300751879699248</v>
      </c>
      <c r="G54" s="25">
        <f>G50+F54</f>
        <v>31.511203007518805</v>
      </c>
      <c r="H54" s="43">
        <v>7.74</v>
      </c>
      <c r="I54" s="43">
        <v>2200</v>
      </c>
      <c r="J54" s="43">
        <v>257</v>
      </c>
      <c r="K54" s="24">
        <v>559</v>
      </c>
      <c r="L54" s="24">
        <v>79</v>
      </c>
      <c r="M54" s="186">
        <v>11</v>
      </c>
      <c r="N54" s="31">
        <v>986</v>
      </c>
      <c r="O54" s="43">
        <v>19</v>
      </c>
      <c r="P54" s="165">
        <v>188.7</v>
      </c>
      <c r="Q54" s="165">
        <v>59.01</v>
      </c>
      <c r="R54" s="12">
        <v>277</v>
      </c>
      <c r="S54" s="165">
        <v>19.48</v>
      </c>
      <c r="T54" s="165">
        <v>10.44</v>
      </c>
      <c r="U54" s="177">
        <v>0.2</v>
      </c>
      <c r="V54" s="163">
        <v>0.26500000000000001</v>
      </c>
      <c r="W54" s="177">
        <v>0.02</v>
      </c>
      <c r="X54" s="170">
        <v>1.254</v>
      </c>
      <c r="Y54" s="177">
        <v>0.04</v>
      </c>
      <c r="Z54" s="170">
        <v>2.032</v>
      </c>
      <c r="AB54" s="69">
        <f t="shared" ref="AB54:AB61" si="28">((J54/50)+(L54/35.45)+(M54/62)+(N54/48.03))</f>
        <v>28.074746331073296</v>
      </c>
      <c r="AC54" s="69">
        <f t="shared" si="1"/>
        <v>26.584688223342336</v>
      </c>
      <c r="AD54" s="69">
        <f t="shared" si="2"/>
        <v>2.7260766963250376</v>
      </c>
      <c r="AF54" s="94">
        <v>7.74</v>
      </c>
      <c r="AG54" s="94">
        <v>-4.04223</v>
      </c>
      <c r="AH54" s="94">
        <v>0.60950000000000004</v>
      </c>
      <c r="AI54" s="94">
        <v>-0.59760000000000002</v>
      </c>
      <c r="AJ54" s="94">
        <v>-0.84699999999999998</v>
      </c>
      <c r="AK54" s="94">
        <v>-2.3984999999999999</v>
      </c>
      <c r="AL54" s="94">
        <v>0.54590000000000005</v>
      </c>
      <c r="AM54" s="94">
        <v>0.36459999999999998</v>
      </c>
      <c r="AN54" s="94">
        <v>-0.71609999999999996</v>
      </c>
      <c r="AO54" s="94">
        <v>-0.66359999999999997</v>
      </c>
    </row>
    <row r="55" spans="1:41" x14ac:dyDescent="0.35">
      <c r="A55" s="43">
        <v>5</v>
      </c>
      <c r="B55" s="28">
        <v>43512</v>
      </c>
      <c r="C55" s="43">
        <v>32</v>
      </c>
      <c r="D55" s="43">
        <v>138</v>
      </c>
      <c r="E55" s="31">
        <f>D55+E54</f>
        <v>4329</v>
      </c>
      <c r="F55" s="25">
        <f>D55/133</f>
        <v>1.0375939849624061</v>
      </c>
      <c r="G55" s="25">
        <f>G54+F55</f>
        <v>32.548796992481215</v>
      </c>
      <c r="H55" s="43">
        <v>7.74</v>
      </c>
      <c r="I55" s="43">
        <v>2380</v>
      </c>
      <c r="J55" s="43">
        <v>247</v>
      </c>
      <c r="K55" s="24">
        <v>370</v>
      </c>
      <c r="L55" s="24">
        <v>87</v>
      </c>
      <c r="M55" s="186">
        <v>15</v>
      </c>
      <c r="N55" s="31">
        <v>1045</v>
      </c>
      <c r="O55" s="43">
        <v>17</v>
      </c>
      <c r="P55" s="175">
        <v>187.2</v>
      </c>
      <c r="Q55" s="175">
        <v>57.9</v>
      </c>
      <c r="R55" s="21">
        <v>302</v>
      </c>
      <c r="S55" s="175">
        <v>19.8</v>
      </c>
      <c r="T55" s="175">
        <v>10.5</v>
      </c>
      <c r="U55" s="177">
        <v>0.2</v>
      </c>
      <c r="V55" s="163">
        <v>0.11899999999999999</v>
      </c>
      <c r="W55" s="177">
        <v>0.02</v>
      </c>
      <c r="X55" s="170">
        <v>1.18</v>
      </c>
      <c r="Y55" s="177">
        <v>0.04</v>
      </c>
      <c r="Z55" s="170">
        <v>2.056</v>
      </c>
      <c r="AB55" s="69">
        <f t="shared" si="28"/>
        <v>29.393331335135763</v>
      </c>
      <c r="AC55" s="69">
        <f t="shared" si="1"/>
        <v>27.507518873152907</v>
      </c>
      <c r="AD55" s="69">
        <f t="shared" si="2"/>
        <v>3.3142078810417344</v>
      </c>
      <c r="AF55" s="94">
        <v>7.74</v>
      </c>
      <c r="AG55" s="94">
        <v>-4.6421099999999997</v>
      </c>
      <c r="AH55" s="94">
        <v>0.57889999999999997</v>
      </c>
      <c r="AI55" s="94">
        <v>-0.58699999999999997</v>
      </c>
      <c r="AJ55" s="94">
        <v>-0.83650000000000002</v>
      </c>
      <c r="AK55" s="94">
        <v>-2.4157999999999999</v>
      </c>
      <c r="AL55" s="94">
        <v>0.48060000000000003</v>
      </c>
      <c r="AM55" s="94">
        <v>0.31030000000000002</v>
      </c>
      <c r="AN55" s="94">
        <v>-1.0813999999999999</v>
      </c>
      <c r="AO55" s="94">
        <v>-0.69830000000000003</v>
      </c>
    </row>
    <row r="56" spans="1:41" x14ac:dyDescent="0.35">
      <c r="A56" s="43">
        <v>5</v>
      </c>
      <c r="B56" s="28">
        <v>43513</v>
      </c>
      <c r="C56" s="43">
        <v>33</v>
      </c>
      <c r="D56" s="43">
        <v>135</v>
      </c>
      <c r="E56" s="31">
        <f t="shared" ref="E56:E60" si="29">D56+E55</f>
        <v>4464</v>
      </c>
      <c r="F56" s="25">
        <f t="shared" ref="F56:F60" si="30">D56/133</f>
        <v>1.0150375939849625</v>
      </c>
      <c r="G56" s="25">
        <f t="shared" ref="G56:G60" si="31">G55+F56</f>
        <v>33.563834586466179</v>
      </c>
      <c r="H56" s="43">
        <v>7.72</v>
      </c>
      <c r="I56" s="43">
        <v>2390</v>
      </c>
      <c r="J56" s="43">
        <v>243</v>
      </c>
      <c r="K56" s="24">
        <v>269</v>
      </c>
      <c r="L56" s="24">
        <v>88</v>
      </c>
      <c r="M56" s="186">
        <v>16</v>
      </c>
      <c r="N56" s="31">
        <v>1045</v>
      </c>
      <c r="O56" s="43">
        <v>18</v>
      </c>
      <c r="P56" s="175">
        <v>175.5</v>
      </c>
      <c r="Q56" s="175">
        <v>52.71</v>
      </c>
      <c r="R56" s="21">
        <v>322</v>
      </c>
      <c r="S56" s="175">
        <v>19.68</v>
      </c>
      <c r="T56" s="175">
        <v>10.16</v>
      </c>
      <c r="U56" s="177">
        <v>0.2</v>
      </c>
      <c r="V56" s="176">
        <v>6.2E-2</v>
      </c>
      <c r="W56" s="177">
        <v>0.02</v>
      </c>
      <c r="X56" s="163">
        <v>0.96799999999999997</v>
      </c>
      <c r="Y56" s="177">
        <v>0.04</v>
      </c>
      <c r="Z56" s="170">
        <v>1.776</v>
      </c>
      <c r="AB56" s="69">
        <f t="shared" si="28"/>
        <v>29.357669112104688</v>
      </c>
      <c r="AC56" s="69">
        <f t="shared" si="1"/>
        <v>27.35812512879885</v>
      </c>
      <c r="AD56" s="69">
        <f t="shared" si="2"/>
        <v>3.525550527975791</v>
      </c>
      <c r="AF56" s="94">
        <v>7.72</v>
      </c>
      <c r="AG56" s="94">
        <v>-5.2930700000000002</v>
      </c>
      <c r="AH56" s="94">
        <v>0.5242</v>
      </c>
      <c r="AI56" s="94">
        <v>-0.61109999999999998</v>
      </c>
      <c r="AJ56" s="94">
        <v>-0.86060000000000003</v>
      </c>
      <c r="AK56" s="94">
        <v>-2.4009</v>
      </c>
      <c r="AL56" s="94">
        <v>0.35859999999999997</v>
      </c>
      <c r="AM56" s="94">
        <v>0.19800000000000001</v>
      </c>
      <c r="AN56" s="94">
        <v>-1.3942000000000001</v>
      </c>
      <c r="AO56" s="94">
        <v>-0.76559999999999995</v>
      </c>
    </row>
    <row r="57" spans="1:41" x14ac:dyDescent="0.35">
      <c r="A57" s="43">
        <v>5</v>
      </c>
      <c r="B57" s="28">
        <v>43514</v>
      </c>
      <c r="C57" s="43">
        <v>34</v>
      </c>
      <c r="D57" s="31">
        <v>135</v>
      </c>
      <c r="E57" s="31">
        <f t="shared" si="29"/>
        <v>4599</v>
      </c>
      <c r="F57" s="25">
        <f t="shared" si="30"/>
        <v>1.0150375939849625</v>
      </c>
      <c r="G57" s="25">
        <f t="shared" si="31"/>
        <v>34.578872180451143</v>
      </c>
      <c r="H57" s="43">
        <v>7.69</v>
      </c>
      <c r="I57" s="43">
        <v>2410</v>
      </c>
      <c r="J57" s="43">
        <v>226</v>
      </c>
      <c r="K57" s="24">
        <v>207</v>
      </c>
      <c r="L57" s="24">
        <v>88</v>
      </c>
      <c r="M57" s="186">
        <v>15</v>
      </c>
      <c r="N57" s="31">
        <v>1062</v>
      </c>
      <c r="O57" s="43">
        <v>20</v>
      </c>
      <c r="P57" s="175">
        <v>155.19999999999999</v>
      </c>
      <c r="Q57" s="175">
        <v>45.4</v>
      </c>
      <c r="R57" s="21">
        <v>332</v>
      </c>
      <c r="S57" s="175">
        <v>18.54</v>
      </c>
      <c r="T57" s="172">
        <v>9.0969999999999995</v>
      </c>
      <c r="U57" s="177">
        <v>0.2</v>
      </c>
      <c r="V57" s="176">
        <v>4.7E-2</v>
      </c>
      <c r="W57" s="177">
        <v>0.02</v>
      </c>
      <c r="X57" s="163">
        <v>0.90600000000000003</v>
      </c>
      <c r="Y57" s="177">
        <v>0.04</v>
      </c>
      <c r="Z57" s="170">
        <v>1.744</v>
      </c>
      <c r="AB57" s="69">
        <f t="shared" si="28"/>
        <v>29.355485530606568</v>
      </c>
      <c r="AC57" s="69">
        <f t="shared" si="1"/>
        <v>26.151784787183658</v>
      </c>
      <c r="AD57" s="69">
        <f t="shared" si="2"/>
        <v>5.7716777011030853</v>
      </c>
      <c r="AF57" s="94">
        <v>7.69</v>
      </c>
      <c r="AG57" s="94">
        <v>-8.0041700000000002</v>
      </c>
      <c r="AH57" s="94">
        <v>0.40860000000000002</v>
      </c>
      <c r="AI57" s="94">
        <v>-0.65039999999999998</v>
      </c>
      <c r="AJ57" s="94">
        <v>-0.89990000000000003</v>
      </c>
      <c r="AK57" s="94">
        <v>-2.399</v>
      </c>
      <c r="AL57" s="94">
        <v>0.1166</v>
      </c>
      <c r="AM57" s="94">
        <v>0.1094</v>
      </c>
      <c r="AN57" s="94">
        <v>-1.5705</v>
      </c>
      <c r="AO57" s="94">
        <v>-0.89200000000000002</v>
      </c>
    </row>
    <row r="58" spans="1:41" x14ac:dyDescent="0.35">
      <c r="A58" s="43">
        <v>5</v>
      </c>
      <c r="B58" s="28">
        <v>43515</v>
      </c>
      <c r="C58" s="43">
        <v>35</v>
      </c>
      <c r="D58" s="43">
        <v>135</v>
      </c>
      <c r="E58" s="31">
        <f t="shared" si="29"/>
        <v>4734</v>
      </c>
      <c r="F58" s="25">
        <f t="shared" si="30"/>
        <v>1.0150375939849625</v>
      </c>
      <c r="G58" s="25">
        <f t="shared" si="31"/>
        <v>35.593909774436106</v>
      </c>
      <c r="H58" s="43">
        <v>7.6</v>
      </c>
      <c r="I58" s="43">
        <v>2400</v>
      </c>
      <c r="J58" s="43">
        <v>239</v>
      </c>
      <c r="K58" s="24">
        <v>178</v>
      </c>
      <c r="L58" s="24">
        <v>87</v>
      </c>
      <c r="M58" s="186">
        <v>14</v>
      </c>
      <c r="N58" s="31">
        <v>1043</v>
      </c>
      <c r="O58" s="43">
        <v>18</v>
      </c>
      <c r="P58" s="175">
        <v>159.1</v>
      </c>
      <c r="Q58" s="175">
        <v>44.96</v>
      </c>
      <c r="R58" s="21">
        <v>338</v>
      </c>
      <c r="S58" s="175">
        <v>19.55</v>
      </c>
      <c r="T58" s="172">
        <v>9.1709999999999994</v>
      </c>
      <c r="U58" s="177">
        <v>0.2</v>
      </c>
      <c r="V58" s="176">
        <v>3.7999999999999999E-2</v>
      </c>
      <c r="W58" s="177">
        <v>0.02</v>
      </c>
      <c r="X58" s="163">
        <v>0.877</v>
      </c>
      <c r="Y58" s="177">
        <v>0.04</v>
      </c>
      <c r="Z58" s="170">
        <v>1.7689999999999999</v>
      </c>
      <c r="AB58" s="69">
        <f t="shared" si="28"/>
        <v>29.175561661611823</v>
      </c>
      <c r="AC58" s="69">
        <f t="shared" si="1"/>
        <v>26.573086974323317</v>
      </c>
      <c r="AD58" s="69">
        <f t="shared" si="2"/>
        <v>4.6682291875519502</v>
      </c>
      <c r="AF58" s="94">
        <v>7.6</v>
      </c>
      <c r="AG58" s="94">
        <v>-6.5260600000000002</v>
      </c>
      <c r="AH58" s="94">
        <v>0.35780000000000001</v>
      </c>
      <c r="AI58" s="94">
        <v>-0.6462</v>
      </c>
      <c r="AJ58" s="94">
        <v>-0.89570000000000005</v>
      </c>
      <c r="AK58" s="94">
        <v>-2.2835000000000001</v>
      </c>
      <c r="AL58" s="94">
        <v>-5.0000000000000001E-4</v>
      </c>
      <c r="AM58" s="94">
        <v>3.27E-2</v>
      </c>
      <c r="AN58" s="94">
        <v>-1.6491</v>
      </c>
      <c r="AO58" s="94">
        <v>-0.95820000000000005</v>
      </c>
    </row>
    <row r="59" spans="1:41" x14ac:dyDescent="0.35">
      <c r="A59" s="43">
        <v>5</v>
      </c>
      <c r="B59" s="28">
        <v>43516</v>
      </c>
      <c r="C59" s="43">
        <v>36</v>
      </c>
      <c r="D59" s="43">
        <v>136</v>
      </c>
      <c r="E59" s="31">
        <f t="shared" si="29"/>
        <v>4870</v>
      </c>
      <c r="F59" s="25">
        <f t="shared" si="30"/>
        <v>1.0225563909774436</v>
      </c>
      <c r="G59" s="25">
        <f t="shared" si="31"/>
        <v>36.616466165413549</v>
      </c>
      <c r="H59" s="43">
        <v>7.53</v>
      </c>
      <c r="I59" s="43">
        <v>2390</v>
      </c>
      <c r="J59" s="43">
        <v>242</v>
      </c>
      <c r="K59" s="24">
        <v>198</v>
      </c>
      <c r="L59" s="24">
        <v>88</v>
      </c>
      <c r="M59" s="186">
        <v>15</v>
      </c>
      <c r="N59" s="31">
        <v>1042</v>
      </c>
      <c r="O59" s="43">
        <v>19</v>
      </c>
      <c r="P59" s="175">
        <v>156.1</v>
      </c>
      <c r="Q59" s="175">
        <v>42.93</v>
      </c>
      <c r="R59" s="21">
        <v>347</v>
      </c>
      <c r="S59" s="175">
        <v>19.68</v>
      </c>
      <c r="T59" s="172">
        <v>9.048</v>
      </c>
      <c r="U59" s="177">
        <v>0.2</v>
      </c>
      <c r="V59" s="176">
        <v>4.2000000000000003E-2</v>
      </c>
      <c r="W59" s="177">
        <v>0.02</v>
      </c>
      <c r="X59" s="163">
        <v>0.82</v>
      </c>
      <c r="Y59" s="177">
        <v>0.04</v>
      </c>
      <c r="Z59" s="170">
        <v>1.74</v>
      </c>
      <c r="AB59" s="69">
        <f t="shared" si="28"/>
        <v>29.259079117947813</v>
      </c>
      <c r="AC59" s="69">
        <f t="shared" si="1"/>
        <v>26.644774360150066</v>
      </c>
      <c r="AD59" s="69">
        <f t="shared" si="2"/>
        <v>4.6764303266177958</v>
      </c>
      <c r="AF59" s="94">
        <v>7.53</v>
      </c>
      <c r="AG59" s="94">
        <v>-6.4605600000000001</v>
      </c>
      <c r="AH59" s="94">
        <v>0.28570000000000001</v>
      </c>
      <c r="AI59" s="94">
        <v>-0.65390000000000004</v>
      </c>
      <c r="AJ59" s="94">
        <v>-0.90329999999999999</v>
      </c>
      <c r="AK59" s="94">
        <v>-2.2069000000000001</v>
      </c>
      <c r="AL59" s="94">
        <v>-0.15640000000000001</v>
      </c>
      <c r="AM59" s="94">
        <v>-6.0499999999999998E-2</v>
      </c>
      <c r="AN59" s="94">
        <v>-1.6145</v>
      </c>
      <c r="AO59" s="94">
        <v>-1.0421</v>
      </c>
    </row>
    <row r="60" spans="1:41" x14ac:dyDescent="0.35">
      <c r="A60" s="43">
        <v>5</v>
      </c>
      <c r="B60" s="28">
        <v>43517</v>
      </c>
      <c r="C60" s="43">
        <v>37</v>
      </c>
      <c r="D60" s="43">
        <v>134</v>
      </c>
      <c r="E60" s="31">
        <f t="shared" si="29"/>
        <v>5004</v>
      </c>
      <c r="F60" s="25">
        <f t="shared" si="30"/>
        <v>1.0075187969924813</v>
      </c>
      <c r="G60" s="25">
        <f t="shared" si="31"/>
        <v>37.623984962406027</v>
      </c>
      <c r="H60" s="43">
        <v>7.6</v>
      </c>
      <c r="I60" s="43">
        <v>2410</v>
      </c>
      <c r="J60" s="43">
        <v>237</v>
      </c>
      <c r="K60" s="24">
        <v>156</v>
      </c>
      <c r="L60" s="24">
        <v>88</v>
      </c>
      <c r="M60" s="186">
        <v>15</v>
      </c>
      <c r="N60" s="31">
        <v>1046</v>
      </c>
      <c r="O60" s="43">
        <v>17</v>
      </c>
      <c r="P60" s="175">
        <v>159.19999999999999</v>
      </c>
      <c r="Q60" s="175">
        <v>40.46</v>
      </c>
      <c r="R60" s="21">
        <v>337</v>
      </c>
      <c r="S60" s="175">
        <v>19.91</v>
      </c>
      <c r="T60" s="172">
        <v>8.8800000000000008</v>
      </c>
      <c r="U60" s="177">
        <v>0.2</v>
      </c>
      <c r="V60" s="176">
        <v>0.04</v>
      </c>
      <c r="W60" s="177">
        <v>0.02</v>
      </c>
      <c r="X60" s="163">
        <v>0.77</v>
      </c>
      <c r="Y60" s="177">
        <v>0.04</v>
      </c>
      <c r="Z60" s="170">
        <v>1.74</v>
      </c>
      <c r="AB60" s="69">
        <f t="shared" si="28"/>
        <v>29.242360400479562</v>
      </c>
      <c r="AC60" s="69">
        <f t="shared" si="1"/>
        <v>26.157071576882966</v>
      </c>
      <c r="AD60" s="69">
        <f t="shared" si="2"/>
        <v>5.5691705013461421</v>
      </c>
      <c r="AF60" s="94">
        <v>7.6</v>
      </c>
      <c r="AG60" s="94">
        <v>-7.55016</v>
      </c>
      <c r="AH60" s="94">
        <v>0.35410000000000003</v>
      </c>
      <c r="AI60" s="94">
        <v>-0.64280000000000004</v>
      </c>
      <c r="AJ60" s="94">
        <v>-0.89229999999999998</v>
      </c>
      <c r="AK60" s="94">
        <v>-2.2866</v>
      </c>
      <c r="AL60" s="94">
        <v>-5.3600000000000002E-2</v>
      </c>
      <c r="AM60" s="94">
        <v>-2.7099999999999999E-2</v>
      </c>
      <c r="AN60" s="94">
        <v>-1.6268</v>
      </c>
      <c r="AO60" s="94">
        <v>-1.0078</v>
      </c>
    </row>
    <row r="61" spans="1:41" s="68" customFormat="1" x14ac:dyDescent="0.35">
      <c r="A61" s="68">
        <v>5</v>
      </c>
      <c r="B61" s="28">
        <v>43518</v>
      </c>
      <c r="C61" s="68">
        <v>38</v>
      </c>
      <c r="D61" s="68">
        <v>137</v>
      </c>
      <c r="E61" s="31">
        <f t="shared" ref="E61" si="32">D61+E60</f>
        <v>5141</v>
      </c>
      <c r="F61" s="25">
        <f t="shared" ref="F61" si="33">D61/133</f>
        <v>1.0300751879699248</v>
      </c>
      <c r="G61" s="25">
        <f t="shared" ref="G61" si="34">G60+F61</f>
        <v>38.654060150375955</v>
      </c>
      <c r="H61" s="68">
        <v>7.49</v>
      </c>
      <c r="I61" s="68">
        <v>2420</v>
      </c>
      <c r="J61" s="68">
        <v>237</v>
      </c>
      <c r="K61" s="65">
        <v>143</v>
      </c>
      <c r="L61" s="65">
        <v>88</v>
      </c>
      <c r="M61" s="186">
        <v>14</v>
      </c>
      <c r="N61" s="31">
        <v>1060</v>
      </c>
      <c r="O61" s="68">
        <v>16</v>
      </c>
      <c r="P61" s="175">
        <v>160.19999999999999</v>
      </c>
      <c r="Q61" s="175">
        <v>39.47</v>
      </c>
      <c r="R61" s="21">
        <v>348</v>
      </c>
      <c r="S61" s="175">
        <v>20.14</v>
      </c>
      <c r="T61" s="172">
        <v>8.6329999999999991</v>
      </c>
      <c r="U61" s="177">
        <v>0.2</v>
      </c>
      <c r="V61" s="176">
        <v>0.04</v>
      </c>
      <c r="W61" s="177">
        <v>0.02</v>
      </c>
      <c r="X61" s="163">
        <v>0.74</v>
      </c>
      <c r="Y61" s="177">
        <v>0.04</v>
      </c>
      <c r="Z61" s="170">
        <v>1.79</v>
      </c>
      <c r="AB61" s="69">
        <f t="shared" si="28"/>
        <v>29.517715857082624</v>
      </c>
      <c r="AC61" s="69">
        <f t="shared" si="1"/>
        <v>26.597709066771216</v>
      </c>
      <c r="AD61" s="69">
        <f t="shared" si="2"/>
        <v>5.2035724478139995</v>
      </c>
      <c r="AF61" s="94">
        <v>7.49</v>
      </c>
      <c r="AG61" s="94">
        <v>-7.1379299999999999</v>
      </c>
      <c r="AH61" s="94">
        <v>0.24579999999999999</v>
      </c>
      <c r="AI61" s="94">
        <v>-0.63759999999999994</v>
      </c>
      <c r="AJ61" s="94">
        <v>-0.88700000000000001</v>
      </c>
      <c r="AK61" s="94">
        <v>-2.1753999999999998</v>
      </c>
      <c r="AL61" s="94">
        <v>-0.28370000000000001</v>
      </c>
      <c r="AM61" s="94">
        <v>-0.15609999999999999</v>
      </c>
      <c r="AN61" s="94">
        <v>-1.6276999999999999</v>
      </c>
      <c r="AO61" s="94">
        <v>-1.1294999999999999</v>
      </c>
    </row>
    <row r="62" spans="1:41" x14ac:dyDescent="0.35">
      <c r="B62" s="28"/>
      <c r="F62" s="2"/>
      <c r="G62" s="2"/>
      <c r="K62" s="24"/>
      <c r="L62" s="24"/>
      <c r="N62" s="31"/>
      <c r="P62" s="66"/>
      <c r="Q62" s="65"/>
      <c r="R62" s="32"/>
      <c r="S62" s="32"/>
      <c r="T62" s="32"/>
      <c r="U62" s="8"/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1" s="31" customFormat="1" x14ac:dyDescent="0.35">
      <c r="A63" s="31" t="s">
        <v>33</v>
      </c>
      <c r="F63" s="25"/>
      <c r="G63" s="25"/>
      <c r="AF63" s="43"/>
      <c r="AG63" s="43"/>
      <c r="AH63" s="43"/>
      <c r="AI63" s="43"/>
      <c r="AJ63" s="43"/>
      <c r="AK63" s="43"/>
      <c r="AL63" s="43"/>
      <c r="AM63" s="43"/>
      <c r="AN63" s="43"/>
      <c r="AO63" s="43"/>
    </row>
    <row r="64" spans="1:41" x14ac:dyDescent="0.35">
      <c r="A64" s="31"/>
      <c r="B64" s="31"/>
      <c r="C64" s="31"/>
      <c r="D64" s="31"/>
      <c r="E64" s="31"/>
      <c r="F64" s="31"/>
      <c r="G64" s="31"/>
    </row>
    <row r="65" spans="1:41" x14ac:dyDescent="0.35">
      <c r="A65" s="31" t="s">
        <v>32</v>
      </c>
      <c r="B65" s="31"/>
      <c r="C65" s="31"/>
      <c r="D65" s="31"/>
      <c r="E65" s="31"/>
      <c r="F65" s="31"/>
      <c r="G65" s="31"/>
    </row>
    <row r="66" spans="1:41" x14ac:dyDescent="0.35">
      <c r="A66" s="31"/>
      <c r="B66" s="31"/>
      <c r="C66" s="31"/>
      <c r="D66" s="31"/>
      <c r="E66" s="31"/>
      <c r="F66" s="31"/>
      <c r="G66" s="31"/>
    </row>
    <row r="67" spans="1:41" x14ac:dyDescent="0.35">
      <c r="A67" s="31" t="s">
        <v>10</v>
      </c>
      <c r="B67" s="31" t="s">
        <v>14</v>
      </c>
      <c r="C67" s="31"/>
      <c r="D67" s="31"/>
      <c r="E67" s="31"/>
    </row>
    <row r="68" spans="1:41" x14ac:dyDescent="0.35">
      <c r="A68" s="31"/>
      <c r="B68" s="31"/>
      <c r="C68" s="31"/>
      <c r="D68" s="31"/>
      <c r="E68" s="31"/>
    </row>
    <row r="69" spans="1:41" x14ac:dyDescent="0.35">
      <c r="A69" s="28">
        <v>43480</v>
      </c>
      <c r="B69" s="31">
        <v>7.1</v>
      </c>
      <c r="C69" s="31" t="s">
        <v>79</v>
      </c>
      <c r="D69" s="31"/>
      <c r="E69" s="31"/>
      <c r="F69" s="31"/>
      <c r="G69" s="31"/>
    </row>
    <row r="70" spans="1:41" x14ac:dyDescent="0.35">
      <c r="A70" s="28">
        <v>43481</v>
      </c>
      <c r="B70" s="31">
        <v>7.1</v>
      </c>
      <c r="C70" s="31"/>
      <c r="D70" s="31"/>
      <c r="E70" s="28"/>
      <c r="F70" s="31"/>
      <c r="G70" s="31"/>
      <c r="AF70" s="68"/>
      <c r="AG70" s="68"/>
      <c r="AH70" s="68"/>
      <c r="AI70" s="68"/>
      <c r="AJ70" s="68"/>
      <c r="AK70" s="68"/>
      <c r="AL70" s="68"/>
      <c r="AM70" s="68"/>
      <c r="AN70" s="68"/>
      <c r="AO70" s="68"/>
    </row>
    <row r="71" spans="1:41" x14ac:dyDescent="0.35">
      <c r="A71" s="28">
        <v>43482</v>
      </c>
      <c r="B71" s="31">
        <v>7.2</v>
      </c>
      <c r="C71" s="31"/>
      <c r="D71" s="31"/>
      <c r="E71" s="28"/>
      <c r="F71" s="31"/>
      <c r="G71" s="31"/>
    </row>
    <row r="72" spans="1:41" x14ac:dyDescent="0.35">
      <c r="A72" s="28">
        <v>43483</v>
      </c>
      <c r="B72" s="31">
        <v>7.2</v>
      </c>
      <c r="C72" s="31"/>
      <c r="D72" s="31"/>
      <c r="E72" s="28"/>
      <c r="F72" s="31"/>
      <c r="G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</row>
    <row r="73" spans="1:41" x14ac:dyDescent="0.35">
      <c r="A73" s="28">
        <v>43484</v>
      </c>
      <c r="B73" s="31">
        <v>7.2</v>
      </c>
      <c r="C73" s="31"/>
      <c r="D73" s="31"/>
      <c r="E73" s="28"/>
      <c r="F73" s="31"/>
      <c r="G73" s="31"/>
    </row>
    <row r="74" spans="1:41" x14ac:dyDescent="0.35">
      <c r="A74" s="28">
        <v>43485</v>
      </c>
      <c r="B74" s="31">
        <v>7.3</v>
      </c>
      <c r="C74" s="31"/>
      <c r="D74" s="31"/>
      <c r="E74" s="28"/>
      <c r="F74" s="31"/>
      <c r="G74" s="31"/>
    </row>
    <row r="75" spans="1:41" x14ac:dyDescent="0.35">
      <c r="A75" s="28">
        <v>43486</v>
      </c>
      <c r="B75" s="31">
        <v>7.4</v>
      </c>
      <c r="C75" s="31"/>
      <c r="D75" s="31"/>
      <c r="E75" s="28"/>
      <c r="F75" s="31"/>
      <c r="G75" s="31"/>
    </row>
    <row r="76" spans="1:41" x14ac:dyDescent="0.35">
      <c r="A76" s="28">
        <v>43487</v>
      </c>
      <c r="B76" s="31">
        <v>8.01</v>
      </c>
      <c r="C76" s="31" t="s">
        <v>108</v>
      </c>
      <c r="E76" s="28"/>
      <c r="F76" s="31"/>
      <c r="G76" s="31"/>
    </row>
    <row r="77" spans="1:41" x14ac:dyDescent="0.35">
      <c r="A77" s="28">
        <v>43488</v>
      </c>
      <c r="B77" s="31">
        <v>8.0299999999999994</v>
      </c>
      <c r="C77" s="31"/>
      <c r="D77" s="31"/>
      <c r="E77" s="28"/>
      <c r="F77" s="31"/>
      <c r="G77" s="31"/>
    </row>
    <row r="78" spans="1:41" x14ac:dyDescent="0.35">
      <c r="A78" s="28">
        <v>43489</v>
      </c>
      <c r="B78" s="31">
        <v>8.0500000000000007</v>
      </c>
      <c r="C78" s="31"/>
      <c r="D78" s="31"/>
      <c r="E78" s="28"/>
      <c r="F78" s="31"/>
      <c r="G78" s="31"/>
    </row>
    <row r="79" spans="1:41" x14ac:dyDescent="0.35">
      <c r="A79" s="28">
        <v>43490</v>
      </c>
      <c r="B79" s="31">
        <v>8</v>
      </c>
      <c r="C79" s="31"/>
      <c r="D79" s="31"/>
      <c r="E79" s="28"/>
      <c r="F79" s="31"/>
      <c r="G79" s="31"/>
    </row>
    <row r="80" spans="1:41" x14ac:dyDescent="0.35">
      <c r="A80" s="28">
        <v>43491</v>
      </c>
      <c r="B80" s="31">
        <v>8.08</v>
      </c>
      <c r="C80" s="31"/>
      <c r="D80" s="31"/>
      <c r="E80" s="28"/>
      <c r="F80" s="31"/>
      <c r="G80" s="31"/>
    </row>
    <row r="81" spans="1:41" x14ac:dyDescent="0.35">
      <c r="A81" s="28">
        <v>43492</v>
      </c>
      <c r="B81" s="31">
        <v>8</v>
      </c>
      <c r="C81" s="31"/>
      <c r="D81" s="31"/>
      <c r="E81" s="28"/>
      <c r="F81" s="31"/>
      <c r="G81" s="31"/>
    </row>
    <row r="82" spans="1:41" x14ac:dyDescent="0.35">
      <c r="A82" s="28">
        <v>43493</v>
      </c>
      <c r="B82" s="31">
        <v>8.0299999999999994</v>
      </c>
      <c r="C82" s="31"/>
      <c r="D82" s="31"/>
      <c r="E82" s="28"/>
      <c r="F82" s="31"/>
      <c r="G82" s="31"/>
    </row>
    <row r="83" spans="1:41" x14ac:dyDescent="0.35">
      <c r="A83" s="28">
        <v>43494</v>
      </c>
      <c r="B83" s="31">
        <v>8.1199999999999992</v>
      </c>
      <c r="C83" s="31"/>
      <c r="D83" s="31"/>
      <c r="E83" s="31"/>
      <c r="F83" s="25"/>
      <c r="G83" s="25"/>
    </row>
    <row r="84" spans="1:41" x14ac:dyDescent="0.35">
      <c r="A84" s="28">
        <v>43495</v>
      </c>
      <c r="B84" s="31">
        <v>8.1</v>
      </c>
      <c r="C84" s="31"/>
      <c r="D84" s="31"/>
      <c r="E84" s="31"/>
      <c r="F84" s="25"/>
      <c r="G84" s="25"/>
    </row>
    <row r="85" spans="1:41" x14ac:dyDescent="0.35">
      <c r="A85" s="28">
        <v>43496</v>
      </c>
      <c r="B85" s="31">
        <v>8.1</v>
      </c>
      <c r="C85" s="31"/>
      <c r="D85" s="31"/>
      <c r="E85" s="31"/>
      <c r="F85" s="25"/>
      <c r="G85" s="25"/>
    </row>
    <row r="86" spans="1:41" x14ac:dyDescent="0.35">
      <c r="A86" s="28">
        <v>43497</v>
      </c>
      <c r="B86" s="43">
        <v>8.01</v>
      </c>
    </row>
    <row r="87" spans="1:41" x14ac:dyDescent="0.35">
      <c r="A87" s="28">
        <v>43498</v>
      </c>
      <c r="B87" s="69">
        <v>8.16</v>
      </c>
      <c r="F87" s="2"/>
      <c r="G87" s="2"/>
      <c r="N87" s="31"/>
    </row>
    <row r="88" spans="1:41" s="31" customFormat="1" x14ac:dyDescent="0.35">
      <c r="A88" s="28">
        <v>43499</v>
      </c>
      <c r="B88" s="31">
        <v>8.07</v>
      </c>
      <c r="F88" s="25"/>
      <c r="G88" s="25"/>
      <c r="AF88" s="43"/>
      <c r="AG88" s="43"/>
      <c r="AH88" s="43"/>
      <c r="AI88" s="43"/>
      <c r="AJ88" s="43"/>
      <c r="AK88" s="43"/>
      <c r="AL88" s="43"/>
      <c r="AM88" s="43"/>
      <c r="AN88" s="43"/>
      <c r="AO88" s="43"/>
    </row>
    <row r="89" spans="1:41" s="31" customFormat="1" x14ac:dyDescent="0.35">
      <c r="A89" s="28">
        <v>43500</v>
      </c>
      <c r="B89" s="31">
        <v>8.01</v>
      </c>
      <c r="F89" s="25"/>
      <c r="G89" s="25"/>
      <c r="AF89" s="43"/>
      <c r="AG89" s="43"/>
      <c r="AH89" s="43"/>
      <c r="AI89" s="43"/>
      <c r="AJ89" s="43"/>
      <c r="AK89" s="43"/>
      <c r="AL89" s="43"/>
      <c r="AM89" s="43"/>
      <c r="AN89" s="43"/>
      <c r="AO89" s="43"/>
    </row>
    <row r="90" spans="1:41" s="31" customFormat="1" x14ac:dyDescent="0.35">
      <c r="A90" s="28">
        <v>43501</v>
      </c>
      <c r="B90" s="31">
        <v>8.0399999999999991</v>
      </c>
      <c r="F90" s="25"/>
      <c r="G90" s="25"/>
      <c r="AF90" s="43"/>
      <c r="AG90" s="43"/>
      <c r="AH90" s="43"/>
      <c r="AI90" s="43"/>
      <c r="AJ90" s="43"/>
      <c r="AK90" s="43"/>
      <c r="AL90" s="43"/>
      <c r="AM90" s="43"/>
      <c r="AN90" s="43"/>
      <c r="AO90" s="43"/>
    </row>
    <row r="91" spans="1:41" s="31" customFormat="1" x14ac:dyDescent="0.35">
      <c r="A91" s="28">
        <v>43502</v>
      </c>
      <c r="B91" s="31">
        <v>7.31</v>
      </c>
      <c r="C91" s="31" t="s">
        <v>155</v>
      </c>
      <c r="F91" s="25"/>
      <c r="G91" s="25"/>
      <c r="AF91" s="43"/>
      <c r="AG91" s="43"/>
      <c r="AH91" s="43"/>
      <c r="AI91" s="43"/>
      <c r="AJ91" s="43"/>
      <c r="AK91" s="43"/>
      <c r="AL91" s="43"/>
      <c r="AM91" s="43"/>
      <c r="AN91" s="43"/>
      <c r="AO91" s="43"/>
    </row>
    <row r="92" spans="1:41" s="31" customFormat="1" x14ac:dyDescent="0.35">
      <c r="A92" s="28">
        <v>43503</v>
      </c>
      <c r="B92" s="31">
        <v>7.25</v>
      </c>
      <c r="F92" s="25"/>
      <c r="G92" s="25"/>
      <c r="AF92" s="43"/>
      <c r="AG92" s="43"/>
      <c r="AH92" s="43"/>
      <c r="AI92" s="43"/>
      <c r="AJ92" s="43"/>
      <c r="AK92" s="43"/>
      <c r="AL92" s="43"/>
      <c r="AM92" s="43"/>
      <c r="AN92" s="43"/>
      <c r="AO92" s="43"/>
    </row>
    <row r="93" spans="1:41" s="31" customFormat="1" x14ac:dyDescent="0.35">
      <c r="A93" s="28">
        <v>43504</v>
      </c>
      <c r="B93" s="31">
        <v>7.25</v>
      </c>
      <c r="F93" s="25"/>
      <c r="G93" s="25"/>
      <c r="M93" s="27"/>
      <c r="N93" s="27"/>
      <c r="O93" s="27"/>
      <c r="P93" s="27"/>
      <c r="Q93" s="27"/>
      <c r="R93" s="26"/>
      <c r="S93" s="26"/>
      <c r="T93" s="26"/>
      <c r="U93" s="26"/>
      <c r="V93" s="27"/>
      <c r="W93" s="18"/>
      <c r="X93" s="26"/>
      <c r="Y93" s="27"/>
      <c r="AF93" s="43"/>
      <c r="AG93" s="43"/>
      <c r="AH93" s="43"/>
      <c r="AI93" s="43"/>
      <c r="AJ93" s="43"/>
      <c r="AK93" s="43"/>
      <c r="AL93" s="43"/>
      <c r="AM93" s="43"/>
      <c r="AN93" s="43"/>
      <c r="AO93" s="43"/>
    </row>
    <row r="94" spans="1:41" s="31" customFormat="1" x14ac:dyDescent="0.35">
      <c r="A94" s="28">
        <v>43505</v>
      </c>
      <c r="B94" s="31">
        <v>7.33</v>
      </c>
      <c r="F94" s="25"/>
      <c r="G94" s="25"/>
      <c r="M94" s="27"/>
      <c r="N94" s="27"/>
      <c r="O94" s="27"/>
      <c r="P94" s="27"/>
      <c r="Q94" s="27"/>
      <c r="R94" s="26"/>
      <c r="S94" s="26"/>
      <c r="T94" s="26"/>
      <c r="U94" s="26"/>
      <c r="V94" s="27"/>
      <c r="W94" s="18"/>
      <c r="X94" s="26"/>
      <c r="Y94" s="27"/>
      <c r="AF94" s="43"/>
      <c r="AG94" s="43"/>
      <c r="AH94" s="43"/>
      <c r="AI94" s="43"/>
      <c r="AJ94" s="43"/>
      <c r="AK94" s="43"/>
      <c r="AL94" s="43"/>
      <c r="AM94" s="43"/>
      <c r="AN94" s="43"/>
      <c r="AO94" s="43"/>
    </row>
    <row r="95" spans="1:41" s="31" customFormat="1" x14ac:dyDescent="0.35">
      <c r="A95" s="28">
        <v>43506</v>
      </c>
      <c r="B95" s="31">
        <v>7.28</v>
      </c>
      <c r="F95" s="25"/>
      <c r="G95" s="25"/>
      <c r="R95" s="26"/>
      <c r="S95" s="26"/>
      <c r="T95" s="26"/>
      <c r="U95" s="27"/>
      <c r="W95" s="6"/>
      <c r="X95" s="26"/>
      <c r="Y95" s="27"/>
      <c r="AF95" s="43"/>
      <c r="AG95" s="43"/>
      <c r="AH95" s="43"/>
      <c r="AI95" s="43"/>
      <c r="AJ95" s="43"/>
      <c r="AK95" s="43"/>
      <c r="AL95" s="43"/>
      <c r="AM95" s="43"/>
      <c r="AN95" s="43"/>
      <c r="AO95" s="43"/>
    </row>
    <row r="96" spans="1:41" s="31" customFormat="1" x14ac:dyDescent="0.35">
      <c r="A96" s="28">
        <v>43507</v>
      </c>
      <c r="B96" s="31">
        <v>7.41</v>
      </c>
      <c r="F96" s="25"/>
      <c r="G96" s="25"/>
      <c r="AF96" s="43"/>
      <c r="AG96" s="43"/>
      <c r="AH96" s="43"/>
      <c r="AI96" s="43"/>
      <c r="AJ96" s="43"/>
      <c r="AK96" s="43"/>
      <c r="AL96" s="43"/>
      <c r="AM96" s="43"/>
      <c r="AN96" s="43"/>
      <c r="AO96" s="43"/>
    </row>
    <row r="97" spans="1:25" s="31" customFormat="1" x14ac:dyDescent="0.35">
      <c r="A97" s="28">
        <v>43508</v>
      </c>
      <c r="B97" s="31">
        <v>7.33</v>
      </c>
      <c r="F97" s="25"/>
      <c r="G97" s="25"/>
    </row>
    <row r="98" spans="1:25" s="31" customFormat="1" x14ac:dyDescent="0.35">
      <c r="A98" s="28">
        <v>43509</v>
      </c>
      <c r="B98" s="31">
        <v>7.37</v>
      </c>
      <c r="F98" s="25"/>
      <c r="G98" s="25"/>
    </row>
    <row r="99" spans="1:25" s="31" customFormat="1" x14ac:dyDescent="0.35">
      <c r="A99" s="28">
        <v>43510</v>
      </c>
      <c r="B99" s="85">
        <v>7.34</v>
      </c>
      <c r="C99" s="31" t="s">
        <v>159</v>
      </c>
      <c r="E99" s="25"/>
      <c r="F99" s="25"/>
      <c r="G99" s="25"/>
    </row>
    <row r="100" spans="1:25" s="31" customFormat="1" x14ac:dyDescent="0.35">
      <c r="A100" s="28">
        <v>43511</v>
      </c>
      <c r="B100" s="85">
        <v>7.28</v>
      </c>
      <c r="F100" s="25"/>
      <c r="G100" s="25"/>
      <c r="X100" s="26"/>
      <c r="Y100" s="26"/>
    </row>
    <row r="101" spans="1:25" s="31" customFormat="1" x14ac:dyDescent="0.35">
      <c r="A101" s="28">
        <v>43512</v>
      </c>
      <c r="B101" s="25">
        <v>7.4</v>
      </c>
      <c r="F101" s="25"/>
      <c r="G101" s="25"/>
      <c r="H101" s="25"/>
      <c r="K101" s="27"/>
      <c r="L101" s="27"/>
      <c r="U101" s="26"/>
      <c r="X101" s="26"/>
      <c r="Y101" s="26"/>
    </row>
    <row r="102" spans="1:25" s="31" customFormat="1" x14ac:dyDescent="0.35">
      <c r="A102" s="28">
        <v>43513</v>
      </c>
      <c r="B102" s="25">
        <v>7.38</v>
      </c>
      <c r="F102" s="25"/>
      <c r="G102" s="25"/>
      <c r="K102" s="27"/>
      <c r="L102" s="27"/>
      <c r="R102" s="27"/>
      <c r="S102" s="27"/>
      <c r="T102" s="27"/>
      <c r="U102" s="13"/>
      <c r="X102" s="26"/>
      <c r="Y102" s="26"/>
    </row>
    <row r="103" spans="1:25" s="31" customFormat="1" x14ac:dyDescent="0.35">
      <c r="A103" s="28">
        <v>43514</v>
      </c>
      <c r="B103" s="25">
        <v>7.32</v>
      </c>
      <c r="F103" s="25"/>
      <c r="G103" s="25"/>
      <c r="K103" s="27"/>
      <c r="L103" s="27"/>
      <c r="O103" s="6"/>
      <c r="R103" s="27"/>
      <c r="S103" s="27"/>
      <c r="T103" s="27"/>
      <c r="U103" s="13"/>
      <c r="V103" s="6"/>
      <c r="X103" s="26"/>
    </row>
    <row r="104" spans="1:25" s="31" customFormat="1" x14ac:dyDescent="0.35">
      <c r="A104" s="28">
        <v>43515</v>
      </c>
      <c r="B104" s="25">
        <v>7.37</v>
      </c>
      <c r="F104" s="25"/>
      <c r="G104" s="25"/>
      <c r="J104" s="27"/>
      <c r="K104" s="27"/>
      <c r="L104" s="27"/>
      <c r="R104" s="27"/>
      <c r="S104" s="27"/>
      <c r="T104" s="27"/>
      <c r="U104" s="13"/>
      <c r="W104" s="12"/>
      <c r="X104" s="26"/>
    </row>
    <row r="105" spans="1:25" s="31" customFormat="1" x14ac:dyDescent="0.35">
      <c r="A105" s="28">
        <v>43516</v>
      </c>
      <c r="B105" s="25">
        <v>7.32</v>
      </c>
      <c r="F105" s="25"/>
      <c r="G105" s="25"/>
      <c r="J105" s="27"/>
      <c r="K105" s="27"/>
      <c r="L105" s="27"/>
      <c r="O105" s="27"/>
      <c r="R105" s="27"/>
      <c r="S105" s="27"/>
      <c r="T105" s="27"/>
      <c r="U105" s="13"/>
      <c r="V105" s="18"/>
      <c r="X105" s="26"/>
    </row>
    <row r="106" spans="1:25" s="31" customFormat="1" x14ac:dyDescent="0.35">
      <c r="A106" s="28">
        <v>43517</v>
      </c>
      <c r="B106" s="25">
        <v>7.37</v>
      </c>
      <c r="F106" s="25"/>
      <c r="G106" s="25"/>
      <c r="J106" s="27"/>
      <c r="K106" s="27"/>
      <c r="L106" s="27"/>
      <c r="O106" s="27"/>
      <c r="R106" s="27"/>
      <c r="S106" s="27"/>
      <c r="T106" s="27"/>
      <c r="U106" s="13"/>
      <c r="V106" s="18"/>
      <c r="X106" s="26"/>
    </row>
    <row r="107" spans="1:25" s="31" customFormat="1" x14ac:dyDescent="0.35">
      <c r="A107" s="28">
        <v>43518</v>
      </c>
      <c r="B107" s="25">
        <v>7.34</v>
      </c>
      <c r="F107" s="25"/>
      <c r="G107" s="25"/>
      <c r="J107" s="27"/>
      <c r="K107" s="27"/>
      <c r="L107" s="27"/>
      <c r="O107" s="27"/>
      <c r="R107" s="27"/>
      <c r="S107" s="27"/>
      <c r="T107" s="27"/>
      <c r="U107" s="13"/>
      <c r="V107" s="18"/>
      <c r="X107" s="26"/>
    </row>
    <row r="108" spans="1:25" s="31" customFormat="1" x14ac:dyDescent="0.35">
      <c r="B108" s="28"/>
      <c r="F108" s="25"/>
      <c r="G108" s="25"/>
      <c r="J108" s="27"/>
      <c r="K108" s="27"/>
      <c r="L108" s="27"/>
      <c r="O108" s="27"/>
      <c r="R108" s="27"/>
      <c r="S108" s="27"/>
      <c r="T108" s="27"/>
      <c r="U108" s="13"/>
      <c r="V108" s="18"/>
      <c r="X108" s="26"/>
    </row>
    <row r="109" spans="1:25" s="31" customFormat="1" x14ac:dyDescent="0.35">
      <c r="B109" s="28"/>
      <c r="F109" s="25"/>
      <c r="G109" s="25"/>
      <c r="J109" s="27"/>
      <c r="K109" s="27"/>
      <c r="L109" s="27"/>
      <c r="O109" s="27"/>
      <c r="R109" s="26"/>
      <c r="S109" s="26"/>
      <c r="T109" s="26"/>
      <c r="U109" s="13"/>
      <c r="V109" s="18"/>
      <c r="X109" s="26"/>
    </row>
    <row r="110" spans="1:25" s="31" customFormat="1" x14ac:dyDescent="0.35">
      <c r="F110" s="25"/>
      <c r="G110" s="25"/>
    </row>
    <row r="111" spans="1:25" s="31" customFormat="1" x14ac:dyDescent="0.35">
      <c r="F111" s="25"/>
      <c r="G111" s="25"/>
    </row>
    <row r="112" spans="1:25" s="31" customFormat="1" x14ac:dyDescent="0.35">
      <c r="F112" s="25"/>
      <c r="G112" s="25"/>
    </row>
    <row r="113" spans="1:10" s="31" customFormat="1" x14ac:dyDescent="0.35"/>
    <row r="114" spans="1:10" s="31" customFormat="1" x14ac:dyDescent="0.35"/>
    <row r="115" spans="1:10" s="31" customFormat="1" x14ac:dyDescent="0.35"/>
    <row r="116" spans="1:10" s="31" customFormat="1" x14ac:dyDescent="0.35"/>
    <row r="117" spans="1:10" s="31" customFormat="1" x14ac:dyDescent="0.35"/>
    <row r="118" spans="1:10" s="31" customFormat="1" x14ac:dyDescent="0.35"/>
    <row r="119" spans="1:10" s="31" customFormat="1" x14ac:dyDescent="0.35">
      <c r="A119" s="28"/>
      <c r="E119" s="28"/>
      <c r="J119" s="28"/>
    </row>
    <row r="120" spans="1:10" s="31" customFormat="1" x14ac:dyDescent="0.35">
      <c r="A120" s="28"/>
      <c r="E120" s="28"/>
    </row>
    <row r="121" spans="1:10" s="31" customFormat="1" x14ac:dyDescent="0.35">
      <c r="A121" s="28"/>
      <c r="E121" s="28"/>
      <c r="J121" s="28"/>
    </row>
    <row r="122" spans="1:10" s="31" customFormat="1" x14ac:dyDescent="0.35">
      <c r="A122" s="28"/>
      <c r="E122" s="28"/>
      <c r="J122" s="28"/>
    </row>
    <row r="123" spans="1:10" s="31" customFormat="1" x14ac:dyDescent="0.35">
      <c r="A123" s="28"/>
      <c r="E123" s="28"/>
      <c r="J123" s="28"/>
    </row>
    <row r="124" spans="1:10" s="31" customFormat="1" x14ac:dyDescent="0.35">
      <c r="A124" s="28"/>
      <c r="E124" s="28"/>
      <c r="J124" s="28"/>
    </row>
    <row r="125" spans="1:10" s="31" customFormat="1" x14ac:dyDescent="0.35">
      <c r="A125" s="28"/>
      <c r="E125" s="28"/>
      <c r="J125" s="28"/>
    </row>
    <row r="126" spans="1:10" s="31" customFormat="1" x14ac:dyDescent="0.35">
      <c r="A126" s="28"/>
      <c r="E126" s="28"/>
      <c r="J126" s="28"/>
    </row>
    <row r="127" spans="1:10" s="31" customFormat="1" x14ac:dyDescent="0.35">
      <c r="A127" s="28"/>
      <c r="E127" s="28"/>
      <c r="J127" s="28"/>
    </row>
    <row r="128" spans="1:10" s="31" customFormat="1" x14ac:dyDescent="0.35">
      <c r="A128" s="28"/>
      <c r="E128" s="28"/>
      <c r="J128" s="28"/>
    </row>
    <row r="129" spans="1:41" s="31" customFormat="1" x14ac:dyDescent="0.35">
      <c r="A129" s="28"/>
      <c r="E129" s="28"/>
      <c r="J129" s="28"/>
    </row>
    <row r="130" spans="1:41" s="31" customFormat="1" x14ac:dyDescent="0.35">
      <c r="A130" s="28"/>
      <c r="E130" s="28"/>
      <c r="J130" s="28"/>
    </row>
    <row r="131" spans="1:41" s="31" customFormat="1" x14ac:dyDescent="0.35">
      <c r="A131" s="28"/>
      <c r="E131" s="28"/>
      <c r="J131" s="28"/>
    </row>
    <row r="132" spans="1:41" s="31" customFormat="1" x14ac:dyDescent="0.35">
      <c r="A132" s="28"/>
      <c r="F132" s="25"/>
      <c r="G132" s="25"/>
    </row>
    <row r="133" spans="1:41" s="31" customFormat="1" x14ac:dyDescent="0.35">
      <c r="A133" s="28"/>
      <c r="F133" s="25"/>
      <c r="G133" s="25"/>
    </row>
    <row r="134" spans="1:41" s="31" customFormat="1" x14ac:dyDescent="0.35">
      <c r="A134" s="22"/>
      <c r="F134" s="25"/>
      <c r="G134" s="25"/>
    </row>
    <row r="135" spans="1:41" s="31" customFormat="1" x14ac:dyDescent="0.35"/>
    <row r="136" spans="1:41" x14ac:dyDescent="0.35"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</row>
    <row r="137" spans="1:41" x14ac:dyDescent="0.35"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</row>
    <row r="138" spans="1:41" x14ac:dyDescent="0.35"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</row>
    <row r="139" spans="1:41" x14ac:dyDescent="0.35"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</row>
    <row r="140" spans="1:41" x14ac:dyDescent="0.35"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</row>
    <row r="141" spans="1:41" x14ac:dyDescent="0.35"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</row>
    <row r="142" spans="1:41" x14ac:dyDescent="0.35"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</row>
    <row r="143" spans="1:41" x14ac:dyDescent="0.35"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</row>
    <row r="144" spans="1:41" x14ac:dyDescent="0.35"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O144"/>
  <sheetViews>
    <sheetView zoomScaleNormal="100" workbookViewId="0">
      <pane ySplit="11" topLeftCell="A12" activePane="bottomLeft" state="frozen"/>
      <selection pane="bottomLeft" activeCell="A8" sqref="A8"/>
    </sheetView>
  </sheetViews>
  <sheetFormatPr defaultColWidth="9.1796875" defaultRowHeight="14.5" x14ac:dyDescent="0.35"/>
  <cols>
    <col min="1" max="1" width="9.7265625" style="43" bestFit="1" customWidth="1"/>
    <col min="2" max="2" width="10.54296875" style="43" bestFit="1" customWidth="1"/>
    <col min="3" max="5" width="9.1796875" style="43"/>
    <col min="6" max="6" width="9.54296875" style="43" bestFit="1" customWidth="1"/>
    <col min="7" max="7" width="9.1796875" style="43" customWidth="1"/>
    <col min="8" max="8" width="5.54296875" style="43" bestFit="1" customWidth="1"/>
    <col min="9" max="9" width="15.7265625" style="43" customWidth="1"/>
    <col min="10" max="10" width="15.54296875" style="43" bestFit="1" customWidth="1"/>
    <col min="11" max="11" width="6.26953125" style="43" bestFit="1" customWidth="1"/>
    <col min="12" max="17" width="6.81640625" style="43" bestFit="1" customWidth="1"/>
    <col min="18" max="18" width="7.1796875" style="43" bestFit="1" customWidth="1"/>
    <col min="19" max="20" width="6.81640625" style="68" bestFit="1" customWidth="1"/>
    <col min="21" max="26" width="6.81640625" style="43" bestFit="1" customWidth="1"/>
    <col min="27" max="27" width="11.453125" style="43" customWidth="1"/>
    <col min="28" max="28" width="7.1796875" style="68" bestFit="1" customWidth="1"/>
    <col min="29" max="29" width="7.54296875" style="68" bestFit="1" customWidth="1"/>
    <col min="30" max="30" width="14.54296875" style="43" bestFit="1" customWidth="1"/>
    <col min="31" max="31" width="11.7265625" style="43" bestFit="1" customWidth="1"/>
    <col min="32" max="32" width="12.26953125" style="43" customWidth="1"/>
    <col min="33" max="16384" width="9.1796875" style="43"/>
  </cols>
  <sheetData>
    <row r="1" spans="1:41" s="31" customFormat="1" x14ac:dyDescent="0.35">
      <c r="A1" s="31" t="s">
        <v>46</v>
      </c>
      <c r="F1" s="25"/>
      <c r="G1" s="25"/>
    </row>
    <row r="2" spans="1:41" x14ac:dyDescent="0.35">
      <c r="F2" s="25"/>
      <c r="G2" s="25"/>
      <c r="H2" s="31"/>
      <c r="N2" s="31"/>
    </row>
    <row r="3" spans="1:41" x14ac:dyDescent="0.35">
      <c r="A3" s="43" t="s">
        <v>8</v>
      </c>
      <c r="F3" s="2"/>
      <c r="G3" s="2"/>
      <c r="N3" s="31"/>
    </row>
    <row r="4" spans="1:41" s="31" customFormat="1" x14ac:dyDescent="0.35">
      <c r="A4" s="31" t="s">
        <v>74</v>
      </c>
      <c r="F4" s="25"/>
      <c r="G4" s="25"/>
    </row>
    <row r="5" spans="1:41" x14ac:dyDescent="0.35">
      <c r="A5" s="9" t="s">
        <v>80</v>
      </c>
      <c r="F5" s="2"/>
      <c r="G5" s="2"/>
      <c r="N5" s="31"/>
    </row>
    <row r="6" spans="1:41" s="203" customFormat="1" x14ac:dyDescent="0.35">
      <c r="A6" s="26" t="s">
        <v>358</v>
      </c>
      <c r="F6" s="163"/>
      <c r="G6" s="163"/>
      <c r="N6" s="202"/>
    </row>
    <row r="7" spans="1:41" x14ac:dyDescent="0.35">
      <c r="F7" s="2"/>
      <c r="G7" s="2"/>
      <c r="N7" s="31"/>
    </row>
    <row r="8" spans="1:41" s="31" customFormat="1" x14ac:dyDescent="0.35">
      <c r="A8" s="31" t="s">
        <v>369</v>
      </c>
      <c r="F8" s="25"/>
      <c r="G8" s="25"/>
      <c r="AF8" s="26" t="s">
        <v>170</v>
      </c>
    </row>
    <row r="9" spans="1:41" x14ac:dyDescent="0.35">
      <c r="F9" s="2"/>
      <c r="G9" s="2"/>
      <c r="N9" s="31"/>
    </row>
    <row r="10" spans="1:41" x14ac:dyDescent="0.35">
      <c r="A10" s="43" t="s">
        <v>9</v>
      </c>
      <c r="B10" s="43" t="s">
        <v>10</v>
      </c>
      <c r="C10" s="43" t="s">
        <v>11</v>
      </c>
      <c r="D10" s="43" t="s">
        <v>7</v>
      </c>
      <c r="E10" s="43" t="s">
        <v>12</v>
      </c>
      <c r="F10" s="2" t="s">
        <v>13</v>
      </c>
      <c r="G10" s="2" t="s">
        <v>81</v>
      </c>
      <c r="H10" s="43" t="s">
        <v>14</v>
      </c>
      <c r="I10" s="43" t="s">
        <v>15</v>
      </c>
      <c r="J10" s="43" t="s">
        <v>16</v>
      </c>
      <c r="K10" s="43" t="s">
        <v>3</v>
      </c>
      <c r="L10" s="43" t="s">
        <v>31</v>
      </c>
      <c r="M10" s="43" t="s">
        <v>30</v>
      </c>
      <c r="N10" s="43" t="s">
        <v>18</v>
      </c>
      <c r="O10" s="43" t="s">
        <v>17</v>
      </c>
      <c r="P10" s="43" t="s">
        <v>20</v>
      </c>
      <c r="Q10" s="43" t="s">
        <v>19</v>
      </c>
      <c r="R10" s="43" t="s">
        <v>21</v>
      </c>
      <c r="S10" s="68" t="s">
        <v>47</v>
      </c>
      <c r="T10" s="68" t="s">
        <v>24</v>
      </c>
      <c r="U10" s="43" t="s">
        <v>48</v>
      </c>
      <c r="V10" s="43" t="s">
        <v>4</v>
      </c>
      <c r="W10" s="43" t="s">
        <v>22</v>
      </c>
      <c r="X10" s="43" t="s">
        <v>23</v>
      </c>
      <c r="Y10" s="43" t="s">
        <v>25</v>
      </c>
      <c r="Z10" s="43" t="s">
        <v>49</v>
      </c>
      <c r="AA10" s="43" t="s">
        <v>26</v>
      </c>
      <c r="AB10" s="68" t="s">
        <v>123</v>
      </c>
      <c r="AC10" s="68" t="s">
        <v>124</v>
      </c>
      <c r="AD10" s="68" t="s">
        <v>27</v>
      </c>
      <c r="AF10" s="95" t="s">
        <v>171</v>
      </c>
      <c r="AG10" s="95" t="s">
        <v>172</v>
      </c>
      <c r="AH10" s="95" t="s">
        <v>173</v>
      </c>
      <c r="AI10" s="95" t="s">
        <v>174</v>
      </c>
      <c r="AJ10" s="95" t="s">
        <v>175</v>
      </c>
      <c r="AK10" s="95" t="s">
        <v>176</v>
      </c>
      <c r="AL10" s="95" t="s">
        <v>177</v>
      </c>
      <c r="AM10" s="95" t="s">
        <v>178</v>
      </c>
      <c r="AN10" s="95" t="s">
        <v>179</v>
      </c>
      <c r="AO10" s="95" t="s">
        <v>180</v>
      </c>
    </row>
    <row r="11" spans="1:41" x14ac:dyDescent="0.35">
      <c r="D11" s="43" t="s">
        <v>6</v>
      </c>
      <c r="E11" s="43" t="s">
        <v>6</v>
      </c>
      <c r="F11" s="2"/>
      <c r="G11" s="2"/>
      <c r="I11" s="203" t="s">
        <v>357</v>
      </c>
      <c r="J11" s="43" t="s">
        <v>28</v>
      </c>
      <c r="K11" s="27" t="s">
        <v>352</v>
      </c>
      <c r="L11" s="43" t="s">
        <v>5</v>
      </c>
      <c r="M11" s="43" t="s">
        <v>5</v>
      </c>
      <c r="N11" s="43" t="s">
        <v>5</v>
      </c>
      <c r="O11" s="43" t="s">
        <v>5</v>
      </c>
      <c r="P11" s="43" t="s">
        <v>5</v>
      </c>
      <c r="Q11" s="43" t="s">
        <v>5</v>
      </c>
      <c r="R11" s="43" t="s">
        <v>5</v>
      </c>
      <c r="S11" s="68" t="s">
        <v>5</v>
      </c>
      <c r="T11" s="68" t="s">
        <v>5</v>
      </c>
      <c r="U11" s="43" t="s">
        <v>5</v>
      </c>
      <c r="V11" s="43" t="s">
        <v>5</v>
      </c>
      <c r="W11" s="43" t="s">
        <v>5</v>
      </c>
      <c r="X11" s="43" t="s">
        <v>5</v>
      </c>
      <c r="Y11" s="43" t="s">
        <v>5</v>
      </c>
      <c r="Z11" s="43" t="s">
        <v>5</v>
      </c>
      <c r="AD11" s="68"/>
      <c r="AF11" s="95"/>
      <c r="AG11" s="95"/>
      <c r="AH11" s="95"/>
      <c r="AI11" s="95"/>
      <c r="AJ11" s="95"/>
      <c r="AK11" s="95"/>
      <c r="AL11" s="95"/>
      <c r="AM11" s="95"/>
      <c r="AN11" s="95"/>
      <c r="AO11" s="95"/>
    </row>
    <row r="12" spans="1:41" x14ac:dyDescent="0.35">
      <c r="F12" s="2"/>
      <c r="G12" s="2"/>
      <c r="N12" s="31"/>
      <c r="AD12" s="68"/>
      <c r="AF12" s="95"/>
      <c r="AG12" s="95"/>
      <c r="AH12" s="95"/>
      <c r="AI12" s="95"/>
      <c r="AJ12" s="95"/>
      <c r="AK12" s="95"/>
      <c r="AL12" s="95"/>
      <c r="AM12" s="95"/>
      <c r="AN12" s="95"/>
      <c r="AO12" s="95"/>
    </row>
    <row r="13" spans="1:41" x14ac:dyDescent="0.35">
      <c r="A13" s="43" t="s">
        <v>58</v>
      </c>
      <c r="F13" s="2"/>
      <c r="G13" s="2"/>
      <c r="H13" s="64">
        <f>AVERAGE(B69:B75)</f>
        <v>7.2857142857142847</v>
      </c>
      <c r="I13" s="165">
        <f>'Influent Results Master'!D36</f>
        <v>1813.4444444444446</v>
      </c>
      <c r="J13" s="165">
        <f>'Influent Results Master'!F36</f>
        <v>263.22222222222223</v>
      </c>
      <c r="K13" s="165">
        <f>'Influent Results Master'!G36</f>
        <v>746.22222222222217</v>
      </c>
      <c r="L13" s="165">
        <f>'Influent Results Master'!H36</f>
        <v>42.44444444444445</v>
      </c>
      <c r="M13" s="167">
        <f>'Influent Results Master'!I36</f>
        <v>3.3333333333333335</v>
      </c>
      <c r="N13" s="165">
        <f>'Influent Results Master'!J36</f>
        <v>691.22222222222217</v>
      </c>
      <c r="O13" s="165">
        <f>'Influent Results Master'!K36</f>
        <v>24.222222222222218</v>
      </c>
      <c r="P13" s="165">
        <f>'Influent Results Master'!L36</f>
        <v>177.8111111111111</v>
      </c>
      <c r="Q13" s="165">
        <f>'Influent Results Master'!M36</f>
        <v>36.911111111111104</v>
      </c>
      <c r="R13" s="165">
        <f>'Influent Results Master'!N36</f>
        <v>244.24444444444444</v>
      </c>
      <c r="S13" s="165">
        <f>'Influent Results Master'!O36</f>
        <v>15.707777777777777</v>
      </c>
      <c r="T13" s="170">
        <f>'Influent Results Master'!P36</f>
        <v>6.6575555555555548</v>
      </c>
      <c r="U13" s="171">
        <f>'Influent Results Master'!Q36</f>
        <v>0.20000000000000004</v>
      </c>
      <c r="V13" s="163">
        <f>'Influent Results Master'!R36</f>
        <v>0.31644444444444447</v>
      </c>
      <c r="W13" s="174">
        <f>'Influent Results Master'!S36</f>
        <v>0.26611111111111113</v>
      </c>
      <c r="X13" s="170">
        <f>'Influent Results Master'!T36</f>
        <v>1.6833333333333333</v>
      </c>
      <c r="Y13" s="174">
        <f>'Influent Results Master'!U36</f>
        <v>0.18411111111111111</v>
      </c>
      <c r="Z13" s="170">
        <f>'Influent Results Master'!V36</f>
        <v>1.5754444444444446</v>
      </c>
      <c r="AB13" s="69">
        <f>((J13/50)+(L13/35.45)+(M13/62)+(N13/48.03))</f>
        <v>20.906980678310703</v>
      </c>
      <c r="AC13" s="69">
        <f>((P13/20.04)+(Q13/12.16)+(R13/22.99)+(T13/39.1))</f>
        <v>22.702475892168966</v>
      </c>
      <c r="AD13" s="69">
        <f>ABS((AB13-AC13)/(AB13+AC13)*100)</f>
        <v>4.1172152901205354</v>
      </c>
      <c r="AF13" s="95">
        <v>7.29</v>
      </c>
      <c r="AG13" s="95">
        <v>6.4805900000000003</v>
      </c>
      <c r="AH13" s="95">
        <v>0.2072</v>
      </c>
      <c r="AI13" s="95">
        <v>-0.69789999999999996</v>
      </c>
      <c r="AJ13" s="95">
        <v>-0.94740000000000002</v>
      </c>
      <c r="AK13" s="95">
        <v>-1.9235</v>
      </c>
      <c r="AL13" s="95">
        <v>-0.43330000000000002</v>
      </c>
      <c r="AM13" s="95">
        <v>0.13239999999999999</v>
      </c>
      <c r="AN13" s="95">
        <v>-0.59719999999999995</v>
      </c>
      <c r="AO13" s="95">
        <v>-1.2404999999999999</v>
      </c>
    </row>
    <row r="14" spans="1:41" s="63" customFormat="1" x14ac:dyDescent="0.35">
      <c r="F14" s="64"/>
      <c r="G14" s="64"/>
      <c r="M14" s="65"/>
      <c r="N14" s="27"/>
      <c r="O14" s="65"/>
      <c r="P14" s="65"/>
      <c r="Q14" s="65"/>
      <c r="R14" s="67"/>
      <c r="S14" s="67"/>
      <c r="T14" s="67"/>
      <c r="U14" s="67"/>
      <c r="V14" s="65"/>
      <c r="W14" s="66"/>
      <c r="X14" s="67"/>
      <c r="Y14" s="65"/>
      <c r="AB14" s="69"/>
      <c r="AC14" s="69"/>
      <c r="AD14" s="69"/>
      <c r="AF14" s="95"/>
      <c r="AG14" s="95"/>
      <c r="AH14" s="95"/>
      <c r="AI14" s="95"/>
      <c r="AJ14" s="95"/>
      <c r="AK14" s="95"/>
      <c r="AL14" s="95"/>
      <c r="AM14" s="95"/>
      <c r="AN14" s="95"/>
      <c r="AO14" s="95"/>
    </row>
    <row r="15" spans="1:41" x14ac:dyDescent="0.35">
      <c r="A15" s="43">
        <v>6</v>
      </c>
      <c r="B15" s="10">
        <v>43116</v>
      </c>
      <c r="C15" s="43">
        <v>1</v>
      </c>
      <c r="D15" s="43">
        <v>135</v>
      </c>
      <c r="E15" s="43">
        <v>135</v>
      </c>
      <c r="F15" s="2">
        <f>D15/134</f>
        <v>1.0074626865671641</v>
      </c>
      <c r="G15" s="2">
        <v>1.01</v>
      </c>
      <c r="H15" s="43">
        <v>7.69</v>
      </c>
      <c r="I15" s="43">
        <v>4220</v>
      </c>
      <c r="J15" s="43">
        <v>255</v>
      </c>
      <c r="K15" s="43">
        <v>766</v>
      </c>
      <c r="L15" s="43">
        <v>97</v>
      </c>
      <c r="M15" s="65">
        <v>9.1</v>
      </c>
      <c r="N15" s="31">
        <v>2410</v>
      </c>
      <c r="O15" s="43">
        <v>93</v>
      </c>
      <c r="P15" s="21">
        <v>476.7</v>
      </c>
      <c r="Q15" s="175">
        <v>161.1</v>
      </c>
      <c r="R15" s="21">
        <v>500</v>
      </c>
      <c r="S15" s="175">
        <v>22.75</v>
      </c>
      <c r="T15" s="175">
        <v>33.17</v>
      </c>
      <c r="U15" s="170">
        <v>1.4019999999999999</v>
      </c>
      <c r="V15" s="170">
        <v>1.5169999999999999</v>
      </c>
      <c r="W15" s="81">
        <v>0.02</v>
      </c>
      <c r="X15" s="170">
        <v>3.484</v>
      </c>
      <c r="Y15" s="81">
        <v>0.04</v>
      </c>
      <c r="Z15" s="165">
        <v>11.44</v>
      </c>
      <c r="AB15" s="69">
        <f t="shared" ref="AB15:AB21" si="0">((J15/50)+(L15/35.45)+(M15/62)+(N15/48.03))</f>
        <v>58.159995155881809</v>
      </c>
      <c r="AC15" s="69">
        <f t="shared" ref="AC15:AC61" si="1">((P15/20.04)+(Q15/12.16)+(R15/22.99)+(T15/39.1))</f>
        <v>59.632704350654201</v>
      </c>
      <c r="AD15" s="69">
        <f t="shared" ref="AD15:AD61" si="2">ABS((AB15-AC15)/(AB15+AC15)*100)</f>
        <v>1.2502550675397972</v>
      </c>
      <c r="AF15" s="95">
        <v>7.69</v>
      </c>
      <c r="AG15" s="95">
        <v>3.3173300000000001</v>
      </c>
      <c r="AH15" s="95">
        <v>0.78129999999999999</v>
      </c>
      <c r="AI15" s="95">
        <v>-8.1199999999999994E-2</v>
      </c>
      <c r="AJ15" s="95">
        <v>-0.33019999999999999</v>
      </c>
      <c r="AK15" s="95">
        <v>-2.3902000000000001</v>
      </c>
      <c r="AL15" s="95">
        <v>0.92910000000000004</v>
      </c>
      <c r="AM15" s="95">
        <v>0.53759999999999997</v>
      </c>
      <c r="AN15" s="95">
        <v>0.22120000000000001</v>
      </c>
      <c r="AO15" s="95">
        <v>-0.45219999999999999</v>
      </c>
    </row>
    <row r="16" spans="1:41" x14ac:dyDescent="0.35">
      <c r="A16" s="43">
        <v>6</v>
      </c>
      <c r="B16" s="10">
        <v>43117</v>
      </c>
      <c r="C16" s="31">
        <v>2</v>
      </c>
      <c r="D16" s="31">
        <v>135</v>
      </c>
      <c r="E16" s="31">
        <f>E15+D16</f>
        <v>270</v>
      </c>
      <c r="F16" s="2">
        <f t="shared" ref="F16:F20" si="3">D16/134</f>
        <v>1.0074626865671641</v>
      </c>
      <c r="G16" s="25">
        <f>G15+F16</f>
        <v>2.0174626865671641</v>
      </c>
      <c r="H16" s="25">
        <v>7.47</v>
      </c>
      <c r="I16" s="31">
        <v>2370</v>
      </c>
      <c r="J16" s="31">
        <v>283</v>
      </c>
      <c r="K16" s="31">
        <v>732</v>
      </c>
      <c r="L16" s="31">
        <v>61</v>
      </c>
      <c r="M16" s="26">
        <v>2.5</v>
      </c>
      <c r="N16" s="31">
        <v>1051</v>
      </c>
      <c r="O16" s="31">
        <v>36</v>
      </c>
      <c r="P16" s="21">
        <v>261.5</v>
      </c>
      <c r="Q16" s="21">
        <v>69.569999999999993</v>
      </c>
      <c r="R16" s="21">
        <v>220</v>
      </c>
      <c r="S16" s="21">
        <v>23.53</v>
      </c>
      <c r="T16" s="21">
        <v>20.57</v>
      </c>
      <c r="U16" s="171">
        <v>0.2</v>
      </c>
      <c r="V16" s="11">
        <v>0.42899999999999999</v>
      </c>
      <c r="W16" s="81">
        <v>0.02</v>
      </c>
      <c r="X16" s="11">
        <v>0.71899999999999997</v>
      </c>
      <c r="Y16" s="81">
        <v>0.04</v>
      </c>
      <c r="Z16" s="18">
        <v>2.3029999999999999</v>
      </c>
      <c r="AB16" s="69">
        <f t="shared" si="0"/>
        <v>29.303212993225216</v>
      </c>
      <c r="AC16" s="69">
        <f t="shared" si="1"/>
        <v>28.865584247824302</v>
      </c>
      <c r="AD16" s="69">
        <f t="shared" si="2"/>
        <v>0.75234277853020715</v>
      </c>
      <c r="AF16" s="95">
        <v>7.47</v>
      </c>
      <c r="AG16" s="95">
        <v>1.47594</v>
      </c>
      <c r="AH16" s="95">
        <v>0.51839999999999997</v>
      </c>
      <c r="AI16" s="95">
        <v>-0.45810000000000001</v>
      </c>
      <c r="AJ16" s="95">
        <v>-0.70760000000000001</v>
      </c>
      <c r="AK16" s="95">
        <v>-2.0889000000000002</v>
      </c>
      <c r="AL16" s="95">
        <v>0.29270000000000002</v>
      </c>
      <c r="AM16" s="95">
        <v>-0.11269999999999999</v>
      </c>
      <c r="AN16" s="95">
        <v>-0.37169999999999997</v>
      </c>
      <c r="AO16" s="95">
        <v>-0.82569999999999999</v>
      </c>
    </row>
    <row r="17" spans="1:41" x14ac:dyDescent="0.35">
      <c r="A17" s="43">
        <v>6</v>
      </c>
      <c r="B17" s="10">
        <v>43118</v>
      </c>
      <c r="C17" s="43">
        <v>3</v>
      </c>
      <c r="D17" s="43">
        <v>137</v>
      </c>
      <c r="E17" s="31">
        <f t="shared" ref="E17:E20" si="4">E16+D17</f>
        <v>407</v>
      </c>
      <c r="F17" s="2">
        <f t="shared" si="3"/>
        <v>1.0223880597014925</v>
      </c>
      <c r="G17" s="25">
        <f t="shared" ref="G17:G20" si="5">G16+F17</f>
        <v>3.0398507462686566</v>
      </c>
      <c r="H17" s="43">
        <v>7.51</v>
      </c>
      <c r="I17" s="43">
        <v>2010</v>
      </c>
      <c r="J17" s="43">
        <v>260</v>
      </c>
      <c r="K17" s="27">
        <v>647</v>
      </c>
      <c r="L17" s="27">
        <v>46</v>
      </c>
      <c r="M17" s="26">
        <v>2.5</v>
      </c>
      <c r="N17" s="31">
        <v>921</v>
      </c>
      <c r="O17" s="43">
        <v>36</v>
      </c>
      <c r="P17" s="175">
        <v>206</v>
      </c>
      <c r="Q17" s="175">
        <v>51.46</v>
      </c>
      <c r="R17" s="21">
        <v>198</v>
      </c>
      <c r="S17" s="21">
        <v>23.83</v>
      </c>
      <c r="T17" s="21">
        <v>17.71</v>
      </c>
      <c r="U17" s="171">
        <v>0.2</v>
      </c>
      <c r="V17" s="174">
        <v>0.40100000000000002</v>
      </c>
      <c r="W17" s="81">
        <v>0.02</v>
      </c>
      <c r="X17" s="11">
        <v>0.58899999999999997</v>
      </c>
      <c r="Y17" s="81">
        <v>0.04</v>
      </c>
      <c r="Z17" s="172">
        <v>1.8640000000000001</v>
      </c>
      <c r="AB17" s="69">
        <f t="shared" si="0"/>
        <v>25.713440140280404</v>
      </c>
      <c r="AC17" s="69">
        <f t="shared" si="1"/>
        <v>23.576730380359464</v>
      </c>
      <c r="AD17" s="69">
        <f t="shared" si="2"/>
        <v>4.3349611846569083</v>
      </c>
      <c r="AF17" s="95">
        <v>7.51</v>
      </c>
      <c r="AG17" s="95">
        <v>-2.8691599999999999</v>
      </c>
      <c r="AH17" s="95">
        <v>0.44529999999999997</v>
      </c>
      <c r="AI17" s="95">
        <v>-0.56510000000000005</v>
      </c>
      <c r="AJ17" s="95">
        <v>-0.81459999999999999</v>
      </c>
      <c r="AK17" s="95">
        <v>-2.1575000000000002</v>
      </c>
      <c r="AL17" s="95">
        <v>0.1187</v>
      </c>
      <c r="AM17" s="95">
        <v>-0.16039999999999999</v>
      </c>
      <c r="AN17" s="95">
        <v>-0.46870000000000001</v>
      </c>
      <c r="AO17" s="95">
        <v>-0.92659999999999998</v>
      </c>
    </row>
    <row r="18" spans="1:41" x14ac:dyDescent="0.35">
      <c r="A18" s="43">
        <v>6</v>
      </c>
      <c r="B18" s="10">
        <v>43119</v>
      </c>
      <c r="C18" s="43">
        <v>4</v>
      </c>
      <c r="D18" s="43">
        <v>133</v>
      </c>
      <c r="E18" s="31">
        <f t="shared" si="4"/>
        <v>540</v>
      </c>
      <c r="F18" s="2">
        <f t="shared" si="3"/>
        <v>0.9925373134328358</v>
      </c>
      <c r="G18" s="25">
        <f t="shared" si="5"/>
        <v>4.0323880597014927</v>
      </c>
      <c r="H18" s="43">
        <v>7.64</v>
      </c>
      <c r="I18" s="43">
        <v>1850</v>
      </c>
      <c r="J18" s="43">
        <v>311</v>
      </c>
      <c r="K18" s="27">
        <v>644</v>
      </c>
      <c r="L18" s="27">
        <v>45</v>
      </c>
      <c r="M18" s="26">
        <v>2.5</v>
      </c>
      <c r="N18" s="31">
        <v>868</v>
      </c>
      <c r="O18" s="43">
        <v>26</v>
      </c>
      <c r="P18" s="175">
        <v>193.9</v>
      </c>
      <c r="Q18" s="175">
        <v>47.75</v>
      </c>
      <c r="R18" s="21">
        <v>199</v>
      </c>
      <c r="S18" s="21">
        <v>23.54</v>
      </c>
      <c r="T18" s="21">
        <v>17.28</v>
      </c>
      <c r="U18" s="171">
        <v>0.2</v>
      </c>
      <c r="V18" s="174">
        <v>0.39400000000000002</v>
      </c>
      <c r="W18" s="81">
        <v>0.02</v>
      </c>
      <c r="X18" s="11">
        <v>0.59399999999999997</v>
      </c>
      <c r="Y18" s="81">
        <v>0.04</v>
      </c>
      <c r="Z18" s="172">
        <v>1.7809999999999999</v>
      </c>
      <c r="AB18" s="69">
        <f t="shared" si="0"/>
        <v>25.60175440202384</v>
      </c>
      <c r="AC18" s="69">
        <f t="shared" si="1"/>
        <v>22.700339011207809</v>
      </c>
      <c r="AD18" s="69">
        <f t="shared" si="2"/>
        <v>6.0068108559891735</v>
      </c>
      <c r="AF18" s="95">
        <v>7.64</v>
      </c>
      <c r="AG18" s="95">
        <v>-4.4063499999999998</v>
      </c>
      <c r="AH18" s="95">
        <v>0.63129999999999997</v>
      </c>
      <c r="AI18" s="95">
        <v>-0.60519999999999996</v>
      </c>
      <c r="AJ18" s="95">
        <v>-0.8548</v>
      </c>
      <c r="AK18" s="95">
        <v>-2.2097000000000002</v>
      </c>
      <c r="AL18" s="95">
        <v>0.48520000000000002</v>
      </c>
      <c r="AM18" s="95">
        <v>5.2999999999999999E-2</v>
      </c>
      <c r="AN18" s="95">
        <v>-0.49480000000000002</v>
      </c>
      <c r="AO18" s="95">
        <v>-0.74609999999999999</v>
      </c>
    </row>
    <row r="19" spans="1:41" x14ac:dyDescent="0.35">
      <c r="A19" s="43">
        <v>6</v>
      </c>
      <c r="B19" s="10">
        <v>43120</v>
      </c>
      <c r="C19" s="43">
        <v>5</v>
      </c>
      <c r="D19" s="43">
        <v>136</v>
      </c>
      <c r="E19" s="31">
        <f t="shared" si="4"/>
        <v>676</v>
      </c>
      <c r="F19" s="2">
        <f t="shared" si="3"/>
        <v>1.0149253731343284</v>
      </c>
      <c r="G19" s="25">
        <f t="shared" si="5"/>
        <v>5.0473134328358213</v>
      </c>
      <c r="H19" s="43">
        <v>7.61</v>
      </c>
      <c r="I19" s="43">
        <v>1845</v>
      </c>
      <c r="J19" s="43">
        <v>272</v>
      </c>
      <c r="K19" s="27">
        <v>652</v>
      </c>
      <c r="L19" s="27">
        <v>46</v>
      </c>
      <c r="M19" s="26">
        <v>2.5</v>
      </c>
      <c r="N19" s="31">
        <v>857</v>
      </c>
      <c r="O19" s="43">
        <v>26</v>
      </c>
      <c r="P19" s="175">
        <v>193.8</v>
      </c>
      <c r="Q19" s="175">
        <v>46.8</v>
      </c>
      <c r="R19" s="21">
        <v>199</v>
      </c>
      <c r="S19" s="21">
        <v>24.11</v>
      </c>
      <c r="T19" s="21">
        <v>16.86</v>
      </c>
      <c r="U19" s="171">
        <v>0.2</v>
      </c>
      <c r="V19" s="174">
        <v>0.374</v>
      </c>
      <c r="W19" s="81">
        <v>0.02</v>
      </c>
      <c r="X19" s="11">
        <v>0.77300000000000002</v>
      </c>
      <c r="Y19" s="81">
        <v>0.04</v>
      </c>
      <c r="Z19" s="172">
        <v>1.744</v>
      </c>
      <c r="AB19" s="69">
        <f t="shared" si="0"/>
        <v>24.620939619772386</v>
      </c>
      <c r="AC19" s="69">
        <f t="shared" si="1"/>
        <v>22.606482303268191</v>
      </c>
      <c r="AD19" s="69">
        <f t="shared" si="2"/>
        <v>4.2654399382351489</v>
      </c>
      <c r="AF19" s="95">
        <v>7.61</v>
      </c>
      <c r="AG19" s="95">
        <v>-2.5212699999999999</v>
      </c>
      <c r="AH19" s="95">
        <v>0.54810000000000003</v>
      </c>
      <c r="AI19" s="95">
        <v>-0.60540000000000005</v>
      </c>
      <c r="AJ19" s="95">
        <v>-0.85499999999999998</v>
      </c>
      <c r="AK19" s="95">
        <v>-2.2372999999999998</v>
      </c>
      <c r="AL19" s="95">
        <v>0.30940000000000001</v>
      </c>
      <c r="AM19" s="95">
        <v>8.5999999999999993E-2</v>
      </c>
      <c r="AN19" s="95">
        <v>-0.51129999999999998</v>
      </c>
      <c r="AO19" s="95">
        <v>-0.8387</v>
      </c>
    </row>
    <row r="20" spans="1:41" x14ac:dyDescent="0.35">
      <c r="A20" s="43">
        <v>6</v>
      </c>
      <c r="B20" s="10">
        <v>43121</v>
      </c>
      <c r="C20" s="43">
        <v>6</v>
      </c>
      <c r="D20" s="43">
        <v>134</v>
      </c>
      <c r="E20" s="31">
        <f t="shared" si="4"/>
        <v>810</v>
      </c>
      <c r="F20" s="2">
        <f t="shared" si="3"/>
        <v>1</v>
      </c>
      <c r="G20" s="25">
        <f t="shared" si="5"/>
        <v>6.0473134328358213</v>
      </c>
      <c r="H20" s="43">
        <v>7.61</v>
      </c>
      <c r="I20" s="43">
        <v>1822</v>
      </c>
      <c r="J20" s="43">
        <v>248</v>
      </c>
      <c r="K20" s="27">
        <v>662</v>
      </c>
      <c r="L20" s="27">
        <v>46</v>
      </c>
      <c r="M20" s="26">
        <v>2.5</v>
      </c>
      <c r="N20" s="31">
        <v>850</v>
      </c>
      <c r="O20" s="43">
        <v>29</v>
      </c>
      <c r="P20" s="175">
        <v>188.9</v>
      </c>
      <c r="Q20" s="175">
        <v>45.11</v>
      </c>
      <c r="R20" s="21">
        <v>197</v>
      </c>
      <c r="S20" s="21">
        <v>23.31</v>
      </c>
      <c r="T20" s="21">
        <v>16.02</v>
      </c>
      <c r="U20" s="171">
        <v>0.2</v>
      </c>
      <c r="V20" s="174">
        <v>0.35799999999999998</v>
      </c>
      <c r="W20" s="81">
        <v>0.02</v>
      </c>
      <c r="X20" s="18">
        <v>1.038</v>
      </c>
      <c r="Y20" s="81">
        <v>0.04</v>
      </c>
      <c r="Z20" s="172">
        <v>1.6080000000000001</v>
      </c>
      <c r="AB20" s="69">
        <f t="shared" si="0"/>
        <v>23.995197375341821</v>
      </c>
      <c r="AC20" s="69">
        <f t="shared" si="1"/>
        <v>22.114513340739752</v>
      </c>
      <c r="AD20" s="69">
        <f t="shared" si="2"/>
        <v>4.0787157529187175</v>
      </c>
      <c r="AF20" s="95">
        <v>7.61</v>
      </c>
      <c r="AG20" s="95">
        <v>-2.4306100000000002</v>
      </c>
      <c r="AH20" s="95">
        <v>0.50019999999999998</v>
      </c>
      <c r="AI20" s="95">
        <v>-0.61380000000000001</v>
      </c>
      <c r="AJ20" s="95">
        <v>-0.86339999999999995</v>
      </c>
      <c r="AK20" s="95">
        <v>-2.2766000000000002</v>
      </c>
      <c r="AL20" s="95">
        <v>0.20830000000000001</v>
      </c>
      <c r="AM20" s="95">
        <v>0.1807</v>
      </c>
      <c r="AN20" s="95">
        <v>-0.53680000000000005</v>
      </c>
      <c r="AO20" s="95">
        <v>-0.89190000000000003</v>
      </c>
    </row>
    <row r="21" spans="1:41" x14ac:dyDescent="0.35">
      <c r="A21" s="43">
        <v>6</v>
      </c>
      <c r="B21" s="10">
        <v>43122</v>
      </c>
      <c r="C21" s="43">
        <v>7</v>
      </c>
      <c r="D21" s="43">
        <v>144</v>
      </c>
      <c r="E21" s="31">
        <f>E20+D21</f>
        <v>954</v>
      </c>
      <c r="F21" s="2">
        <f>D21/134</f>
        <v>1.0746268656716418</v>
      </c>
      <c r="G21" s="25">
        <f>G20+F21</f>
        <v>7.1219402985074627</v>
      </c>
      <c r="H21" s="43">
        <v>7.64</v>
      </c>
      <c r="I21" s="43">
        <v>1795</v>
      </c>
      <c r="J21" s="43">
        <v>244</v>
      </c>
      <c r="K21" s="27">
        <v>620</v>
      </c>
      <c r="L21" s="43">
        <v>42</v>
      </c>
      <c r="M21" s="26">
        <v>2.5</v>
      </c>
      <c r="N21" s="43">
        <v>777</v>
      </c>
      <c r="O21" s="43">
        <v>25</v>
      </c>
      <c r="P21" s="175">
        <v>172.4</v>
      </c>
      <c r="Q21" s="175">
        <v>42.6</v>
      </c>
      <c r="R21" s="21">
        <v>232.8</v>
      </c>
      <c r="S21" s="175">
        <v>22.65</v>
      </c>
      <c r="T21" s="175">
        <v>15.25</v>
      </c>
      <c r="U21" s="171">
        <v>0.2</v>
      </c>
      <c r="V21" s="174">
        <v>0.32700000000000001</v>
      </c>
      <c r="W21" s="81">
        <v>0.02</v>
      </c>
      <c r="X21" s="172">
        <v>1.145</v>
      </c>
      <c r="Y21" s="81">
        <v>0.04</v>
      </c>
      <c r="Z21" s="172">
        <v>1.427</v>
      </c>
      <c r="AB21" s="69">
        <f t="shared" si="0"/>
        <v>22.282478990293924</v>
      </c>
      <c r="AC21" s="69">
        <f t="shared" si="1"/>
        <v>22.622251261092376</v>
      </c>
      <c r="AD21" s="69">
        <f t="shared" si="2"/>
        <v>0.75665140152570598</v>
      </c>
      <c r="AF21" s="95">
        <v>7.64</v>
      </c>
      <c r="AG21" s="95">
        <v>3.5282800000000001</v>
      </c>
      <c r="AH21" s="95">
        <v>0.4965</v>
      </c>
      <c r="AI21" s="95">
        <v>-0.6744</v>
      </c>
      <c r="AJ21" s="95">
        <v>-0.92400000000000004</v>
      </c>
      <c r="AK21" s="95">
        <v>-2.3125</v>
      </c>
      <c r="AL21" s="95">
        <v>0.2145</v>
      </c>
      <c r="AM21" s="95">
        <v>0.2581</v>
      </c>
      <c r="AN21" s="95">
        <v>-0.60040000000000004</v>
      </c>
      <c r="AO21" s="95">
        <v>-0.88200000000000001</v>
      </c>
    </row>
    <row r="22" spans="1:41" x14ac:dyDescent="0.35">
      <c r="B22" s="10"/>
      <c r="E22" s="31"/>
      <c r="F22" s="25"/>
      <c r="G22" s="25"/>
      <c r="K22" s="27"/>
      <c r="L22" s="27"/>
      <c r="N22" s="31"/>
      <c r="R22" s="13"/>
      <c r="S22" s="13"/>
      <c r="T22" s="13"/>
      <c r="U22" s="11"/>
      <c r="V22" s="15"/>
      <c r="W22" s="7"/>
      <c r="X22" s="16"/>
      <c r="AB22" s="69"/>
      <c r="AC22" s="69"/>
      <c r="AD22" s="69"/>
      <c r="AF22" s="95"/>
      <c r="AG22" s="95"/>
      <c r="AH22" s="95"/>
      <c r="AI22" s="95"/>
      <c r="AJ22" s="95"/>
      <c r="AK22" s="95"/>
      <c r="AL22" s="95"/>
      <c r="AM22" s="95"/>
      <c r="AN22" s="95"/>
      <c r="AO22" s="95"/>
    </row>
    <row r="23" spans="1:41" x14ac:dyDescent="0.35">
      <c r="A23" s="43" t="s">
        <v>55</v>
      </c>
      <c r="F23" s="2"/>
      <c r="G23" s="2"/>
      <c r="H23" s="69">
        <f>AVERAGE(B76:B90)</f>
        <v>8.0540000000000003</v>
      </c>
      <c r="I23" s="165">
        <f>'Influent Results Master'!D37</f>
        <v>792.8888888888888</v>
      </c>
      <c r="J23" s="165">
        <f>'Influent Results Master'!F37</f>
        <v>161.7777777777778</v>
      </c>
      <c r="K23" s="170">
        <f>'Influent Results Master'!G37</f>
        <v>7.1555555555555559</v>
      </c>
      <c r="L23" s="165">
        <f>'Influent Results Master'!H37</f>
        <v>11.777777777777779</v>
      </c>
      <c r="M23" s="170">
        <f>'Influent Results Master'!I37</f>
        <v>4.7</v>
      </c>
      <c r="N23" s="165">
        <f>'Influent Results Master'!J37</f>
        <v>323.22222222222223</v>
      </c>
      <c r="O23" s="165">
        <f>'Influent Results Master'!K37</f>
        <v>17.333333333333332</v>
      </c>
      <c r="P23" s="165">
        <f>'Influent Results Master'!L37</f>
        <v>110.73333333333333</v>
      </c>
      <c r="Q23" s="165">
        <f>'Influent Results Master'!M37</f>
        <v>36.826666666666675</v>
      </c>
      <c r="R23" s="165">
        <f>'Influent Results Master'!N37</f>
        <v>60.793333333333329</v>
      </c>
      <c r="S23" s="165">
        <f>'Influent Results Master'!O37</f>
        <v>12.273333333333333</v>
      </c>
      <c r="T23" s="170">
        <f>'Influent Results Master'!P37</f>
        <v>3.2865555555555557</v>
      </c>
      <c r="U23" s="171">
        <f>'Influent Results Master'!Q37</f>
        <v>0.20000000000000004</v>
      </c>
      <c r="V23" s="177">
        <f>'Influent Results Master'!R37</f>
        <v>0.02</v>
      </c>
      <c r="W23" s="177">
        <f>'Influent Results Master'!S37</f>
        <v>0.02</v>
      </c>
      <c r="X23" s="176">
        <f>'Influent Results Master'!T37</f>
        <v>4.3000000000000003E-2</v>
      </c>
      <c r="Y23" s="177">
        <f>'Influent Results Master'!U37</f>
        <v>0.04</v>
      </c>
      <c r="Z23" s="170">
        <f>'Influent Results Master'!V37</f>
        <v>1.2584444444444445</v>
      </c>
      <c r="AB23" s="69">
        <f>((J23/50)+(L23/35.45)+(M23/62)+(N23/48.03))</f>
        <v>10.373188636120361</v>
      </c>
      <c r="AC23" s="69">
        <f t="shared" si="1"/>
        <v>11.282517455045328</v>
      </c>
      <c r="AD23" s="69">
        <f t="shared" si="2"/>
        <v>4.1990264140864122</v>
      </c>
      <c r="AF23" s="95">
        <v>8.0500000000000007</v>
      </c>
      <c r="AG23" s="95">
        <v>7.4688800000000004</v>
      </c>
      <c r="AH23" s="95">
        <v>0.65510000000000002</v>
      </c>
      <c r="AI23" s="95">
        <v>-1.0589999999999999</v>
      </c>
      <c r="AJ23" s="95">
        <v>-1.3088</v>
      </c>
      <c r="AK23" s="95">
        <v>-2.9049</v>
      </c>
      <c r="AL23" s="95">
        <v>0.65269999999999995</v>
      </c>
      <c r="AM23" s="95">
        <v>-0.80449999999999999</v>
      </c>
      <c r="AN23" s="95">
        <v>-1.8182</v>
      </c>
      <c r="AO23" s="95">
        <v>-0.60240000000000005</v>
      </c>
    </row>
    <row r="24" spans="1:41" s="68" customFormat="1" x14ac:dyDescent="0.35">
      <c r="F24" s="69"/>
      <c r="G24" s="69"/>
      <c r="M24" s="65"/>
      <c r="N24" s="27"/>
      <c r="O24" s="65"/>
      <c r="P24" s="65"/>
      <c r="Q24" s="65"/>
      <c r="R24" s="67"/>
      <c r="S24" s="67"/>
      <c r="T24" s="67"/>
      <c r="U24" s="67"/>
      <c r="V24" s="65"/>
      <c r="W24" s="66"/>
      <c r="X24" s="67"/>
      <c r="Y24" s="65"/>
      <c r="AB24" s="69"/>
      <c r="AC24" s="69"/>
      <c r="AD24" s="69"/>
      <c r="AF24" s="95"/>
      <c r="AG24" s="95"/>
      <c r="AH24" s="95"/>
      <c r="AI24" s="95"/>
      <c r="AJ24" s="95"/>
      <c r="AK24" s="95"/>
      <c r="AL24" s="95"/>
      <c r="AM24" s="95"/>
      <c r="AN24" s="95"/>
      <c r="AO24" s="95"/>
    </row>
    <row r="25" spans="1:41" x14ac:dyDescent="0.35">
      <c r="A25" s="43">
        <v>6</v>
      </c>
      <c r="B25" s="10">
        <v>43488</v>
      </c>
      <c r="C25" s="43">
        <v>8</v>
      </c>
      <c r="D25" s="43">
        <v>138</v>
      </c>
      <c r="E25" s="43">
        <f>D25+E21</f>
        <v>1092</v>
      </c>
      <c r="F25" s="69">
        <f>D25/134</f>
        <v>1.0298507462686568</v>
      </c>
      <c r="G25" s="69">
        <f>F25+G21</f>
        <v>8.1517910447761199</v>
      </c>
      <c r="H25" s="43">
        <v>7.87</v>
      </c>
      <c r="I25" s="43">
        <v>1243</v>
      </c>
      <c r="J25" s="43">
        <v>208</v>
      </c>
      <c r="K25" s="43">
        <v>357</v>
      </c>
      <c r="L25" s="27">
        <v>18</v>
      </c>
      <c r="M25" s="26">
        <v>2.5</v>
      </c>
      <c r="N25" s="31">
        <v>475</v>
      </c>
      <c r="O25" s="43">
        <v>23</v>
      </c>
      <c r="P25" s="175">
        <v>88.58</v>
      </c>
      <c r="Q25" s="175">
        <v>23.01</v>
      </c>
      <c r="R25" s="21">
        <v>177.7</v>
      </c>
      <c r="S25" s="21">
        <v>20.18</v>
      </c>
      <c r="T25" s="21">
        <v>11.4</v>
      </c>
      <c r="U25" s="171">
        <v>0.2</v>
      </c>
      <c r="V25" s="69">
        <v>0.22</v>
      </c>
      <c r="W25" s="80">
        <v>0.02</v>
      </c>
      <c r="X25" s="174">
        <v>0.64</v>
      </c>
      <c r="Y25" s="81">
        <v>0.04</v>
      </c>
      <c r="Z25" s="163">
        <v>0.93</v>
      </c>
      <c r="AB25" s="69">
        <f t="shared" ref="AB25:AB39" si="6">((J25/50)+(L25/35.45)+(M25/62)+(N25/48.03))</f>
        <v>14.597732286086078</v>
      </c>
      <c r="AC25" s="69">
        <f t="shared" si="1"/>
        <v>14.333437105689534</v>
      </c>
      <c r="AD25" s="69">
        <f t="shared" si="2"/>
        <v>0.9135309285896922</v>
      </c>
      <c r="AF25" s="95">
        <v>7.87</v>
      </c>
      <c r="AG25" s="95">
        <v>2.1506599999999998</v>
      </c>
      <c r="AH25" s="95">
        <v>0.45019999999999999</v>
      </c>
      <c r="AI25" s="95">
        <v>-1.0350999999999999</v>
      </c>
      <c r="AJ25" s="95">
        <v>-1.2847999999999999</v>
      </c>
      <c r="AK25" s="95">
        <v>-2.597</v>
      </c>
      <c r="AL25" s="95">
        <v>0.1404</v>
      </c>
      <c r="AM25" s="95">
        <v>0.26119999999999999</v>
      </c>
      <c r="AN25" s="95">
        <v>-0.95050000000000001</v>
      </c>
      <c r="AO25" s="95">
        <v>-0.90980000000000005</v>
      </c>
    </row>
    <row r="26" spans="1:41" x14ac:dyDescent="0.35">
      <c r="A26" s="43">
        <v>6</v>
      </c>
      <c r="B26" s="10">
        <v>43489</v>
      </c>
      <c r="C26" s="43">
        <v>9</v>
      </c>
      <c r="D26" s="43">
        <v>137</v>
      </c>
      <c r="E26" s="31">
        <f>D26+E25</f>
        <v>1229</v>
      </c>
      <c r="F26" s="25">
        <f>D26/134</f>
        <v>1.0223880597014925</v>
      </c>
      <c r="G26" s="25">
        <f>G25+F26</f>
        <v>9.1741791044776129</v>
      </c>
      <c r="H26" s="43">
        <v>7.74</v>
      </c>
      <c r="I26" s="43">
        <v>1048</v>
      </c>
      <c r="J26" s="43">
        <v>164</v>
      </c>
      <c r="K26" s="27">
        <v>259</v>
      </c>
      <c r="L26" s="27">
        <v>14</v>
      </c>
      <c r="M26" s="18">
        <v>1.3</v>
      </c>
      <c r="N26" s="186">
        <v>417</v>
      </c>
      <c r="O26" s="186">
        <v>19</v>
      </c>
      <c r="P26" s="21">
        <v>82.7</v>
      </c>
      <c r="Q26" s="21">
        <v>21.88</v>
      </c>
      <c r="R26" s="21">
        <v>133.4</v>
      </c>
      <c r="S26" s="21">
        <v>17.399999999999999</v>
      </c>
      <c r="T26" s="21">
        <v>10.73</v>
      </c>
      <c r="U26" s="171">
        <v>0.2</v>
      </c>
      <c r="V26" s="50">
        <v>0.08</v>
      </c>
      <c r="W26" s="80">
        <v>0.02</v>
      </c>
      <c r="X26" s="174">
        <v>0.621</v>
      </c>
      <c r="Y26" s="81">
        <v>0.04</v>
      </c>
      <c r="Z26" s="163">
        <v>0.84799999999999998</v>
      </c>
      <c r="AB26" s="69">
        <f t="shared" si="6"/>
        <v>12.377963871822569</v>
      </c>
      <c r="AC26" s="69">
        <f t="shared" si="1"/>
        <v>12.003036000694514</v>
      </c>
      <c r="AD26" s="25">
        <f t="shared" si="2"/>
        <v>1.5377871009739978</v>
      </c>
      <c r="AF26" s="95">
        <v>7.74</v>
      </c>
      <c r="AG26" s="95">
        <v>1.1754500000000001</v>
      </c>
      <c r="AH26" s="95">
        <v>0.217</v>
      </c>
      <c r="AI26" s="95">
        <v>-1.0834999999999999</v>
      </c>
      <c r="AJ26" s="95">
        <v>-1.3332999999999999</v>
      </c>
      <c r="AK26" s="95">
        <v>-2.5638999999999998</v>
      </c>
      <c r="AL26" s="95">
        <v>-0.32040000000000002</v>
      </c>
      <c r="AM26" s="95">
        <v>4.6300000000000001E-2</v>
      </c>
      <c r="AN26" s="95">
        <v>-1.3824000000000001</v>
      </c>
      <c r="AO26" s="95">
        <v>-1.1374</v>
      </c>
    </row>
    <row r="27" spans="1:41" x14ac:dyDescent="0.35">
      <c r="A27" s="43">
        <v>6</v>
      </c>
      <c r="B27" s="10">
        <v>43490</v>
      </c>
      <c r="C27" s="43">
        <v>10</v>
      </c>
      <c r="D27" s="43">
        <v>136</v>
      </c>
      <c r="E27" s="31">
        <f t="shared" ref="E27:E31" si="7">D27+E26</f>
        <v>1365</v>
      </c>
      <c r="F27" s="25">
        <f t="shared" ref="F27:F31" si="8">D27/134</f>
        <v>1.0149253731343284</v>
      </c>
      <c r="G27" s="25">
        <f t="shared" ref="G27:G31" si="9">G26+F27</f>
        <v>10.189104477611941</v>
      </c>
      <c r="H27" s="43">
        <v>7.65</v>
      </c>
      <c r="I27" s="43">
        <v>982</v>
      </c>
      <c r="J27" s="43">
        <v>171</v>
      </c>
      <c r="K27" s="27">
        <v>224</v>
      </c>
      <c r="L27" s="27">
        <v>13</v>
      </c>
      <c r="M27" s="18">
        <v>1.7</v>
      </c>
      <c r="N27" s="31">
        <v>406</v>
      </c>
      <c r="O27" s="31">
        <v>19</v>
      </c>
      <c r="P27" s="175">
        <v>92.62</v>
      </c>
      <c r="Q27" s="175">
        <v>22.61</v>
      </c>
      <c r="R27" s="21">
        <v>83.78</v>
      </c>
      <c r="S27" s="21">
        <v>19.010000000000002</v>
      </c>
      <c r="T27" s="21">
        <v>10.49</v>
      </c>
      <c r="U27" s="171">
        <v>0.2</v>
      </c>
      <c r="V27" s="50">
        <v>3.2000000000000001E-2</v>
      </c>
      <c r="W27" s="80">
        <v>0.02</v>
      </c>
      <c r="X27" s="174">
        <v>0.78600000000000003</v>
      </c>
      <c r="Y27" s="81">
        <v>0.04</v>
      </c>
      <c r="Z27" s="163">
        <v>0.96299999999999997</v>
      </c>
      <c r="AB27" s="69">
        <f t="shared" si="6"/>
        <v>12.26718321305262</v>
      </c>
      <c r="AC27" s="69">
        <f t="shared" si="1"/>
        <v>10.393611059485453</v>
      </c>
      <c r="AD27" s="25">
        <f t="shared" si="2"/>
        <v>8.2679015176343249</v>
      </c>
      <c r="AF27" s="95">
        <v>7.65</v>
      </c>
      <c r="AG27" s="95">
        <v>-6.3499699999999999</v>
      </c>
      <c r="AH27" s="95">
        <v>0.2024</v>
      </c>
      <c r="AI27" s="95">
        <v>-1.0401</v>
      </c>
      <c r="AJ27" s="95">
        <v>-1.2899</v>
      </c>
      <c r="AK27" s="95">
        <v>-2.4540000000000002</v>
      </c>
      <c r="AL27" s="95">
        <v>-0.38469999999999999</v>
      </c>
      <c r="AM27" s="95">
        <v>8.8800000000000004E-2</v>
      </c>
      <c r="AN27" s="95">
        <v>-1.7198</v>
      </c>
      <c r="AO27" s="95">
        <v>-1.1871</v>
      </c>
    </row>
    <row r="28" spans="1:41" x14ac:dyDescent="0.35">
      <c r="A28" s="43">
        <v>6</v>
      </c>
      <c r="B28" s="10">
        <v>43491</v>
      </c>
      <c r="C28" s="43">
        <v>11</v>
      </c>
      <c r="D28" s="43">
        <v>135</v>
      </c>
      <c r="E28" s="31">
        <f t="shared" si="7"/>
        <v>1500</v>
      </c>
      <c r="F28" s="25">
        <f t="shared" si="8"/>
        <v>1.0074626865671641</v>
      </c>
      <c r="G28" s="25">
        <f t="shared" si="9"/>
        <v>11.196567164179106</v>
      </c>
      <c r="H28" s="43">
        <v>7.7</v>
      </c>
      <c r="I28" s="43">
        <v>970</v>
      </c>
      <c r="J28" s="43">
        <v>169</v>
      </c>
      <c r="K28" s="27">
        <v>205</v>
      </c>
      <c r="L28" s="27">
        <v>12</v>
      </c>
      <c r="M28" s="18">
        <v>1.9</v>
      </c>
      <c r="N28" s="31">
        <v>404</v>
      </c>
      <c r="O28" s="43">
        <v>18</v>
      </c>
      <c r="P28" s="175">
        <v>103.7</v>
      </c>
      <c r="Q28" s="175">
        <v>26.04</v>
      </c>
      <c r="R28" s="21">
        <v>69.010000000000005</v>
      </c>
      <c r="S28" s="21">
        <v>19.12</v>
      </c>
      <c r="T28" s="18">
        <v>9.7530000000000001</v>
      </c>
      <c r="U28" s="171">
        <v>0.2</v>
      </c>
      <c r="V28" s="50">
        <v>1.4999999999999999E-2</v>
      </c>
      <c r="W28" s="80">
        <v>0.02</v>
      </c>
      <c r="X28" s="174">
        <v>0.91100000000000003</v>
      </c>
      <c r="Y28" s="81">
        <v>0.04</v>
      </c>
      <c r="Z28" s="170">
        <v>1.1100000000000001</v>
      </c>
      <c r="AB28" s="69">
        <f t="shared" si="6"/>
        <v>12.160559633527498</v>
      </c>
      <c r="AC28" s="69">
        <f t="shared" si="1"/>
        <v>10.567275294084652</v>
      </c>
      <c r="AD28" s="25">
        <f t="shared" si="2"/>
        <v>7.0102776816068717</v>
      </c>
      <c r="AF28" s="95">
        <v>7.7</v>
      </c>
      <c r="AG28" s="95">
        <v>-4.9135400000000002</v>
      </c>
      <c r="AH28" s="95">
        <v>0.29570000000000002</v>
      </c>
      <c r="AI28" s="95">
        <v>-1.0005999999999999</v>
      </c>
      <c r="AJ28" s="95">
        <v>-1.2504</v>
      </c>
      <c r="AK28" s="95">
        <v>-2.5116999999999998</v>
      </c>
      <c r="AL28" s="95">
        <v>-0.18629999999999999</v>
      </c>
      <c r="AM28" s="95">
        <v>0.19370000000000001</v>
      </c>
      <c r="AN28" s="95">
        <v>-1.9987999999999999</v>
      </c>
      <c r="AO28" s="95">
        <v>-1.0820000000000001</v>
      </c>
    </row>
    <row r="29" spans="1:41" x14ac:dyDescent="0.35">
      <c r="A29" s="43">
        <v>6</v>
      </c>
      <c r="B29" s="28">
        <v>43492</v>
      </c>
      <c r="C29" s="43">
        <v>12</v>
      </c>
      <c r="D29" s="43">
        <v>135</v>
      </c>
      <c r="E29" s="31">
        <f t="shared" si="7"/>
        <v>1635</v>
      </c>
      <c r="F29" s="25">
        <f t="shared" si="8"/>
        <v>1.0074626865671641</v>
      </c>
      <c r="G29" s="25">
        <f t="shared" si="9"/>
        <v>12.20402985074627</v>
      </c>
      <c r="H29" s="43">
        <v>7.79</v>
      </c>
      <c r="I29" s="43">
        <v>955</v>
      </c>
      <c r="J29" s="43">
        <v>167</v>
      </c>
      <c r="K29" s="24">
        <v>168</v>
      </c>
      <c r="L29" s="24">
        <v>12</v>
      </c>
      <c r="M29" s="18">
        <v>2</v>
      </c>
      <c r="N29" s="31">
        <v>403</v>
      </c>
      <c r="O29" s="43">
        <v>18</v>
      </c>
      <c r="P29" s="175">
        <v>106</v>
      </c>
      <c r="Q29" s="175">
        <v>25.8</v>
      </c>
      <c r="R29" s="175">
        <v>59.13</v>
      </c>
      <c r="S29" s="175">
        <v>18.36</v>
      </c>
      <c r="T29" s="172">
        <v>8.5289999999999999</v>
      </c>
      <c r="U29" s="171">
        <v>0.2</v>
      </c>
      <c r="V29" s="50">
        <v>0.05</v>
      </c>
      <c r="W29" s="80">
        <v>0.02</v>
      </c>
      <c r="X29" s="174">
        <v>0.95</v>
      </c>
      <c r="Y29" s="81">
        <v>0.04</v>
      </c>
      <c r="Z29" s="170">
        <v>1.19</v>
      </c>
      <c r="AB29" s="69">
        <f t="shared" si="6"/>
        <v>12.101352216120366</v>
      </c>
      <c r="AC29" s="69">
        <f t="shared" si="1"/>
        <v>10.201252497119434</v>
      </c>
      <c r="AD29" s="25">
        <f t="shared" si="2"/>
        <v>8.5196314216740365</v>
      </c>
      <c r="AF29" s="95">
        <v>7.79</v>
      </c>
      <c r="AG29" s="95">
        <v>-6.7224500000000003</v>
      </c>
      <c r="AH29" s="95">
        <v>0.38950000000000001</v>
      </c>
      <c r="AI29" s="95">
        <v>-0.99099999999999999</v>
      </c>
      <c r="AJ29" s="95">
        <v>-1.2407999999999999</v>
      </c>
      <c r="AK29" s="95">
        <v>-2.6082999999999998</v>
      </c>
      <c r="AL29" s="95">
        <v>-1.2200000000000001E-2</v>
      </c>
      <c r="AM29" s="95">
        <v>0.2974</v>
      </c>
      <c r="AN29" s="95">
        <v>-1.4641999999999999</v>
      </c>
      <c r="AO29" s="95">
        <v>-1.0016</v>
      </c>
    </row>
    <row r="30" spans="1:41" x14ac:dyDescent="0.35">
      <c r="A30" s="43">
        <v>6</v>
      </c>
      <c r="B30" s="28">
        <v>43493</v>
      </c>
      <c r="C30" s="43">
        <v>13</v>
      </c>
      <c r="D30" s="43">
        <v>134</v>
      </c>
      <c r="E30" s="31">
        <f t="shared" si="7"/>
        <v>1769</v>
      </c>
      <c r="F30" s="25">
        <f t="shared" si="8"/>
        <v>1</v>
      </c>
      <c r="G30" s="25">
        <f t="shared" si="9"/>
        <v>13.20402985074627</v>
      </c>
      <c r="H30" s="43">
        <v>7.65</v>
      </c>
      <c r="I30" s="43">
        <v>952</v>
      </c>
      <c r="J30" s="43">
        <v>164</v>
      </c>
      <c r="K30" s="24">
        <v>153</v>
      </c>
      <c r="L30" s="24">
        <v>12</v>
      </c>
      <c r="M30" s="18">
        <v>2</v>
      </c>
      <c r="N30" s="31">
        <v>403</v>
      </c>
      <c r="O30" s="198">
        <v>18</v>
      </c>
      <c r="P30" s="175">
        <v>105.8</v>
      </c>
      <c r="Q30" s="175">
        <v>26.88</v>
      </c>
      <c r="R30" s="175">
        <v>59.6</v>
      </c>
      <c r="S30" s="175">
        <v>19.399999999999999</v>
      </c>
      <c r="T30" s="172">
        <v>8.6259999999999994</v>
      </c>
      <c r="U30" s="171">
        <v>0.2</v>
      </c>
      <c r="V30" s="80">
        <v>0.02</v>
      </c>
      <c r="W30" s="80">
        <v>0.02</v>
      </c>
      <c r="X30" s="174">
        <v>0.93899999999999995</v>
      </c>
      <c r="Y30" s="81">
        <v>0.04</v>
      </c>
      <c r="Z30" s="170">
        <v>1.08</v>
      </c>
      <c r="AB30" s="69">
        <f t="shared" si="6"/>
        <v>12.041352216120366</v>
      </c>
      <c r="AC30" s="69">
        <f t="shared" si="1"/>
        <v>10.303012736248656</v>
      </c>
      <c r="AD30" s="25">
        <f t="shared" si="2"/>
        <v>7.7797667715206469</v>
      </c>
      <c r="AF30" s="95">
        <v>7.65</v>
      </c>
      <c r="AG30" s="95">
        <v>-5.9002600000000003</v>
      </c>
      <c r="AH30" s="95">
        <v>0.24379999999999999</v>
      </c>
      <c r="AI30" s="95">
        <v>-0.99219999999999997</v>
      </c>
      <c r="AJ30" s="95">
        <v>-1.242</v>
      </c>
      <c r="AK30" s="95">
        <v>-2.4739</v>
      </c>
      <c r="AL30" s="95">
        <v>-0.28520000000000001</v>
      </c>
      <c r="AM30" s="95">
        <v>0.14680000000000001</v>
      </c>
      <c r="AN30" s="95">
        <v>-1.8626</v>
      </c>
      <c r="AO30" s="95">
        <v>-1.129</v>
      </c>
    </row>
    <row r="31" spans="1:41" x14ac:dyDescent="0.35">
      <c r="A31" s="43">
        <v>6</v>
      </c>
      <c r="B31" s="28">
        <v>43494</v>
      </c>
      <c r="C31" s="68">
        <v>14</v>
      </c>
      <c r="D31" s="43">
        <v>140</v>
      </c>
      <c r="E31" s="31">
        <f t="shared" si="7"/>
        <v>1909</v>
      </c>
      <c r="F31" s="25">
        <f t="shared" si="8"/>
        <v>1.044776119402985</v>
      </c>
      <c r="G31" s="25">
        <f t="shared" si="9"/>
        <v>14.248805970149256</v>
      </c>
      <c r="H31" s="43">
        <v>7.69</v>
      </c>
      <c r="I31" s="43">
        <v>956</v>
      </c>
      <c r="J31" s="43">
        <v>165</v>
      </c>
      <c r="K31" s="24">
        <v>134</v>
      </c>
      <c r="L31" s="24">
        <v>11</v>
      </c>
      <c r="M31" s="18">
        <v>2</v>
      </c>
      <c r="N31" s="31">
        <v>344</v>
      </c>
      <c r="O31" s="43">
        <v>16</v>
      </c>
      <c r="P31" s="175">
        <v>105.8</v>
      </c>
      <c r="Q31" s="175">
        <v>27.21</v>
      </c>
      <c r="R31" s="175">
        <v>56.05</v>
      </c>
      <c r="S31" s="175">
        <v>18.940000000000001</v>
      </c>
      <c r="T31" s="172">
        <v>8.4169999999999998</v>
      </c>
      <c r="U31" s="171">
        <v>0.2</v>
      </c>
      <c r="V31" s="43">
        <v>3.5000000000000003E-2</v>
      </c>
      <c r="W31" s="80">
        <v>0.02</v>
      </c>
      <c r="X31" s="170">
        <v>1.01</v>
      </c>
      <c r="Y31" s="81">
        <v>0.04</v>
      </c>
      <c r="Z31" s="170">
        <v>1.23</v>
      </c>
      <c r="AB31" s="69">
        <f t="shared" si="6"/>
        <v>10.804744554066177</v>
      </c>
      <c r="AC31" s="69">
        <f t="shared" si="1"/>
        <v>10.170390662573791</v>
      </c>
      <c r="AD31" s="25">
        <f t="shared" si="2"/>
        <v>3.0243137168867529</v>
      </c>
      <c r="AF31" s="95">
        <v>7.69</v>
      </c>
      <c r="AG31" s="95">
        <v>0.14471700000000001</v>
      </c>
      <c r="AH31" s="95">
        <v>0.30459999999999998</v>
      </c>
      <c r="AI31" s="95">
        <v>-1.0418000000000001</v>
      </c>
      <c r="AJ31" s="95">
        <v>-1.2916000000000001</v>
      </c>
      <c r="AK31" s="95">
        <v>-2.5112000000000001</v>
      </c>
      <c r="AL31" s="95">
        <v>-0.16020000000000001</v>
      </c>
      <c r="AM31" s="95">
        <v>0.2382</v>
      </c>
      <c r="AN31" s="95">
        <v>-1.5958000000000001</v>
      </c>
      <c r="AO31" s="95">
        <v>-1.0648</v>
      </c>
    </row>
    <row r="32" spans="1:41" x14ac:dyDescent="0.35">
      <c r="A32" s="68">
        <v>6</v>
      </c>
      <c r="B32" s="28">
        <v>43495</v>
      </c>
      <c r="C32" s="68">
        <v>15</v>
      </c>
      <c r="D32" s="43">
        <v>139</v>
      </c>
      <c r="E32" s="31">
        <f t="shared" ref="E32:E37" si="10">D32+E31</f>
        <v>2048</v>
      </c>
      <c r="F32" s="25">
        <f t="shared" ref="F32:F37" si="11">D32/134</f>
        <v>1.0373134328358209</v>
      </c>
      <c r="G32" s="25">
        <f t="shared" ref="G32:G37" si="12">G31+F32</f>
        <v>15.286119402985078</v>
      </c>
      <c r="H32" s="43">
        <v>7.82</v>
      </c>
      <c r="I32" s="43">
        <v>945</v>
      </c>
      <c r="J32" s="43">
        <v>164</v>
      </c>
      <c r="K32" s="24">
        <v>127</v>
      </c>
      <c r="L32" s="24">
        <v>12</v>
      </c>
      <c r="M32" s="18">
        <v>2.2999999999999998</v>
      </c>
      <c r="N32" s="31">
        <v>345</v>
      </c>
      <c r="O32" s="43">
        <v>17</v>
      </c>
      <c r="P32" s="175">
        <v>121</v>
      </c>
      <c r="Q32" s="175">
        <v>31.78</v>
      </c>
      <c r="R32" s="175">
        <v>66.38</v>
      </c>
      <c r="S32" s="175">
        <v>20.9</v>
      </c>
      <c r="T32" s="175">
        <v>10.31</v>
      </c>
      <c r="U32" s="171">
        <v>0.2</v>
      </c>
      <c r="V32" s="43">
        <v>2.5999999999999999E-2</v>
      </c>
      <c r="W32" s="80">
        <v>0.02</v>
      </c>
      <c r="X32" s="170">
        <v>1.018</v>
      </c>
      <c r="Y32" s="81">
        <v>0.04</v>
      </c>
      <c r="Z32" s="170">
        <v>1.1679999999999999</v>
      </c>
      <c r="AB32" s="69">
        <f t="shared" si="6"/>
        <v>10.838612329087395</v>
      </c>
      <c r="AC32" s="69">
        <f t="shared" si="1"/>
        <v>11.802436181001019</v>
      </c>
      <c r="AD32" s="25">
        <f t="shared" si="2"/>
        <v>4.2569753405376183</v>
      </c>
      <c r="AF32" s="95">
        <v>7.82</v>
      </c>
      <c r="AG32" s="95">
        <v>8.6699800000000007</v>
      </c>
      <c r="AH32" s="95">
        <v>0.48120000000000002</v>
      </c>
      <c r="AI32" s="95">
        <v>-1.0021</v>
      </c>
      <c r="AJ32" s="95">
        <v>-1.2519</v>
      </c>
      <c r="AK32" s="95">
        <v>-2.6503999999999999</v>
      </c>
      <c r="AL32" s="95">
        <v>0.2016</v>
      </c>
      <c r="AM32" s="95">
        <v>0.35720000000000002</v>
      </c>
      <c r="AN32" s="95">
        <v>-1.6754</v>
      </c>
      <c r="AO32" s="95">
        <v>-0.87970000000000004</v>
      </c>
    </row>
    <row r="33" spans="1:41" s="68" customFormat="1" x14ac:dyDescent="0.35">
      <c r="A33" s="68">
        <v>6</v>
      </c>
      <c r="B33" s="28">
        <v>43496</v>
      </c>
      <c r="C33" s="68">
        <v>16</v>
      </c>
      <c r="D33" s="68">
        <v>132</v>
      </c>
      <c r="E33" s="31">
        <f t="shared" si="10"/>
        <v>2180</v>
      </c>
      <c r="F33" s="25">
        <f t="shared" si="11"/>
        <v>0.9850746268656716</v>
      </c>
      <c r="G33" s="25">
        <f t="shared" si="12"/>
        <v>16.271194029850751</v>
      </c>
      <c r="H33" s="68">
        <v>7.64</v>
      </c>
      <c r="I33" s="68">
        <v>954</v>
      </c>
      <c r="J33" s="68">
        <v>169</v>
      </c>
      <c r="K33" s="65">
        <v>118</v>
      </c>
      <c r="L33" s="65">
        <v>12</v>
      </c>
      <c r="M33" s="18">
        <v>2.2999999999999998</v>
      </c>
      <c r="N33" s="31">
        <v>345</v>
      </c>
      <c r="O33" s="68">
        <v>18</v>
      </c>
      <c r="P33" s="175">
        <v>118.8</v>
      </c>
      <c r="Q33" s="175">
        <v>30.16</v>
      </c>
      <c r="R33" s="175">
        <v>64.28</v>
      </c>
      <c r="S33" s="175">
        <v>20.34</v>
      </c>
      <c r="T33" s="175">
        <v>10.210000000000001</v>
      </c>
      <c r="U33" s="171">
        <v>0.2</v>
      </c>
      <c r="V33" s="80">
        <v>0.02</v>
      </c>
      <c r="W33" s="80">
        <v>0.02</v>
      </c>
      <c r="X33" s="172">
        <v>1</v>
      </c>
      <c r="Y33" s="81">
        <v>0.04</v>
      </c>
      <c r="Z33" s="172">
        <v>1.19</v>
      </c>
      <c r="AB33" s="69">
        <f t="shared" si="6"/>
        <v>10.938612329087395</v>
      </c>
      <c r="AC33" s="69">
        <f t="shared" si="1"/>
        <v>11.465530450275775</v>
      </c>
      <c r="AD33" s="25">
        <f t="shared" si="2"/>
        <v>2.3518780717365075</v>
      </c>
      <c r="AF33" s="95">
        <v>7.64</v>
      </c>
      <c r="AG33" s="95">
        <v>6.4932100000000004</v>
      </c>
      <c r="AH33" s="95">
        <v>0.31109999999999999</v>
      </c>
      <c r="AI33" s="95">
        <v>-1.0062</v>
      </c>
      <c r="AJ33" s="95">
        <v>-1.256</v>
      </c>
      <c r="AK33" s="95">
        <v>-2.4531000000000001</v>
      </c>
      <c r="AL33" s="95">
        <v>-0.15329999999999999</v>
      </c>
      <c r="AM33" s="95">
        <v>0.18729999999999999</v>
      </c>
      <c r="AN33" s="95">
        <v>-1.7958000000000001</v>
      </c>
      <c r="AO33" s="95">
        <v>-1.0645</v>
      </c>
    </row>
    <row r="34" spans="1:41" s="68" customFormat="1" x14ac:dyDescent="0.35">
      <c r="A34" s="68">
        <v>6</v>
      </c>
      <c r="B34" s="28">
        <v>43497</v>
      </c>
      <c r="C34" s="68">
        <v>17</v>
      </c>
      <c r="D34" s="68">
        <v>134</v>
      </c>
      <c r="E34" s="31">
        <f t="shared" si="10"/>
        <v>2314</v>
      </c>
      <c r="F34" s="25">
        <f t="shared" si="11"/>
        <v>1</v>
      </c>
      <c r="G34" s="25">
        <f t="shared" si="12"/>
        <v>17.271194029850751</v>
      </c>
      <c r="H34" s="68">
        <v>7.61</v>
      </c>
      <c r="I34" s="68">
        <v>956</v>
      </c>
      <c r="J34" s="68">
        <v>164</v>
      </c>
      <c r="K34" s="65">
        <v>118</v>
      </c>
      <c r="L34" s="65">
        <v>12</v>
      </c>
      <c r="M34" s="18">
        <v>2.2000000000000002</v>
      </c>
      <c r="N34" s="31">
        <v>348</v>
      </c>
      <c r="O34" s="68">
        <v>18</v>
      </c>
      <c r="P34" s="175">
        <v>110.1</v>
      </c>
      <c r="Q34" s="175">
        <v>26.46</v>
      </c>
      <c r="R34" s="175">
        <v>56.02</v>
      </c>
      <c r="S34" s="175">
        <v>19.059999999999999</v>
      </c>
      <c r="T34" s="175">
        <v>10.37</v>
      </c>
      <c r="U34" s="171">
        <v>0.2</v>
      </c>
      <c r="V34" s="80">
        <v>0.02</v>
      </c>
      <c r="W34" s="80">
        <v>0.02</v>
      </c>
      <c r="X34" s="172">
        <v>1.002</v>
      </c>
      <c r="Y34" s="81">
        <v>0.04</v>
      </c>
      <c r="Z34" s="172">
        <v>1.19</v>
      </c>
      <c r="AB34" s="69">
        <f t="shared" si="6"/>
        <v>10.899460387760403</v>
      </c>
      <c r="AC34" s="69">
        <f t="shared" si="1"/>
        <v>10.371927823202622</v>
      </c>
      <c r="AD34" s="25">
        <f t="shared" si="2"/>
        <v>2.4800100460105221</v>
      </c>
      <c r="AF34" s="95">
        <v>7.61</v>
      </c>
      <c r="AG34" s="95">
        <v>0.74036299999999999</v>
      </c>
      <c r="AH34" s="95">
        <v>0.23880000000000001</v>
      </c>
      <c r="AI34" s="95">
        <v>-1.0232000000000001</v>
      </c>
      <c r="AJ34" s="95">
        <v>-1.2729999999999999</v>
      </c>
      <c r="AK34" s="95">
        <v>-2.4331999999999998</v>
      </c>
      <c r="AL34" s="95">
        <v>-0.32129999999999997</v>
      </c>
      <c r="AM34" s="95">
        <v>0.15110000000000001</v>
      </c>
      <c r="AN34" s="95">
        <v>-1.8238000000000001</v>
      </c>
      <c r="AO34" s="95">
        <v>-1.1600999999999999</v>
      </c>
    </row>
    <row r="35" spans="1:41" s="68" customFormat="1" x14ac:dyDescent="0.35">
      <c r="A35" s="68">
        <v>6</v>
      </c>
      <c r="B35" s="28">
        <v>43498</v>
      </c>
      <c r="C35" s="68">
        <v>18</v>
      </c>
      <c r="D35" s="68">
        <v>136</v>
      </c>
      <c r="E35" s="31">
        <f t="shared" si="10"/>
        <v>2450</v>
      </c>
      <c r="F35" s="25">
        <f t="shared" si="11"/>
        <v>1.0149253731343284</v>
      </c>
      <c r="G35" s="25">
        <f t="shared" si="12"/>
        <v>18.286119402985079</v>
      </c>
      <c r="H35" s="68">
        <v>7.8</v>
      </c>
      <c r="I35" s="68">
        <v>945</v>
      </c>
      <c r="J35" s="68">
        <v>163</v>
      </c>
      <c r="K35" s="65">
        <v>101</v>
      </c>
      <c r="L35" s="65">
        <v>12</v>
      </c>
      <c r="M35" s="18">
        <v>1.9</v>
      </c>
      <c r="N35" s="31">
        <v>346</v>
      </c>
      <c r="O35" s="68">
        <v>17</v>
      </c>
      <c r="P35" s="175">
        <v>110.7</v>
      </c>
      <c r="Q35" s="175">
        <v>26.78</v>
      </c>
      <c r="R35" s="175">
        <v>56.6</v>
      </c>
      <c r="S35" s="175">
        <v>18.36</v>
      </c>
      <c r="T35" s="172">
        <v>8.3670000000000009</v>
      </c>
      <c r="U35" s="171">
        <v>0.2</v>
      </c>
      <c r="V35" s="80">
        <v>0.02</v>
      </c>
      <c r="W35" s="80">
        <v>0.02</v>
      </c>
      <c r="X35" s="172">
        <v>1.046</v>
      </c>
      <c r="Y35" s="81">
        <v>0.04</v>
      </c>
      <c r="Z35" s="172">
        <v>1.2</v>
      </c>
      <c r="AB35" s="69">
        <f t="shared" si="6"/>
        <v>10.832981036817106</v>
      </c>
      <c r="AC35" s="69">
        <f t="shared" si="1"/>
        <v>10.402184471109999</v>
      </c>
      <c r="AD35" s="25">
        <f t="shared" si="2"/>
        <v>2.0286941749820131</v>
      </c>
      <c r="AF35" s="95">
        <v>7.8</v>
      </c>
      <c r="AG35" s="95">
        <v>1.25478</v>
      </c>
      <c r="AH35" s="95">
        <v>0.42520000000000002</v>
      </c>
      <c r="AI35" s="95">
        <v>-1.0238</v>
      </c>
      <c r="AJ35" s="95">
        <v>-1.2736000000000001</v>
      </c>
      <c r="AK35" s="95">
        <v>-2.6292</v>
      </c>
      <c r="AL35" s="95">
        <v>5.4399999999999997E-2</v>
      </c>
      <c r="AM35" s="95">
        <v>0.3543</v>
      </c>
      <c r="AN35" s="95">
        <v>-1.8211999999999999</v>
      </c>
      <c r="AO35" s="95">
        <v>-0.97070000000000001</v>
      </c>
    </row>
    <row r="36" spans="1:41" s="68" customFormat="1" x14ac:dyDescent="0.35">
      <c r="A36" s="68">
        <v>6</v>
      </c>
      <c r="B36" s="28">
        <v>43499</v>
      </c>
      <c r="C36" s="68">
        <v>19</v>
      </c>
      <c r="D36" s="68">
        <v>134</v>
      </c>
      <c r="E36" s="31">
        <f t="shared" si="10"/>
        <v>2584</v>
      </c>
      <c r="F36" s="25">
        <f t="shared" si="11"/>
        <v>1</v>
      </c>
      <c r="G36" s="25">
        <f t="shared" si="12"/>
        <v>19.286119402985079</v>
      </c>
      <c r="H36" s="68">
        <v>7.7</v>
      </c>
      <c r="I36" s="68">
        <v>942</v>
      </c>
      <c r="J36" s="68">
        <v>180</v>
      </c>
      <c r="K36" s="65">
        <v>92</v>
      </c>
      <c r="L36" s="65">
        <v>12</v>
      </c>
      <c r="M36" s="18">
        <v>2</v>
      </c>
      <c r="N36" s="31">
        <v>344</v>
      </c>
      <c r="O36" s="68">
        <v>17</v>
      </c>
      <c r="P36" s="165">
        <v>103.8</v>
      </c>
      <c r="Q36" s="165">
        <v>26.1</v>
      </c>
      <c r="R36" s="175">
        <v>55.47</v>
      </c>
      <c r="S36" s="175">
        <v>17.579999999999998</v>
      </c>
      <c r="T36" s="172">
        <v>8.3230000000000004</v>
      </c>
      <c r="U36" s="171">
        <v>0.2</v>
      </c>
      <c r="V36" s="80">
        <v>0.02</v>
      </c>
      <c r="W36" s="80">
        <v>0.02</v>
      </c>
      <c r="X36" s="172">
        <v>1.038</v>
      </c>
      <c r="Y36" s="81">
        <v>0.04</v>
      </c>
      <c r="Z36" s="172">
        <v>1.208</v>
      </c>
      <c r="AB36" s="69">
        <f t="shared" si="6"/>
        <v>11.132953298777039</v>
      </c>
      <c r="AC36" s="69">
        <f t="shared" si="1"/>
        <v>9.9516749164071499</v>
      </c>
      <c r="AD36" s="25">
        <f t="shared" si="2"/>
        <v>5.6025573242936595</v>
      </c>
      <c r="AF36" s="95">
        <v>7.7</v>
      </c>
      <c r="AG36" s="95">
        <v>-2.67022</v>
      </c>
      <c r="AH36" s="95">
        <v>0.34310000000000002</v>
      </c>
      <c r="AI36" s="95">
        <v>-1.0490999999999999</v>
      </c>
      <c r="AJ36" s="95">
        <v>-1.2989999999999999</v>
      </c>
      <c r="AK36" s="95">
        <v>-2.4828999999999999</v>
      </c>
      <c r="AL36" s="95">
        <v>-9.2499999999999999E-2</v>
      </c>
      <c r="AM36" s="95">
        <v>0.29709999999999998</v>
      </c>
      <c r="AN36" s="95">
        <v>-1.8485</v>
      </c>
      <c r="AO36" s="95">
        <v>-1.0356000000000001</v>
      </c>
    </row>
    <row r="37" spans="1:41" s="68" customFormat="1" x14ac:dyDescent="0.35">
      <c r="A37" s="68">
        <v>6</v>
      </c>
      <c r="B37" s="28">
        <v>43500</v>
      </c>
      <c r="C37" s="68">
        <v>20</v>
      </c>
      <c r="D37" s="68">
        <v>134</v>
      </c>
      <c r="E37" s="31">
        <f t="shared" si="10"/>
        <v>2718</v>
      </c>
      <c r="F37" s="69">
        <f t="shared" si="11"/>
        <v>1</v>
      </c>
      <c r="G37" s="25">
        <f t="shared" si="12"/>
        <v>20.286119402985079</v>
      </c>
      <c r="H37" s="68">
        <v>7.7</v>
      </c>
      <c r="I37" s="68">
        <v>943</v>
      </c>
      <c r="J37" s="68">
        <v>179</v>
      </c>
      <c r="K37" s="65">
        <v>87</v>
      </c>
      <c r="L37" s="21">
        <v>12</v>
      </c>
      <c r="M37" s="18">
        <v>2.2000000000000002</v>
      </c>
      <c r="N37" s="186">
        <v>349</v>
      </c>
      <c r="O37" s="186">
        <v>16</v>
      </c>
      <c r="P37" s="12">
        <v>116.8</v>
      </c>
      <c r="Q37" s="12">
        <v>29.4</v>
      </c>
      <c r="R37" s="21">
        <v>61.86</v>
      </c>
      <c r="S37" s="21">
        <v>15.67</v>
      </c>
      <c r="T37" s="18">
        <v>9.7769999999999992</v>
      </c>
      <c r="U37" s="171">
        <v>0.2</v>
      </c>
      <c r="V37" s="177">
        <v>0.02</v>
      </c>
      <c r="W37" s="80">
        <v>0.02</v>
      </c>
      <c r="X37" s="172">
        <v>1.04</v>
      </c>
      <c r="Y37" s="81">
        <v>0.04</v>
      </c>
      <c r="Z37" s="172">
        <v>1.196</v>
      </c>
      <c r="AB37" s="69">
        <f t="shared" si="6"/>
        <v>11.220280708393339</v>
      </c>
      <c r="AC37" s="69">
        <f t="shared" si="1"/>
        <v>11.186892724381488</v>
      </c>
      <c r="AD37" s="25">
        <f t="shared" si="2"/>
        <v>0.14900578206358933</v>
      </c>
      <c r="AF37" s="95">
        <v>7.7</v>
      </c>
      <c r="AG37" s="95">
        <v>3.6722600000000001</v>
      </c>
      <c r="AH37" s="95">
        <v>0.38619999999999999</v>
      </c>
      <c r="AI37" s="95">
        <v>-1.0082</v>
      </c>
      <c r="AJ37" s="95">
        <v>-1.258</v>
      </c>
      <c r="AK37" s="95">
        <v>-2.4885000000000002</v>
      </c>
      <c r="AL37" s="95">
        <v>-6.1999999999999998E-3</v>
      </c>
      <c r="AM37" s="95">
        <v>0.28749999999999998</v>
      </c>
      <c r="AN37" s="95">
        <v>-1.9018999999999999</v>
      </c>
      <c r="AO37" s="95">
        <v>-0.99250000000000005</v>
      </c>
    </row>
    <row r="38" spans="1:41" s="68" customFormat="1" x14ac:dyDescent="0.35">
      <c r="A38" s="68">
        <v>6</v>
      </c>
      <c r="B38" s="28">
        <v>43501</v>
      </c>
      <c r="C38" s="68">
        <v>21</v>
      </c>
      <c r="D38" s="68">
        <v>134</v>
      </c>
      <c r="E38" s="31">
        <f t="shared" ref="E38" si="13">D38+E37</f>
        <v>2852</v>
      </c>
      <c r="F38" s="69">
        <f t="shared" ref="F38" si="14">D38/134</f>
        <v>1</v>
      </c>
      <c r="G38" s="25">
        <f t="shared" ref="G38" si="15">G37+F38</f>
        <v>21.286119402985079</v>
      </c>
      <c r="H38" s="68">
        <v>7.65</v>
      </c>
      <c r="I38" s="68">
        <v>946</v>
      </c>
      <c r="J38" s="68">
        <v>162</v>
      </c>
      <c r="K38" s="65">
        <v>78</v>
      </c>
      <c r="L38" s="21">
        <v>12</v>
      </c>
      <c r="M38" s="18">
        <v>2.2000000000000002</v>
      </c>
      <c r="N38" s="186">
        <v>348</v>
      </c>
      <c r="O38" s="186">
        <v>16</v>
      </c>
      <c r="P38" s="12">
        <v>118.6</v>
      </c>
      <c r="Q38" s="12">
        <v>29.13</v>
      </c>
      <c r="R38" s="12">
        <v>63.4</v>
      </c>
      <c r="S38" s="12">
        <v>11.54</v>
      </c>
      <c r="T38" s="6">
        <v>9.7629999999999999</v>
      </c>
      <c r="U38" s="171">
        <v>0.2</v>
      </c>
      <c r="V38" s="177">
        <v>0.02</v>
      </c>
      <c r="W38" s="80">
        <v>0.02</v>
      </c>
      <c r="X38" s="170">
        <v>1.0529999999999999</v>
      </c>
      <c r="Y38" s="177">
        <v>0.04</v>
      </c>
      <c r="Z38" s="170">
        <v>1.2410000000000001</v>
      </c>
      <c r="AB38" s="69">
        <f t="shared" si="6"/>
        <v>10.859460387760404</v>
      </c>
      <c r="AC38" s="69">
        <f t="shared" si="1"/>
        <v>11.321136725961532</v>
      </c>
      <c r="AD38" s="25">
        <f t="shared" si="2"/>
        <v>2.0814423337391306</v>
      </c>
      <c r="AF38" s="95">
        <v>7.65</v>
      </c>
      <c r="AG38" s="95">
        <v>6.0731900000000003</v>
      </c>
      <c r="AH38" s="95">
        <v>0.30230000000000001</v>
      </c>
      <c r="AI38" s="95">
        <v>-1.0018</v>
      </c>
      <c r="AJ38" s="95">
        <v>-1.2516</v>
      </c>
      <c r="AK38" s="95">
        <v>-2.4811999999999999</v>
      </c>
      <c r="AL38" s="95">
        <v>-0.1855</v>
      </c>
      <c r="AM38" s="95">
        <v>0.2021</v>
      </c>
      <c r="AN38" s="95">
        <v>-1.7959000000000001</v>
      </c>
      <c r="AO38" s="95">
        <v>-1.0876999999999999</v>
      </c>
    </row>
    <row r="39" spans="1:41" s="68" customFormat="1" x14ac:dyDescent="0.35">
      <c r="A39" s="68">
        <v>6</v>
      </c>
      <c r="B39" s="28">
        <v>43502</v>
      </c>
      <c r="C39" s="68">
        <v>22</v>
      </c>
      <c r="D39" s="68">
        <v>137</v>
      </c>
      <c r="E39" s="31">
        <f t="shared" ref="E39" si="16">D39+E38</f>
        <v>2989</v>
      </c>
      <c r="F39" s="69">
        <f t="shared" ref="F39" si="17">D39/134</f>
        <v>1.0223880597014925</v>
      </c>
      <c r="G39" s="25">
        <f t="shared" ref="G39" si="18">G38+F39</f>
        <v>22.30850746268657</v>
      </c>
      <c r="H39" s="68">
        <v>7.63</v>
      </c>
      <c r="I39" s="68">
        <v>946</v>
      </c>
      <c r="J39" s="68">
        <v>161</v>
      </c>
      <c r="K39" s="65">
        <v>72</v>
      </c>
      <c r="L39" s="27">
        <v>12</v>
      </c>
      <c r="M39" s="18">
        <v>2.5</v>
      </c>
      <c r="N39" s="186">
        <v>350</v>
      </c>
      <c r="O39" s="186">
        <v>16</v>
      </c>
      <c r="P39" s="12">
        <v>116.1</v>
      </c>
      <c r="Q39" s="12">
        <v>29.15</v>
      </c>
      <c r="R39" s="12">
        <v>61.7</v>
      </c>
      <c r="S39" s="12">
        <v>11.33</v>
      </c>
      <c r="T39" s="6">
        <v>9.18</v>
      </c>
      <c r="U39" s="171">
        <v>0.2</v>
      </c>
      <c r="V39" s="177">
        <v>0.02</v>
      </c>
      <c r="W39" s="80">
        <v>0.02</v>
      </c>
      <c r="X39" s="170">
        <v>1.022</v>
      </c>
      <c r="Y39" s="177">
        <v>0.04</v>
      </c>
      <c r="Z39" s="170">
        <v>1.296</v>
      </c>
      <c r="AB39" s="69">
        <f t="shared" si="6"/>
        <v>10.885939738703698</v>
      </c>
      <c r="AC39" s="69">
        <f t="shared" si="1"/>
        <v>11.109175284305717</v>
      </c>
      <c r="AD39" s="25">
        <f t="shared" si="2"/>
        <v>1.0149323855251013</v>
      </c>
      <c r="AF39" s="95">
        <v>7.63</v>
      </c>
      <c r="AG39" s="95">
        <v>4.8243200000000002</v>
      </c>
      <c r="AH39" s="95">
        <v>0.27089999999999997</v>
      </c>
      <c r="AI39" s="95">
        <v>-1.0066999999999999</v>
      </c>
      <c r="AJ39" s="95">
        <v>-1.2565</v>
      </c>
      <c r="AK39" s="95">
        <v>-2.4630999999999998</v>
      </c>
      <c r="AL39" s="95">
        <v>-0.23849999999999999</v>
      </c>
      <c r="AM39" s="95">
        <v>0.16739999999999999</v>
      </c>
      <c r="AN39" s="95">
        <v>-1.8048</v>
      </c>
      <c r="AO39" s="95">
        <v>-1.1093999999999999</v>
      </c>
    </row>
    <row r="40" spans="1:41" s="68" customFormat="1" x14ac:dyDescent="0.35">
      <c r="B40" s="28"/>
      <c r="E40" s="31"/>
      <c r="F40" s="69"/>
      <c r="G40" s="25"/>
      <c r="K40" s="65"/>
      <c r="L40" s="27"/>
      <c r="M40" s="186"/>
      <c r="N40" s="186"/>
      <c r="O40" s="186"/>
      <c r="P40" s="6"/>
      <c r="Q40" s="186"/>
      <c r="R40" s="169"/>
      <c r="S40" s="169"/>
      <c r="T40" s="169"/>
      <c r="U40" s="67"/>
      <c r="AB40" s="69"/>
      <c r="AC40" s="69"/>
      <c r="AD40" s="69"/>
      <c r="AF40" s="95"/>
      <c r="AG40" s="95"/>
      <c r="AH40" s="95"/>
      <c r="AI40" s="95"/>
      <c r="AJ40" s="95"/>
      <c r="AK40" s="95"/>
      <c r="AL40" s="95"/>
      <c r="AM40" s="95"/>
      <c r="AN40" s="95"/>
      <c r="AO40" s="95"/>
    </row>
    <row r="41" spans="1:41" x14ac:dyDescent="0.35">
      <c r="A41" s="43" t="s">
        <v>58</v>
      </c>
      <c r="B41" s="28"/>
      <c r="E41" s="31"/>
      <c r="F41" s="69"/>
      <c r="G41" s="25"/>
      <c r="H41" s="69">
        <f>AVERAGE(B91:B98)</f>
        <v>7.1875</v>
      </c>
      <c r="I41" s="165">
        <f>'Influent Results Master'!D36</f>
        <v>1813.4444444444446</v>
      </c>
      <c r="J41" s="165">
        <f>'Influent Results Master'!F36</f>
        <v>263.22222222222223</v>
      </c>
      <c r="K41" s="165">
        <f>'Influent Results Master'!G36</f>
        <v>746.22222222222217</v>
      </c>
      <c r="L41" s="165">
        <f>'Influent Results Master'!H36</f>
        <v>42.44444444444445</v>
      </c>
      <c r="M41" s="165">
        <f>'Influent Results Master'!I36</f>
        <v>3.3333333333333335</v>
      </c>
      <c r="N41" s="165">
        <f>'Influent Results Master'!J36</f>
        <v>691.22222222222217</v>
      </c>
      <c r="O41" s="165">
        <f>'Influent Results Master'!K36</f>
        <v>24.222222222222218</v>
      </c>
      <c r="P41" s="165">
        <f>'Influent Results Master'!L36</f>
        <v>177.8111111111111</v>
      </c>
      <c r="Q41" s="165">
        <f>'Influent Results Master'!M36</f>
        <v>36.911111111111104</v>
      </c>
      <c r="R41" s="165">
        <f>'Influent Results Master'!N36</f>
        <v>244.24444444444444</v>
      </c>
      <c r="S41" s="165">
        <f>'Influent Results Master'!O36</f>
        <v>15.707777777777777</v>
      </c>
      <c r="T41" s="170">
        <f>'Influent Results Master'!P36</f>
        <v>6.6575555555555548</v>
      </c>
      <c r="U41" s="171">
        <f>'Influent Results Master'!Q36</f>
        <v>0.20000000000000004</v>
      </c>
      <c r="V41" s="163">
        <f>'Influent Results Master'!R36</f>
        <v>0.31644444444444447</v>
      </c>
      <c r="W41" s="174">
        <f>'Influent Results Master'!S36</f>
        <v>0.26611111111111113</v>
      </c>
      <c r="X41" s="170">
        <f>'Influent Results Master'!T36</f>
        <v>1.6833333333333333</v>
      </c>
      <c r="Y41" s="174">
        <f>'Influent Results Master'!U36</f>
        <v>0.18411111111111111</v>
      </c>
      <c r="Z41" s="170">
        <f>'Influent Results Master'!V36</f>
        <v>1.5754444444444446</v>
      </c>
      <c r="AB41" s="69">
        <f>((J41/50)+(L41/35.45)+(M41/62)+(N41/48.03))</f>
        <v>20.906980678310703</v>
      </c>
      <c r="AC41" s="69">
        <f t="shared" si="1"/>
        <v>22.702475892168966</v>
      </c>
      <c r="AD41" s="69">
        <f t="shared" si="2"/>
        <v>4.1172152901205354</v>
      </c>
      <c r="AF41" s="95">
        <v>7.19</v>
      </c>
      <c r="AG41" s="95">
        <v>6.3694899999999999</v>
      </c>
      <c r="AH41" s="95">
        <v>0.108</v>
      </c>
      <c r="AI41" s="95">
        <v>-0.69779999999999998</v>
      </c>
      <c r="AJ41" s="95">
        <v>-0.94740000000000002</v>
      </c>
      <c r="AK41" s="95">
        <v>-1.8228</v>
      </c>
      <c r="AL41" s="95">
        <v>-0.63170000000000004</v>
      </c>
      <c r="AM41" s="95">
        <v>2.69E-2</v>
      </c>
      <c r="AN41" s="95">
        <v>-0.60009999999999997</v>
      </c>
      <c r="AO41" s="95">
        <v>-1.3396999999999999</v>
      </c>
    </row>
    <row r="42" spans="1:41" s="68" customFormat="1" x14ac:dyDescent="0.35">
      <c r="B42" s="28"/>
      <c r="E42" s="31"/>
      <c r="F42" s="69"/>
      <c r="G42" s="25"/>
      <c r="K42" s="65"/>
      <c r="L42" s="27"/>
      <c r="M42" s="186"/>
      <c r="N42" s="186"/>
      <c r="O42" s="186"/>
      <c r="P42" s="6"/>
      <c r="Q42" s="186"/>
      <c r="R42" s="169"/>
      <c r="S42" s="169"/>
      <c r="T42" s="169"/>
      <c r="U42" s="67"/>
      <c r="X42" s="170"/>
      <c r="Z42" s="170"/>
      <c r="AB42" s="69"/>
      <c r="AC42" s="69"/>
      <c r="AD42" s="69"/>
      <c r="AF42" s="95"/>
      <c r="AG42" s="95"/>
      <c r="AH42" s="95"/>
      <c r="AI42" s="95"/>
      <c r="AJ42" s="95"/>
      <c r="AK42" s="95"/>
      <c r="AL42" s="95"/>
      <c r="AM42" s="95"/>
      <c r="AN42" s="95"/>
      <c r="AO42" s="95"/>
    </row>
    <row r="43" spans="1:41" x14ac:dyDescent="0.35">
      <c r="A43" s="43">
        <v>6</v>
      </c>
      <c r="B43" s="28">
        <v>43503</v>
      </c>
      <c r="C43" s="43">
        <v>23</v>
      </c>
      <c r="D43" s="43">
        <v>135</v>
      </c>
      <c r="E43" s="31">
        <f>D43+E39</f>
        <v>3124</v>
      </c>
      <c r="F43" s="69">
        <f t="shared" ref="F43:F46" si="19">D43/134</f>
        <v>1.0074626865671641</v>
      </c>
      <c r="G43" s="25">
        <f>G39+F43</f>
        <v>23.315970149253733</v>
      </c>
      <c r="H43" s="43">
        <v>7.49</v>
      </c>
      <c r="I43" s="43">
        <v>1413</v>
      </c>
      <c r="J43" s="43">
        <v>211</v>
      </c>
      <c r="K43" s="24">
        <v>132</v>
      </c>
      <c r="L43" s="27">
        <v>36</v>
      </c>
      <c r="M43" s="125">
        <v>1</v>
      </c>
      <c r="N43" s="186">
        <v>559</v>
      </c>
      <c r="O43" s="186">
        <v>20</v>
      </c>
      <c r="P43" s="21">
        <v>186.5</v>
      </c>
      <c r="Q43" s="21">
        <v>47.95</v>
      </c>
      <c r="R43" s="21">
        <v>87.01</v>
      </c>
      <c r="S43" s="21">
        <v>19.66</v>
      </c>
      <c r="T43" s="21">
        <v>10.72</v>
      </c>
      <c r="U43" s="171">
        <v>0.2</v>
      </c>
      <c r="V43" s="163">
        <v>0.11700000000000001</v>
      </c>
      <c r="W43" s="80">
        <v>0.02</v>
      </c>
      <c r="X43" s="170">
        <v>1.8520000000000001</v>
      </c>
      <c r="Y43" s="177">
        <v>0.04</v>
      </c>
      <c r="Z43" s="170">
        <v>2.093</v>
      </c>
      <c r="AB43" s="69">
        <f t="shared" ref="AB43:AB50" si="20">((J43/50)+(L43/35.45)+(M43/62)+(N43/48.03))</f>
        <v>16.89020307566124</v>
      </c>
      <c r="AC43" s="69">
        <f t="shared" si="1"/>
        <v>17.308501597665547</v>
      </c>
      <c r="AD43" s="69">
        <f t="shared" si="2"/>
        <v>1.223141420120972</v>
      </c>
      <c r="AF43" s="95">
        <v>7.49</v>
      </c>
      <c r="AG43" s="95">
        <v>4.6809599999999998</v>
      </c>
      <c r="AH43" s="95">
        <v>0.37830000000000003</v>
      </c>
      <c r="AI43" s="95">
        <v>-0.72440000000000004</v>
      </c>
      <c r="AJ43" s="95">
        <v>-0.97409999999999997</v>
      </c>
      <c r="AK43" s="95">
        <v>-2.2197</v>
      </c>
      <c r="AL43" s="95">
        <v>-9.5999999999999992E-3</v>
      </c>
      <c r="AM43" s="95">
        <v>0.31719999999999998</v>
      </c>
      <c r="AN43" s="95">
        <v>-0.93330000000000002</v>
      </c>
      <c r="AO43" s="95">
        <v>-0.9879</v>
      </c>
    </row>
    <row r="44" spans="1:41" x14ac:dyDescent="0.35">
      <c r="A44" s="43">
        <v>6</v>
      </c>
      <c r="B44" s="28">
        <v>43504</v>
      </c>
      <c r="C44" s="43">
        <v>24</v>
      </c>
      <c r="D44" s="43">
        <v>134</v>
      </c>
      <c r="E44" s="31">
        <f t="shared" ref="E44:E46" si="21">D44+E43</f>
        <v>3258</v>
      </c>
      <c r="F44" s="69">
        <f t="shared" si="19"/>
        <v>1</v>
      </c>
      <c r="G44" s="25">
        <f t="shared" ref="G44:G46" si="22">G43+F44</f>
        <v>24.315970149253733</v>
      </c>
      <c r="H44" s="43">
        <v>7.51</v>
      </c>
      <c r="I44" s="43">
        <v>1706</v>
      </c>
      <c r="J44" s="43">
        <v>251</v>
      </c>
      <c r="K44" s="24">
        <v>294</v>
      </c>
      <c r="L44" s="27">
        <v>49</v>
      </c>
      <c r="M44" s="125">
        <v>1</v>
      </c>
      <c r="N44" s="186">
        <v>688</v>
      </c>
      <c r="O44" s="186">
        <v>15</v>
      </c>
      <c r="P44" s="21">
        <v>204.5</v>
      </c>
      <c r="Q44" s="21">
        <v>53.8</v>
      </c>
      <c r="R44" s="21">
        <v>159.6</v>
      </c>
      <c r="S44" s="21">
        <v>19.989999999999998</v>
      </c>
      <c r="T44" s="21">
        <v>12.16</v>
      </c>
      <c r="U44" s="171">
        <v>0.2</v>
      </c>
      <c r="V44" s="163">
        <v>0.254</v>
      </c>
      <c r="W44" s="80">
        <v>0.02</v>
      </c>
      <c r="X44" s="170">
        <v>1.8879999999999999</v>
      </c>
      <c r="Y44" s="177">
        <v>0.04</v>
      </c>
      <c r="Z44" s="170">
        <v>2.17</v>
      </c>
      <c r="AB44" s="69">
        <f t="shared" si="20"/>
        <v>20.742738118551394</v>
      </c>
      <c r="AC44" s="69">
        <f t="shared" si="1"/>
        <v>21.882079126412254</v>
      </c>
      <c r="AD44" s="25">
        <f t="shared" si="2"/>
        <v>2.6729522412098543</v>
      </c>
      <c r="AF44" s="95">
        <v>7.51</v>
      </c>
      <c r="AG44" s="95">
        <v>6.2704500000000003</v>
      </c>
      <c r="AH44" s="95">
        <v>0.47399999999999998</v>
      </c>
      <c r="AI44" s="95">
        <v>-0.64780000000000004</v>
      </c>
      <c r="AJ44" s="95">
        <v>-0.89749999999999996</v>
      </c>
      <c r="AK44" s="95">
        <v>-2.1705000000000001</v>
      </c>
      <c r="AL44" s="95">
        <v>0.1943</v>
      </c>
      <c r="AM44" s="95">
        <v>0.37590000000000001</v>
      </c>
      <c r="AN44" s="95">
        <v>-0.6099</v>
      </c>
      <c r="AO44" s="95">
        <v>-0.87970000000000004</v>
      </c>
    </row>
    <row r="45" spans="1:41" x14ac:dyDescent="0.35">
      <c r="A45" s="43">
        <v>6</v>
      </c>
      <c r="B45" s="28">
        <v>43505</v>
      </c>
      <c r="C45" s="43">
        <v>25</v>
      </c>
      <c r="D45" s="43">
        <v>137</v>
      </c>
      <c r="E45" s="31">
        <f t="shared" si="21"/>
        <v>3395</v>
      </c>
      <c r="F45" s="69">
        <f t="shared" si="19"/>
        <v>1.0223880597014925</v>
      </c>
      <c r="G45" s="25">
        <f t="shared" si="22"/>
        <v>25.338358208955224</v>
      </c>
      <c r="H45" s="43">
        <v>7.53</v>
      </c>
      <c r="I45" s="43">
        <v>1778</v>
      </c>
      <c r="J45" s="43">
        <v>257</v>
      </c>
      <c r="K45" s="24">
        <v>431</v>
      </c>
      <c r="L45" s="24">
        <v>50</v>
      </c>
      <c r="M45" s="167">
        <v>1</v>
      </c>
      <c r="N45" s="31">
        <v>717</v>
      </c>
      <c r="O45" s="43">
        <v>16</v>
      </c>
      <c r="P45" s="175">
        <v>174</v>
      </c>
      <c r="Q45" s="175">
        <v>47.66</v>
      </c>
      <c r="R45" s="175">
        <v>218.1</v>
      </c>
      <c r="S45" s="175">
        <v>19.059999999999999</v>
      </c>
      <c r="T45" s="175">
        <v>11.57</v>
      </c>
      <c r="U45" s="171">
        <v>0.2</v>
      </c>
      <c r="V45" s="163">
        <v>0.30199999999999999</v>
      </c>
      <c r="W45" s="80">
        <v>0.02</v>
      </c>
      <c r="X45" s="170">
        <v>1.6259999999999999</v>
      </c>
      <c r="Y45" s="177">
        <v>0.04</v>
      </c>
      <c r="Z45" s="170">
        <v>1.911</v>
      </c>
      <c r="AB45" s="69">
        <f t="shared" si="20"/>
        <v>21.494736161617446</v>
      </c>
      <c r="AC45" s="69">
        <f t="shared" si="1"/>
        <v>22.384683915995961</v>
      </c>
      <c r="AD45" s="69">
        <f t="shared" si="2"/>
        <v>2.0281666275542962</v>
      </c>
      <c r="AF45" s="95">
        <v>7.53</v>
      </c>
      <c r="AG45" s="95">
        <v>5.2766400000000004</v>
      </c>
      <c r="AH45" s="95">
        <v>0.42659999999999998</v>
      </c>
      <c r="AI45" s="95">
        <v>-0.6966</v>
      </c>
      <c r="AJ45" s="95">
        <v>-0.94620000000000004</v>
      </c>
      <c r="AK45" s="95">
        <v>-2.1781000000000001</v>
      </c>
      <c r="AL45" s="95">
        <v>0.1182</v>
      </c>
      <c r="AM45" s="95">
        <v>0.33489999999999998</v>
      </c>
      <c r="AN45" s="95">
        <v>-0.61660000000000004</v>
      </c>
      <c r="AO45" s="95">
        <v>-0.9083</v>
      </c>
    </row>
    <row r="46" spans="1:41" x14ac:dyDescent="0.35">
      <c r="A46" s="43">
        <v>6</v>
      </c>
      <c r="B46" s="28">
        <v>43506</v>
      </c>
      <c r="C46" s="43">
        <v>26</v>
      </c>
      <c r="D46" s="43">
        <v>136</v>
      </c>
      <c r="E46" s="31">
        <f t="shared" si="21"/>
        <v>3531</v>
      </c>
      <c r="F46" s="69">
        <f t="shared" si="19"/>
        <v>1.0149253731343284</v>
      </c>
      <c r="G46" s="25">
        <f t="shared" si="22"/>
        <v>26.353283582089553</v>
      </c>
      <c r="H46" s="43">
        <v>7.55</v>
      </c>
      <c r="I46" s="43">
        <v>1730</v>
      </c>
      <c r="J46" s="43">
        <v>261</v>
      </c>
      <c r="K46" s="24">
        <v>532</v>
      </c>
      <c r="L46" s="24">
        <v>49</v>
      </c>
      <c r="M46" s="167">
        <v>1</v>
      </c>
      <c r="N46" s="31">
        <v>723</v>
      </c>
      <c r="O46" s="43">
        <v>15</v>
      </c>
      <c r="P46" s="175">
        <v>155.30000000000001</v>
      </c>
      <c r="Q46" s="175">
        <v>44.61</v>
      </c>
      <c r="R46" s="175">
        <v>229.3</v>
      </c>
      <c r="S46" s="175">
        <v>18.05</v>
      </c>
      <c r="T46" s="175">
        <v>11.19</v>
      </c>
      <c r="U46" s="171">
        <v>0.2</v>
      </c>
      <c r="V46" s="163">
        <v>0.30099999999999999</v>
      </c>
      <c r="W46" s="80">
        <v>0.02</v>
      </c>
      <c r="X46" s="170">
        <v>1.464</v>
      </c>
      <c r="Y46" s="177">
        <v>0.04</v>
      </c>
      <c r="Z46" s="170">
        <v>1.72</v>
      </c>
      <c r="AB46" s="69">
        <f t="shared" si="20"/>
        <v>21.671449340704214</v>
      </c>
      <c r="AC46" s="69">
        <f t="shared" si="1"/>
        <v>21.678177479021542</v>
      </c>
      <c r="AD46" s="69">
        <f t="shared" si="2"/>
        <v>1.5520637225570162E-2</v>
      </c>
      <c r="AF46" s="95">
        <v>7.55</v>
      </c>
      <c r="AG46" s="95">
        <v>2.8478699999999999</v>
      </c>
      <c r="AH46" s="95">
        <v>0.4027</v>
      </c>
      <c r="AI46" s="95">
        <v>-0.73540000000000005</v>
      </c>
      <c r="AJ46" s="95">
        <v>-0.98499999999999999</v>
      </c>
      <c r="AK46" s="95">
        <v>-2.1896</v>
      </c>
      <c r="AL46" s="95">
        <v>9.1899999999999996E-2</v>
      </c>
      <c r="AM46" s="95">
        <v>0.31659999999999999</v>
      </c>
      <c r="AN46" s="95">
        <v>-0.66900000000000004</v>
      </c>
      <c r="AO46" s="95">
        <v>-0.91080000000000005</v>
      </c>
    </row>
    <row r="47" spans="1:41" x14ac:dyDescent="0.35">
      <c r="A47" s="43">
        <v>6</v>
      </c>
      <c r="B47" s="28">
        <v>43507</v>
      </c>
      <c r="C47" s="68">
        <v>27</v>
      </c>
      <c r="D47" s="43">
        <v>134</v>
      </c>
      <c r="E47" s="31">
        <f t="shared" ref="E47:E49" si="23">D47+E46</f>
        <v>3665</v>
      </c>
      <c r="F47" s="69">
        <f t="shared" ref="F47:F49" si="24">D47/134</f>
        <v>1</v>
      </c>
      <c r="G47" s="25">
        <f t="shared" ref="G47:G49" si="25">G46+F47</f>
        <v>27.353283582089553</v>
      </c>
      <c r="H47" s="43">
        <v>7.54</v>
      </c>
      <c r="I47" s="43">
        <v>1781</v>
      </c>
      <c r="J47" s="43">
        <v>257</v>
      </c>
      <c r="K47" s="24">
        <v>566</v>
      </c>
      <c r="L47" s="24">
        <v>50</v>
      </c>
      <c r="M47" s="167">
        <v>1</v>
      </c>
      <c r="N47" s="31">
        <v>720</v>
      </c>
      <c r="O47" s="43">
        <v>16</v>
      </c>
      <c r="P47" s="175">
        <v>151.1</v>
      </c>
      <c r="Q47" s="175">
        <v>46.49</v>
      </c>
      <c r="R47" s="175">
        <v>235.5</v>
      </c>
      <c r="S47" s="175">
        <v>18.399999999999999</v>
      </c>
      <c r="T47" s="175">
        <v>10.69</v>
      </c>
      <c r="U47" s="171">
        <v>0.2</v>
      </c>
      <c r="V47" s="163">
        <v>0.309</v>
      </c>
      <c r="W47" s="80">
        <v>0.02</v>
      </c>
      <c r="X47" s="170">
        <v>1.423</v>
      </c>
      <c r="Y47" s="177">
        <v>0.04</v>
      </c>
      <c r="Z47" s="170">
        <v>1.6739999999999999</v>
      </c>
      <c r="AB47" s="69">
        <f t="shared" si="20"/>
        <v>21.557197123516261</v>
      </c>
      <c r="AC47" s="69">
        <f t="shared" si="1"/>
        <v>21.880096650710321</v>
      </c>
      <c r="AD47" s="69">
        <f t="shared" si="2"/>
        <v>0.74336934725351633</v>
      </c>
      <c r="AF47" s="95">
        <v>7.54</v>
      </c>
      <c r="AG47" s="95">
        <v>3.6641300000000001</v>
      </c>
      <c r="AH47" s="95">
        <v>0.37480000000000002</v>
      </c>
      <c r="AI47" s="95">
        <v>-0.74839999999999995</v>
      </c>
      <c r="AJ47" s="95">
        <v>-0.998</v>
      </c>
      <c r="AK47" s="95">
        <v>-2.1861999999999999</v>
      </c>
      <c r="AL47" s="95">
        <v>6.5699999999999995E-2</v>
      </c>
      <c r="AM47" s="95">
        <v>0.28789999999999999</v>
      </c>
      <c r="AN47" s="95">
        <v>-0.66920000000000002</v>
      </c>
      <c r="AO47" s="95">
        <v>-0.90910000000000002</v>
      </c>
    </row>
    <row r="48" spans="1:41" x14ac:dyDescent="0.35">
      <c r="A48" s="43">
        <v>6</v>
      </c>
      <c r="B48" s="28">
        <v>43508</v>
      </c>
      <c r="C48" s="68">
        <v>28</v>
      </c>
      <c r="D48" s="43">
        <v>135</v>
      </c>
      <c r="E48" s="31">
        <f t="shared" si="23"/>
        <v>3800</v>
      </c>
      <c r="F48" s="69">
        <f t="shared" si="24"/>
        <v>1.0074626865671641</v>
      </c>
      <c r="G48" s="25">
        <f t="shared" si="25"/>
        <v>28.360746268656715</v>
      </c>
      <c r="H48" s="43">
        <v>7.55</v>
      </c>
      <c r="I48" s="43">
        <v>1778</v>
      </c>
      <c r="J48" s="43">
        <v>256</v>
      </c>
      <c r="K48" s="24">
        <v>587</v>
      </c>
      <c r="L48" s="24">
        <v>49</v>
      </c>
      <c r="M48" s="167">
        <v>1</v>
      </c>
      <c r="N48" s="31">
        <v>726</v>
      </c>
      <c r="O48" s="31">
        <v>20</v>
      </c>
      <c r="P48" s="175">
        <v>150.80000000000001</v>
      </c>
      <c r="Q48" s="175">
        <v>47.76</v>
      </c>
      <c r="R48" s="175">
        <v>239.8</v>
      </c>
      <c r="S48" s="175">
        <v>18.350000000000001</v>
      </c>
      <c r="T48" s="175">
        <v>10.18</v>
      </c>
      <c r="U48" s="171">
        <v>0.2</v>
      </c>
      <c r="V48" s="163">
        <v>0.316</v>
      </c>
      <c r="W48" s="80">
        <v>0.02</v>
      </c>
      <c r="X48" s="170">
        <v>1.4330000000000001</v>
      </c>
      <c r="Y48" s="177">
        <v>0.04</v>
      </c>
      <c r="Z48" s="170">
        <v>1.68</v>
      </c>
      <c r="AB48" s="69">
        <f t="shared" si="20"/>
        <v>21.633910302603027</v>
      </c>
      <c r="AC48" s="69">
        <f t="shared" si="1"/>
        <v>22.143561744583135</v>
      </c>
      <c r="AD48" s="69">
        <f t="shared" si="2"/>
        <v>1.1641865510890452</v>
      </c>
      <c r="AF48" s="95">
        <v>7.55</v>
      </c>
      <c r="AG48" s="95">
        <v>4.1408800000000001</v>
      </c>
      <c r="AH48" s="95">
        <v>0.38059999999999999</v>
      </c>
      <c r="AI48" s="95">
        <v>-0.748</v>
      </c>
      <c r="AJ48" s="95">
        <v>-0.99760000000000004</v>
      </c>
      <c r="AK48" s="95">
        <v>-2.1983000000000001</v>
      </c>
      <c r="AL48" s="95">
        <v>8.9899999999999994E-2</v>
      </c>
      <c r="AM48" s="95">
        <v>0.2974</v>
      </c>
      <c r="AN48" s="95">
        <v>-0.66239999999999999</v>
      </c>
      <c r="AO48" s="95">
        <v>-0.89070000000000005</v>
      </c>
    </row>
    <row r="49" spans="1:41" x14ac:dyDescent="0.35">
      <c r="A49" s="43">
        <v>6</v>
      </c>
      <c r="B49" s="28">
        <v>43509</v>
      </c>
      <c r="C49" s="68">
        <v>29</v>
      </c>
      <c r="D49" s="43">
        <v>134</v>
      </c>
      <c r="E49" s="31">
        <f t="shared" si="23"/>
        <v>3934</v>
      </c>
      <c r="F49" s="69">
        <f t="shared" si="24"/>
        <v>1</v>
      </c>
      <c r="G49" s="25">
        <f t="shared" si="25"/>
        <v>29.360746268656715</v>
      </c>
      <c r="H49" s="43">
        <v>7.77</v>
      </c>
      <c r="I49" s="43">
        <v>1734</v>
      </c>
      <c r="J49" s="43">
        <v>257</v>
      </c>
      <c r="K49" s="24">
        <v>621</v>
      </c>
      <c r="L49" s="24">
        <v>49</v>
      </c>
      <c r="M49" s="167">
        <v>1</v>
      </c>
      <c r="N49" s="31">
        <v>719</v>
      </c>
      <c r="O49" s="43">
        <v>20</v>
      </c>
      <c r="P49" s="175">
        <v>160.6</v>
      </c>
      <c r="Q49" s="175">
        <v>47.95</v>
      </c>
      <c r="R49" s="175">
        <v>244.3</v>
      </c>
      <c r="S49" s="175">
        <v>19.239999999999998</v>
      </c>
      <c r="T49" s="172">
        <v>9.3740000000000006</v>
      </c>
      <c r="U49" s="171">
        <v>0.2</v>
      </c>
      <c r="V49" s="163">
        <v>0.31</v>
      </c>
      <c r="W49" s="80">
        <v>0.02</v>
      </c>
      <c r="X49" s="170">
        <v>1.2989999999999999</v>
      </c>
      <c r="Y49" s="177">
        <v>0.04</v>
      </c>
      <c r="Z49" s="170">
        <v>1.6359999999999999</v>
      </c>
      <c r="AB49" s="69">
        <f t="shared" si="20"/>
        <v>21.508168058172462</v>
      </c>
      <c r="AC49" s="69">
        <f t="shared" si="1"/>
        <v>22.823332167006257</v>
      </c>
      <c r="AD49" s="69">
        <f t="shared" si="2"/>
        <v>2.9666582501235279</v>
      </c>
      <c r="AF49" s="95">
        <v>7.77</v>
      </c>
      <c r="AG49" s="95">
        <v>6.2911099999999998</v>
      </c>
      <c r="AH49" s="95">
        <v>0.62519999999999998</v>
      </c>
      <c r="AI49" s="95">
        <v>-0.72889999999999999</v>
      </c>
      <c r="AJ49" s="95">
        <v>-0.97850000000000004</v>
      </c>
      <c r="AK49" s="95">
        <v>-2.4218999999999999</v>
      </c>
      <c r="AL49" s="95">
        <v>0.5534</v>
      </c>
      <c r="AM49" s="95">
        <v>0.47170000000000001</v>
      </c>
      <c r="AN49" s="95">
        <v>-0.64339999999999997</v>
      </c>
      <c r="AO49" s="95">
        <v>-0.67179999999999995</v>
      </c>
    </row>
    <row r="50" spans="1:41" x14ac:dyDescent="0.35">
      <c r="A50" s="43">
        <v>6</v>
      </c>
      <c r="B50" s="28">
        <v>43510</v>
      </c>
      <c r="C50" s="43">
        <v>30</v>
      </c>
      <c r="D50" s="43">
        <v>139</v>
      </c>
      <c r="E50" s="31">
        <f t="shared" ref="E50" si="26">D50+E49</f>
        <v>4073</v>
      </c>
      <c r="F50" s="69">
        <f t="shared" ref="F50:F54" si="27">D50/134</f>
        <v>1.0373134328358209</v>
      </c>
      <c r="G50" s="25">
        <f t="shared" ref="G50" si="28">G49+F50</f>
        <v>30.398059701492535</v>
      </c>
      <c r="H50" s="43">
        <v>7.57</v>
      </c>
      <c r="I50" s="43">
        <v>1784</v>
      </c>
      <c r="J50" s="43">
        <v>255</v>
      </c>
      <c r="K50" s="24">
        <v>617</v>
      </c>
      <c r="L50" s="24">
        <v>52</v>
      </c>
      <c r="M50" s="167">
        <v>1</v>
      </c>
      <c r="N50" s="31">
        <v>723</v>
      </c>
      <c r="O50" s="43">
        <v>21</v>
      </c>
      <c r="P50" s="175">
        <v>161.6</v>
      </c>
      <c r="Q50" s="175">
        <v>48.33</v>
      </c>
      <c r="R50" s="175">
        <v>247</v>
      </c>
      <c r="S50" s="175">
        <v>19.48</v>
      </c>
      <c r="T50" s="172">
        <v>9.0619999999999994</v>
      </c>
      <c r="U50" s="171">
        <v>0.2</v>
      </c>
      <c r="V50" s="174">
        <v>0.308</v>
      </c>
      <c r="W50" s="80">
        <v>0.02</v>
      </c>
      <c r="X50" s="170">
        <v>1.3720000000000001</v>
      </c>
      <c r="Y50" s="177">
        <v>0.04</v>
      </c>
      <c r="Z50" s="170">
        <v>1.629</v>
      </c>
      <c r="AB50" s="69">
        <f t="shared" si="20"/>
        <v>21.636075574836795</v>
      </c>
      <c r="AC50" s="69">
        <f t="shared" si="1"/>
        <v>23.013945193211303</v>
      </c>
      <c r="AD50" s="69">
        <f t="shared" si="2"/>
        <v>3.085932760328125</v>
      </c>
      <c r="AF50" s="95">
        <v>7.57</v>
      </c>
      <c r="AG50" s="95">
        <v>6.3954500000000003</v>
      </c>
      <c r="AH50" s="95">
        <v>0.4279</v>
      </c>
      <c r="AI50" s="95">
        <v>-0.72509999999999997</v>
      </c>
      <c r="AJ50" s="95">
        <v>-0.97470000000000001</v>
      </c>
      <c r="AK50" s="95">
        <v>-2.2219000000000002</v>
      </c>
      <c r="AL50" s="95">
        <v>0.1593</v>
      </c>
      <c r="AM50" s="95">
        <v>0.29430000000000001</v>
      </c>
      <c r="AN50" s="95">
        <v>-0.64149999999999996</v>
      </c>
      <c r="AO50" s="95">
        <v>-0.86870000000000003</v>
      </c>
    </row>
    <row r="51" spans="1:41" s="68" customFormat="1" x14ac:dyDescent="0.35">
      <c r="B51" s="28"/>
      <c r="E51" s="31"/>
      <c r="F51" s="69"/>
      <c r="G51" s="25"/>
      <c r="K51" s="65"/>
      <c r="L51" s="65"/>
      <c r="N51" s="31"/>
      <c r="P51" s="66"/>
      <c r="Q51" s="65"/>
      <c r="R51" s="32"/>
      <c r="S51" s="32"/>
      <c r="T51" s="32"/>
      <c r="U51" s="67"/>
      <c r="AB51" s="69"/>
      <c r="AC51" s="69"/>
      <c r="AD51" s="69"/>
      <c r="AF51" s="95"/>
      <c r="AG51" s="95"/>
      <c r="AH51" s="95"/>
      <c r="AI51" s="95"/>
      <c r="AJ51" s="95"/>
      <c r="AK51" s="95"/>
      <c r="AL51" s="95"/>
      <c r="AM51" s="95"/>
      <c r="AN51" s="95"/>
      <c r="AO51" s="95"/>
    </row>
    <row r="52" spans="1:41" x14ac:dyDescent="0.35">
      <c r="A52" s="43" t="s">
        <v>76</v>
      </c>
      <c r="B52" s="28"/>
      <c r="E52" s="31"/>
      <c r="F52" s="69"/>
      <c r="G52" s="25"/>
      <c r="H52" s="69">
        <f>AVERAGE(B99:B107)</f>
        <v>7.3466666666666658</v>
      </c>
      <c r="I52" s="165">
        <f>'Influent Results Master'!D38</f>
        <v>2311.5</v>
      </c>
      <c r="J52" s="165">
        <f>'Influent Results Master'!F38</f>
        <v>244.83333333333331</v>
      </c>
      <c r="K52" s="165">
        <f>'Influent Results Master'!G38</f>
        <v>85.666666666666671</v>
      </c>
      <c r="L52" s="165">
        <f>'Influent Results Master'!H38</f>
        <v>91.5</v>
      </c>
      <c r="M52" s="165">
        <f>'Influent Results Master'!I38</f>
        <v>16.333333333333332</v>
      </c>
      <c r="N52" s="165">
        <f>'Influent Results Master'!J38</f>
        <v>975.66666666666674</v>
      </c>
      <c r="O52" s="165">
        <f>'Influent Results Master'!K38</f>
        <v>20</v>
      </c>
      <c r="P52" s="165">
        <f>'Influent Results Master'!L38</f>
        <v>158.21666666666667</v>
      </c>
      <c r="Q52" s="165">
        <f>'Influent Results Master'!M38</f>
        <v>44.49</v>
      </c>
      <c r="R52" s="165">
        <f>'Influent Results Master'!N38</f>
        <v>407.98333333333335</v>
      </c>
      <c r="S52" s="165">
        <f>'Influent Results Master'!O38</f>
        <v>22.978333333333335</v>
      </c>
      <c r="T52" s="170">
        <f>'Influent Results Master'!P38</f>
        <v>8.5111666666666679</v>
      </c>
      <c r="U52" s="171">
        <f>'Influent Results Master'!Q38</f>
        <v>0.20000000000000004</v>
      </c>
      <c r="V52" s="177">
        <f>'Influent Results Master'!R38</f>
        <v>0.02</v>
      </c>
      <c r="W52" s="177">
        <f>'Influent Results Master'!S38</f>
        <v>0.02</v>
      </c>
      <c r="X52" s="163">
        <f>'Influent Results Master'!T38</f>
        <v>0.44666666666666671</v>
      </c>
      <c r="Y52" s="177">
        <f>'Influent Results Master'!U38</f>
        <v>0.04</v>
      </c>
      <c r="Z52" s="170">
        <f>'Influent Results Master'!V38</f>
        <v>1.7963333333333331</v>
      </c>
      <c r="AB52" s="69">
        <f>((J52/50)+(L52/35.45)+(M52/62)+(N52/48.03))</f>
        <v>28.054900498795039</v>
      </c>
      <c r="AC52" s="69">
        <f t="shared" si="1"/>
        <v>29.517558751050874</v>
      </c>
      <c r="AD52" s="69">
        <f t="shared" si="2"/>
        <v>2.5405519780010954</v>
      </c>
      <c r="AF52" s="95">
        <v>7.35</v>
      </c>
      <c r="AG52" s="95">
        <v>-0.38550800000000002</v>
      </c>
      <c r="AH52" s="95">
        <v>0.1191</v>
      </c>
      <c r="AI52" s="95">
        <v>-0.67869999999999997</v>
      </c>
      <c r="AJ52" s="95">
        <v>-0.92810000000000004</v>
      </c>
      <c r="AK52" s="95">
        <v>-2.0209000000000001</v>
      </c>
      <c r="AL52" s="95">
        <v>-0.47970000000000002</v>
      </c>
      <c r="AM52" s="95">
        <v>-0.54339999999999999</v>
      </c>
      <c r="AN52" s="95">
        <v>-1.9325000000000001</v>
      </c>
      <c r="AO52" s="95">
        <v>-1.1988000000000001</v>
      </c>
    </row>
    <row r="53" spans="1:41" s="68" customFormat="1" x14ac:dyDescent="0.35">
      <c r="B53" s="28"/>
      <c r="E53" s="31"/>
      <c r="F53" s="69"/>
      <c r="G53" s="25"/>
      <c r="K53" s="65"/>
      <c r="L53" s="65"/>
      <c r="N53" s="31"/>
      <c r="P53" s="66"/>
      <c r="Q53" s="65"/>
      <c r="R53" s="32"/>
      <c r="S53" s="32"/>
      <c r="T53" s="32"/>
      <c r="U53" s="171"/>
      <c r="Y53" s="177"/>
      <c r="AB53" s="69"/>
      <c r="AC53" s="69"/>
      <c r="AD53" s="69"/>
      <c r="AF53" s="95"/>
      <c r="AG53" s="95"/>
      <c r="AH53" s="95"/>
      <c r="AI53" s="95"/>
      <c r="AJ53" s="95"/>
      <c r="AK53" s="95"/>
      <c r="AL53" s="95"/>
      <c r="AM53" s="95"/>
      <c r="AN53" s="95"/>
      <c r="AO53" s="95"/>
    </row>
    <row r="54" spans="1:41" x14ac:dyDescent="0.35">
      <c r="A54" s="43">
        <v>6</v>
      </c>
      <c r="B54" s="28">
        <v>43511</v>
      </c>
      <c r="C54" s="43">
        <v>31</v>
      </c>
      <c r="D54" s="43">
        <v>137</v>
      </c>
      <c r="E54" s="31">
        <f>D54+E50</f>
        <v>4210</v>
      </c>
      <c r="F54" s="69">
        <f t="shared" si="27"/>
        <v>1.0223880597014925</v>
      </c>
      <c r="G54" s="25">
        <f>G50+F54</f>
        <v>31.420447761194026</v>
      </c>
      <c r="H54" s="43">
        <v>7.68</v>
      </c>
      <c r="I54" s="43">
        <v>2080</v>
      </c>
      <c r="J54" s="43">
        <v>246</v>
      </c>
      <c r="K54" s="24">
        <v>607</v>
      </c>
      <c r="L54" s="24">
        <v>75</v>
      </c>
      <c r="M54" s="6">
        <v>8</v>
      </c>
      <c r="N54" s="31">
        <v>942</v>
      </c>
      <c r="O54" s="43">
        <v>20</v>
      </c>
      <c r="P54" s="175">
        <v>200.1</v>
      </c>
      <c r="Q54" s="175">
        <v>60.88</v>
      </c>
      <c r="R54" s="21">
        <v>231</v>
      </c>
      <c r="S54" s="175">
        <v>19.55</v>
      </c>
      <c r="T54" s="172">
        <v>9.6219999999999999</v>
      </c>
      <c r="U54" s="171">
        <v>0.2</v>
      </c>
      <c r="V54" s="163">
        <v>0.192</v>
      </c>
      <c r="W54" s="80">
        <v>0.02</v>
      </c>
      <c r="X54" s="170">
        <v>1.6919999999999999</v>
      </c>
      <c r="Y54" s="177">
        <v>0.04</v>
      </c>
      <c r="Z54" s="170">
        <v>1.9810000000000001</v>
      </c>
      <c r="AB54" s="69">
        <f t="shared" ref="AB54:AB61" si="29">((J54/50)+(L54/35.45)+(M54/62)+(N54/48.03))</f>
        <v>26.777430147606399</v>
      </c>
      <c r="AC54" s="69">
        <f t="shared" si="1"/>
        <v>25.285542733962078</v>
      </c>
      <c r="AD54" s="69">
        <f t="shared" si="2"/>
        <v>2.8655440346021503</v>
      </c>
      <c r="AF54" s="95">
        <v>7.68</v>
      </c>
      <c r="AG54" s="95">
        <v>-4.1375400000000004</v>
      </c>
      <c r="AH54" s="95">
        <v>0.56730000000000003</v>
      </c>
      <c r="AI54" s="95">
        <v>-0.58260000000000001</v>
      </c>
      <c r="AJ54" s="95">
        <v>-0.83209999999999995</v>
      </c>
      <c r="AK54" s="95">
        <v>-2.3565</v>
      </c>
      <c r="AL54" s="95">
        <v>0.4486</v>
      </c>
      <c r="AM54" s="95">
        <v>0.42799999999999999</v>
      </c>
      <c r="AN54" s="95">
        <v>-0.81530000000000002</v>
      </c>
      <c r="AO54" s="95">
        <v>-0.71870000000000001</v>
      </c>
    </row>
    <row r="55" spans="1:41" x14ac:dyDescent="0.35">
      <c r="A55" s="43">
        <v>6</v>
      </c>
      <c r="B55" s="28">
        <v>43512</v>
      </c>
      <c r="C55" s="43">
        <v>32</v>
      </c>
      <c r="D55" s="43">
        <v>135</v>
      </c>
      <c r="E55" s="31">
        <f>D55+E54</f>
        <v>4345</v>
      </c>
      <c r="F55" s="69">
        <f t="shared" ref="F55" si="30">D55/134</f>
        <v>1.0074626865671641</v>
      </c>
      <c r="G55" s="25">
        <f>G54+F55</f>
        <v>32.427910447761192</v>
      </c>
      <c r="H55" s="43">
        <v>7.64</v>
      </c>
      <c r="I55" s="43">
        <v>2350</v>
      </c>
      <c r="J55" s="43">
        <v>243</v>
      </c>
      <c r="K55" s="24">
        <v>475</v>
      </c>
      <c r="L55" s="24">
        <v>87</v>
      </c>
      <c r="M55" s="186">
        <v>11</v>
      </c>
      <c r="N55" s="31">
        <v>1043</v>
      </c>
      <c r="O55" s="43">
        <v>16</v>
      </c>
      <c r="P55" s="175">
        <v>210.1</v>
      </c>
      <c r="Q55" s="175">
        <v>62.12</v>
      </c>
      <c r="R55" s="21">
        <v>278</v>
      </c>
      <c r="S55" s="175">
        <v>20.149999999999999</v>
      </c>
      <c r="T55" s="175">
        <v>10.35</v>
      </c>
      <c r="U55" s="171">
        <v>0.2</v>
      </c>
      <c r="V55" s="163">
        <v>0.107</v>
      </c>
      <c r="W55" s="80">
        <v>0.02</v>
      </c>
      <c r="X55" s="170">
        <v>1.601</v>
      </c>
      <c r="Y55" s="177">
        <v>0.04</v>
      </c>
      <c r="Z55" s="170">
        <v>2.069</v>
      </c>
      <c r="AB55" s="69">
        <f t="shared" si="29"/>
        <v>29.207174564837629</v>
      </c>
      <c r="AC55" s="69">
        <f t="shared" si="1"/>
        <v>27.949504456149239</v>
      </c>
      <c r="AD55" s="69">
        <f t="shared" si="2"/>
        <v>2.2003904534526884</v>
      </c>
      <c r="AF55" s="95">
        <v>7.64</v>
      </c>
      <c r="AG55" s="95">
        <v>-3.4884200000000001</v>
      </c>
      <c r="AH55" s="95">
        <v>0.52470000000000006</v>
      </c>
      <c r="AI55" s="95">
        <v>-0.54359999999999997</v>
      </c>
      <c r="AJ55" s="95">
        <v>-0.79300000000000004</v>
      </c>
      <c r="AK55" s="95">
        <v>-2.3233999999999999</v>
      </c>
      <c r="AL55" s="95">
        <v>0.3518</v>
      </c>
      <c r="AM55" s="95">
        <v>0.33689999999999998</v>
      </c>
      <c r="AN55" s="95">
        <v>-1.0747</v>
      </c>
      <c r="AO55" s="95">
        <v>-0.77280000000000004</v>
      </c>
    </row>
    <row r="56" spans="1:41" x14ac:dyDescent="0.35">
      <c r="A56" s="43">
        <v>6</v>
      </c>
      <c r="B56" s="28">
        <v>43513</v>
      </c>
      <c r="C56" s="43">
        <v>33</v>
      </c>
      <c r="D56" s="43">
        <v>134</v>
      </c>
      <c r="E56" s="31">
        <f t="shared" ref="E56:E60" si="31">D56+E55</f>
        <v>4479</v>
      </c>
      <c r="F56" s="69">
        <f t="shared" ref="F56:F60" si="32">D56/134</f>
        <v>1</v>
      </c>
      <c r="G56" s="25">
        <f t="shared" ref="G56:G60" si="33">G55+F56</f>
        <v>33.427910447761192</v>
      </c>
      <c r="H56" s="43">
        <v>7.69</v>
      </c>
      <c r="I56" s="43">
        <v>2380</v>
      </c>
      <c r="J56" s="43">
        <v>241</v>
      </c>
      <c r="K56" s="24">
        <v>350</v>
      </c>
      <c r="L56" s="24">
        <v>88</v>
      </c>
      <c r="M56" s="186">
        <v>12</v>
      </c>
      <c r="N56" s="31">
        <v>1044</v>
      </c>
      <c r="O56" s="43">
        <v>20</v>
      </c>
      <c r="P56" s="165">
        <v>187.4</v>
      </c>
      <c r="Q56" s="165">
        <v>55.34</v>
      </c>
      <c r="R56" s="12">
        <v>306</v>
      </c>
      <c r="S56" s="165">
        <v>20.43</v>
      </c>
      <c r="T56" s="165">
        <v>10.26</v>
      </c>
      <c r="U56" s="171">
        <v>0.2</v>
      </c>
      <c r="V56" s="176">
        <v>6.5000000000000002E-2</v>
      </c>
      <c r="W56" s="80">
        <v>0.02</v>
      </c>
      <c r="X56" s="170">
        <v>1.3560000000000001</v>
      </c>
      <c r="Y56" s="177">
        <v>0.04</v>
      </c>
      <c r="Z56" s="170">
        <v>1.798</v>
      </c>
      <c r="AB56" s="69">
        <f t="shared" si="29"/>
        <v>29.232332662439497</v>
      </c>
      <c r="AC56" s="69">
        <f t="shared" si="1"/>
        <v>27.474823180601817</v>
      </c>
      <c r="AD56" s="69">
        <f t="shared" si="2"/>
        <v>3.0992728443342452</v>
      </c>
      <c r="AF56" s="95">
        <v>7.69</v>
      </c>
      <c r="AG56" s="95">
        <v>-4.5198799999999997</v>
      </c>
      <c r="AH56" s="95">
        <v>0.52039999999999997</v>
      </c>
      <c r="AI56" s="95">
        <v>-0.58550000000000002</v>
      </c>
      <c r="AJ56" s="95">
        <v>-0.83499999999999996</v>
      </c>
      <c r="AK56" s="95">
        <v>-2.3752</v>
      </c>
      <c r="AL56" s="95">
        <v>0.34329999999999999</v>
      </c>
      <c r="AM56" s="95">
        <v>0.31169999999999998</v>
      </c>
      <c r="AN56" s="95">
        <v>-1.3429</v>
      </c>
      <c r="AO56" s="95">
        <v>-0.77710000000000001</v>
      </c>
    </row>
    <row r="57" spans="1:41" x14ac:dyDescent="0.35">
      <c r="A57" s="43">
        <v>6</v>
      </c>
      <c r="B57" s="28">
        <v>43514</v>
      </c>
      <c r="C57" s="43">
        <v>34</v>
      </c>
      <c r="D57" s="43">
        <v>135</v>
      </c>
      <c r="E57" s="31">
        <f t="shared" si="31"/>
        <v>4614</v>
      </c>
      <c r="F57" s="69">
        <f t="shared" si="32"/>
        <v>1.0074626865671641</v>
      </c>
      <c r="G57" s="25">
        <f t="shared" si="33"/>
        <v>34.435373134328358</v>
      </c>
      <c r="H57" s="43">
        <v>7.67</v>
      </c>
      <c r="I57" s="43">
        <v>2400</v>
      </c>
      <c r="J57" s="43">
        <v>217</v>
      </c>
      <c r="K57" s="24">
        <v>270</v>
      </c>
      <c r="L57" s="24">
        <v>88</v>
      </c>
      <c r="M57" s="186">
        <v>12</v>
      </c>
      <c r="N57" s="31">
        <v>1044</v>
      </c>
      <c r="O57" s="43">
        <v>18</v>
      </c>
      <c r="P57" s="21">
        <v>170.7</v>
      </c>
      <c r="Q57" s="175">
        <v>45.66</v>
      </c>
      <c r="R57" s="21">
        <v>317</v>
      </c>
      <c r="S57" s="175">
        <v>19.12</v>
      </c>
      <c r="T57" s="172">
        <v>9.1170000000000009</v>
      </c>
      <c r="U57" s="171">
        <v>0.2</v>
      </c>
      <c r="V57" s="176">
        <v>4.9000000000000002E-2</v>
      </c>
      <c r="W57" s="80">
        <v>0.02</v>
      </c>
      <c r="X57" s="170">
        <v>1.232</v>
      </c>
      <c r="Y57" s="177">
        <v>0.04</v>
      </c>
      <c r="Z57" s="170">
        <v>1.732</v>
      </c>
      <c r="AB57" s="69">
        <f t="shared" si="29"/>
        <v>28.752332662439493</v>
      </c>
      <c r="AC57" s="69">
        <f t="shared" si="1"/>
        <v>26.294673378638176</v>
      </c>
      <c r="AD57" s="69">
        <f t="shared" si="2"/>
        <v>4.4646556834850202</v>
      </c>
      <c r="AF57" s="95">
        <v>7.67</v>
      </c>
      <c r="AG57" s="95">
        <v>-6.2753199999999998</v>
      </c>
      <c r="AH57" s="95">
        <v>0.41670000000000001</v>
      </c>
      <c r="AI57" s="95">
        <v>-0.61550000000000005</v>
      </c>
      <c r="AJ57" s="95">
        <v>-0.8649</v>
      </c>
      <c r="AK57" s="95">
        <v>-2.3976000000000002</v>
      </c>
      <c r="AL57" s="95">
        <v>9.3100000000000002E-2</v>
      </c>
      <c r="AM57" s="95">
        <v>0.2092</v>
      </c>
      <c r="AN57" s="95">
        <v>-1.5044999999999999</v>
      </c>
      <c r="AO57" s="95">
        <v>-0.92359999999999998</v>
      </c>
    </row>
    <row r="58" spans="1:41" x14ac:dyDescent="0.35">
      <c r="A58" s="43">
        <v>6</v>
      </c>
      <c r="B58" s="28">
        <v>43515</v>
      </c>
      <c r="C58" s="43">
        <v>35</v>
      </c>
      <c r="D58" s="43">
        <v>134</v>
      </c>
      <c r="E58" s="31">
        <f t="shared" si="31"/>
        <v>4748</v>
      </c>
      <c r="F58" s="69">
        <f t="shared" si="32"/>
        <v>1</v>
      </c>
      <c r="G58" s="25">
        <f t="shared" si="33"/>
        <v>35.435373134328358</v>
      </c>
      <c r="H58" s="43">
        <v>7.52</v>
      </c>
      <c r="I58" s="43">
        <v>2400</v>
      </c>
      <c r="J58" s="43">
        <v>238</v>
      </c>
      <c r="K58" s="24">
        <v>226</v>
      </c>
      <c r="L58" s="24">
        <v>88</v>
      </c>
      <c r="M58" s="186">
        <v>12</v>
      </c>
      <c r="N58" s="31">
        <v>1033</v>
      </c>
      <c r="O58" s="43">
        <v>20</v>
      </c>
      <c r="P58" s="175">
        <v>161</v>
      </c>
      <c r="Q58" s="175">
        <v>44.2</v>
      </c>
      <c r="R58" s="21">
        <v>336</v>
      </c>
      <c r="S58" s="175">
        <v>19.89</v>
      </c>
      <c r="T58" s="172">
        <v>9.4039999999999999</v>
      </c>
      <c r="U58" s="171">
        <v>0.2</v>
      </c>
      <c r="V58" s="176">
        <v>0.04</v>
      </c>
      <c r="W58" s="80">
        <v>0.02</v>
      </c>
      <c r="X58" s="170">
        <v>1.1970000000000001</v>
      </c>
      <c r="Y58" s="177">
        <v>0.04</v>
      </c>
      <c r="Z58" s="170">
        <v>1.698</v>
      </c>
      <c r="AB58" s="69">
        <f t="shared" si="29"/>
        <v>28.943309135477179</v>
      </c>
      <c r="AC58" s="69">
        <f t="shared" si="1"/>
        <v>26.524362087481169</v>
      </c>
      <c r="AD58" s="69">
        <f t="shared" si="2"/>
        <v>4.3610034361687715</v>
      </c>
      <c r="AF58" s="95">
        <v>7.52</v>
      </c>
      <c r="AG58" s="95">
        <v>-5.9466000000000001</v>
      </c>
      <c r="AH58" s="95">
        <v>0.28420000000000001</v>
      </c>
      <c r="AI58" s="95">
        <v>-0.64300000000000002</v>
      </c>
      <c r="AJ58" s="95">
        <v>-0.89249999999999996</v>
      </c>
      <c r="AK58" s="95">
        <v>-2.2042999999999999</v>
      </c>
      <c r="AL58" s="95">
        <v>-0.16039999999999999</v>
      </c>
      <c r="AM58" s="95">
        <v>8.8900000000000007E-2</v>
      </c>
      <c r="AN58" s="95">
        <v>-1.6187</v>
      </c>
      <c r="AO58" s="95">
        <v>-1.0446</v>
      </c>
    </row>
    <row r="59" spans="1:41" x14ac:dyDescent="0.35">
      <c r="A59" s="43">
        <v>6</v>
      </c>
      <c r="B59" s="28">
        <v>43516</v>
      </c>
      <c r="C59" s="43">
        <v>36</v>
      </c>
      <c r="D59" s="43">
        <v>134</v>
      </c>
      <c r="E59" s="31">
        <f t="shared" si="31"/>
        <v>4882</v>
      </c>
      <c r="F59" s="69">
        <f t="shared" si="32"/>
        <v>1</v>
      </c>
      <c r="G59" s="25">
        <f t="shared" si="33"/>
        <v>36.435373134328358</v>
      </c>
      <c r="H59" s="43">
        <v>7.49</v>
      </c>
      <c r="I59" s="43">
        <v>2420</v>
      </c>
      <c r="J59" s="43">
        <v>239</v>
      </c>
      <c r="K59" s="27">
        <v>200</v>
      </c>
      <c r="L59" s="24">
        <v>88</v>
      </c>
      <c r="M59" s="186">
        <v>12</v>
      </c>
      <c r="N59" s="31">
        <v>1047</v>
      </c>
      <c r="O59" s="43">
        <v>18</v>
      </c>
      <c r="P59" s="175">
        <v>155.80000000000001</v>
      </c>
      <c r="Q59" s="175">
        <v>43.52</v>
      </c>
      <c r="R59" s="21">
        <v>345</v>
      </c>
      <c r="S59" s="175">
        <v>19.98</v>
      </c>
      <c r="T59" s="172">
        <v>9.2170000000000005</v>
      </c>
      <c r="U59" s="171">
        <v>0.2</v>
      </c>
      <c r="V59" s="176">
        <v>4.3999999999999997E-2</v>
      </c>
      <c r="W59" s="80">
        <v>0.02</v>
      </c>
      <c r="X59" s="170">
        <v>1.0900000000000001</v>
      </c>
      <c r="Y59" s="177">
        <v>0.04</v>
      </c>
      <c r="Z59" s="170">
        <v>1.6</v>
      </c>
      <c r="AB59" s="69">
        <f t="shared" si="29"/>
        <v>29.254793624338305</v>
      </c>
      <c r="AC59" s="69">
        <f t="shared" si="1"/>
        <v>26.595651942383764</v>
      </c>
      <c r="AD59" s="69">
        <f t="shared" si="2"/>
        <v>4.7611825742335059</v>
      </c>
      <c r="AF59" s="95">
        <v>7.49</v>
      </c>
      <c r="AG59" s="95">
        <v>-6.3892699999999998</v>
      </c>
      <c r="AH59" s="95">
        <v>0.23960000000000001</v>
      </c>
      <c r="AI59" s="95">
        <v>-0.65290000000000004</v>
      </c>
      <c r="AJ59" s="95">
        <v>-0.90239999999999998</v>
      </c>
      <c r="AK59" s="95">
        <v>-2.1718000000000002</v>
      </c>
      <c r="AL59" s="95">
        <v>-0.24179999999999999</v>
      </c>
      <c r="AM59" s="95">
        <v>1.7999999999999999E-2</v>
      </c>
      <c r="AN59" s="95">
        <v>-1.5953999999999999</v>
      </c>
      <c r="AO59" s="95">
        <v>-1.0814999999999999</v>
      </c>
    </row>
    <row r="60" spans="1:41" x14ac:dyDescent="0.35">
      <c r="A60" s="43">
        <v>6</v>
      </c>
      <c r="B60" s="28">
        <v>43517</v>
      </c>
      <c r="C60" s="43">
        <v>37</v>
      </c>
      <c r="D60" s="43">
        <v>134</v>
      </c>
      <c r="E60" s="31">
        <f t="shared" si="31"/>
        <v>5016</v>
      </c>
      <c r="F60" s="69">
        <f t="shared" si="32"/>
        <v>1</v>
      </c>
      <c r="G60" s="25">
        <f t="shared" si="33"/>
        <v>37.435373134328358</v>
      </c>
      <c r="H60" s="43">
        <v>7.55</v>
      </c>
      <c r="I60" s="43">
        <v>2400</v>
      </c>
      <c r="J60" s="43">
        <v>235</v>
      </c>
      <c r="K60" s="24">
        <v>174</v>
      </c>
      <c r="L60" s="24">
        <v>88</v>
      </c>
      <c r="M60" s="186">
        <v>12</v>
      </c>
      <c r="N60" s="31">
        <v>1044</v>
      </c>
      <c r="O60" s="43">
        <v>16</v>
      </c>
      <c r="P60" s="175">
        <v>154.30000000000001</v>
      </c>
      <c r="Q60" s="175">
        <v>42.14</v>
      </c>
      <c r="R60" s="21">
        <v>350</v>
      </c>
      <c r="S60" s="175">
        <v>19.93</v>
      </c>
      <c r="T60" s="172">
        <v>9.2949999999999999</v>
      </c>
      <c r="U60" s="171">
        <v>0.2</v>
      </c>
      <c r="V60" s="176">
        <v>4.2000000000000003E-2</v>
      </c>
      <c r="W60" s="80">
        <v>0.02</v>
      </c>
      <c r="X60" s="170">
        <v>1.06</v>
      </c>
      <c r="Y60" s="177">
        <v>0.04</v>
      </c>
      <c r="Z60" s="170">
        <v>1.65</v>
      </c>
      <c r="AB60" s="69">
        <f t="shared" si="29"/>
        <v>29.112332662439496</v>
      </c>
      <c r="AC60" s="69">
        <f t="shared" si="1"/>
        <v>26.626795549206673</v>
      </c>
      <c r="AD60" s="69">
        <f t="shared" si="2"/>
        <v>4.4592321282726726</v>
      </c>
      <c r="AF60" s="95">
        <v>7.55</v>
      </c>
      <c r="AG60" s="95">
        <v>-6.0600300000000002</v>
      </c>
      <c r="AH60" s="95">
        <v>0.28789999999999999</v>
      </c>
      <c r="AI60" s="95">
        <v>-0.65710000000000002</v>
      </c>
      <c r="AJ60" s="95">
        <v>-0.90649999999999997</v>
      </c>
      <c r="AK60" s="95">
        <v>-2.2395999999999998</v>
      </c>
      <c r="AL60" s="95">
        <v>-0.15509999999999999</v>
      </c>
      <c r="AM60" s="95">
        <v>5.8500000000000003E-2</v>
      </c>
      <c r="AN60" s="95">
        <v>-1.6193</v>
      </c>
      <c r="AO60" s="95">
        <v>-1.0429999999999999</v>
      </c>
    </row>
    <row r="61" spans="1:41" s="68" customFormat="1" x14ac:dyDescent="0.35">
      <c r="A61" s="68">
        <v>6</v>
      </c>
      <c r="B61" s="28">
        <v>43518</v>
      </c>
      <c r="C61" s="68">
        <v>38</v>
      </c>
      <c r="D61" s="68">
        <v>137</v>
      </c>
      <c r="E61" s="31">
        <f t="shared" ref="E61" si="34">D61+E60</f>
        <v>5153</v>
      </c>
      <c r="F61" s="69">
        <f t="shared" ref="F61" si="35">D61/134</f>
        <v>1.0223880597014925</v>
      </c>
      <c r="G61" s="25">
        <f t="shared" ref="G61" si="36">G60+F61</f>
        <v>38.45776119402985</v>
      </c>
      <c r="H61" s="68">
        <v>7.46</v>
      </c>
      <c r="I61" s="68">
        <v>2410</v>
      </c>
      <c r="J61" s="68">
        <v>235</v>
      </c>
      <c r="K61" s="65">
        <v>160</v>
      </c>
      <c r="L61" s="65">
        <v>88</v>
      </c>
      <c r="M61" s="186">
        <v>12</v>
      </c>
      <c r="N61" s="31">
        <v>1035</v>
      </c>
      <c r="O61" s="68">
        <v>15</v>
      </c>
      <c r="P61" s="175">
        <v>157.19999999999999</v>
      </c>
      <c r="Q61" s="175">
        <v>41.28</v>
      </c>
      <c r="R61" s="21">
        <v>349</v>
      </c>
      <c r="S61" s="175">
        <v>20.27</v>
      </c>
      <c r="T61" s="172">
        <v>9.3640000000000008</v>
      </c>
      <c r="U61" s="171">
        <v>0.2</v>
      </c>
      <c r="V61" s="176">
        <v>0.04</v>
      </c>
      <c r="W61" s="80">
        <v>0.02</v>
      </c>
      <c r="X61" s="170">
        <v>1.07</v>
      </c>
      <c r="Y61" s="177">
        <v>0.04</v>
      </c>
      <c r="Z61" s="170">
        <v>1.71</v>
      </c>
      <c r="AB61" s="69">
        <f t="shared" si="29"/>
        <v>28.924949776743055</v>
      </c>
      <c r="AC61" s="69">
        <f t="shared" si="1"/>
        <v>26.659049977037036</v>
      </c>
      <c r="AD61" s="69">
        <f t="shared" si="2"/>
        <v>4.0765324729117269</v>
      </c>
      <c r="AF61" s="95">
        <v>7.46</v>
      </c>
      <c r="AG61" s="95">
        <v>-5.6214000000000004</v>
      </c>
      <c r="AH61" s="95">
        <v>0.20880000000000001</v>
      </c>
      <c r="AI61" s="95">
        <v>-0.65139999999999998</v>
      </c>
      <c r="AJ61" s="95">
        <v>-0.90080000000000005</v>
      </c>
      <c r="AK61" s="95">
        <v>-2.1486000000000001</v>
      </c>
      <c r="AL61" s="95">
        <v>-0.3306</v>
      </c>
      <c r="AM61" s="95">
        <v>-2.4899999999999999E-2</v>
      </c>
      <c r="AN61" s="95">
        <v>-1.6302000000000001</v>
      </c>
      <c r="AO61" s="95">
        <v>-1.1394</v>
      </c>
    </row>
    <row r="62" spans="1:41" x14ac:dyDescent="0.35">
      <c r="B62" s="28"/>
      <c r="F62" s="2"/>
      <c r="G62" s="2"/>
      <c r="K62" s="24"/>
      <c r="L62" s="24"/>
      <c r="N62" s="31"/>
      <c r="P62" s="66"/>
      <c r="Q62" s="65"/>
      <c r="R62" s="32"/>
      <c r="S62" s="32"/>
      <c r="T62" s="32"/>
      <c r="U62" s="8"/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1" s="31" customFormat="1" x14ac:dyDescent="0.35">
      <c r="A63" s="31" t="s">
        <v>33</v>
      </c>
      <c r="F63" s="25"/>
      <c r="G63" s="25"/>
      <c r="P63" s="27"/>
      <c r="Q63" s="27"/>
      <c r="R63" s="27"/>
      <c r="S63" s="27"/>
      <c r="T63" s="27"/>
      <c r="AF63" s="43"/>
      <c r="AG63" s="43"/>
      <c r="AH63" s="43"/>
      <c r="AI63" s="43"/>
      <c r="AJ63" s="43"/>
      <c r="AK63" s="43"/>
      <c r="AL63" s="43"/>
      <c r="AM63" s="43"/>
      <c r="AN63" s="43"/>
      <c r="AO63" s="43"/>
    </row>
    <row r="64" spans="1:41" x14ac:dyDescent="0.35">
      <c r="A64" s="31"/>
      <c r="B64" s="31"/>
      <c r="C64" s="31"/>
      <c r="D64" s="31"/>
      <c r="E64" s="31"/>
      <c r="F64" s="31"/>
      <c r="G64" s="31"/>
      <c r="P64" s="65"/>
      <c r="Q64" s="65"/>
      <c r="R64" s="65"/>
      <c r="S64" s="65"/>
      <c r="T64" s="65"/>
    </row>
    <row r="65" spans="1:41" x14ac:dyDescent="0.35">
      <c r="A65" s="31" t="s">
        <v>32</v>
      </c>
      <c r="B65" s="31"/>
      <c r="C65" s="31"/>
      <c r="D65" s="31"/>
      <c r="E65" s="31"/>
      <c r="F65" s="31"/>
      <c r="G65" s="31"/>
      <c r="P65" s="65"/>
      <c r="Q65" s="65"/>
      <c r="R65" s="65"/>
      <c r="S65" s="65"/>
      <c r="T65" s="65"/>
    </row>
    <row r="66" spans="1:41" x14ac:dyDescent="0.35">
      <c r="A66" s="31"/>
      <c r="B66" s="31"/>
      <c r="C66" s="31"/>
      <c r="D66" s="31"/>
      <c r="E66" s="31"/>
      <c r="F66" s="31"/>
      <c r="G66" s="31"/>
      <c r="P66" s="65"/>
      <c r="Q66" s="65"/>
      <c r="R66" s="65"/>
      <c r="S66" s="65"/>
      <c r="T66" s="65"/>
    </row>
    <row r="67" spans="1:41" x14ac:dyDescent="0.35">
      <c r="A67" s="31" t="s">
        <v>10</v>
      </c>
      <c r="B67" s="31" t="s">
        <v>14</v>
      </c>
      <c r="C67" s="31"/>
      <c r="D67" s="31"/>
      <c r="E67" s="31"/>
      <c r="P67" s="65"/>
      <c r="Q67" s="65"/>
      <c r="R67" s="65"/>
      <c r="S67" s="65"/>
      <c r="T67" s="65"/>
    </row>
    <row r="68" spans="1:41" x14ac:dyDescent="0.35">
      <c r="A68" s="31"/>
      <c r="B68" s="31"/>
      <c r="C68" s="31"/>
      <c r="D68" s="31"/>
      <c r="E68" s="31"/>
      <c r="P68" s="65"/>
      <c r="Q68" s="65"/>
      <c r="R68" s="65"/>
      <c r="S68" s="65"/>
      <c r="T68" s="65"/>
    </row>
    <row r="69" spans="1:41" x14ac:dyDescent="0.35">
      <c r="A69" s="28">
        <v>43480</v>
      </c>
      <c r="B69" s="31">
        <v>7.4</v>
      </c>
      <c r="C69" s="31"/>
      <c r="D69" s="31"/>
      <c r="E69" s="31"/>
      <c r="F69" s="31"/>
      <c r="G69" s="31"/>
    </row>
    <row r="70" spans="1:41" x14ac:dyDescent="0.35">
      <c r="A70" s="28">
        <v>43481</v>
      </c>
      <c r="B70" s="31">
        <v>7.2</v>
      </c>
      <c r="C70" s="31"/>
      <c r="D70" s="31"/>
      <c r="E70" s="28"/>
      <c r="F70" s="31"/>
      <c r="G70" s="31"/>
      <c r="AF70" s="68"/>
      <c r="AG70" s="68"/>
      <c r="AH70" s="68"/>
      <c r="AI70" s="68"/>
      <c r="AJ70" s="68"/>
      <c r="AK70" s="68"/>
      <c r="AL70" s="68"/>
      <c r="AM70" s="68"/>
      <c r="AN70" s="68"/>
      <c r="AO70" s="68"/>
    </row>
    <row r="71" spans="1:41" x14ac:dyDescent="0.35">
      <c r="A71" s="28">
        <v>43482</v>
      </c>
      <c r="B71" s="31">
        <v>7.2</v>
      </c>
      <c r="C71" s="31"/>
      <c r="D71" s="31"/>
      <c r="E71" s="28"/>
      <c r="F71" s="31"/>
      <c r="G71" s="31"/>
    </row>
    <row r="72" spans="1:41" x14ac:dyDescent="0.35">
      <c r="A72" s="28">
        <v>43483</v>
      </c>
      <c r="B72" s="31">
        <v>7.2</v>
      </c>
      <c r="C72" s="31"/>
      <c r="D72" s="31"/>
      <c r="E72" s="28"/>
      <c r="F72" s="31"/>
      <c r="G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</row>
    <row r="73" spans="1:41" x14ac:dyDescent="0.35">
      <c r="A73" s="28">
        <v>43484</v>
      </c>
      <c r="B73" s="31">
        <v>7.3</v>
      </c>
      <c r="C73" s="31"/>
      <c r="D73" s="31"/>
      <c r="E73" s="28"/>
      <c r="F73" s="31"/>
      <c r="G73" s="31"/>
    </row>
    <row r="74" spans="1:41" x14ac:dyDescent="0.35">
      <c r="A74" s="28">
        <v>43485</v>
      </c>
      <c r="B74" s="31">
        <v>7.3</v>
      </c>
      <c r="C74" s="31"/>
      <c r="D74" s="31"/>
      <c r="E74" s="28"/>
      <c r="F74" s="31"/>
      <c r="G74" s="31"/>
    </row>
    <row r="75" spans="1:41" x14ac:dyDescent="0.35">
      <c r="A75" s="28">
        <v>43486</v>
      </c>
      <c r="B75" s="31">
        <v>7.4</v>
      </c>
      <c r="C75" s="31"/>
      <c r="D75" s="31"/>
      <c r="E75" s="28"/>
      <c r="F75" s="31"/>
      <c r="G75" s="31"/>
    </row>
    <row r="76" spans="1:41" x14ac:dyDescent="0.35">
      <c r="A76" s="28">
        <v>43487</v>
      </c>
      <c r="B76" s="31">
        <v>8.01</v>
      </c>
      <c r="C76" s="31" t="s">
        <v>108</v>
      </c>
      <c r="E76" s="28"/>
      <c r="F76" s="31"/>
      <c r="G76" s="31"/>
    </row>
    <row r="77" spans="1:41" x14ac:dyDescent="0.35">
      <c r="A77" s="28">
        <v>43488</v>
      </c>
      <c r="B77" s="31">
        <v>8.0299999999999994</v>
      </c>
      <c r="C77" s="31"/>
      <c r="D77" s="31"/>
      <c r="E77" s="28"/>
      <c r="F77" s="31"/>
      <c r="G77" s="31"/>
    </row>
    <row r="78" spans="1:41" x14ac:dyDescent="0.35">
      <c r="A78" s="28">
        <v>43489</v>
      </c>
      <c r="B78" s="31">
        <v>8.0500000000000007</v>
      </c>
      <c r="C78" s="31"/>
      <c r="D78" s="31"/>
      <c r="E78" s="28"/>
      <c r="F78" s="31"/>
      <c r="G78" s="31"/>
    </row>
    <row r="79" spans="1:41" x14ac:dyDescent="0.35">
      <c r="A79" s="28">
        <v>43490</v>
      </c>
      <c r="B79" s="31">
        <v>8</v>
      </c>
      <c r="C79" s="31"/>
      <c r="D79" s="31"/>
      <c r="E79" s="28"/>
      <c r="F79" s="31"/>
      <c r="G79" s="31"/>
    </row>
    <row r="80" spans="1:41" x14ac:dyDescent="0.35">
      <c r="A80" s="28">
        <v>43491</v>
      </c>
      <c r="B80" s="31">
        <v>8.08</v>
      </c>
      <c r="C80" s="31"/>
      <c r="D80" s="31"/>
      <c r="E80" s="28"/>
      <c r="F80" s="31"/>
      <c r="G80" s="31"/>
    </row>
    <row r="81" spans="1:41" x14ac:dyDescent="0.35">
      <c r="A81" s="28">
        <v>43492</v>
      </c>
      <c r="B81" s="31">
        <v>8</v>
      </c>
      <c r="C81" s="31"/>
      <c r="D81" s="31"/>
      <c r="E81" s="28"/>
      <c r="F81" s="31"/>
      <c r="G81" s="31"/>
    </row>
    <row r="82" spans="1:41" x14ac:dyDescent="0.35">
      <c r="A82" s="28">
        <v>43493</v>
      </c>
      <c r="B82" s="31">
        <v>8.0299999999999994</v>
      </c>
      <c r="C82" s="31"/>
      <c r="D82" s="31"/>
      <c r="E82" s="28"/>
      <c r="F82" s="31"/>
      <c r="G82" s="31"/>
    </row>
    <row r="83" spans="1:41" x14ac:dyDescent="0.35">
      <c r="A83" s="28">
        <v>43494</v>
      </c>
      <c r="B83" s="31">
        <v>8.1199999999999992</v>
      </c>
      <c r="C83" s="31"/>
      <c r="D83" s="31"/>
      <c r="E83" s="31"/>
      <c r="F83" s="25"/>
      <c r="G83" s="25"/>
    </row>
    <row r="84" spans="1:41" x14ac:dyDescent="0.35">
      <c r="A84" s="28">
        <v>43495</v>
      </c>
      <c r="B84" s="31">
        <v>8.1</v>
      </c>
      <c r="C84" s="31"/>
      <c r="D84" s="31"/>
      <c r="E84" s="31"/>
      <c r="F84" s="25"/>
      <c r="G84" s="25"/>
    </row>
    <row r="85" spans="1:41" x14ac:dyDescent="0.35">
      <c r="A85" s="28">
        <v>43496</v>
      </c>
      <c r="B85" s="31">
        <v>8.1</v>
      </c>
      <c r="C85" s="31"/>
      <c r="D85" s="31"/>
      <c r="E85" s="31"/>
      <c r="F85" s="25"/>
      <c r="G85" s="25"/>
    </row>
    <row r="86" spans="1:41" x14ac:dyDescent="0.35">
      <c r="A86" s="28">
        <v>43497</v>
      </c>
      <c r="B86" s="43">
        <v>8.01</v>
      </c>
    </row>
    <row r="87" spans="1:41" x14ac:dyDescent="0.35">
      <c r="A87" s="28">
        <v>43498</v>
      </c>
      <c r="B87" s="83">
        <v>8.16</v>
      </c>
      <c r="F87" s="2"/>
      <c r="G87" s="2"/>
      <c r="N87" s="31"/>
    </row>
    <row r="88" spans="1:41" s="31" customFormat="1" x14ac:dyDescent="0.35">
      <c r="A88" s="28">
        <v>43499</v>
      </c>
      <c r="B88" s="31">
        <v>8.07</v>
      </c>
      <c r="F88" s="25"/>
      <c r="G88" s="25"/>
      <c r="AF88" s="43"/>
      <c r="AG88" s="43"/>
      <c r="AH88" s="43"/>
      <c r="AI88" s="43"/>
      <c r="AJ88" s="43"/>
      <c r="AK88" s="43"/>
      <c r="AL88" s="43"/>
      <c r="AM88" s="43"/>
      <c r="AN88" s="43"/>
      <c r="AO88" s="43"/>
    </row>
    <row r="89" spans="1:41" s="31" customFormat="1" x14ac:dyDescent="0.35">
      <c r="A89" s="28">
        <v>43500</v>
      </c>
      <c r="B89" s="31">
        <v>8.01</v>
      </c>
      <c r="F89" s="25"/>
      <c r="G89" s="25"/>
      <c r="AF89" s="43"/>
      <c r="AG89" s="43"/>
      <c r="AH89" s="43"/>
      <c r="AI89" s="43"/>
      <c r="AJ89" s="43"/>
      <c r="AK89" s="43"/>
      <c r="AL89" s="43"/>
      <c r="AM89" s="43"/>
      <c r="AN89" s="43"/>
      <c r="AO89" s="43"/>
    </row>
    <row r="90" spans="1:41" s="31" customFormat="1" x14ac:dyDescent="0.35">
      <c r="A90" s="28">
        <v>43501</v>
      </c>
      <c r="B90" s="31">
        <v>8.0399999999999991</v>
      </c>
      <c r="F90" s="25"/>
      <c r="G90" s="25"/>
      <c r="AF90" s="43"/>
      <c r="AG90" s="43"/>
      <c r="AH90" s="43"/>
      <c r="AI90" s="43"/>
      <c r="AJ90" s="43"/>
      <c r="AK90" s="43"/>
      <c r="AL90" s="43"/>
      <c r="AM90" s="43"/>
      <c r="AN90" s="43"/>
      <c r="AO90" s="43"/>
    </row>
    <row r="91" spans="1:41" s="31" customFormat="1" x14ac:dyDescent="0.35">
      <c r="A91" s="28">
        <v>43502</v>
      </c>
      <c r="B91" s="31">
        <v>7.24</v>
      </c>
      <c r="C91" s="31" t="s">
        <v>156</v>
      </c>
      <c r="F91" s="25"/>
      <c r="G91" s="25"/>
      <c r="AF91" s="43"/>
      <c r="AG91" s="43"/>
      <c r="AH91" s="43"/>
      <c r="AI91" s="43"/>
      <c r="AJ91" s="43"/>
      <c r="AK91" s="43"/>
      <c r="AL91" s="43"/>
      <c r="AM91" s="43"/>
      <c r="AN91" s="43"/>
      <c r="AO91" s="43"/>
    </row>
    <row r="92" spans="1:41" s="31" customFormat="1" x14ac:dyDescent="0.35">
      <c r="A92" s="28">
        <v>43503</v>
      </c>
      <c r="B92" s="31">
        <v>7.11</v>
      </c>
      <c r="F92" s="25"/>
      <c r="G92" s="25"/>
      <c r="AF92" s="43"/>
      <c r="AG92" s="43"/>
      <c r="AH92" s="43"/>
      <c r="AI92" s="43"/>
      <c r="AJ92" s="43"/>
      <c r="AK92" s="43"/>
      <c r="AL92" s="43"/>
      <c r="AM92" s="43"/>
      <c r="AN92" s="43"/>
      <c r="AO92" s="43"/>
    </row>
    <row r="93" spans="1:41" s="31" customFormat="1" x14ac:dyDescent="0.35">
      <c r="A93" s="28">
        <v>43504</v>
      </c>
      <c r="B93" s="31">
        <v>7.11</v>
      </c>
      <c r="F93" s="25"/>
      <c r="G93" s="25"/>
      <c r="M93" s="27"/>
      <c r="N93" s="27"/>
      <c r="O93" s="27"/>
      <c r="P93" s="27"/>
      <c r="Q93" s="27"/>
      <c r="R93" s="26"/>
      <c r="S93" s="26"/>
      <c r="T93" s="26"/>
      <c r="U93" s="26"/>
      <c r="V93" s="27"/>
      <c r="W93" s="18"/>
      <c r="X93" s="26"/>
      <c r="Y93" s="27"/>
      <c r="AF93" s="43"/>
      <c r="AG93" s="43"/>
      <c r="AH93" s="43"/>
      <c r="AI93" s="43"/>
      <c r="AJ93" s="43"/>
      <c r="AK93" s="43"/>
      <c r="AL93" s="43"/>
      <c r="AM93" s="43"/>
      <c r="AN93" s="43"/>
      <c r="AO93" s="43"/>
    </row>
    <row r="94" spans="1:41" s="31" customFormat="1" x14ac:dyDescent="0.35">
      <c r="A94" s="28">
        <v>43505</v>
      </c>
      <c r="B94" s="31">
        <v>7.23</v>
      </c>
      <c r="F94" s="25"/>
      <c r="G94" s="25"/>
      <c r="M94" s="27"/>
      <c r="N94" s="27"/>
      <c r="O94" s="27"/>
      <c r="P94" s="27"/>
      <c r="Q94" s="27"/>
      <c r="R94" s="26"/>
      <c r="S94" s="26"/>
      <c r="T94" s="26"/>
      <c r="U94" s="26"/>
      <c r="V94" s="27"/>
      <c r="W94" s="18"/>
      <c r="X94" s="26"/>
      <c r="Y94" s="27"/>
      <c r="AF94" s="43"/>
      <c r="AG94" s="43"/>
      <c r="AH94" s="43"/>
      <c r="AI94" s="43"/>
      <c r="AJ94" s="43"/>
      <c r="AK94" s="43"/>
      <c r="AL94" s="43"/>
      <c r="AM94" s="43"/>
      <c r="AN94" s="43"/>
      <c r="AO94" s="43"/>
    </row>
    <row r="95" spans="1:41" s="31" customFormat="1" x14ac:dyDescent="0.35">
      <c r="A95" s="28">
        <v>43506</v>
      </c>
      <c r="B95" s="31">
        <v>7.15</v>
      </c>
      <c r="F95" s="25"/>
      <c r="G95" s="25"/>
      <c r="R95" s="26"/>
      <c r="S95" s="26"/>
      <c r="T95" s="26"/>
      <c r="U95" s="27"/>
      <c r="W95" s="6"/>
      <c r="X95" s="26"/>
      <c r="Y95" s="27"/>
      <c r="AF95" s="43"/>
      <c r="AG95" s="43"/>
      <c r="AH95" s="43"/>
      <c r="AI95" s="43"/>
      <c r="AJ95" s="43"/>
      <c r="AK95" s="43"/>
      <c r="AL95" s="43"/>
      <c r="AM95" s="43"/>
      <c r="AN95" s="43"/>
      <c r="AO95" s="43"/>
    </row>
    <row r="96" spans="1:41" s="31" customFormat="1" x14ac:dyDescent="0.35">
      <c r="A96" s="28">
        <v>43507</v>
      </c>
      <c r="B96" s="31">
        <v>7.17</v>
      </c>
      <c r="F96" s="25"/>
      <c r="G96" s="25"/>
      <c r="AF96" s="43"/>
      <c r="AG96" s="43"/>
      <c r="AH96" s="43"/>
      <c r="AI96" s="43"/>
      <c r="AJ96" s="43"/>
      <c r="AK96" s="43"/>
      <c r="AL96" s="43"/>
      <c r="AM96" s="43"/>
      <c r="AN96" s="43"/>
      <c r="AO96" s="43"/>
    </row>
    <row r="97" spans="1:25" s="31" customFormat="1" x14ac:dyDescent="0.35">
      <c r="A97" s="28">
        <v>43508</v>
      </c>
      <c r="B97" s="31">
        <v>7.22</v>
      </c>
      <c r="F97" s="25"/>
      <c r="G97" s="25"/>
    </row>
    <row r="98" spans="1:25" s="31" customFormat="1" x14ac:dyDescent="0.35">
      <c r="A98" s="28">
        <v>43509</v>
      </c>
      <c r="B98" s="31">
        <v>7.27</v>
      </c>
      <c r="F98" s="25"/>
      <c r="G98" s="25"/>
    </row>
    <row r="99" spans="1:25" s="31" customFormat="1" x14ac:dyDescent="0.35">
      <c r="A99" s="28">
        <v>43510</v>
      </c>
      <c r="B99" s="25">
        <v>7.34</v>
      </c>
      <c r="C99" s="31" t="s">
        <v>160</v>
      </c>
      <c r="F99" s="25"/>
      <c r="G99" s="25"/>
    </row>
    <row r="100" spans="1:25" s="31" customFormat="1" x14ac:dyDescent="0.35">
      <c r="A100" s="28">
        <v>43511</v>
      </c>
      <c r="B100" s="85">
        <v>7.28</v>
      </c>
      <c r="F100" s="25"/>
      <c r="G100" s="25"/>
      <c r="X100" s="26"/>
      <c r="Y100" s="26"/>
    </row>
    <row r="101" spans="1:25" s="31" customFormat="1" x14ac:dyDescent="0.35">
      <c r="A101" s="28">
        <v>43512</v>
      </c>
      <c r="B101" s="25">
        <v>7.4</v>
      </c>
      <c r="F101" s="25"/>
      <c r="G101" s="25"/>
      <c r="H101" s="25"/>
      <c r="K101" s="27"/>
      <c r="L101" s="27"/>
      <c r="U101" s="26"/>
      <c r="X101" s="26"/>
      <c r="Y101" s="26"/>
    </row>
    <row r="102" spans="1:25" s="31" customFormat="1" x14ac:dyDescent="0.35">
      <c r="A102" s="28">
        <v>43513</v>
      </c>
      <c r="B102" s="25">
        <v>7.38</v>
      </c>
      <c r="F102" s="25"/>
      <c r="G102" s="25"/>
      <c r="K102" s="27"/>
      <c r="L102" s="27"/>
      <c r="R102" s="27"/>
      <c r="S102" s="27"/>
      <c r="T102" s="27"/>
      <c r="U102" s="13"/>
      <c r="X102" s="26"/>
      <c r="Y102" s="26"/>
    </row>
    <row r="103" spans="1:25" s="31" customFormat="1" x14ac:dyDescent="0.35">
      <c r="A103" s="28">
        <v>43514</v>
      </c>
      <c r="B103" s="25">
        <v>7.32</v>
      </c>
      <c r="F103" s="25"/>
      <c r="G103" s="25"/>
      <c r="K103" s="27"/>
      <c r="L103" s="27"/>
      <c r="O103" s="6"/>
      <c r="R103" s="27"/>
      <c r="S103" s="27"/>
      <c r="T103" s="27"/>
      <c r="U103" s="13"/>
      <c r="V103" s="6"/>
      <c r="X103" s="26"/>
    </row>
    <row r="104" spans="1:25" s="31" customFormat="1" x14ac:dyDescent="0.35">
      <c r="A104" s="28">
        <v>43515</v>
      </c>
      <c r="B104" s="25">
        <v>7.37</v>
      </c>
      <c r="F104" s="25"/>
      <c r="G104" s="25"/>
      <c r="J104" s="27"/>
      <c r="K104" s="27"/>
      <c r="L104" s="27"/>
      <c r="R104" s="27"/>
      <c r="S104" s="27"/>
      <c r="T104" s="27"/>
      <c r="U104" s="13"/>
      <c r="W104" s="12"/>
      <c r="X104" s="26"/>
    </row>
    <row r="105" spans="1:25" s="31" customFormat="1" x14ac:dyDescent="0.35">
      <c r="A105" s="28">
        <v>43516</v>
      </c>
      <c r="B105" s="25">
        <v>7.32</v>
      </c>
      <c r="F105" s="25"/>
      <c r="G105" s="25"/>
      <c r="J105" s="27"/>
      <c r="K105" s="27"/>
      <c r="L105" s="27"/>
      <c r="O105" s="27"/>
      <c r="R105" s="27"/>
      <c r="S105" s="27"/>
      <c r="T105" s="27"/>
      <c r="U105" s="13"/>
      <c r="V105" s="18"/>
      <c r="X105" s="26"/>
    </row>
    <row r="106" spans="1:25" s="31" customFormat="1" x14ac:dyDescent="0.35">
      <c r="A106" s="28">
        <v>43517</v>
      </c>
      <c r="B106" s="25">
        <v>7.37</v>
      </c>
      <c r="F106" s="25"/>
      <c r="G106" s="25"/>
      <c r="J106" s="27"/>
      <c r="K106" s="27"/>
      <c r="L106" s="27"/>
      <c r="O106" s="27"/>
      <c r="R106" s="27"/>
      <c r="S106" s="27"/>
      <c r="T106" s="27"/>
      <c r="U106" s="13"/>
      <c r="V106" s="18"/>
      <c r="X106" s="26"/>
    </row>
    <row r="107" spans="1:25" s="31" customFormat="1" x14ac:dyDescent="0.35">
      <c r="A107" s="28">
        <v>43518</v>
      </c>
      <c r="B107" s="25">
        <v>7.34</v>
      </c>
      <c r="F107" s="25"/>
      <c r="G107" s="25"/>
      <c r="J107" s="27"/>
      <c r="K107" s="27"/>
      <c r="L107" s="27"/>
      <c r="O107" s="27"/>
      <c r="R107" s="27"/>
      <c r="S107" s="27"/>
      <c r="T107" s="27"/>
      <c r="U107" s="13"/>
      <c r="V107" s="18"/>
      <c r="X107" s="26"/>
    </row>
    <row r="108" spans="1:25" s="31" customFormat="1" x14ac:dyDescent="0.35">
      <c r="B108" s="28"/>
      <c r="F108" s="25"/>
      <c r="G108" s="25"/>
      <c r="J108" s="27"/>
      <c r="K108" s="27"/>
      <c r="L108" s="27"/>
      <c r="O108" s="27"/>
      <c r="R108" s="27"/>
      <c r="S108" s="27"/>
      <c r="T108" s="27"/>
      <c r="U108" s="13"/>
      <c r="V108" s="18"/>
      <c r="X108" s="26"/>
    </row>
    <row r="109" spans="1:25" s="31" customFormat="1" x14ac:dyDescent="0.35">
      <c r="B109" s="28"/>
      <c r="F109" s="25"/>
      <c r="G109" s="25"/>
      <c r="J109" s="27"/>
      <c r="K109" s="27"/>
      <c r="L109" s="27"/>
      <c r="O109" s="27"/>
      <c r="R109" s="26"/>
      <c r="S109" s="26"/>
      <c r="T109" s="26"/>
      <c r="U109" s="13"/>
      <c r="V109" s="18"/>
      <c r="X109" s="26"/>
    </row>
    <row r="110" spans="1:25" s="31" customFormat="1" x14ac:dyDescent="0.35">
      <c r="F110" s="25"/>
      <c r="G110" s="25"/>
    </row>
    <row r="111" spans="1:25" s="31" customFormat="1" x14ac:dyDescent="0.35">
      <c r="F111" s="25"/>
      <c r="G111" s="25"/>
    </row>
    <row r="112" spans="1:25" s="31" customFormat="1" x14ac:dyDescent="0.35">
      <c r="F112" s="25"/>
      <c r="G112" s="25"/>
    </row>
    <row r="113" spans="1:10" s="31" customFormat="1" x14ac:dyDescent="0.35"/>
    <row r="114" spans="1:10" s="31" customFormat="1" x14ac:dyDescent="0.35"/>
    <row r="115" spans="1:10" s="31" customFormat="1" x14ac:dyDescent="0.35"/>
    <row r="116" spans="1:10" s="31" customFormat="1" x14ac:dyDescent="0.35"/>
    <row r="117" spans="1:10" s="31" customFormat="1" x14ac:dyDescent="0.35"/>
    <row r="118" spans="1:10" s="31" customFormat="1" x14ac:dyDescent="0.35"/>
    <row r="119" spans="1:10" s="31" customFormat="1" x14ac:dyDescent="0.35">
      <c r="A119" s="28"/>
      <c r="E119" s="28"/>
      <c r="J119" s="28"/>
    </row>
    <row r="120" spans="1:10" s="31" customFormat="1" x14ac:dyDescent="0.35">
      <c r="A120" s="28"/>
      <c r="E120" s="28"/>
    </row>
    <row r="121" spans="1:10" s="31" customFormat="1" x14ac:dyDescent="0.35">
      <c r="A121" s="28"/>
      <c r="E121" s="28"/>
      <c r="J121" s="28"/>
    </row>
    <row r="122" spans="1:10" s="31" customFormat="1" x14ac:dyDescent="0.35">
      <c r="A122" s="28"/>
      <c r="E122" s="28"/>
      <c r="J122" s="28"/>
    </row>
    <row r="123" spans="1:10" s="31" customFormat="1" x14ac:dyDescent="0.35">
      <c r="A123" s="28"/>
      <c r="E123" s="28"/>
      <c r="J123" s="28"/>
    </row>
    <row r="124" spans="1:10" s="31" customFormat="1" x14ac:dyDescent="0.35">
      <c r="A124" s="28"/>
      <c r="E124" s="28"/>
      <c r="J124" s="28"/>
    </row>
    <row r="125" spans="1:10" s="31" customFormat="1" x14ac:dyDescent="0.35">
      <c r="A125" s="28"/>
      <c r="E125" s="28"/>
      <c r="J125" s="28"/>
    </row>
    <row r="126" spans="1:10" s="31" customFormat="1" x14ac:dyDescent="0.35">
      <c r="A126" s="28"/>
      <c r="E126" s="28"/>
      <c r="J126" s="28"/>
    </row>
    <row r="127" spans="1:10" s="31" customFormat="1" x14ac:dyDescent="0.35">
      <c r="A127" s="28"/>
      <c r="E127" s="28"/>
      <c r="J127" s="28"/>
    </row>
    <row r="128" spans="1:10" s="31" customFormat="1" x14ac:dyDescent="0.35">
      <c r="A128" s="28"/>
      <c r="E128" s="28"/>
      <c r="J128" s="28"/>
    </row>
    <row r="129" spans="1:41" s="31" customFormat="1" x14ac:dyDescent="0.35">
      <c r="A129" s="28"/>
      <c r="E129" s="28"/>
      <c r="J129" s="28"/>
    </row>
    <row r="130" spans="1:41" s="31" customFormat="1" x14ac:dyDescent="0.35">
      <c r="A130" s="28"/>
      <c r="E130" s="28"/>
      <c r="J130" s="28"/>
    </row>
    <row r="131" spans="1:41" s="31" customFormat="1" x14ac:dyDescent="0.35">
      <c r="A131" s="28"/>
      <c r="E131" s="28"/>
      <c r="J131" s="28"/>
    </row>
    <row r="132" spans="1:41" s="31" customFormat="1" x14ac:dyDescent="0.35">
      <c r="A132" s="28"/>
      <c r="F132" s="25"/>
      <c r="G132" s="25"/>
    </row>
    <row r="133" spans="1:41" s="31" customFormat="1" x14ac:dyDescent="0.35">
      <c r="A133" s="28"/>
      <c r="F133" s="25"/>
      <c r="G133" s="25"/>
    </row>
    <row r="134" spans="1:41" s="31" customFormat="1" x14ac:dyDescent="0.35">
      <c r="A134" s="22"/>
      <c r="F134" s="25"/>
      <c r="G134" s="25"/>
    </row>
    <row r="135" spans="1:41" s="31" customFormat="1" x14ac:dyDescent="0.35"/>
    <row r="136" spans="1:41" x14ac:dyDescent="0.35"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</row>
    <row r="137" spans="1:41" x14ac:dyDescent="0.35"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</row>
    <row r="138" spans="1:41" x14ac:dyDescent="0.35"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</row>
    <row r="139" spans="1:41" x14ac:dyDescent="0.35"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</row>
    <row r="140" spans="1:41" x14ac:dyDescent="0.35"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</row>
    <row r="141" spans="1:41" x14ac:dyDescent="0.35"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</row>
    <row r="142" spans="1:41" x14ac:dyDescent="0.35"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</row>
    <row r="143" spans="1:41" x14ac:dyDescent="0.35"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</row>
    <row r="144" spans="1:41" x14ac:dyDescent="0.35"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U110"/>
  <sheetViews>
    <sheetView zoomScaleNormal="100" workbookViewId="0">
      <selection activeCell="A7" sqref="A7"/>
    </sheetView>
  </sheetViews>
  <sheetFormatPr defaultColWidth="9.1796875" defaultRowHeight="14.5" x14ac:dyDescent="0.35"/>
  <cols>
    <col min="1" max="1" width="10" style="38" customWidth="1"/>
    <col min="2" max="2" width="10.453125" style="38" bestFit="1" customWidth="1"/>
    <col min="3" max="7" width="9.1796875" style="38"/>
    <col min="8" max="8" width="9.54296875" style="38" bestFit="1" customWidth="1"/>
    <col min="9" max="9" width="17.1796875" style="38" bestFit="1" customWidth="1"/>
    <col min="10" max="10" width="16.7265625" style="38" bestFit="1" customWidth="1"/>
    <col min="11" max="11" width="6.7265625" style="38" bestFit="1" customWidth="1"/>
    <col min="12" max="15" width="7.26953125" style="38" bestFit="1" customWidth="1"/>
    <col min="16" max="16" width="8.1796875" style="38" bestFit="1" customWidth="1"/>
    <col min="17" max="26" width="7.26953125" style="38" bestFit="1" customWidth="1"/>
    <col min="27" max="31" width="9.1796875" style="38"/>
    <col min="32" max="41" width="16.54296875" style="38" customWidth="1"/>
    <col min="42" max="42" width="9.1796875" style="38"/>
    <col min="43" max="44" width="9.1796875" style="101"/>
    <col min="45" max="45" width="15.1796875" style="101" customWidth="1"/>
    <col min="46" max="46" width="9.1796875" style="101"/>
    <col min="47" max="47" width="12.26953125" style="38" bestFit="1" customWidth="1"/>
    <col min="48" max="16384" width="9.1796875" style="38"/>
  </cols>
  <sheetData>
    <row r="1" spans="1:47" x14ac:dyDescent="0.35">
      <c r="A1" s="31" t="s">
        <v>46</v>
      </c>
      <c r="B1" s="31"/>
      <c r="C1" s="31"/>
      <c r="D1" s="31"/>
      <c r="E1" s="31"/>
      <c r="F1" s="31"/>
      <c r="G1" s="25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47" x14ac:dyDescent="0.35">
      <c r="A2" s="1"/>
      <c r="B2" s="1"/>
      <c r="C2" s="1"/>
      <c r="D2" s="1"/>
      <c r="E2" s="1"/>
      <c r="F2" s="1"/>
      <c r="G2" s="25"/>
      <c r="H2" s="31"/>
      <c r="I2" s="1"/>
      <c r="J2" s="1"/>
      <c r="K2" s="1"/>
      <c r="L2" s="1"/>
      <c r="M2" s="1"/>
      <c r="N2" s="31"/>
      <c r="O2" s="1"/>
      <c r="P2" s="1"/>
      <c r="Q2" s="1"/>
      <c r="R2" s="1"/>
      <c r="S2" s="1"/>
      <c r="T2" s="1"/>
      <c r="U2" s="1"/>
      <c r="V2" s="1"/>
      <c r="W2" s="1"/>
    </row>
    <row r="3" spans="1:47" x14ac:dyDescent="0.35">
      <c r="A3" s="1" t="s">
        <v>8</v>
      </c>
      <c r="B3" s="1"/>
      <c r="C3" s="1"/>
      <c r="D3" s="1"/>
      <c r="E3" s="1"/>
      <c r="F3" s="1"/>
      <c r="G3" s="2"/>
      <c r="H3" s="1"/>
      <c r="I3" s="1"/>
      <c r="J3" s="1"/>
      <c r="K3" s="1"/>
      <c r="L3" s="1"/>
      <c r="M3" s="1"/>
      <c r="N3" s="31"/>
      <c r="O3" s="1"/>
      <c r="P3" s="1"/>
      <c r="Q3" s="1"/>
      <c r="R3" s="1"/>
      <c r="S3" s="1"/>
      <c r="T3" s="1"/>
      <c r="U3" s="1"/>
      <c r="V3" s="1"/>
      <c r="W3" s="1"/>
    </row>
    <row r="4" spans="1:47" x14ac:dyDescent="0.35">
      <c r="A4" s="31" t="s">
        <v>161</v>
      </c>
      <c r="B4" s="31"/>
      <c r="C4" s="31"/>
      <c r="D4" s="31"/>
      <c r="E4" s="31"/>
      <c r="F4" s="31"/>
      <c r="G4" s="25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47" x14ac:dyDescent="0.35">
      <c r="A5" s="26" t="s">
        <v>358</v>
      </c>
      <c r="B5" s="1"/>
      <c r="C5" s="1"/>
      <c r="D5" s="1"/>
      <c r="E5" s="1"/>
      <c r="F5" s="1"/>
      <c r="G5" s="2"/>
      <c r="H5" s="1"/>
      <c r="I5" s="1"/>
      <c r="J5" s="1"/>
      <c r="K5" s="1"/>
      <c r="L5" s="1"/>
      <c r="M5" s="1"/>
      <c r="N5" s="31"/>
      <c r="O5" s="1"/>
      <c r="P5" s="1"/>
      <c r="Q5" s="1"/>
      <c r="R5" s="1"/>
      <c r="S5" s="1"/>
      <c r="T5" s="1"/>
      <c r="U5" s="1"/>
      <c r="V5" s="1"/>
      <c r="W5" s="1"/>
    </row>
    <row r="6" spans="1:47" x14ac:dyDescent="0.35">
      <c r="AQ6" s="101" t="s">
        <v>254</v>
      </c>
      <c r="AS6" s="101">
        <v>0.64300000000000002</v>
      </c>
      <c r="AT6" s="101" t="s">
        <v>255</v>
      </c>
    </row>
    <row r="7" spans="1:47" s="71" customFormat="1" x14ac:dyDescent="0.35">
      <c r="A7" s="31" t="s">
        <v>370</v>
      </c>
      <c r="B7" s="31"/>
      <c r="C7" s="31"/>
      <c r="D7" s="31"/>
      <c r="E7" s="31"/>
      <c r="F7" s="31"/>
      <c r="G7" s="25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G7" s="89" t="s">
        <v>170</v>
      </c>
    </row>
    <row r="8" spans="1:47" x14ac:dyDescent="0.35">
      <c r="A8" s="1"/>
      <c r="B8" s="1"/>
      <c r="C8" s="1"/>
      <c r="D8" s="1"/>
      <c r="E8" s="1"/>
      <c r="F8" s="1"/>
      <c r="G8" s="2"/>
      <c r="H8" s="1"/>
      <c r="I8" s="1"/>
      <c r="J8" s="1"/>
      <c r="K8" s="1"/>
      <c r="L8" s="1"/>
      <c r="M8" s="1"/>
      <c r="N8" s="3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47" s="68" customFormat="1" x14ac:dyDescent="0.35">
      <c r="A9" s="68" t="s">
        <v>9</v>
      </c>
      <c r="B9" s="68" t="s">
        <v>10</v>
      </c>
      <c r="C9" s="68" t="s">
        <v>11</v>
      </c>
      <c r="D9" s="68" t="s">
        <v>7</v>
      </c>
      <c r="E9" s="68" t="s">
        <v>12</v>
      </c>
      <c r="F9" s="69" t="s">
        <v>13</v>
      </c>
      <c r="G9" s="69" t="s">
        <v>81</v>
      </c>
      <c r="H9" s="68" t="s">
        <v>14</v>
      </c>
      <c r="I9" s="68" t="s">
        <v>15</v>
      </c>
      <c r="J9" s="68" t="s">
        <v>16</v>
      </c>
      <c r="K9" s="68" t="s">
        <v>3</v>
      </c>
      <c r="L9" s="68" t="s">
        <v>31</v>
      </c>
      <c r="M9" s="68" t="s">
        <v>30</v>
      </c>
      <c r="N9" s="68" t="s">
        <v>18</v>
      </c>
      <c r="O9" s="68" t="s">
        <v>17</v>
      </c>
      <c r="P9" s="68" t="s">
        <v>20</v>
      </c>
      <c r="Q9" s="68" t="s">
        <v>19</v>
      </c>
      <c r="R9" s="68" t="s">
        <v>21</v>
      </c>
      <c r="S9" s="68" t="s">
        <v>47</v>
      </c>
      <c r="T9" s="68" t="s">
        <v>24</v>
      </c>
      <c r="U9" s="68" t="s">
        <v>48</v>
      </c>
      <c r="V9" s="68" t="s">
        <v>4</v>
      </c>
      <c r="W9" s="68" t="s">
        <v>22</v>
      </c>
      <c r="X9" s="68" t="s">
        <v>23</v>
      </c>
      <c r="Y9" s="68" t="s">
        <v>25</v>
      </c>
      <c r="Z9" s="68" t="s">
        <v>49</v>
      </c>
      <c r="AA9" s="68" t="s">
        <v>26</v>
      </c>
      <c r="AB9" s="68" t="s">
        <v>123</v>
      </c>
      <c r="AC9" s="68" t="s">
        <v>124</v>
      </c>
      <c r="AD9" s="68" t="s">
        <v>27</v>
      </c>
      <c r="AF9" s="90" t="s">
        <v>171</v>
      </c>
      <c r="AG9" s="90" t="s">
        <v>172</v>
      </c>
      <c r="AH9" s="90" t="s">
        <v>173</v>
      </c>
      <c r="AI9" s="90" t="s">
        <v>174</v>
      </c>
      <c r="AJ9" s="90" t="s">
        <v>175</v>
      </c>
      <c r="AK9" s="90" t="s">
        <v>176</v>
      </c>
      <c r="AL9" s="90" t="s">
        <v>177</v>
      </c>
      <c r="AM9" s="90" t="s">
        <v>178</v>
      </c>
      <c r="AN9" s="90" t="s">
        <v>179</v>
      </c>
      <c r="AO9" s="90" t="s">
        <v>180</v>
      </c>
      <c r="AQ9" s="149" t="s">
        <v>247</v>
      </c>
      <c r="AR9" s="149" t="s">
        <v>248</v>
      </c>
      <c r="AS9" s="149" t="s">
        <v>253</v>
      </c>
      <c r="AT9" s="149" t="s">
        <v>251</v>
      </c>
      <c r="AU9" s="68" t="s">
        <v>245</v>
      </c>
    </row>
    <row r="10" spans="1:47" s="68" customFormat="1" x14ac:dyDescent="0.35">
      <c r="D10" s="68" t="s">
        <v>6</v>
      </c>
      <c r="E10" s="68" t="s">
        <v>6</v>
      </c>
      <c r="F10" s="69"/>
      <c r="G10" s="69"/>
      <c r="I10" s="203" t="s">
        <v>357</v>
      </c>
      <c r="J10" s="68" t="s">
        <v>28</v>
      </c>
      <c r="K10" s="27" t="s">
        <v>352</v>
      </c>
      <c r="L10" s="68" t="s">
        <v>5</v>
      </c>
      <c r="M10" s="68" t="s">
        <v>5</v>
      </c>
      <c r="N10" s="68" t="s">
        <v>5</v>
      </c>
      <c r="O10" s="68" t="s">
        <v>5</v>
      </c>
      <c r="P10" s="68" t="s">
        <v>5</v>
      </c>
      <c r="Q10" s="68" t="s">
        <v>5</v>
      </c>
      <c r="R10" s="68" t="s">
        <v>5</v>
      </c>
      <c r="S10" s="68" t="s">
        <v>5</v>
      </c>
      <c r="T10" s="68" t="s">
        <v>5</v>
      </c>
      <c r="U10" s="68" t="s">
        <v>5</v>
      </c>
      <c r="V10" s="68" t="s">
        <v>5</v>
      </c>
      <c r="W10" s="68" t="s">
        <v>5</v>
      </c>
      <c r="X10" s="68" t="s">
        <v>5</v>
      </c>
      <c r="Y10" s="68" t="s">
        <v>5</v>
      </c>
      <c r="Z10" s="68" t="s">
        <v>5</v>
      </c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Q10" s="149" t="s">
        <v>246</v>
      </c>
      <c r="AR10" s="149" t="s">
        <v>249</v>
      </c>
      <c r="AS10" s="149" t="s">
        <v>252</v>
      </c>
      <c r="AT10" s="149" t="s">
        <v>252</v>
      </c>
      <c r="AU10" s="68" t="s">
        <v>250</v>
      </c>
    </row>
    <row r="11" spans="1:47" s="68" customFormat="1" x14ac:dyDescent="0.35">
      <c r="F11" s="69"/>
      <c r="G11" s="69"/>
      <c r="N11" s="31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Q11" s="149"/>
      <c r="AR11" s="149"/>
      <c r="AS11" s="149"/>
      <c r="AT11" s="149"/>
    </row>
    <row r="12" spans="1:47" s="68" customFormat="1" x14ac:dyDescent="0.35">
      <c r="A12" s="68" t="s">
        <v>54</v>
      </c>
      <c r="F12" s="69"/>
      <c r="G12" s="69"/>
      <c r="H12" s="69">
        <v>7.4</v>
      </c>
      <c r="I12" s="165">
        <f>'Influent Results Master'!D33</f>
        <v>1518.6666666666667</v>
      </c>
      <c r="J12" s="70">
        <f>'Influent Results Master'!F33</f>
        <v>272</v>
      </c>
      <c r="K12" s="70">
        <f>'Influent Results Master'!G33</f>
        <v>214.7777777777778</v>
      </c>
      <c r="L12" s="70">
        <f>'Influent Results Master'!H33</f>
        <v>32.000000000000007</v>
      </c>
      <c r="M12" s="70">
        <f>'Influent Results Master'!I33</f>
        <v>25.222222222222225</v>
      </c>
      <c r="N12" s="70">
        <f>'Influent Results Master'!J33</f>
        <v>534.88888888888891</v>
      </c>
      <c r="O12" s="70">
        <f>'Influent Results Master'!K33</f>
        <v>23.444444444444443</v>
      </c>
      <c r="P12" s="70">
        <f>'Influent Results Master'!L33</f>
        <v>120.68888888888888</v>
      </c>
      <c r="Q12" s="70">
        <f>'Influent Results Master'!M33</f>
        <v>45.616666666666667</v>
      </c>
      <c r="R12" s="70">
        <f>'Influent Results Master'!N33</f>
        <v>192.36666666666667</v>
      </c>
      <c r="S12" s="70">
        <f>'Influent Results Master'!O33</f>
        <v>24.27333333333333</v>
      </c>
      <c r="T12" s="15">
        <f>'Influent Results Master'!P33</f>
        <v>5.9746666666666668</v>
      </c>
      <c r="U12" s="171">
        <f>'Influent Results Master'!Q33</f>
        <v>0.20000000000000004</v>
      </c>
      <c r="V12" s="30">
        <f>'Influent Results Master'!R33</f>
        <v>3.7333333333333329E-2</v>
      </c>
      <c r="W12" s="80">
        <f>'Influent Results Master'!S33</f>
        <v>0.02</v>
      </c>
      <c r="X12" s="30">
        <f>'Influent Results Master'!T33</f>
        <v>3.1111111111111114E-2</v>
      </c>
      <c r="Y12" s="80">
        <f>'Influent Results Master'!U33</f>
        <v>0.04</v>
      </c>
      <c r="Z12" s="66">
        <f>'Influent Results Master'!V33</f>
        <v>1.1833333333333333</v>
      </c>
      <c r="AB12" s="69">
        <f>((J12/50)+(L12/35.45)+(M12/62)+(N12/48.03))</f>
        <v>17.886048036252305</v>
      </c>
      <c r="AC12" s="69">
        <f>((P12/20.04)+(Q12/12.16)+(R12/22.99)+(T12/39.1))</f>
        <v>18.293981151875062</v>
      </c>
      <c r="AD12" s="69">
        <f>ABS((AB12-AC12)/(AB12+AC12)*100)</f>
        <v>1.1275090838141792</v>
      </c>
      <c r="AF12" s="90">
        <v>7.4</v>
      </c>
      <c r="AG12" s="90">
        <v>-0.55641300000000005</v>
      </c>
      <c r="AH12" s="90">
        <v>0.2016</v>
      </c>
      <c r="AI12" s="90">
        <v>-0.92290000000000005</v>
      </c>
      <c r="AJ12" s="90">
        <v>-1.1725000000000001</v>
      </c>
      <c r="AK12" s="90">
        <v>-2.0131000000000001</v>
      </c>
      <c r="AL12" s="90">
        <v>-0.19289999999999999</v>
      </c>
      <c r="AM12" s="90">
        <v>-1.4414</v>
      </c>
      <c r="AN12" s="90">
        <v>-1.6898</v>
      </c>
      <c r="AO12" s="90">
        <v>-0.99450000000000005</v>
      </c>
      <c r="AQ12" s="50">
        <f>K12/1000</f>
        <v>0.21477777777777779</v>
      </c>
      <c r="AR12" s="50">
        <f>(1.04-0.36)</f>
        <v>0.68</v>
      </c>
      <c r="AS12" s="50"/>
      <c r="AT12" s="50">
        <f>AS6*AR12</f>
        <v>0.43724000000000002</v>
      </c>
      <c r="AU12" s="50">
        <f>AR12/AQ12</f>
        <v>3.1660631143300568</v>
      </c>
    </row>
    <row r="13" spans="1:47" s="68" customFormat="1" x14ac:dyDescent="0.35">
      <c r="F13" s="69"/>
      <c r="G13" s="69"/>
      <c r="M13" s="65"/>
      <c r="N13" s="27"/>
      <c r="O13" s="65"/>
      <c r="P13" s="65"/>
      <c r="Q13" s="65"/>
      <c r="R13" s="67"/>
      <c r="S13" s="67"/>
      <c r="T13" s="67"/>
      <c r="U13" s="67"/>
      <c r="V13" s="65"/>
      <c r="W13" s="66"/>
      <c r="X13" s="67"/>
      <c r="Y13" s="65"/>
      <c r="AB13" s="69"/>
      <c r="AC13" s="69"/>
      <c r="AD13" s="69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Q13" s="50"/>
      <c r="AR13" s="50"/>
      <c r="AS13" s="50"/>
      <c r="AT13" s="50"/>
      <c r="AU13" s="50"/>
    </row>
    <row r="14" spans="1:47" s="68" customFormat="1" x14ac:dyDescent="0.35">
      <c r="A14" s="68">
        <v>7</v>
      </c>
      <c r="B14" s="10">
        <v>43523</v>
      </c>
      <c r="C14" s="68">
        <v>1</v>
      </c>
      <c r="D14" s="68">
        <v>104</v>
      </c>
      <c r="E14" s="68">
        <v>104</v>
      </c>
      <c r="F14" s="69">
        <f>D14/104</f>
        <v>1</v>
      </c>
      <c r="G14" s="69">
        <v>1</v>
      </c>
      <c r="H14" s="31">
        <v>7.87</v>
      </c>
      <c r="I14" s="31">
        <v>3910</v>
      </c>
      <c r="J14" s="31">
        <v>298</v>
      </c>
      <c r="K14" s="31">
        <v>666</v>
      </c>
      <c r="L14" s="31">
        <v>79</v>
      </c>
      <c r="M14" s="27">
        <v>13</v>
      </c>
      <c r="N14" s="191">
        <v>2487</v>
      </c>
      <c r="O14" s="31">
        <v>74</v>
      </c>
      <c r="P14" s="21">
        <v>408.7</v>
      </c>
      <c r="Q14" s="21">
        <v>131.1</v>
      </c>
      <c r="R14" s="21">
        <v>559.1</v>
      </c>
      <c r="S14" s="21">
        <v>20.82</v>
      </c>
      <c r="T14" s="21">
        <v>26.69</v>
      </c>
      <c r="U14" s="11">
        <v>0.496</v>
      </c>
      <c r="V14" s="11">
        <v>0.46100000000000002</v>
      </c>
      <c r="W14" s="81">
        <v>0.02</v>
      </c>
      <c r="X14" s="18">
        <v>1.2130000000000001</v>
      </c>
      <c r="Y14" s="81">
        <v>0.04</v>
      </c>
      <c r="Z14" s="18">
        <v>3.6930000000000001</v>
      </c>
      <c r="AA14" s="31"/>
      <c r="AB14" s="69">
        <f t="shared" ref="AB14:AB20" si="0">((J14/50)+(L14/35.45)+(M14/62)+(N14/48.03))</f>
        <v>60.178305665628983</v>
      </c>
      <c r="AC14" s="69">
        <f t="shared" ref="AC14:AC60" si="1">((P14/20.04)+(Q14/12.16)+(R14/22.99)+(T14/39.1))</f>
        <v>56.177339519997396</v>
      </c>
      <c r="AD14" s="69">
        <f t="shared" ref="AD14:AD60" si="2">ABS((AB14-AC14)/(AB14+AC14)*100)</f>
        <v>3.4385664221522734</v>
      </c>
      <c r="AF14" s="90">
        <v>7.87</v>
      </c>
      <c r="AG14" s="90">
        <v>-4.7143899999999999</v>
      </c>
      <c r="AH14" s="90">
        <v>0.94569999999999999</v>
      </c>
      <c r="AI14" s="90">
        <v>-0.13020000000000001</v>
      </c>
      <c r="AJ14" s="90">
        <v>-0.37919999999999998</v>
      </c>
      <c r="AK14" s="90">
        <v>-2.5015000000000001</v>
      </c>
      <c r="AL14" s="90">
        <v>1.2383999999999999</v>
      </c>
      <c r="AM14" s="90">
        <v>0.31559999999999999</v>
      </c>
      <c r="AN14" s="90">
        <v>-0.38140000000000002</v>
      </c>
      <c r="AO14" s="90">
        <v>-0.30730000000000002</v>
      </c>
      <c r="AQ14" s="50">
        <f>K14/1000</f>
        <v>0.66600000000000004</v>
      </c>
      <c r="AR14" s="50">
        <f>AT14/($AS$6)</f>
        <v>0.60701848971833428</v>
      </c>
      <c r="AS14" s="50">
        <f>(AQ14-$AQ$12)*0.104</f>
        <v>4.6927111111111114E-2</v>
      </c>
      <c r="AT14" s="50">
        <f>AT12-AS14</f>
        <v>0.39031288888888893</v>
      </c>
      <c r="AU14" s="50">
        <f>AR14/AQ14</f>
        <v>0.91143917375125261</v>
      </c>
    </row>
    <row r="15" spans="1:47" s="68" customFormat="1" x14ac:dyDescent="0.35">
      <c r="A15" s="68">
        <v>7</v>
      </c>
      <c r="B15" s="10"/>
      <c r="C15" s="31">
        <v>2</v>
      </c>
      <c r="D15" s="31">
        <v>104</v>
      </c>
      <c r="E15" s="31">
        <f>E14+D15</f>
        <v>208</v>
      </c>
      <c r="F15" s="69">
        <f t="shared" ref="F15:F60" si="3">D15/104</f>
        <v>1</v>
      </c>
      <c r="G15" s="25">
        <f>G14+F15</f>
        <v>2</v>
      </c>
      <c r="H15" s="25">
        <v>7.97</v>
      </c>
      <c r="I15" s="31">
        <v>2070</v>
      </c>
      <c r="J15" s="31">
        <v>286</v>
      </c>
      <c r="K15" s="31">
        <v>460</v>
      </c>
      <c r="L15" s="31">
        <v>38</v>
      </c>
      <c r="M15" s="27">
        <v>16</v>
      </c>
      <c r="N15" s="31">
        <v>950</v>
      </c>
      <c r="O15" s="31">
        <v>29</v>
      </c>
      <c r="P15" s="21">
        <v>209.9</v>
      </c>
      <c r="Q15" s="21">
        <v>55.3</v>
      </c>
      <c r="R15" s="21">
        <v>213.5</v>
      </c>
      <c r="S15" s="21">
        <v>19.420000000000002</v>
      </c>
      <c r="T15" s="21">
        <v>16.21</v>
      </c>
      <c r="U15" s="171">
        <v>0.2</v>
      </c>
      <c r="V15" s="11">
        <v>0.20699999999999999</v>
      </c>
      <c r="W15" s="81">
        <v>0.02</v>
      </c>
      <c r="X15" s="11">
        <v>0.58099999999999996</v>
      </c>
      <c r="Y15" s="81">
        <v>0.04</v>
      </c>
      <c r="Z15" s="18">
        <v>1.8520000000000001</v>
      </c>
      <c r="AA15" s="31"/>
      <c r="AB15" s="69">
        <f t="shared" si="0"/>
        <v>26.829301416432585</v>
      </c>
      <c r="AC15" s="69">
        <f t="shared" si="1"/>
        <v>24.722973637729808</v>
      </c>
      <c r="AD15" s="69">
        <f t="shared" si="2"/>
        <v>4.0858095525169453</v>
      </c>
      <c r="AF15" s="90">
        <v>7.97</v>
      </c>
      <c r="AG15" s="90">
        <v>-6.1086600000000004</v>
      </c>
      <c r="AH15" s="90">
        <v>0.93130000000000002</v>
      </c>
      <c r="AI15" s="90">
        <v>-0.56110000000000004</v>
      </c>
      <c r="AJ15" s="90">
        <v>-0.81059999999999999</v>
      </c>
      <c r="AK15" s="90">
        <v>-2.5886</v>
      </c>
      <c r="AL15" s="90">
        <v>1.1161000000000001</v>
      </c>
      <c r="AM15" s="90">
        <v>0.30940000000000001</v>
      </c>
      <c r="AN15" s="90">
        <v>-0.76539999999999997</v>
      </c>
      <c r="AO15" s="90">
        <v>-0.41520000000000001</v>
      </c>
      <c r="AQ15" s="50">
        <f t="shared" ref="AQ15:AQ20" si="4">K15/1000</f>
        <v>0.46</v>
      </c>
      <c r="AR15" s="50">
        <f t="shared" ref="AR15:AR20" si="5">AT15/($AS$6)</f>
        <v>0.56735579747710396</v>
      </c>
      <c r="AS15" s="50">
        <f t="shared" ref="AS15:AS20" si="6">(AQ15-$AQ$12)*0.104</f>
        <v>2.5503111111111112E-2</v>
      </c>
      <c r="AT15" s="50">
        <f>AT14-AS15</f>
        <v>0.36480977777777784</v>
      </c>
      <c r="AU15" s="50">
        <f t="shared" ref="AU15:AU20" si="7">AR15/AQ15</f>
        <v>1.2333821684284869</v>
      </c>
    </row>
    <row r="16" spans="1:47" s="68" customFormat="1" x14ac:dyDescent="0.35">
      <c r="A16" s="68">
        <v>7</v>
      </c>
      <c r="B16" s="10"/>
      <c r="C16" s="68">
        <v>3</v>
      </c>
      <c r="D16" s="68">
        <v>104</v>
      </c>
      <c r="E16" s="31">
        <f t="shared" ref="E16:E19" si="8">E15+D16</f>
        <v>312</v>
      </c>
      <c r="F16" s="69">
        <f t="shared" si="3"/>
        <v>1</v>
      </c>
      <c r="G16" s="25">
        <f t="shared" ref="G16:G19" si="9">G15+F16</f>
        <v>3</v>
      </c>
      <c r="H16" s="31">
        <v>8.07</v>
      </c>
      <c r="I16" s="31">
        <v>1618</v>
      </c>
      <c r="J16" s="31">
        <v>280</v>
      </c>
      <c r="K16" s="27">
        <v>351</v>
      </c>
      <c r="L16" s="27">
        <v>36</v>
      </c>
      <c r="M16" s="27">
        <v>16</v>
      </c>
      <c r="N16" s="31">
        <v>616</v>
      </c>
      <c r="O16" s="31">
        <v>24</v>
      </c>
      <c r="P16" s="21">
        <v>143.5</v>
      </c>
      <c r="Q16" s="21">
        <v>35.89</v>
      </c>
      <c r="R16" s="21">
        <v>169.5</v>
      </c>
      <c r="S16" s="21">
        <v>18.71</v>
      </c>
      <c r="T16" s="21">
        <v>13.9</v>
      </c>
      <c r="U16" s="171">
        <v>0.2</v>
      </c>
      <c r="V16" s="11">
        <v>0.114</v>
      </c>
      <c r="W16" s="81">
        <v>0.02</v>
      </c>
      <c r="X16" s="11">
        <v>0.39500000000000002</v>
      </c>
      <c r="Y16" s="81">
        <v>0.04</v>
      </c>
      <c r="Z16" s="18">
        <v>1.347</v>
      </c>
      <c r="AA16" s="31"/>
      <c r="AB16" s="69">
        <f t="shared" si="0"/>
        <v>19.698896835609659</v>
      </c>
      <c r="AC16" s="69">
        <f t="shared" si="1"/>
        <v>17.840428397000046</v>
      </c>
      <c r="AD16" s="69">
        <f t="shared" si="2"/>
        <v>4.9507241461953511</v>
      </c>
      <c r="AF16" s="90">
        <v>8.07</v>
      </c>
      <c r="AG16" s="90">
        <v>-7.1453199999999999</v>
      </c>
      <c r="AH16" s="90">
        <v>0.92700000000000005</v>
      </c>
      <c r="AI16" s="90">
        <v>-0.80469999999999997</v>
      </c>
      <c r="AJ16" s="90">
        <v>-1.0543</v>
      </c>
      <c r="AK16" s="90">
        <v>-2.6869999999999998</v>
      </c>
      <c r="AL16" s="90">
        <v>1.0819000000000001</v>
      </c>
      <c r="AM16" s="90">
        <v>0.31830000000000003</v>
      </c>
      <c r="AN16" s="90">
        <v>-1.0971</v>
      </c>
      <c r="AO16" s="90">
        <v>-0.4451</v>
      </c>
      <c r="AQ16" s="50">
        <f t="shared" si="4"/>
        <v>0.35099999999999998</v>
      </c>
      <c r="AR16" s="50">
        <f t="shared" si="5"/>
        <v>0.54532296526697777</v>
      </c>
      <c r="AS16" s="50">
        <f t="shared" si="6"/>
        <v>1.4167111111111108E-2</v>
      </c>
      <c r="AT16" s="50">
        <f t="shared" ref="AT16:AT20" si="10">AT15-AS16</f>
        <v>0.35064266666666671</v>
      </c>
      <c r="AU16" s="50">
        <f t="shared" si="7"/>
        <v>1.5536266816723014</v>
      </c>
    </row>
    <row r="17" spans="1:47" s="68" customFormat="1" x14ac:dyDescent="0.35">
      <c r="A17" s="68">
        <v>7</v>
      </c>
      <c r="B17" s="10"/>
      <c r="C17" s="68">
        <v>4</v>
      </c>
      <c r="D17" s="31">
        <v>104</v>
      </c>
      <c r="E17" s="31">
        <f t="shared" si="8"/>
        <v>416</v>
      </c>
      <c r="F17" s="69">
        <f t="shared" si="3"/>
        <v>1</v>
      </c>
      <c r="G17" s="25">
        <f t="shared" si="9"/>
        <v>4</v>
      </c>
      <c r="H17" s="31">
        <v>8.07</v>
      </c>
      <c r="I17" s="31">
        <v>1555</v>
      </c>
      <c r="J17" s="31">
        <v>280</v>
      </c>
      <c r="K17" s="27">
        <v>323</v>
      </c>
      <c r="L17" s="27">
        <v>36</v>
      </c>
      <c r="M17" s="27">
        <v>19</v>
      </c>
      <c r="N17" s="31">
        <v>572</v>
      </c>
      <c r="O17" s="31">
        <v>23</v>
      </c>
      <c r="P17" s="21">
        <v>131.69999999999999</v>
      </c>
      <c r="Q17" s="21">
        <v>33.11</v>
      </c>
      <c r="R17" s="21">
        <v>172.1</v>
      </c>
      <c r="S17" s="21">
        <v>18.600000000000001</v>
      </c>
      <c r="T17" s="21">
        <v>13.31</v>
      </c>
      <c r="U17" s="171">
        <v>0.2</v>
      </c>
      <c r="V17" s="33">
        <v>0.08</v>
      </c>
      <c r="W17" s="81">
        <v>0.02</v>
      </c>
      <c r="X17" s="11">
        <v>0.36499999999999999</v>
      </c>
      <c r="Y17" s="81">
        <v>0.04</v>
      </c>
      <c r="Z17" s="18">
        <v>1.238</v>
      </c>
      <c r="AA17" s="31"/>
      <c r="AB17" s="69">
        <f t="shared" si="0"/>
        <v>18.83118982453459</v>
      </c>
      <c r="AC17" s="69">
        <f t="shared" si="1"/>
        <v>17.120990755569313</v>
      </c>
      <c r="AD17" s="69">
        <f t="shared" si="2"/>
        <v>4.756871603809504</v>
      </c>
      <c r="AF17" s="90">
        <v>8.07</v>
      </c>
      <c r="AG17" s="90">
        <v>-7.1939399999999996</v>
      </c>
      <c r="AH17" s="90">
        <v>0.90100000000000002</v>
      </c>
      <c r="AI17" s="90">
        <v>-0.8569</v>
      </c>
      <c r="AJ17" s="90">
        <v>-1.1065</v>
      </c>
      <c r="AK17" s="90">
        <v>-2.6844999999999999</v>
      </c>
      <c r="AL17" s="90">
        <v>1.0317000000000001</v>
      </c>
      <c r="AM17" s="90">
        <v>0.29649999999999999</v>
      </c>
      <c r="AN17" s="90">
        <v>-1.2749999999999999</v>
      </c>
      <c r="AO17" s="90">
        <v>-0.46939999999999998</v>
      </c>
      <c r="AQ17" s="50">
        <f t="shared" si="4"/>
        <v>0.32300000000000001</v>
      </c>
      <c r="AR17" s="50">
        <f t="shared" si="5"/>
        <v>0.52781890444098845</v>
      </c>
      <c r="AS17" s="50">
        <f t="shared" si="6"/>
        <v>1.125511111111111E-2</v>
      </c>
      <c r="AT17" s="50">
        <f t="shared" si="10"/>
        <v>0.33938755555555561</v>
      </c>
      <c r="AU17" s="50">
        <f t="shared" si="7"/>
        <v>1.6341142552352583</v>
      </c>
    </row>
    <row r="18" spans="1:47" s="68" customFormat="1" x14ac:dyDescent="0.35">
      <c r="A18" s="68">
        <v>7</v>
      </c>
      <c r="B18" s="10"/>
      <c r="C18" s="68">
        <v>5</v>
      </c>
      <c r="D18" s="68">
        <v>104</v>
      </c>
      <c r="E18" s="31">
        <f t="shared" si="8"/>
        <v>520</v>
      </c>
      <c r="F18" s="69">
        <f t="shared" si="3"/>
        <v>1</v>
      </c>
      <c r="G18" s="25">
        <f t="shared" si="9"/>
        <v>5</v>
      </c>
      <c r="H18" s="31">
        <v>8.0500000000000007</v>
      </c>
      <c r="I18" s="31">
        <v>1543</v>
      </c>
      <c r="J18" s="31">
        <v>277</v>
      </c>
      <c r="K18" s="27">
        <v>305</v>
      </c>
      <c r="L18" s="27">
        <v>36</v>
      </c>
      <c r="M18" s="27">
        <v>21</v>
      </c>
      <c r="N18" s="31">
        <v>562</v>
      </c>
      <c r="O18" s="31">
        <v>24</v>
      </c>
      <c r="P18" s="21">
        <v>127.9</v>
      </c>
      <c r="Q18" s="21">
        <v>32.08</v>
      </c>
      <c r="R18" s="21">
        <v>172.4</v>
      </c>
      <c r="S18" s="21">
        <v>18.87</v>
      </c>
      <c r="T18" s="21">
        <v>13.44</v>
      </c>
      <c r="U18" s="171">
        <v>0.2</v>
      </c>
      <c r="V18" s="33">
        <v>6.8000000000000005E-2</v>
      </c>
      <c r="W18" s="81">
        <v>0.02</v>
      </c>
      <c r="X18" s="11">
        <v>0.36099999999999999</v>
      </c>
      <c r="Y18" s="81">
        <v>0.04</v>
      </c>
      <c r="Z18" s="18">
        <v>1.256</v>
      </c>
      <c r="AA18" s="31"/>
      <c r="AB18" s="69">
        <f t="shared" si="0"/>
        <v>18.595244682721344</v>
      </c>
      <c r="AC18" s="69">
        <f t="shared" si="1"/>
        <v>16.863040009707134</v>
      </c>
      <c r="AD18" s="69">
        <f t="shared" si="2"/>
        <v>4.8851902680562898</v>
      </c>
      <c r="AF18" s="90">
        <v>8.0500000000000007</v>
      </c>
      <c r="AG18" s="90">
        <v>-7.4854500000000002</v>
      </c>
      <c r="AH18" s="90">
        <v>0.86770000000000003</v>
      </c>
      <c r="AI18" s="90">
        <v>-0.872</v>
      </c>
      <c r="AJ18" s="90">
        <v>-1.1215999999999999</v>
      </c>
      <c r="AK18" s="90">
        <v>-2.6675</v>
      </c>
      <c r="AL18" s="90">
        <v>0.9637</v>
      </c>
      <c r="AM18" s="90">
        <v>0.26400000000000001</v>
      </c>
      <c r="AN18" s="90">
        <v>-1.3547</v>
      </c>
      <c r="AO18" s="90">
        <v>-0.50390000000000001</v>
      </c>
      <c r="AQ18" s="50">
        <f t="shared" si="4"/>
        <v>0.30499999999999999</v>
      </c>
      <c r="AR18" s="50">
        <f t="shared" si="5"/>
        <v>0.51322619664765856</v>
      </c>
      <c r="AS18" s="50">
        <f t="shared" si="6"/>
        <v>9.3831111111111094E-3</v>
      </c>
      <c r="AT18" s="50">
        <f t="shared" si="10"/>
        <v>0.33000444444444449</v>
      </c>
      <c r="AU18" s="50">
        <f t="shared" si="7"/>
        <v>1.6827088414677329</v>
      </c>
    </row>
    <row r="19" spans="1:47" s="68" customFormat="1" x14ac:dyDescent="0.35">
      <c r="A19" s="68">
        <v>7</v>
      </c>
      <c r="B19" s="10"/>
      <c r="C19" s="68">
        <v>6</v>
      </c>
      <c r="D19" s="31">
        <v>104</v>
      </c>
      <c r="E19" s="31">
        <f t="shared" si="8"/>
        <v>624</v>
      </c>
      <c r="F19" s="69">
        <f t="shared" si="3"/>
        <v>1</v>
      </c>
      <c r="G19" s="25">
        <f t="shared" si="9"/>
        <v>6</v>
      </c>
      <c r="H19" s="25">
        <v>8</v>
      </c>
      <c r="I19" s="31">
        <v>1533</v>
      </c>
      <c r="J19" s="31">
        <v>277</v>
      </c>
      <c r="K19" s="27">
        <v>288</v>
      </c>
      <c r="L19" s="27">
        <v>36</v>
      </c>
      <c r="M19" s="27">
        <v>23</v>
      </c>
      <c r="N19" s="31">
        <v>557</v>
      </c>
      <c r="O19" s="31">
        <v>22</v>
      </c>
      <c r="P19" s="21">
        <v>123.9</v>
      </c>
      <c r="Q19" s="21">
        <v>31.27</v>
      </c>
      <c r="R19" s="21">
        <v>170.2</v>
      </c>
      <c r="S19" s="21">
        <v>18.71</v>
      </c>
      <c r="T19" s="21">
        <v>13.24</v>
      </c>
      <c r="U19" s="171">
        <v>0.2</v>
      </c>
      <c r="V19" s="161">
        <v>0.06</v>
      </c>
      <c r="W19" s="81">
        <v>0.02</v>
      </c>
      <c r="X19" s="11">
        <v>0.34699999999999998</v>
      </c>
      <c r="Y19" s="81">
        <v>0.04</v>
      </c>
      <c r="Z19" s="6">
        <v>1.2110000000000001</v>
      </c>
      <c r="AA19" s="31"/>
      <c r="AB19" s="69">
        <f t="shared" si="0"/>
        <v>18.523401144072782</v>
      </c>
      <c r="AC19" s="69">
        <f t="shared" si="1"/>
        <v>16.496018499780302</v>
      </c>
      <c r="AD19" s="69">
        <f t="shared" si="2"/>
        <v>5.7893096599284846</v>
      </c>
      <c r="AF19" s="90">
        <v>8</v>
      </c>
      <c r="AG19" s="90">
        <v>-8.6276100000000007</v>
      </c>
      <c r="AH19" s="90">
        <v>0.80800000000000005</v>
      </c>
      <c r="AI19" s="90">
        <v>-0.88519999999999999</v>
      </c>
      <c r="AJ19" s="90">
        <v>-1.1349</v>
      </c>
      <c r="AK19" s="90">
        <v>-2.6149</v>
      </c>
      <c r="AL19" s="90">
        <v>0.8468</v>
      </c>
      <c r="AM19" s="90">
        <v>0.2059</v>
      </c>
      <c r="AN19" s="90">
        <v>-1.1984999999999999</v>
      </c>
      <c r="AO19" s="90">
        <v>-0.56110000000000004</v>
      </c>
      <c r="AQ19" s="50">
        <f t="shared" si="4"/>
        <v>0.28799999999999998</v>
      </c>
      <c r="AR19" s="50">
        <f t="shared" si="5"/>
        <v>0.50138310005184039</v>
      </c>
      <c r="AS19" s="50">
        <f t="shared" si="6"/>
        <v>7.6151111111111072E-3</v>
      </c>
      <c r="AT19" s="50">
        <f t="shared" si="10"/>
        <v>0.32238933333333336</v>
      </c>
      <c r="AU19" s="50">
        <f t="shared" si="7"/>
        <v>1.7409135418466681</v>
      </c>
    </row>
    <row r="20" spans="1:47" s="68" customFormat="1" x14ac:dyDescent="0.35">
      <c r="A20" s="68">
        <v>7</v>
      </c>
      <c r="B20" s="10">
        <v>43524</v>
      </c>
      <c r="C20" s="68">
        <v>7</v>
      </c>
      <c r="D20" s="68">
        <v>104</v>
      </c>
      <c r="E20" s="31">
        <f>E19+D20</f>
        <v>728</v>
      </c>
      <c r="F20" s="69">
        <f t="shared" si="3"/>
        <v>1</v>
      </c>
      <c r="G20" s="25">
        <f>G19+F20</f>
        <v>7</v>
      </c>
      <c r="H20" s="31">
        <v>7.9</v>
      </c>
      <c r="I20" s="31">
        <v>1490</v>
      </c>
      <c r="J20" s="31">
        <v>272</v>
      </c>
      <c r="K20" s="27">
        <v>253</v>
      </c>
      <c r="L20" s="31">
        <v>34</v>
      </c>
      <c r="M20" s="27">
        <v>23</v>
      </c>
      <c r="N20" s="31">
        <v>538</v>
      </c>
      <c r="O20" s="31">
        <v>24</v>
      </c>
      <c r="P20" s="21">
        <v>117.2</v>
      </c>
      <c r="Q20" s="21">
        <v>30.04</v>
      </c>
      <c r="R20" s="21">
        <v>170.7</v>
      </c>
      <c r="S20" s="21">
        <v>18.559999999999999</v>
      </c>
      <c r="T20" s="21">
        <v>13.01</v>
      </c>
      <c r="U20" s="171">
        <v>0.2</v>
      </c>
      <c r="V20" s="65">
        <v>5.2999999999999999E-2</v>
      </c>
      <c r="W20" s="81">
        <v>0.02</v>
      </c>
      <c r="X20" s="174">
        <v>0.33700000000000002</v>
      </c>
      <c r="Y20" s="81">
        <v>0.04</v>
      </c>
      <c r="Z20" s="172">
        <v>1.167</v>
      </c>
      <c r="AA20" s="31"/>
      <c r="AB20" s="69">
        <f t="shared" si="0"/>
        <v>17.971397562625246</v>
      </c>
      <c r="AC20" s="69">
        <f t="shared" si="1"/>
        <v>16.076402080066192</v>
      </c>
      <c r="AD20" s="69">
        <f t="shared" si="2"/>
        <v>5.565691476235604</v>
      </c>
      <c r="AF20" s="90">
        <v>7.9</v>
      </c>
      <c r="AG20" s="90">
        <v>-8.4410100000000003</v>
      </c>
      <c r="AH20" s="90">
        <v>0.68579999999999997</v>
      </c>
      <c r="AI20" s="90">
        <v>-0.91390000000000005</v>
      </c>
      <c r="AJ20" s="90">
        <v>-1.1636</v>
      </c>
      <c r="AK20" s="90">
        <v>-2.5183</v>
      </c>
      <c r="AL20" s="90">
        <v>0.60850000000000004</v>
      </c>
      <c r="AM20" s="90">
        <v>9.1200000000000003E-2</v>
      </c>
      <c r="AN20" s="90">
        <v>-1.4902</v>
      </c>
      <c r="AO20" s="90">
        <v>-0.67730000000000001</v>
      </c>
      <c r="AQ20" s="50">
        <f t="shared" si="4"/>
        <v>0.253</v>
      </c>
      <c r="AR20" s="50">
        <f t="shared" si="5"/>
        <v>0.49520096768619326</v>
      </c>
      <c r="AS20" s="50">
        <f t="shared" si="6"/>
        <v>3.9751111111111098E-3</v>
      </c>
      <c r="AT20" s="50">
        <f t="shared" si="10"/>
        <v>0.31841422222222227</v>
      </c>
      <c r="AU20" s="50">
        <f t="shared" si="7"/>
        <v>1.9573160778110406</v>
      </c>
    </row>
    <row r="21" spans="1:47" s="68" customFormat="1" x14ac:dyDescent="0.35">
      <c r="B21" s="10"/>
      <c r="E21" s="31"/>
      <c r="F21" s="69"/>
      <c r="G21" s="25"/>
      <c r="K21" s="27"/>
      <c r="L21" s="27"/>
      <c r="N21" s="31"/>
      <c r="R21" s="13"/>
      <c r="S21" s="13"/>
      <c r="T21" s="13"/>
      <c r="U21" s="11"/>
      <c r="V21" s="15"/>
      <c r="W21" s="70"/>
      <c r="X21" s="16"/>
      <c r="AB21" s="69"/>
      <c r="AC21" s="69"/>
      <c r="AD21" s="69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Q21" s="50"/>
      <c r="AR21" s="50"/>
      <c r="AS21" s="50"/>
      <c r="AT21" s="50"/>
      <c r="AU21" s="50"/>
    </row>
    <row r="22" spans="1:47" s="68" customFormat="1" x14ac:dyDescent="0.35">
      <c r="A22" s="68" t="s">
        <v>55</v>
      </c>
      <c r="F22" s="69"/>
      <c r="G22" s="69"/>
      <c r="H22" s="69" t="s">
        <v>266</v>
      </c>
      <c r="I22" s="165">
        <f>'Influent Results Master'!D37</f>
        <v>792.8888888888888</v>
      </c>
      <c r="J22" s="70">
        <f>'Influent Results Master'!F37</f>
        <v>161.7777777777778</v>
      </c>
      <c r="K22" s="15">
        <f>'Influent Results Master'!G37</f>
        <v>7.1555555555555559</v>
      </c>
      <c r="L22" s="70">
        <f>'Influent Results Master'!H37</f>
        <v>11.777777777777779</v>
      </c>
      <c r="M22" s="15">
        <f>'Influent Results Master'!I37</f>
        <v>4.7</v>
      </c>
      <c r="N22" s="70">
        <f>'Influent Results Master'!J37</f>
        <v>323.22222222222223</v>
      </c>
      <c r="O22" s="70">
        <f>'Influent Results Master'!K37</f>
        <v>17.333333333333332</v>
      </c>
      <c r="P22" s="70">
        <f>'Influent Results Master'!L37</f>
        <v>110.73333333333333</v>
      </c>
      <c r="Q22" s="70">
        <f>'Influent Results Master'!M37</f>
        <v>36.826666666666675</v>
      </c>
      <c r="R22" s="70">
        <f>'Influent Results Master'!N37</f>
        <v>60.793333333333329</v>
      </c>
      <c r="S22" s="70">
        <f>'Influent Results Master'!O37</f>
        <v>12.273333333333333</v>
      </c>
      <c r="T22" s="15">
        <f>'Influent Results Master'!P37</f>
        <v>3.2865555555555557</v>
      </c>
      <c r="U22" s="171">
        <f>'Influent Results Master'!Q37</f>
        <v>0.20000000000000004</v>
      </c>
      <c r="V22" s="80">
        <f>'Influent Results Master'!R37</f>
        <v>0.02</v>
      </c>
      <c r="W22" s="80">
        <f>'Influent Results Master'!S37</f>
        <v>0.02</v>
      </c>
      <c r="X22" s="50">
        <f>'Influent Results Master'!T37</f>
        <v>4.3000000000000003E-2</v>
      </c>
      <c r="Y22" s="80">
        <f>'Influent Results Master'!U37</f>
        <v>0.04</v>
      </c>
      <c r="Z22" s="15">
        <f>'Influent Results Master'!V37</f>
        <v>1.2584444444444445</v>
      </c>
      <c r="AB22" s="69">
        <f>((J22/50)+(L22/35.45)+(M22/62)+(N22/48.03))</f>
        <v>10.373188636120361</v>
      </c>
      <c r="AC22" s="69">
        <f t="shared" si="1"/>
        <v>11.282517455045328</v>
      </c>
      <c r="AD22" s="69">
        <f t="shared" si="2"/>
        <v>4.1990264140864122</v>
      </c>
      <c r="AF22" s="90">
        <v>8</v>
      </c>
      <c r="AG22" s="90">
        <v>7.4643600000000001</v>
      </c>
      <c r="AH22" s="90">
        <v>0.60719999999999996</v>
      </c>
      <c r="AI22" s="90">
        <v>-1.0588</v>
      </c>
      <c r="AJ22" s="90">
        <v>-1.3086</v>
      </c>
      <c r="AK22" s="90">
        <v>-2.8530000000000002</v>
      </c>
      <c r="AL22" s="90">
        <v>0.55689999999999995</v>
      </c>
      <c r="AM22" s="90">
        <v>-0.85270000000000001</v>
      </c>
      <c r="AN22" s="90">
        <v>-1.8179000000000001</v>
      </c>
      <c r="AO22" s="90">
        <v>-0.65039999999999998</v>
      </c>
      <c r="AQ22" s="50">
        <f>K22/1000</f>
        <v>7.1555555555555556E-3</v>
      </c>
      <c r="AR22" s="50"/>
      <c r="AS22" s="50"/>
      <c r="AT22" s="50"/>
      <c r="AU22" s="50"/>
    </row>
    <row r="23" spans="1:47" s="68" customFormat="1" x14ac:dyDescent="0.35">
      <c r="F23" s="69"/>
      <c r="G23" s="69"/>
      <c r="M23" s="65"/>
      <c r="N23" s="27"/>
      <c r="O23" s="65"/>
      <c r="P23" s="65"/>
      <c r="Q23" s="65"/>
      <c r="R23" s="67"/>
      <c r="S23" s="67"/>
      <c r="T23" s="67"/>
      <c r="U23" s="171"/>
      <c r="V23" s="65"/>
      <c r="W23" s="66"/>
      <c r="X23" s="67"/>
      <c r="Y23" s="65"/>
      <c r="AB23" s="69"/>
      <c r="AC23" s="69"/>
      <c r="AD23" s="69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Q23" s="50"/>
      <c r="AR23" s="50"/>
      <c r="AS23" s="50"/>
      <c r="AT23" s="50"/>
      <c r="AU23" s="50"/>
    </row>
    <row r="24" spans="1:47" s="68" customFormat="1" x14ac:dyDescent="0.35">
      <c r="A24" s="68">
        <v>7</v>
      </c>
      <c r="B24" s="10">
        <v>43524</v>
      </c>
      <c r="C24" s="68">
        <v>8</v>
      </c>
      <c r="D24" s="68">
        <v>104</v>
      </c>
      <c r="E24" s="68">
        <f>D24+E20</f>
        <v>832</v>
      </c>
      <c r="F24" s="69">
        <f t="shared" si="3"/>
        <v>1</v>
      </c>
      <c r="G24" s="69">
        <f>F24+G20</f>
        <v>8</v>
      </c>
      <c r="H24" s="31">
        <v>7.72</v>
      </c>
      <c r="I24" s="31">
        <v>1224</v>
      </c>
      <c r="J24" s="31">
        <v>225</v>
      </c>
      <c r="K24" s="31">
        <v>179</v>
      </c>
      <c r="L24" s="27">
        <v>19</v>
      </c>
      <c r="M24" s="27">
        <v>9.8000000000000007</v>
      </c>
      <c r="N24" s="31">
        <v>427</v>
      </c>
      <c r="O24" s="31">
        <v>17</v>
      </c>
      <c r="P24" s="21">
        <v>85.74</v>
      </c>
      <c r="Q24" s="21">
        <v>22.01</v>
      </c>
      <c r="R24" s="21">
        <v>145.19999999999999</v>
      </c>
      <c r="S24" s="21">
        <v>18.2</v>
      </c>
      <c r="T24" s="21">
        <v>11.2</v>
      </c>
      <c r="U24" s="171">
        <v>0.2</v>
      </c>
      <c r="V24" s="68">
        <v>3.7999999999999999E-2</v>
      </c>
      <c r="W24" s="81">
        <v>0.02</v>
      </c>
      <c r="X24" s="163">
        <v>0.246</v>
      </c>
      <c r="Y24" s="81">
        <v>0.04</v>
      </c>
      <c r="Z24" s="163">
        <v>0.90600000000000003</v>
      </c>
      <c r="AA24" s="27"/>
      <c r="AB24" s="69">
        <f t="shared" ref="AB24:AB38" si="11">((J24/50)+(L24/35.45)+(M24/62)+(N24/48.03))</f>
        <v>14.084307575899798</v>
      </c>
      <c r="AC24" s="69">
        <f t="shared" si="1"/>
        <v>12.690710494981232</v>
      </c>
      <c r="AD24" s="69">
        <f t="shared" si="2"/>
        <v>5.2048408603472121</v>
      </c>
      <c r="AF24" s="90">
        <v>7.72</v>
      </c>
      <c r="AG24" s="90">
        <v>-8.3873800000000003</v>
      </c>
      <c r="AH24" s="90">
        <v>0.33529999999999999</v>
      </c>
      <c r="AI24" s="90">
        <v>-1.0798000000000001</v>
      </c>
      <c r="AJ24" s="90">
        <v>-1.3294999999999999</v>
      </c>
      <c r="AK24" s="90">
        <v>-2.4081999999999999</v>
      </c>
      <c r="AL24" s="90">
        <v>-9.4700000000000006E-2</v>
      </c>
      <c r="AM24" s="90">
        <v>-0.25580000000000003</v>
      </c>
      <c r="AN24" s="90">
        <v>-1.7134</v>
      </c>
      <c r="AO24" s="90">
        <v>-1.0301</v>
      </c>
      <c r="AQ24" s="50">
        <f t="shared" ref="AQ24:AQ38" si="12">K24/1000</f>
        <v>0.17899999999999999</v>
      </c>
      <c r="AR24" s="50">
        <f>AT24/$AS$6</f>
        <v>0.46740653188180409</v>
      </c>
      <c r="AS24" s="50">
        <f>(AQ24-$AQ$22)*0.104</f>
        <v>1.7871822222222222E-2</v>
      </c>
      <c r="AT24" s="50">
        <f>AT20-AS24</f>
        <v>0.30054240000000004</v>
      </c>
      <c r="AU24" s="50">
        <f t="shared" ref="AU24" si="13">AR24/AQ24</f>
        <v>2.6112096753173413</v>
      </c>
    </row>
    <row r="25" spans="1:47" s="68" customFormat="1" x14ac:dyDescent="0.35">
      <c r="A25" s="68">
        <v>7</v>
      </c>
      <c r="B25" s="10"/>
      <c r="C25" s="68">
        <v>9</v>
      </c>
      <c r="D25" s="68">
        <v>104</v>
      </c>
      <c r="E25" s="31">
        <f>D25+E24</f>
        <v>936</v>
      </c>
      <c r="F25" s="69">
        <f t="shared" si="3"/>
        <v>1</v>
      </c>
      <c r="G25" s="25">
        <f>G24+F25</f>
        <v>9</v>
      </c>
      <c r="H25" s="31">
        <v>8.02</v>
      </c>
      <c r="I25" s="31">
        <v>1068</v>
      </c>
      <c r="J25" s="31">
        <v>189</v>
      </c>
      <c r="K25" s="27">
        <v>138</v>
      </c>
      <c r="L25" s="27">
        <v>13</v>
      </c>
      <c r="M25" s="27">
        <v>4.9000000000000004</v>
      </c>
      <c r="N25" s="31">
        <v>376</v>
      </c>
      <c r="O25" s="31">
        <v>16</v>
      </c>
      <c r="P25" s="21">
        <v>78.58</v>
      </c>
      <c r="Q25" s="21">
        <v>20.420000000000002</v>
      </c>
      <c r="R25" s="21">
        <v>117.1</v>
      </c>
      <c r="S25" s="21">
        <v>18.579999999999998</v>
      </c>
      <c r="T25" s="21">
        <v>10.29</v>
      </c>
      <c r="U25" s="171">
        <v>0.2</v>
      </c>
      <c r="V25" s="81">
        <v>0.02</v>
      </c>
      <c r="W25" s="81">
        <v>0.02</v>
      </c>
      <c r="X25" s="11">
        <v>0.214</v>
      </c>
      <c r="Y25" s="81">
        <v>0.04</v>
      </c>
      <c r="Z25" s="11">
        <v>0.83699999999999997</v>
      </c>
      <c r="AA25" s="27"/>
      <c r="AB25" s="69">
        <f t="shared" si="11"/>
        <v>12.054186497290292</v>
      </c>
      <c r="AC25" s="69">
        <f t="shared" si="1"/>
        <v>10.957124277189052</v>
      </c>
      <c r="AD25" s="69">
        <f t="shared" si="2"/>
        <v>4.7674912170493764</v>
      </c>
      <c r="AF25" s="90">
        <v>8.02</v>
      </c>
      <c r="AG25" s="90">
        <v>-8.2603899999999992</v>
      </c>
      <c r="AH25" s="90">
        <v>0.53779999999999994</v>
      </c>
      <c r="AI25" s="90">
        <v>-1.1395</v>
      </c>
      <c r="AJ25" s="90">
        <v>-1.3893</v>
      </c>
      <c r="AK25" s="90">
        <v>-2.7867000000000002</v>
      </c>
      <c r="AL25" s="90">
        <v>0.31440000000000001</v>
      </c>
      <c r="AM25" s="90">
        <v>-7.9899999999999999E-2</v>
      </c>
      <c r="AN25" s="90">
        <v>-1.9986999999999999</v>
      </c>
      <c r="AO25" s="90">
        <v>-0.82340000000000002</v>
      </c>
      <c r="AQ25" s="50">
        <f t="shared" si="12"/>
        <v>0.13800000000000001</v>
      </c>
      <c r="AR25" s="50">
        <f t="shared" ref="AR25:AR38" si="14">AT25/$AS$6</f>
        <v>0.44624351131847245</v>
      </c>
      <c r="AS25" s="50">
        <f t="shared" ref="AS25:AS38" si="15">(AQ25-$AQ$22)*0.104</f>
        <v>1.3607822222222224E-2</v>
      </c>
      <c r="AT25" s="50">
        <f>AT24-AS25</f>
        <v>0.28693457777777781</v>
      </c>
      <c r="AU25" s="50">
        <f t="shared" ref="AU25:AU38" si="16">AR25/AQ25</f>
        <v>3.2336486327425535</v>
      </c>
    </row>
    <row r="26" spans="1:47" s="68" customFormat="1" x14ac:dyDescent="0.35">
      <c r="A26" s="68">
        <v>7</v>
      </c>
      <c r="B26" s="10"/>
      <c r="C26" s="68">
        <v>10</v>
      </c>
      <c r="D26" s="68">
        <v>104</v>
      </c>
      <c r="E26" s="31">
        <f t="shared" ref="E26:E38" si="17">D26+E25</f>
        <v>1040</v>
      </c>
      <c r="F26" s="69">
        <f t="shared" si="3"/>
        <v>1</v>
      </c>
      <c r="G26" s="25">
        <f t="shared" ref="G26:G38" si="18">G25+F26</f>
        <v>10</v>
      </c>
      <c r="H26" s="31">
        <v>8.0399999999999991</v>
      </c>
      <c r="I26" s="31">
        <v>1011</v>
      </c>
      <c r="J26" s="31">
        <v>185</v>
      </c>
      <c r="K26" s="27">
        <v>124</v>
      </c>
      <c r="L26" s="27">
        <v>13</v>
      </c>
      <c r="M26" s="27">
        <v>3.9</v>
      </c>
      <c r="N26" s="31">
        <v>364</v>
      </c>
      <c r="O26" s="31">
        <v>14</v>
      </c>
      <c r="P26" s="21">
        <v>89.47</v>
      </c>
      <c r="Q26" s="21">
        <v>23.06</v>
      </c>
      <c r="R26" s="21">
        <v>90.66</v>
      </c>
      <c r="S26" s="21">
        <v>18.940000000000001</v>
      </c>
      <c r="T26" s="21">
        <v>10.220000000000001</v>
      </c>
      <c r="U26" s="171">
        <v>0.2</v>
      </c>
      <c r="V26" s="81">
        <v>0.02</v>
      </c>
      <c r="W26" s="81">
        <v>0.02</v>
      </c>
      <c r="X26" s="11">
        <v>0.251</v>
      </c>
      <c r="Y26" s="81">
        <v>0.04</v>
      </c>
      <c r="Z26" s="11">
        <v>0.96599999999999997</v>
      </c>
      <c r="AA26" s="27"/>
      <c r="AB26" s="69">
        <f t="shared" si="11"/>
        <v>11.708213617436975</v>
      </c>
      <c r="AC26" s="69">
        <f t="shared" si="1"/>
        <v>10.56578718691069</v>
      </c>
      <c r="AD26" s="69">
        <f t="shared" si="2"/>
        <v>5.1289682556862202</v>
      </c>
      <c r="AF26" s="90">
        <v>8.0399999999999991</v>
      </c>
      <c r="AG26" s="90">
        <v>-8.8631799999999998</v>
      </c>
      <c r="AH26" s="90">
        <v>0.60850000000000004</v>
      </c>
      <c r="AI26" s="90">
        <v>-1.0978000000000001</v>
      </c>
      <c r="AJ26" s="90">
        <v>-1.3475999999999999</v>
      </c>
      <c r="AK26" s="90">
        <v>-2.8182</v>
      </c>
      <c r="AL26" s="90">
        <v>0.4516</v>
      </c>
      <c r="AM26" s="90">
        <v>0.01</v>
      </c>
      <c r="AN26" s="90">
        <v>-1.9347000000000001</v>
      </c>
      <c r="AO26" s="90">
        <v>-0.75690000000000002</v>
      </c>
      <c r="AQ26" s="50">
        <f t="shared" si="12"/>
        <v>0.124</v>
      </c>
      <c r="AR26" s="50">
        <f t="shared" si="14"/>
        <v>0.42734487644720931</v>
      </c>
      <c r="AS26" s="50">
        <f t="shared" si="15"/>
        <v>1.2151822222222221E-2</v>
      </c>
      <c r="AT26" s="50">
        <f t="shared" ref="AT26:AT38" si="19">AT25-AS26</f>
        <v>0.27478275555555559</v>
      </c>
      <c r="AU26" s="50">
        <f t="shared" si="16"/>
        <v>3.4463296487678172</v>
      </c>
    </row>
    <row r="27" spans="1:47" s="68" customFormat="1" x14ac:dyDescent="0.35">
      <c r="A27" s="68">
        <v>7</v>
      </c>
      <c r="B27" s="10"/>
      <c r="C27" s="68">
        <v>11</v>
      </c>
      <c r="D27" s="68">
        <v>104</v>
      </c>
      <c r="E27" s="31">
        <f t="shared" si="17"/>
        <v>1144</v>
      </c>
      <c r="F27" s="69">
        <f t="shared" si="3"/>
        <v>1</v>
      </c>
      <c r="G27" s="25">
        <f t="shared" si="18"/>
        <v>11</v>
      </c>
      <c r="H27" s="31">
        <v>7.98</v>
      </c>
      <c r="I27" s="31">
        <v>987</v>
      </c>
      <c r="J27" s="31">
        <v>181</v>
      </c>
      <c r="K27" s="27">
        <v>109</v>
      </c>
      <c r="L27" s="27">
        <v>13</v>
      </c>
      <c r="M27" s="27">
        <v>4.8</v>
      </c>
      <c r="N27" s="31">
        <v>364</v>
      </c>
      <c r="O27" s="31">
        <v>15</v>
      </c>
      <c r="P27" s="21">
        <v>98.57</v>
      </c>
      <c r="Q27" s="21">
        <v>26.17</v>
      </c>
      <c r="R27" s="21">
        <v>72.040000000000006</v>
      </c>
      <c r="S27" s="21">
        <v>19.13</v>
      </c>
      <c r="T27" s="21">
        <v>10.7</v>
      </c>
      <c r="U27" s="171">
        <v>0.2</v>
      </c>
      <c r="V27" s="81">
        <v>0.02</v>
      </c>
      <c r="W27" s="81">
        <v>0.02</v>
      </c>
      <c r="X27" s="11">
        <v>0.27800000000000002</v>
      </c>
      <c r="Y27" s="81">
        <v>0.04</v>
      </c>
      <c r="Z27" s="18">
        <v>1.0629999999999999</v>
      </c>
      <c r="AA27" s="27"/>
      <c r="AB27" s="69">
        <f t="shared" si="11"/>
        <v>11.642729746469234</v>
      </c>
      <c r="AC27" s="69">
        <f t="shared" si="1"/>
        <v>10.477994441687184</v>
      </c>
      <c r="AD27" s="69">
        <f t="shared" si="2"/>
        <v>5.2653579280449492</v>
      </c>
      <c r="AF27" s="90">
        <v>7.98</v>
      </c>
      <c r="AG27" s="90">
        <v>-9.1259200000000007</v>
      </c>
      <c r="AH27" s="90">
        <v>0.58330000000000004</v>
      </c>
      <c r="AI27" s="90">
        <v>-1.0609999999999999</v>
      </c>
      <c r="AJ27" s="90">
        <v>-1.3108</v>
      </c>
      <c r="AK27" s="90">
        <v>-2.7675999999999998</v>
      </c>
      <c r="AL27" s="90">
        <v>0.41349999999999998</v>
      </c>
      <c r="AM27" s="90">
        <v>-9.1000000000000004E-3</v>
      </c>
      <c r="AN27" s="90">
        <v>-1.8908</v>
      </c>
      <c r="AO27" s="90">
        <v>-0.76990000000000003</v>
      </c>
      <c r="AQ27" s="50">
        <f t="shared" si="12"/>
        <v>0.109</v>
      </c>
      <c r="AR27" s="50">
        <f t="shared" si="14"/>
        <v>0.41087236910316233</v>
      </c>
      <c r="AS27" s="50">
        <f t="shared" si="15"/>
        <v>1.0591822222222222E-2</v>
      </c>
      <c r="AT27" s="50">
        <f t="shared" si="19"/>
        <v>0.26419093333333338</v>
      </c>
      <c r="AU27" s="50">
        <f t="shared" si="16"/>
        <v>3.7694712761758011</v>
      </c>
    </row>
    <row r="28" spans="1:47" s="68" customFormat="1" x14ac:dyDescent="0.35">
      <c r="A28" s="68">
        <v>7</v>
      </c>
      <c r="B28" s="28"/>
      <c r="C28" s="68">
        <v>12</v>
      </c>
      <c r="D28" s="68">
        <v>104</v>
      </c>
      <c r="E28" s="31">
        <f t="shared" si="17"/>
        <v>1248</v>
      </c>
      <c r="F28" s="69">
        <f t="shared" si="3"/>
        <v>1</v>
      </c>
      <c r="G28" s="25">
        <f t="shared" si="18"/>
        <v>12</v>
      </c>
      <c r="H28" s="31">
        <v>8.0399999999999991</v>
      </c>
      <c r="I28" s="31">
        <v>969</v>
      </c>
      <c r="J28" s="31">
        <v>179</v>
      </c>
      <c r="K28" s="27">
        <v>96</v>
      </c>
      <c r="L28" s="27">
        <v>12</v>
      </c>
      <c r="M28" s="27">
        <v>4.4000000000000004</v>
      </c>
      <c r="N28" s="31">
        <v>357</v>
      </c>
      <c r="O28" s="31">
        <v>14</v>
      </c>
      <c r="P28" s="21">
        <v>104.9</v>
      </c>
      <c r="Q28" s="21">
        <v>27.65</v>
      </c>
      <c r="R28" s="21">
        <v>63.63</v>
      </c>
      <c r="S28" s="21">
        <v>18.899999999999999</v>
      </c>
      <c r="T28" s="21">
        <v>10.27</v>
      </c>
      <c r="U28" s="171">
        <v>0.2</v>
      </c>
      <c r="V28" s="81">
        <v>0.02</v>
      </c>
      <c r="W28" s="81">
        <v>0.02</v>
      </c>
      <c r="X28" s="11">
        <v>0.29299999999999998</v>
      </c>
      <c r="Y28" s="81">
        <v>0.04</v>
      </c>
      <c r="Z28" s="18">
        <v>1.1200000000000001</v>
      </c>
      <c r="AA28" s="27"/>
      <c r="AB28" s="69">
        <f t="shared" si="11"/>
        <v>11.422327144424584</v>
      </c>
      <c r="AC28" s="69">
        <f t="shared" si="1"/>
        <v>10.538764566750235</v>
      </c>
      <c r="AD28" s="69">
        <f t="shared" si="2"/>
        <v>4.0233089925340613</v>
      </c>
      <c r="AF28" s="90">
        <v>8.0399999999999991</v>
      </c>
      <c r="AG28" s="90">
        <v>-8.0026200000000003</v>
      </c>
      <c r="AH28" s="90">
        <v>0.66479999999999995</v>
      </c>
      <c r="AI28" s="90">
        <v>-1.0447</v>
      </c>
      <c r="AJ28" s="90">
        <v>-1.2945</v>
      </c>
      <c r="AK28" s="90">
        <v>-2.8355000000000001</v>
      </c>
      <c r="AL28" s="90">
        <v>0.57299999999999995</v>
      </c>
      <c r="AM28" s="90">
        <v>6.4899999999999999E-2</v>
      </c>
      <c r="AN28" s="90">
        <v>-1.8613</v>
      </c>
      <c r="AO28" s="90">
        <v>-0.69179999999999997</v>
      </c>
      <c r="AQ28" s="50">
        <f t="shared" si="12"/>
        <v>9.6000000000000002E-2</v>
      </c>
      <c r="AR28" s="50">
        <f t="shared" si="14"/>
        <v>0.39650250561603595</v>
      </c>
      <c r="AS28" s="50">
        <f t="shared" si="15"/>
        <v>9.2398222222222215E-3</v>
      </c>
      <c r="AT28" s="50">
        <f t="shared" si="19"/>
        <v>0.25495111111111113</v>
      </c>
      <c r="AU28" s="50">
        <f t="shared" si="16"/>
        <v>4.130234433500374</v>
      </c>
    </row>
    <row r="29" spans="1:47" s="68" customFormat="1" x14ac:dyDescent="0.35">
      <c r="A29" s="68">
        <v>7</v>
      </c>
      <c r="B29" s="28"/>
      <c r="C29" s="68">
        <v>13</v>
      </c>
      <c r="D29" s="68">
        <v>104</v>
      </c>
      <c r="E29" s="31">
        <f t="shared" si="17"/>
        <v>1352</v>
      </c>
      <c r="F29" s="69">
        <f t="shared" si="3"/>
        <v>1</v>
      </c>
      <c r="G29" s="25">
        <f t="shared" si="18"/>
        <v>13</v>
      </c>
      <c r="H29" s="31">
        <v>8.07</v>
      </c>
      <c r="I29" s="31">
        <v>961</v>
      </c>
      <c r="J29" s="31">
        <v>177</v>
      </c>
      <c r="K29" s="27">
        <v>83</v>
      </c>
      <c r="L29" s="27">
        <v>12</v>
      </c>
      <c r="M29" s="18">
        <v>5</v>
      </c>
      <c r="N29" s="31">
        <v>358</v>
      </c>
      <c r="O29" s="31">
        <v>15</v>
      </c>
      <c r="P29" s="21">
        <v>106.2</v>
      </c>
      <c r="Q29" s="21">
        <v>28.55</v>
      </c>
      <c r="R29" s="21">
        <v>60.27</v>
      </c>
      <c r="S29" s="21">
        <v>18.28</v>
      </c>
      <c r="T29" s="18">
        <v>9.81</v>
      </c>
      <c r="U29" s="171">
        <v>0.2</v>
      </c>
      <c r="V29" s="81">
        <v>0.02</v>
      </c>
      <c r="W29" s="81">
        <v>0.02</v>
      </c>
      <c r="X29" s="11">
        <v>0.29599999999999999</v>
      </c>
      <c r="Y29" s="81">
        <v>0.04</v>
      </c>
      <c r="Z29" s="18">
        <v>1.1160000000000001</v>
      </c>
      <c r="AA29" s="27"/>
      <c r="AB29" s="69">
        <f t="shared" si="11"/>
        <v>11.412824884412359</v>
      </c>
      <c r="AC29" s="69">
        <f t="shared" si="1"/>
        <v>10.519732778026169</v>
      </c>
      <c r="AD29" s="69">
        <f t="shared" si="2"/>
        <v>4.0719925151077581</v>
      </c>
      <c r="AF29" s="90">
        <v>8.07</v>
      </c>
      <c r="AG29" s="90">
        <v>-8.4085000000000001</v>
      </c>
      <c r="AH29" s="90">
        <v>0.69350000000000001</v>
      </c>
      <c r="AI29" s="90">
        <v>-1.0399</v>
      </c>
      <c r="AJ29" s="90">
        <v>-1.2897000000000001</v>
      </c>
      <c r="AK29" s="90">
        <v>-2.8717999999999999</v>
      </c>
      <c r="AL29" s="90">
        <v>0.6391</v>
      </c>
      <c r="AM29" s="90">
        <v>9.2799999999999994E-2</v>
      </c>
      <c r="AN29" s="90">
        <v>-1.8565</v>
      </c>
      <c r="AO29" s="90">
        <v>-0.65449999999999997</v>
      </c>
      <c r="AQ29" s="50">
        <f t="shared" si="12"/>
        <v>8.3000000000000004E-2</v>
      </c>
      <c r="AR29" s="50">
        <f t="shared" si="14"/>
        <v>0.38423528598583029</v>
      </c>
      <c r="AS29" s="50">
        <f t="shared" si="15"/>
        <v>7.8878222222222225E-3</v>
      </c>
      <c r="AT29" s="50">
        <f t="shared" si="19"/>
        <v>0.2470632888888889</v>
      </c>
      <c r="AU29" s="50">
        <f t="shared" si="16"/>
        <v>4.6293407950100036</v>
      </c>
    </row>
    <row r="30" spans="1:47" s="68" customFormat="1" x14ac:dyDescent="0.35">
      <c r="A30" s="68">
        <v>7</v>
      </c>
      <c r="B30" s="28"/>
      <c r="C30" s="68">
        <v>14</v>
      </c>
      <c r="D30" s="68">
        <v>104</v>
      </c>
      <c r="E30" s="31">
        <f t="shared" si="17"/>
        <v>1456</v>
      </c>
      <c r="F30" s="69">
        <f t="shared" si="3"/>
        <v>1</v>
      </c>
      <c r="G30" s="25">
        <f t="shared" si="18"/>
        <v>14</v>
      </c>
      <c r="H30" s="31">
        <v>8.08</v>
      </c>
      <c r="I30" s="31">
        <v>854</v>
      </c>
      <c r="J30" s="31">
        <v>177</v>
      </c>
      <c r="K30" s="27">
        <v>72</v>
      </c>
      <c r="L30" s="27">
        <v>12</v>
      </c>
      <c r="M30" s="27">
        <v>5.3</v>
      </c>
      <c r="N30" s="31">
        <v>355</v>
      </c>
      <c r="O30" s="31">
        <v>15</v>
      </c>
      <c r="P30" s="21">
        <v>106.7</v>
      </c>
      <c r="Q30" s="21">
        <v>28.96</v>
      </c>
      <c r="R30" s="21">
        <v>59.31</v>
      </c>
      <c r="S30" s="21">
        <v>17.95</v>
      </c>
      <c r="T30" s="18">
        <v>9.7859999999999996</v>
      </c>
      <c r="U30" s="171">
        <v>0.2</v>
      </c>
      <c r="V30" s="81">
        <v>0.02</v>
      </c>
      <c r="W30" s="81">
        <v>0.02</v>
      </c>
      <c r="X30" s="11">
        <v>0.29599999999999999</v>
      </c>
      <c r="Y30" s="81">
        <v>0.04</v>
      </c>
      <c r="Z30" s="18">
        <v>1.1339999999999999</v>
      </c>
      <c r="AA30" s="27"/>
      <c r="AB30" s="69">
        <f t="shared" si="11"/>
        <v>11.355202632190966</v>
      </c>
      <c r="AC30" s="69">
        <f t="shared" si="1"/>
        <v>10.536028886571614</v>
      </c>
      <c r="AD30" s="69">
        <f t="shared" si="2"/>
        <v>3.7420176426221299</v>
      </c>
      <c r="AF30" s="90">
        <v>8.08</v>
      </c>
      <c r="AG30" s="90">
        <v>-8.0234100000000002</v>
      </c>
      <c r="AH30" s="90">
        <v>0.70589999999999997</v>
      </c>
      <c r="AI30" s="90">
        <v>-1.0412999999999999</v>
      </c>
      <c r="AJ30" s="90">
        <v>-1.2910999999999999</v>
      </c>
      <c r="AK30" s="90">
        <v>-2.8822999999999999</v>
      </c>
      <c r="AL30" s="90">
        <v>0.66790000000000005</v>
      </c>
      <c r="AM30" s="90">
        <v>0.1031</v>
      </c>
      <c r="AN30" s="90">
        <v>-1.8534999999999999</v>
      </c>
      <c r="AO30" s="90">
        <v>-0.63800000000000001</v>
      </c>
      <c r="AQ30" s="50">
        <f t="shared" si="12"/>
        <v>7.1999999999999995E-2</v>
      </c>
      <c r="AR30" s="50">
        <f t="shared" si="14"/>
        <v>0.3737472265422499</v>
      </c>
      <c r="AS30" s="50">
        <f t="shared" si="15"/>
        <v>6.7438222222222215E-3</v>
      </c>
      <c r="AT30" s="50">
        <f t="shared" si="19"/>
        <v>0.24031946666666668</v>
      </c>
      <c r="AU30" s="50">
        <f t="shared" si="16"/>
        <v>5.1909337019756938</v>
      </c>
    </row>
    <row r="31" spans="1:47" s="68" customFormat="1" x14ac:dyDescent="0.35">
      <c r="A31" s="68">
        <v>7</v>
      </c>
      <c r="B31" s="28"/>
      <c r="C31" s="68">
        <v>15</v>
      </c>
      <c r="D31" s="68">
        <v>104</v>
      </c>
      <c r="E31" s="31">
        <f t="shared" si="17"/>
        <v>1560</v>
      </c>
      <c r="F31" s="69">
        <f t="shared" si="3"/>
        <v>1</v>
      </c>
      <c r="G31" s="25">
        <f t="shared" si="18"/>
        <v>15</v>
      </c>
      <c r="H31" s="25">
        <v>8</v>
      </c>
      <c r="I31" s="31">
        <v>852</v>
      </c>
      <c r="J31" s="31">
        <v>176</v>
      </c>
      <c r="K31" s="27">
        <v>63</v>
      </c>
      <c r="L31" s="27">
        <v>12</v>
      </c>
      <c r="M31" s="27">
        <v>4.5999999999999996</v>
      </c>
      <c r="N31" s="31">
        <v>350</v>
      </c>
      <c r="O31" s="31">
        <v>16</v>
      </c>
      <c r="P31" s="21">
        <v>104.7</v>
      </c>
      <c r="Q31" s="21">
        <v>28.81</v>
      </c>
      <c r="R31" s="21">
        <v>58.19</v>
      </c>
      <c r="S31" s="21">
        <v>17.36</v>
      </c>
      <c r="T31" s="18">
        <v>9.3640000000000008</v>
      </c>
      <c r="U31" s="171">
        <v>0.2</v>
      </c>
      <c r="V31" s="81">
        <v>0.02</v>
      </c>
      <c r="W31" s="81">
        <v>0.02</v>
      </c>
      <c r="X31" s="11">
        <v>0.29499999999999998</v>
      </c>
      <c r="Y31" s="81">
        <v>0.04</v>
      </c>
      <c r="Z31" s="18">
        <v>1.113</v>
      </c>
      <c r="AA31" s="27"/>
      <c r="AB31" s="69">
        <f t="shared" si="11"/>
        <v>11.219810706445632</v>
      </c>
      <c r="AC31" s="69">
        <f t="shared" si="1"/>
        <v>10.364383288773716</v>
      </c>
      <c r="AD31" s="69">
        <f t="shared" si="2"/>
        <v>3.9632122369794436</v>
      </c>
      <c r="AF31" s="90">
        <v>8</v>
      </c>
      <c r="AG31" s="90">
        <v>-8.3794400000000007</v>
      </c>
      <c r="AH31" s="90">
        <v>0.621</v>
      </c>
      <c r="AI31" s="90">
        <v>-1.0515000000000001</v>
      </c>
      <c r="AJ31" s="90">
        <v>-1.3012999999999999</v>
      </c>
      <c r="AK31" s="90">
        <v>-2.8014000000000001</v>
      </c>
      <c r="AL31" s="90">
        <v>0.50370000000000004</v>
      </c>
      <c r="AM31" s="90">
        <v>2.4500000000000001E-2</v>
      </c>
      <c r="AN31" s="90">
        <v>-1.8583000000000001</v>
      </c>
      <c r="AO31" s="90">
        <v>-0.71730000000000005</v>
      </c>
      <c r="AQ31" s="50">
        <f t="shared" si="12"/>
        <v>6.3E-2</v>
      </c>
      <c r="AR31" s="50">
        <f t="shared" si="14"/>
        <v>0.36471484361499912</v>
      </c>
      <c r="AS31" s="50">
        <f t="shared" si="15"/>
        <v>5.8078222222222222E-3</v>
      </c>
      <c r="AT31" s="50">
        <f t="shared" si="19"/>
        <v>0.23451164444444444</v>
      </c>
      <c r="AU31" s="50">
        <f t="shared" si="16"/>
        <v>5.7891245018253832</v>
      </c>
    </row>
    <row r="32" spans="1:47" s="68" customFormat="1" x14ac:dyDescent="0.35">
      <c r="A32" s="68">
        <v>7</v>
      </c>
      <c r="B32" s="28"/>
      <c r="C32" s="68">
        <v>16</v>
      </c>
      <c r="D32" s="68">
        <v>104</v>
      </c>
      <c r="E32" s="31">
        <f t="shared" si="17"/>
        <v>1664</v>
      </c>
      <c r="F32" s="69">
        <f t="shared" si="3"/>
        <v>1</v>
      </c>
      <c r="G32" s="25">
        <f t="shared" si="18"/>
        <v>16</v>
      </c>
      <c r="H32" s="31">
        <v>7.87</v>
      </c>
      <c r="I32" s="31">
        <v>943</v>
      </c>
      <c r="J32" s="31">
        <v>173</v>
      </c>
      <c r="K32" s="27">
        <v>56</v>
      </c>
      <c r="L32" s="27">
        <v>12</v>
      </c>
      <c r="M32" s="27">
        <v>5.0999999999999996</v>
      </c>
      <c r="N32" s="31">
        <v>353</v>
      </c>
      <c r="O32" s="31">
        <v>15</v>
      </c>
      <c r="P32" s="21">
        <v>106</v>
      </c>
      <c r="Q32" s="21">
        <v>29.11</v>
      </c>
      <c r="R32" s="21">
        <v>56.35</v>
      </c>
      <c r="S32" s="21">
        <v>17.73</v>
      </c>
      <c r="T32" s="18">
        <v>9.5410000000000004</v>
      </c>
      <c r="U32" s="171">
        <v>0.2</v>
      </c>
      <c r="V32" s="81">
        <v>0.02</v>
      </c>
      <c r="W32" s="81">
        <v>0.02</v>
      </c>
      <c r="X32" s="11">
        <v>0.29399999999999998</v>
      </c>
      <c r="Y32" s="81">
        <v>0.04</v>
      </c>
      <c r="Z32" s="18">
        <v>1.097</v>
      </c>
      <c r="AA32" s="27"/>
      <c r="AB32" s="69">
        <f t="shared" si="11"/>
        <v>11.230336184473478</v>
      </c>
      <c r="AC32" s="69">
        <f t="shared" si="1"/>
        <v>10.378416657368136</v>
      </c>
      <c r="AD32" s="69">
        <f t="shared" si="2"/>
        <v>3.9424742989134773</v>
      </c>
      <c r="AF32" s="90">
        <v>7.87</v>
      </c>
      <c r="AG32" s="90">
        <v>-8.3748299999999993</v>
      </c>
      <c r="AH32" s="90">
        <v>0.49270000000000003</v>
      </c>
      <c r="AI32" s="90">
        <v>-1.0432999999999999</v>
      </c>
      <c r="AJ32" s="90">
        <v>-1.2930999999999999</v>
      </c>
      <c r="AK32" s="90">
        <v>-2.6753999999999998</v>
      </c>
      <c r="AL32" s="90">
        <v>0.24579999999999999</v>
      </c>
      <c r="AM32" s="90">
        <v>-0.1115</v>
      </c>
      <c r="AN32" s="90">
        <v>-1.853</v>
      </c>
      <c r="AO32" s="90">
        <v>-0.84689999999999999</v>
      </c>
      <c r="AQ32" s="50">
        <f t="shared" si="12"/>
        <v>5.6000000000000001E-2</v>
      </c>
      <c r="AR32" s="50">
        <f t="shared" si="14"/>
        <v>0.35681465353378261</v>
      </c>
      <c r="AS32" s="50">
        <f t="shared" si="15"/>
        <v>5.0798222222222219E-3</v>
      </c>
      <c r="AT32" s="50">
        <f t="shared" si="19"/>
        <v>0.22943182222222222</v>
      </c>
      <c r="AU32" s="50">
        <f t="shared" si="16"/>
        <v>6.3716902416746892</v>
      </c>
    </row>
    <row r="33" spans="1:47" s="68" customFormat="1" x14ac:dyDescent="0.35">
      <c r="A33" s="68">
        <v>7</v>
      </c>
      <c r="B33" s="28"/>
      <c r="C33" s="68">
        <v>17</v>
      </c>
      <c r="D33" s="68">
        <v>104</v>
      </c>
      <c r="E33" s="31">
        <f t="shared" si="17"/>
        <v>1768</v>
      </c>
      <c r="F33" s="69">
        <f t="shared" si="3"/>
        <v>1</v>
      </c>
      <c r="G33" s="25">
        <f t="shared" si="18"/>
        <v>17</v>
      </c>
      <c r="H33" s="31">
        <v>7.87</v>
      </c>
      <c r="I33" s="31">
        <v>939</v>
      </c>
      <c r="J33" s="31">
        <v>179</v>
      </c>
      <c r="K33" s="27">
        <v>49</v>
      </c>
      <c r="L33" s="27">
        <v>12</v>
      </c>
      <c r="M33" s="27">
        <v>4.8</v>
      </c>
      <c r="N33" s="31">
        <v>351</v>
      </c>
      <c r="O33" s="31">
        <v>15</v>
      </c>
      <c r="P33" s="21">
        <v>104.5</v>
      </c>
      <c r="Q33" s="21">
        <v>29.5</v>
      </c>
      <c r="R33" s="21">
        <v>57.64</v>
      </c>
      <c r="S33" s="21">
        <v>16.739999999999998</v>
      </c>
      <c r="T33" s="18">
        <v>9.4480000000000004</v>
      </c>
      <c r="U33" s="171">
        <v>0.2</v>
      </c>
      <c r="V33" s="81">
        <v>0.02</v>
      </c>
      <c r="W33" s="81">
        <v>0.02</v>
      </c>
      <c r="X33" s="11">
        <v>0.29399999999999998</v>
      </c>
      <c r="Y33" s="81">
        <v>0.04</v>
      </c>
      <c r="Z33" s="18">
        <v>1.1120000000000001</v>
      </c>
      <c r="AA33" s="27"/>
      <c r="AB33" s="69">
        <f t="shared" si="11"/>
        <v>11.303856833530183</v>
      </c>
      <c r="AC33" s="69">
        <f t="shared" si="1"/>
        <v>10.389371562526021</v>
      </c>
      <c r="AD33" s="69">
        <f t="shared" si="2"/>
        <v>4.2155333190075766</v>
      </c>
      <c r="AF33" s="90">
        <v>7.87</v>
      </c>
      <c r="AG33" s="90">
        <v>-8.5683399999999992</v>
      </c>
      <c r="AH33" s="90">
        <v>0.50129999999999997</v>
      </c>
      <c r="AI33" s="90">
        <v>-1.0517000000000001</v>
      </c>
      <c r="AJ33" s="90">
        <v>-1.3015000000000001</v>
      </c>
      <c r="AK33" s="90">
        <v>-2.6604000000000001</v>
      </c>
      <c r="AL33" s="90">
        <v>0.2752</v>
      </c>
      <c r="AM33" s="90">
        <v>-9.6699999999999994E-2</v>
      </c>
      <c r="AN33" s="90">
        <v>-1.8593999999999999</v>
      </c>
      <c r="AO33" s="90">
        <v>-0.82620000000000005</v>
      </c>
      <c r="AQ33" s="50">
        <f t="shared" si="12"/>
        <v>4.9000000000000002E-2</v>
      </c>
      <c r="AR33" s="50">
        <f t="shared" si="14"/>
        <v>0.35004665629860032</v>
      </c>
      <c r="AS33" s="50">
        <f t="shared" si="15"/>
        <v>4.3518222222222224E-3</v>
      </c>
      <c r="AT33" s="50">
        <f t="shared" si="19"/>
        <v>0.22508</v>
      </c>
      <c r="AU33" s="50">
        <f t="shared" si="16"/>
        <v>7.1438093122163329</v>
      </c>
    </row>
    <row r="34" spans="1:47" s="68" customFormat="1" x14ac:dyDescent="0.35">
      <c r="A34" s="68">
        <v>7</v>
      </c>
      <c r="B34" s="28"/>
      <c r="C34" s="68">
        <v>18</v>
      </c>
      <c r="D34" s="68">
        <v>104</v>
      </c>
      <c r="E34" s="31">
        <f t="shared" si="17"/>
        <v>1872</v>
      </c>
      <c r="F34" s="69">
        <f t="shared" si="3"/>
        <v>1</v>
      </c>
      <c r="G34" s="25">
        <f t="shared" si="18"/>
        <v>18</v>
      </c>
      <c r="H34" s="31">
        <v>7.97</v>
      </c>
      <c r="I34" s="31">
        <v>948</v>
      </c>
      <c r="J34" s="31">
        <v>179</v>
      </c>
      <c r="K34" s="27">
        <v>46</v>
      </c>
      <c r="L34" s="27">
        <v>12</v>
      </c>
      <c r="M34" s="27">
        <v>4.7</v>
      </c>
      <c r="N34" s="31">
        <v>352</v>
      </c>
      <c r="O34" s="31">
        <v>15</v>
      </c>
      <c r="P34" s="21">
        <v>102.5</v>
      </c>
      <c r="Q34" s="21">
        <v>29.96</v>
      </c>
      <c r="R34" s="21">
        <v>56.35</v>
      </c>
      <c r="S34" s="21">
        <v>16.850000000000001</v>
      </c>
      <c r="T34" s="18">
        <v>9.1280000000000001</v>
      </c>
      <c r="U34" s="171">
        <v>0.2</v>
      </c>
      <c r="V34" s="81">
        <v>0.02</v>
      </c>
      <c r="W34" s="81">
        <v>0.02</v>
      </c>
      <c r="X34" s="11">
        <v>0.27500000000000002</v>
      </c>
      <c r="Y34" s="81">
        <v>0.04</v>
      </c>
      <c r="Z34" s="18">
        <v>1.1100000000000001</v>
      </c>
      <c r="AA34" s="27"/>
      <c r="AB34" s="69">
        <f t="shared" si="11"/>
        <v>11.323064250937314</v>
      </c>
      <c r="AC34" s="69">
        <f t="shared" si="1"/>
        <v>10.263104614708269</v>
      </c>
      <c r="AD34" s="69">
        <f t="shared" si="2"/>
        <v>4.9103647934301708</v>
      </c>
      <c r="AF34" s="90">
        <v>7.97</v>
      </c>
      <c r="AG34" s="90">
        <v>-9.3816400000000009</v>
      </c>
      <c r="AH34" s="90">
        <v>0.5897</v>
      </c>
      <c r="AI34" s="90">
        <v>-1.0584</v>
      </c>
      <c r="AJ34" s="90">
        <v>-1.3082</v>
      </c>
      <c r="AK34" s="90">
        <v>-2.7627999999999999</v>
      </c>
      <c r="AL34" s="90">
        <v>0.46739999999999998</v>
      </c>
      <c r="AM34" s="90">
        <v>-2.81E-2</v>
      </c>
      <c r="AN34" s="90">
        <v>-1.8682000000000001</v>
      </c>
      <c r="AO34" s="90">
        <v>-0.72230000000000005</v>
      </c>
      <c r="AQ34" s="50">
        <f t="shared" si="12"/>
        <v>4.5999999999999999E-2</v>
      </c>
      <c r="AR34" s="50">
        <f t="shared" si="14"/>
        <v>0.34376388456886126</v>
      </c>
      <c r="AS34" s="50">
        <f t="shared" si="15"/>
        <v>4.0398222222222217E-3</v>
      </c>
      <c r="AT34" s="50">
        <f t="shared" si="19"/>
        <v>0.22104017777777779</v>
      </c>
      <c r="AU34" s="50">
        <f t="shared" si="16"/>
        <v>7.4731279254100276</v>
      </c>
    </row>
    <row r="35" spans="1:47" s="68" customFormat="1" x14ac:dyDescent="0.35">
      <c r="A35" s="68">
        <v>7</v>
      </c>
      <c r="B35" s="28"/>
      <c r="C35" s="68">
        <v>19</v>
      </c>
      <c r="D35" s="68">
        <v>104</v>
      </c>
      <c r="E35" s="31">
        <f t="shared" si="17"/>
        <v>1976</v>
      </c>
      <c r="F35" s="69">
        <f t="shared" si="3"/>
        <v>1</v>
      </c>
      <c r="G35" s="25">
        <f t="shared" si="18"/>
        <v>19</v>
      </c>
      <c r="H35" s="31">
        <v>7.84</v>
      </c>
      <c r="I35" s="31">
        <v>937</v>
      </c>
      <c r="J35" s="31">
        <v>178</v>
      </c>
      <c r="K35" s="27">
        <v>41</v>
      </c>
      <c r="L35" s="27">
        <v>12</v>
      </c>
      <c r="M35" s="27">
        <v>5.2</v>
      </c>
      <c r="N35" s="31">
        <v>354</v>
      </c>
      <c r="O35" s="31">
        <v>14</v>
      </c>
      <c r="P35" s="12">
        <v>104</v>
      </c>
      <c r="Q35" s="12">
        <v>30.68</v>
      </c>
      <c r="R35" s="21">
        <v>58.61</v>
      </c>
      <c r="S35" s="21">
        <v>16.86</v>
      </c>
      <c r="T35" s="18">
        <v>9.2219999999999995</v>
      </c>
      <c r="U35" s="171">
        <v>0.2</v>
      </c>
      <c r="V35" s="81">
        <v>0.02</v>
      </c>
      <c r="W35" s="81">
        <v>0.02</v>
      </c>
      <c r="X35" s="11">
        <v>0.29299999999999998</v>
      </c>
      <c r="Y35" s="81">
        <v>0.04</v>
      </c>
      <c r="Z35" s="18">
        <v>1.1279999999999999</v>
      </c>
      <c r="AA35" s="27"/>
      <c r="AB35" s="69">
        <f>((J35/50)+(L35/35.45)+(M35/62)+(N35/48.03))</f>
        <v>11.352769408332222</v>
      </c>
      <c r="AC35" s="69">
        <f t="shared" si="1"/>
        <v>10.497873142762199</v>
      </c>
      <c r="AD35" s="69">
        <f t="shared" si="2"/>
        <v>3.9124536661609719</v>
      </c>
      <c r="AF35" s="90">
        <v>7.84</v>
      </c>
      <c r="AG35" s="90">
        <v>-7.8563299999999998</v>
      </c>
      <c r="AH35" s="90">
        <v>0.46679999999999999</v>
      </c>
      <c r="AI35" s="90">
        <v>-1.0516000000000001</v>
      </c>
      <c r="AJ35" s="90">
        <v>-1.3013999999999999</v>
      </c>
      <c r="AK35" s="90">
        <v>-2.6322999999999999</v>
      </c>
      <c r="AL35" s="90">
        <v>0.22509999999999999</v>
      </c>
      <c r="AM35" s="90">
        <v>-0.13089999999999999</v>
      </c>
      <c r="AN35" s="90">
        <v>-1.8625</v>
      </c>
      <c r="AO35" s="90">
        <v>-0.8417</v>
      </c>
      <c r="AQ35" s="50">
        <f t="shared" si="12"/>
        <v>4.1000000000000002E-2</v>
      </c>
      <c r="AR35" s="50">
        <f t="shared" si="14"/>
        <v>0.33828982201486091</v>
      </c>
      <c r="AS35" s="50">
        <f t="shared" si="15"/>
        <v>3.5198222222222225E-3</v>
      </c>
      <c r="AT35" s="50">
        <f t="shared" si="19"/>
        <v>0.21752035555555557</v>
      </c>
      <c r="AU35" s="50">
        <f t="shared" si="16"/>
        <v>8.2509712686551442</v>
      </c>
    </row>
    <row r="36" spans="1:47" s="68" customFormat="1" x14ac:dyDescent="0.35">
      <c r="A36" s="68">
        <v>7</v>
      </c>
      <c r="B36" s="28"/>
      <c r="C36" s="68">
        <v>20</v>
      </c>
      <c r="D36" s="68">
        <v>104</v>
      </c>
      <c r="E36" s="31">
        <f t="shared" si="17"/>
        <v>2080</v>
      </c>
      <c r="F36" s="69">
        <f t="shared" si="3"/>
        <v>1</v>
      </c>
      <c r="G36" s="25">
        <f t="shared" si="18"/>
        <v>20</v>
      </c>
      <c r="H36" s="31">
        <v>7.25</v>
      </c>
      <c r="I36" s="31">
        <v>958</v>
      </c>
      <c r="J36" s="31">
        <v>132</v>
      </c>
      <c r="K36" s="27">
        <v>39</v>
      </c>
      <c r="L36" s="27">
        <v>12</v>
      </c>
      <c r="M36" s="27">
        <v>39</v>
      </c>
      <c r="N36" s="31">
        <v>354</v>
      </c>
      <c r="O36" s="31">
        <v>13</v>
      </c>
      <c r="P36" s="12">
        <v>102.8</v>
      </c>
      <c r="Q36" s="12">
        <v>30.93</v>
      </c>
      <c r="R36" s="21">
        <v>57.08</v>
      </c>
      <c r="S36" s="21">
        <v>16.32</v>
      </c>
      <c r="T36" s="18">
        <v>9.2270000000000003</v>
      </c>
      <c r="U36" s="171">
        <v>0.2</v>
      </c>
      <c r="V36" s="81">
        <v>0.02</v>
      </c>
      <c r="W36" s="81">
        <v>0.02</v>
      </c>
      <c r="X36" s="11">
        <v>0.29099999999999998</v>
      </c>
      <c r="Y36" s="81">
        <v>0.04</v>
      </c>
      <c r="Z36" s="18">
        <v>1.109</v>
      </c>
      <c r="AA36" s="27"/>
      <c r="AB36" s="69">
        <f>((J36/50)+(L36/35.45)+(M36/62)+(N36/48.03))</f>
        <v>10.977930698654802</v>
      </c>
      <c r="AC36" s="69">
        <f>((P36/20.04)+(Q36/12.16)+(R36/22.99)+(T36/39.1))</f>
        <v>10.392129316799233</v>
      </c>
      <c r="AD36" s="69">
        <f t="shared" si="2"/>
        <v>2.7412247856671415</v>
      </c>
      <c r="AF36" s="90">
        <v>7.25</v>
      </c>
      <c r="AG36" s="90">
        <v>-12.0868</v>
      </c>
      <c r="AH36" s="90">
        <v>-0.249</v>
      </c>
      <c r="AI36" s="90">
        <v>-1.0563</v>
      </c>
      <c r="AJ36" s="90">
        <v>-1.3061</v>
      </c>
      <c r="AK36" s="90">
        <v>-2.1650999999999998</v>
      </c>
      <c r="AL36" s="90">
        <v>-1.1991000000000001</v>
      </c>
      <c r="AM36" s="90">
        <v>-0.8468</v>
      </c>
      <c r="AN36" s="90">
        <v>-1.8682000000000001</v>
      </c>
      <c r="AO36" s="90">
        <v>-1.55</v>
      </c>
      <c r="AQ36" s="50">
        <f t="shared" si="12"/>
        <v>3.9E-2</v>
      </c>
      <c r="AR36" s="50">
        <f t="shared" si="14"/>
        <v>0.33313924313115606</v>
      </c>
      <c r="AS36" s="50">
        <f t="shared" si="15"/>
        <v>3.3118222222222223E-3</v>
      </c>
      <c r="AT36" s="50">
        <f t="shared" si="19"/>
        <v>0.21420853333333334</v>
      </c>
      <c r="AU36" s="50">
        <f t="shared" si="16"/>
        <v>8.5420318751578481</v>
      </c>
    </row>
    <row r="37" spans="1:47" s="68" customFormat="1" x14ac:dyDescent="0.35">
      <c r="A37" s="68">
        <v>7</v>
      </c>
      <c r="B37" s="28"/>
      <c r="C37" s="68">
        <v>21</v>
      </c>
      <c r="D37" s="68">
        <v>104</v>
      </c>
      <c r="E37" s="31">
        <f t="shared" si="17"/>
        <v>2184</v>
      </c>
      <c r="F37" s="69">
        <f t="shared" si="3"/>
        <v>1</v>
      </c>
      <c r="G37" s="25">
        <f t="shared" si="18"/>
        <v>21</v>
      </c>
      <c r="H37" s="31">
        <v>7.86</v>
      </c>
      <c r="I37" s="31">
        <v>937</v>
      </c>
      <c r="J37" s="31">
        <v>179</v>
      </c>
      <c r="K37" s="27">
        <v>36</v>
      </c>
      <c r="L37" s="27">
        <v>12</v>
      </c>
      <c r="M37" s="27">
        <v>5.4</v>
      </c>
      <c r="N37" s="31">
        <v>357</v>
      </c>
      <c r="O37" s="31">
        <v>15</v>
      </c>
      <c r="P37" s="21">
        <v>100.6</v>
      </c>
      <c r="Q37" s="21">
        <v>31.21</v>
      </c>
      <c r="R37" s="21">
        <v>56</v>
      </c>
      <c r="S37" s="21">
        <v>15.99</v>
      </c>
      <c r="T37" s="18">
        <v>8.5790000000000006</v>
      </c>
      <c r="U37" s="171">
        <v>0.2</v>
      </c>
      <c r="V37" s="81">
        <v>0.02</v>
      </c>
      <c r="W37" s="81">
        <v>0.02</v>
      </c>
      <c r="X37" s="11">
        <v>0.28999999999999998</v>
      </c>
      <c r="Y37" s="81">
        <v>0.04</v>
      </c>
      <c r="Z37" s="18">
        <v>1.085</v>
      </c>
      <c r="AA37" s="27"/>
      <c r="AB37" s="69">
        <f t="shared" si="11"/>
        <v>11.438456176682649</v>
      </c>
      <c r="AC37" s="69">
        <f t="shared" si="1"/>
        <v>10.241825356942895</v>
      </c>
      <c r="AD37" s="69">
        <f t="shared" si="2"/>
        <v>5.519443176435745</v>
      </c>
      <c r="AF37" s="90">
        <v>7.86</v>
      </c>
      <c r="AG37" s="90">
        <v>-9.9918399999999998</v>
      </c>
      <c r="AH37" s="90">
        <v>0.4738</v>
      </c>
      <c r="AI37" s="90">
        <v>-1.0612999999999999</v>
      </c>
      <c r="AJ37" s="90">
        <v>-1.3110999999999999</v>
      </c>
      <c r="AK37" s="90">
        <v>-2.6497999999999999</v>
      </c>
      <c r="AL37" s="90">
        <v>0.26129999999999998</v>
      </c>
      <c r="AM37" s="90">
        <v>-0.1134</v>
      </c>
      <c r="AN37" s="90">
        <v>-1.8776999999999999</v>
      </c>
      <c r="AO37" s="90">
        <v>-0.8125</v>
      </c>
      <c r="AQ37" s="50">
        <f t="shared" si="12"/>
        <v>3.5999999999999997E-2</v>
      </c>
      <c r="AR37" s="50">
        <f t="shared" si="14"/>
        <v>0.32847388975289443</v>
      </c>
      <c r="AS37" s="50">
        <f t="shared" si="15"/>
        <v>2.999822222222222E-3</v>
      </c>
      <c r="AT37" s="50">
        <f t="shared" si="19"/>
        <v>0.21120871111111111</v>
      </c>
      <c r="AU37" s="50">
        <f t="shared" si="16"/>
        <v>9.1242747153581796</v>
      </c>
    </row>
    <row r="38" spans="1:47" s="68" customFormat="1" x14ac:dyDescent="0.35">
      <c r="A38" s="68">
        <v>7</v>
      </c>
      <c r="B38" s="28">
        <v>43525</v>
      </c>
      <c r="C38" s="68">
        <v>22</v>
      </c>
      <c r="D38" s="68">
        <v>104</v>
      </c>
      <c r="E38" s="31">
        <f t="shared" si="17"/>
        <v>2288</v>
      </c>
      <c r="F38" s="69">
        <f t="shared" si="3"/>
        <v>1</v>
      </c>
      <c r="G38" s="25">
        <f t="shared" si="18"/>
        <v>22</v>
      </c>
      <c r="H38" s="31">
        <v>8.0399999999999991</v>
      </c>
      <c r="I38" s="31">
        <v>963</v>
      </c>
      <c r="J38" s="31">
        <v>180</v>
      </c>
      <c r="K38" s="27">
        <v>35</v>
      </c>
      <c r="L38" s="27">
        <v>13</v>
      </c>
      <c r="M38" s="27">
        <v>5.3</v>
      </c>
      <c r="N38" s="31">
        <v>362</v>
      </c>
      <c r="O38" s="31">
        <v>14</v>
      </c>
      <c r="P38" s="21">
        <v>103</v>
      </c>
      <c r="Q38" s="21">
        <v>33.03</v>
      </c>
      <c r="R38" s="21">
        <v>57.64</v>
      </c>
      <c r="S38" s="21">
        <v>16.73</v>
      </c>
      <c r="T38" s="18">
        <v>8.7100000000000009</v>
      </c>
      <c r="U38" s="171">
        <v>0.2</v>
      </c>
      <c r="V38" s="81">
        <v>0.02</v>
      </c>
      <c r="W38" s="81">
        <v>0.02</v>
      </c>
      <c r="X38" s="163">
        <v>0.29099999999999998</v>
      </c>
      <c r="Y38" s="81">
        <v>0.04</v>
      </c>
      <c r="Z38" s="170">
        <v>1.111</v>
      </c>
      <c r="AA38" s="27"/>
      <c r="AB38" s="69">
        <f t="shared" si="11"/>
        <v>11.589153621332391</v>
      </c>
      <c r="AC38" s="69">
        <f t="shared" si="1"/>
        <v>10.585942635449497</v>
      </c>
      <c r="AD38" s="69">
        <f t="shared" si="2"/>
        <v>4.5240434326235635</v>
      </c>
      <c r="AF38" s="90">
        <v>8.0399999999999991</v>
      </c>
      <c r="AG38" s="90">
        <v>-8.8190100000000005</v>
      </c>
      <c r="AH38" s="90">
        <v>0.65710000000000002</v>
      </c>
      <c r="AI38" s="90">
        <v>-1.0519000000000001</v>
      </c>
      <c r="AJ38" s="90">
        <v>-1.3017000000000001</v>
      </c>
      <c r="AK38" s="90">
        <v>-2.8336000000000001</v>
      </c>
      <c r="AL38" s="90">
        <v>0.64290000000000003</v>
      </c>
      <c r="AM38" s="90">
        <v>6.1699999999999998E-2</v>
      </c>
      <c r="AN38" s="90">
        <v>-1.8723000000000001</v>
      </c>
      <c r="AO38" s="90">
        <v>-0.61429999999999996</v>
      </c>
      <c r="AQ38" s="50">
        <f t="shared" si="12"/>
        <v>3.5000000000000003E-2</v>
      </c>
      <c r="AR38" s="50">
        <f t="shared" si="14"/>
        <v>0.32397027820978053</v>
      </c>
      <c r="AS38" s="50">
        <f t="shared" si="15"/>
        <v>2.8958222222222225E-3</v>
      </c>
      <c r="AT38" s="50">
        <f t="shared" si="19"/>
        <v>0.20831288888888888</v>
      </c>
      <c r="AU38" s="50">
        <f t="shared" si="16"/>
        <v>9.2562936631365851</v>
      </c>
    </row>
    <row r="39" spans="1:47" s="68" customFormat="1" x14ac:dyDescent="0.35">
      <c r="B39" s="28"/>
      <c r="E39" s="31"/>
      <c r="F39" s="69"/>
      <c r="G39" s="25"/>
      <c r="K39" s="65"/>
      <c r="L39" s="65"/>
      <c r="N39" s="31"/>
      <c r="P39" s="15"/>
      <c r="R39" s="16"/>
      <c r="S39" s="16"/>
      <c r="T39" s="16"/>
      <c r="U39" s="65"/>
      <c r="V39" s="65"/>
      <c r="W39" s="65"/>
      <c r="X39" s="65"/>
      <c r="Y39" s="65"/>
      <c r="Z39" s="65"/>
      <c r="AA39" s="65"/>
      <c r="AB39" s="69"/>
      <c r="AC39" s="69"/>
      <c r="AD39" s="69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Q39" s="149"/>
      <c r="AR39" s="149"/>
      <c r="AS39" s="149"/>
      <c r="AT39" s="149"/>
    </row>
    <row r="40" spans="1:47" s="68" customFormat="1" x14ac:dyDescent="0.35">
      <c r="A40" s="68" t="s">
        <v>54</v>
      </c>
      <c r="B40" s="28"/>
      <c r="E40" s="31"/>
      <c r="F40" s="69"/>
      <c r="G40" s="25"/>
      <c r="H40" s="15">
        <v>7.4</v>
      </c>
      <c r="I40" s="165">
        <f>'Influent Results Master'!D33</f>
        <v>1518.6666666666667</v>
      </c>
      <c r="J40" s="165">
        <f>'Influent Results Master'!F33</f>
        <v>272</v>
      </c>
      <c r="K40" s="165">
        <f>'Influent Results Master'!G33</f>
        <v>214.7777777777778</v>
      </c>
      <c r="L40" s="165">
        <f>'Influent Results Master'!H33</f>
        <v>32.000000000000007</v>
      </c>
      <c r="M40" s="165">
        <f>'Influent Results Master'!I33</f>
        <v>25.222222222222225</v>
      </c>
      <c r="N40" s="165">
        <f>'Influent Results Master'!J33</f>
        <v>534.88888888888891</v>
      </c>
      <c r="O40" s="165">
        <f>'Influent Results Master'!K33</f>
        <v>23.444444444444443</v>
      </c>
      <c r="P40" s="165">
        <f>'Influent Results Master'!L33</f>
        <v>120.68888888888888</v>
      </c>
      <c r="Q40" s="165">
        <f>'Influent Results Master'!M33</f>
        <v>45.616666666666667</v>
      </c>
      <c r="R40" s="165">
        <f>'Influent Results Master'!N33</f>
        <v>192.36666666666667</v>
      </c>
      <c r="S40" s="165">
        <f>'Influent Results Master'!O33</f>
        <v>24.27333333333333</v>
      </c>
      <c r="T40" s="170">
        <f>'Influent Results Master'!P33</f>
        <v>5.9746666666666668</v>
      </c>
      <c r="U40" s="171">
        <f>'Influent Results Master'!Q33</f>
        <v>0.20000000000000004</v>
      </c>
      <c r="V40" s="30">
        <f>'Influent Results Master'!R33</f>
        <v>3.7333333333333329E-2</v>
      </c>
      <c r="W40" s="177">
        <f>'Influent Results Master'!S33</f>
        <v>0.02</v>
      </c>
      <c r="X40" s="30">
        <f>'Influent Results Master'!T33</f>
        <v>3.1111111111111114E-2</v>
      </c>
      <c r="Y40" s="177">
        <f>'Influent Results Master'!U33</f>
        <v>0.04</v>
      </c>
      <c r="Z40" s="172">
        <f>'Influent Results Master'!V33</f>
        <v>1.1833333333333333</v>
      </c>
      <c r="AB40" s="69">
        <f>((J40/50)+(L40/35.45)+(M40/62)+(N40/48.03))</f>
        <v>17.886048036252305</v>
      </c>
      <c r="AC40" s="69">
        <f t="shared" si="1"/>
        <v>18.293981151875062</v>
      </c>
      <c r="AD40" s="69">
        <f t="shared" si="2"/>
        <v>1.1275090838141792</v>
      </c>
      <c r="AF40" s="90">
        <v>7.4</v>
      </c>
      <c r="AG40" s="90">
        <v>-0.55633200000000005</v>
      </c>
      <c r="AH40" s="90">
        <v>0.2016</v>
      </c>
      <c r="AI40" s="90">
        <v>-0.92290000000000005</v>
      </c>
      <c r="AJ40" s="90">
        <v>-1.1725000000000001</v>
      </c>
      <c r="AK40" s="90">
        <v>-2.0131000000000001</v>
      </c>
      <c r="AL40" s="90">
        <v>-0.19289999999999999</v>
      </c>
      <c r="AM40" s="90">
        <v>-1.4556</v>
      </c>
      <c r="AN40" s="90">
        <v>-1.7312000000000001</v>
      </c>
      <c r="AO40" s="90">
        <v>-0.99450000000000005</v>
      </c>
      <c r="AQ40" s="50">
        <f>K40/1000</f>
        <v>0.21477777777777779</v>
      </c>
      <c r="AR40" s="149"/>
      <c r="AS40" s="149"/>
      <c r="AT40" s="149"/>
    </row>
    <row r="41" spans="1:47" s="68" customFormat="1" x14ac:dyDescent="0.35">
      <c r="B41" s="28"/>
      <c r="E41" s="31"/>
      <c r="F41" s="69"/>
      <c r="G41" s="25"/>
      <c r="K41" s="65"/>
      <c r="L41" s="65"/>
      <c r="M41" s="186"/>
      <c r="N41" s="31"/>
      <c r="P41" s="15"/>
      <c r="R41" s="16"/>
      <c r="S41" s="16"/>
      <c r="T41" s="16"/>
      <c r="U41" s="171"/>
      <c r="W41" s="176"/>
      <c r="AB41" s="69"/>
      <c r="AC41" s="69"/>
      <c r="AD41" s="69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Q41" s="149"/>
      <c r="AR41" s="149"/>
      <c r="AS41" s="149"/>
      <c r="AT41" s="149"/>
    </row>
    <row r="42" spans="1:47" s="68" customFormat="1" x14ac:dyDescent="0.35">
      <c r="A42" s="68">
        <v>7</v>
      </c>
      <c r="B42" s="28">
        <v>43525</v>
      </c>
      <c r="C42" s="68">
        <v>23</v>
      </c>
      <c r="D42" s="68">
        <v>104</v>
      </c>
      <c r="E42" s="31">
        <f>D42+E38</f>
        <v>2392</v>
      </c>
      <c r="F42" s="69">
        <f t="shared" si="3"/>
        <v>1</v>
      </c>
      <c r="G42" s="25">
        <f>G38+F42</f>
        <v>23</v>
      </c>
      <c r="H42" s="31">
        <v>8.1</v>
      </c>
      <c r="I42" s="31">
        <v>1269</v>
      </c>
      <c r="J42" s="31">
        <v>231</v>
      </c>
      <c r="K42" s="27">
        <v>55</v>
      </c>
      <c r="L42" s="27">
        <v>31</v>
      </c>
      <c r="M42" s="27">
        <v>20</v>
      </c>
      <c r="N42" s="31">
        <v>484</v>
      </c>
      <c r="O42" s="31">
        <v>16</v>
      </c>
      <c r="P42" s="21">
        <v>147.9</v>
      </c>
      <c r="Q42" s="21">
        <v>48.2</v>
      </c>
      <c r="R42" s="21">
        <v>71.040000000000006</v>
      </c>
      <c r="S42" s="21">
        <v>16.760000000000002</v>
      </c>
      <c r="T42" s="18">
        <v>9.8670000000000009</v>
      </c>
      <c r="U42" s="171">
        <v>0.2</v>
      </c>
      <c r="V42" s="81">
        <v>0.02</v>
      </c>
      <c r="W42" s="81">
        <v>0.02</v>
      </c>
      <c r="X42" s="163">
        <v>0.42</v>
      </c>
      <c r="Y42" s="81">
        <v>0.04</v>
      </c>
      <c r="Z42" s="170">
        <v>1.577</v>
      </c>
      <c r="AA42" s="31"/>
      <c r="AB42" s="69">
        <f t="shared" ref="AB42:AB49" si="20">((J42/50)+(L42/35.45)+(M42/62)+(N42/48.03))</f>
        <v>15.89408691753983</v>
      </c>
      <c r="AC42" s="69">
        <f t="shared" si="1"/>
        <v>14.686447399063654</v>
      </c>
      <c r="AD42" s="69">
        <f t="shared" si="2"/>
        <v>3.9490464946536163</v>
      </c>
      <c r="AF42" s="90">
        <v>8.1</v>
      </c>
      <c r="AG42" s="90">
        <v>-7.8341700000000003</v>
      </c>
      <c r="AH42" s="90">
        <v>0.92490000000000006</v>
      </c>
      <c r="AI42" s="90">
        <v>-0.85780000000000001</v>
      </c>
      <c r="AJ42" s="90">
        <v>-1.1074999999999999</v>
      </c>
      <c r="AK42" s="90">
        <v>-2.8010999999999999</v>
      </c>
      <c r="AL42" s="90">
        <v>1.1887000000000001</v>
      </c>
      <c r="AM42" s="90">
        <v>0.32540000000000002</v>
      </c>
      <c r="AN42" s="90">
        <v>-1.7849999999999999</v>
      </c>
      <c r="AO42" s="90">
        <v>-0.3362</v>
      </c>
      <c r="AQ42" s="50">
        <f t="shared" ref="AQ42" si="21">K42/1000</f>
        <v>5.5E-2</v>
      </c>
      <c r="AR42" s="50">
        <f>AT42/$AS$6</f>
        <v>0.34981302920338692</v>
      </c>
      <c r="AS42" s="50">
        <f>(AQ42-$AQ$40)*0.104</f>
        <v>-1.6616888888888889E-2</v>
      </c>
      <c r="AT42" s="50">
        <f>AT38-AS42</f>
        <v>0.22492977777777778</v>
      </c>
      <c r="AU42" s="50">
        <f t="shared" ref="AU42" si="22">AR42/AQ42</f>
        <v>6.3602368946070351</v>
      </c>
    </row>
    <row r="43" spans="1:47" s="68" customFormat="1" x14ac:dyDescent="0.35">
      <c r="A43" s="68">
        <v>7</v>
      </c>
      <c r="B43" s="28"/>
      <c r="C43" s="68">
        <v>24</v>
      </c>
      <c r="D43" s="68">
        <v>104</v>
      </c>
      <c r="E43" s="31">
        <f t="shared" ref="E43:E49" si="23">D43+E42</f>
        <v>2496</v>
      </c>
      <c r="F43" s="69">
        <f t="shared" si="3"/>
        <v>1</v>
      </c>
      <c r="G43" s="25">
        <f t="shared" ref="G43:G49" si="24">G42+F43</f>
        <v>24</v>
      </c>
      <c r="H43" s="31">
        <v>8.1199999999999992</v>
      </c>
      <c r="I43" s="31">
        <v>1478</v>
      </c>
      <c r="J43" s="31">
        <v>278</v>
      </c>
      <c r="K43" s="27">
        <v>94</v>
      </c>
      <c r="L43" s="27">
        <v>36</v>
      </c>
      <c r="M43" s="27">
        <v>26</v>
      </c>
      <c r="N43" s="31">
        <v>556</v>
      </c>
      <c r="O43" s="31">
        <v>18</v>
      </c>
      <c r="P43" s="21">
        <v>152.80000000000001</v>
      </c>
      <c r="Q43" s="21">
        <v>49.15</v>
      </c>
      <c r="R43" s="21">
        <v>116.9</v>
      </c>
      <c r="S43" s="21">
        <v>16.329999999999998</v>
      </c>
      <c r="T43" s="21">
        <v>10.41</v>
      </c>
      <c r="U43" s="171">
        <v>0.2</v>
      </c>
      <c r="V43" s="33">
        <v>0.02</v>
      </c>
      <c r="W43" s="81">
        <v>0.02</v>
      </c>
      <c r="X43" s="11">
        <v>0.41</v>
      </c>
      <c r="Y43" s="81">
        <v>0.04</v>
      </c>
      <c r="Z43" s="18">
        <v>1.597</v>
      </c>
      <c r="AA43" s="31"/>
      <c r="AB43" s="69">
        <f t="shared" si="20"/>
        <v>18.570967920214038</v>
      </c>
      <c r="AC43" s="69">
        <f t="shared" si="1"/>
        <v>17.017751184416202</v>
      </c>
      <c r="AD43" s="69">
        <f t="shared" si="2"/>
        <v>4.3643513306320596</v>
      </c>
      <c r="AF43" s="90">
        <v>8.1199999999999992</v>
      </c>
      <c r="AG43" s="90">
        <v>-7.89262</v>
      </c>
      <c r="AH43" s="90">
        <v>1.0115000000000001</v>
      </c>
      <c r="AI43" s="90">
        <v>-0.81689999999999996</v>
      </c>
      <c r="AJ43" s="90">
        <v>-1.0666</v>
      </c>
      <c r="AK43" s="90">
        <v>-2.7444000000000002</v>
      </c>
      <c r="AL43" s="90">
        <v>1.359</v>
      </c>
      <c r="AM43" s="90">
        <v>0.38540000000000002</v>
      </c>
      <c r="AN43" s="90">
        <v>-1.8077000000000001</v>
      </c>
      <c r="AO43" s="90">
        <v>-0.25259999999999999</v>
      </c>
      <c r="AQ43" s="50">
        <f t="shared" ref="AQ43:AQ49" si="25">K43/1000</f>
        <v>9.4E-2</v>
      </c>
      <c r="AR43" s="50">
        <f t="shared" ref="AR43:AR49" si="26">AT43/$AS$6</f>
        <v>0.36934784862623121</v>
      </c>
      <c r="AS43" s="50">
        <f t="shared" ref="AS43:AS49" si="27">(AQ43-$AQ$40)*0.104</f>
        <v>-1.2560888888888889E-2</v>
      </c>
      <c r="AT43" s="50">
        <f>AT42-AS43</f>
        <v>0.23749066666666668</v>
      </c>
      <c r="AU43" s="50">
        <f t="shared" ref="AU43:AU49" si="28">AR43/AQ43</f>
        <v>3.9292324321939489</v>
      </c>
    </row>
    <row r="44" spans="1:47" s="68" customFormat="1" x14ac:dyDescent="0.35">
      <c r="A44" s="68">
        <v>7</v>
      </c>
      <c r="B44" s="28"/>
      <c r="C44" s="68">
        <v>25</v>
      </c>
      <c r="D44" s="68">
        <v>104</v>
      </c>
      <c r="E44" s="31">
        <f t="shared" si="23"/>
        <v>2600</v>
      </c>
      <c r="F44" s="69">
        <f t="shared" si="3"/>
        <v>1</v>
      </c>
      <c r="G44" s="25">
        <f t="shared" si="24"/>
        <v>25</v>
      </c>
      <c r="H44" s="31">
        <v>8.1</v>
      </c>
      <c r="I44" s="31">
        <v>1516</v>
      </c>
      <c r="J44" s="31">
        <v>281</v>
      </c>
      <c r="K44" s="27">
        <v>139</v>
      </c>
      <c r="L44" s="27">
        <v>36</v>
      </c>
      <c r="M44" s="27">
        <v>27</v>
      </c>
      <c r="N44" s="31">
        <v>541</v>
      </c>
      <c r="O44" s="31">
        <v>20</v>
      </c>
      <c r="P44" s="21">
        <v>131.1</v>
      </c>
      <c r="Q44" s="21">
        <v>42.39</v>
      </c>
      <c r="R44" s="21">
        <v>152.30000000000001</v>
      </c>
      <c r="S44" s="21">
        <v>16.18</v>
      </c>
      <c r="T44" s="21">
        <v>10.57</v>
      </c>
      <c r="U44" s="171">
        <v>0.2</v>
      </c>
      <c r="V44" s="27">
        <v>2.9000000000000001E-2</v>
      </c>
      <c r="W44" s="81">
        <v>0.02</v>
      </c>
      <c r="X44" s="11">
        <v>0.36199999999999999</v>
      </c>
      <c r="Y44" s="81">
        <v>0.04</v>
      </c>
      <c r="Z44" s="18">
        <v>1.4219999999999999</v>
      </c>
      <c r="AA44" s="31"/>
      <c r="AB44" s="69">
        <f t="shared" si="20"/>
        <v>18.334792142978035</v>
      </c>
      <c r="AC44" s="69">
        <f t="shared" si="1"/>
        <v>16.922887785064209</v>
      </c>
      <c r="AD44" s="69">
        <f t="shared" si="2"/>
        <v>4.0045299656568334</v>
      </c>
      <c r="AF44" s="90">
        <v>8.1</v>
      </c>
      <c r="AG44" s="90">
        <v>-7.2820799999999997</v>
      </c>
      <c r="AH44" s="90">
        <v>0.9355</v>
      </c>
      <c r="AI44" s="90">
        <v>-0.88119999999999998</v>
      </c>
      <c r="AJ44" s="90">
        <v>-1.1308</v>
      </c>
      <c r="AK44" s="90">
        <v>-2.7149000000000001</v>
      </c>
      <c r="AL44" s="90">
        <v>1.2094</v>
      </c>
      <c r="AM44" s="90">
        <v>0.32269999999999999</v>
      </c>
      <c r="AN44" s="90">
        <v>-1.7099</v>
      </c>
      <c r="AO44" s="90">
        <v>-0.3261</v>
      </c>
      <c r="AQ44" s="50">
        <f t="shared" si="25"/>
        <v>0.13900000000000001</v>
      </c>
      <c r="AR44" s="50">
        <f t="shared" si="26"/>
        <v>0.38160428546742697</v>
      </c>
      <c r="AS44" s="50">
        <f t="shared" si="27"/>
        <v>-7.8808888888888887E-3</v>
      </c>
      <c r="AT44" s="50">
        <f t="shared" ref="AT44:AT49" si="29">AT43-AS44</f>
        <v>0.24537155555555556</v>
      </c>
      <c r="AU44" s="50">
        <f t="shared" si="28"/>
        <v>2.7453545717081074</v>
      </c>
    </row>
    <row r="45" spans="1:47" s="68" customFormat="1" x14ac:dyDescent="0.35">
      <c r="A45" s="68">
        <v>7</v>
      </c>
      <c r="B45" s="28"/>
      <c r="C45" s="68">
        <v>26</v>
      </c>
      <c r="D45" s="68">
        <v>104</v>
      </c>
      <c r="E45" s="31">
        <f t="shared" si="23"/>
        <v>2704</v>
      </c>
      <c r="F45" s="69">
        <f t="shared" si="3"/>
        <v>1</v>
      </c>
      <c r="G45" s="25">
        <f t="shared" si="24"/>
        <v>26</v>
      </c>
      <c r="H45" s="31">
        <v>8.11</v>
      </c>
      <c r="I45" s="31">
        <v>1529</v>
      </c>
      <c r="J45" s="31">
        <v>287</v>
      </c>
      <c r="K45" s="27">
        <v>165</v>
      </c>
      <c r="L45" s="27">
        <v>36</v>
      </c>
      <c r="M45" s="27">
        <v>27</v>
      </c>
      <c r="N45" s="31">
        <v>507</v>
      </c>
      <c r="O45" s="31">
        <v>19</v>
      </c>
      <c r="P45" s="21">
        <v>121.7</v>
      </c>
      <c r="Q45" s="21">
        <v>39.590000000000003</v>
      </c>
      <c r="R45" s="21">
        <v>165.6</v>
      </c>
      <c r="S45" s="21">
        <v>16.66</v>
      </c>
      <c r="T45" s="21">
        <v>10.61</v>
      </c>
      <c r="U45" s="171">
        <v>0.2</v>
      </c>
      <c r="V45" s="27">
        <v>2.9000000000000001E-2</v>
      </c>
      <c r="W45" s="81">
        <v>0.02</v>
      </c>
      <c r="X45" s="11">
        <v>0.32900000000000001</v>
      </c>
      <c r="Y45" s="81">
        <v>0.04</v>
      </c>
      <c r="Z45" s="18">
        <v>1.33</v>
      </c>
      <c r="AA45" s="31"/>
      <c r="AB45" s="69">
        <f t="shared" si="20"/>
        <v>17.746901241458154</v>
      </c>
      <c r="AC45" s="69">
        <f t="shared" si="1"/>
        <v>16.803098165518996</v>
      </c>
      <c r="AD45" s="69">
        <f t="shared" si="2"/>
        <v>2.7317021480138233</v>
      </c>
      <c r="AF45" s="90">
        <v>8.11</v>
      </c>
      <c r="AG45" s="90">
        <v>-5.7728900000000003</v>
      </c>
      <c r="AH45" s="90">
        <v>0.93</v>
      </c>
      <c r="AI45" s="90">
        <v>-0.92910000000000004</v>
      </c>
      <c r="AJ45" s="90">
        <v>-1.1788000000000001</v>
      </c>
      <c r="AK45" s="90">
        <v>-2.7143000000000002</v>
      </c>
      <c r="AL45" s="90">
        <v>1.2005999999999999</v>
      </c>
      <c r="AM45" s="90">
        <v>0.30830000000000002</v>
      </c>
      <c r="AN45" s="90">
        <v>-1.7333000000000001</v>
      </c>
      <c r="AO45" s="90">
        <v>-0.32929999999999998</v>
      </c>
      <c r="AQ45" s="50">
        <f t="shared" si="25"/>
        <v>0.16500000000000001</v>
      </c>
      <c r="AR45" s="50">
        <f t="shared" si="26"/>
        <v>0.38965543459478141</v>
      </c>
      <c r="AS45" s="50">
        <f t="shared" si="27"/>
        <v>-5.1768888888888889E-3</v>
      </c>
      <c r="AT45" s="50">
        <f t="shared" si="29"/>
        <v>0.25054844444444446</v>
      </c>
      <c r="AU45" s="50">
        <f t="shared" si="28"/>
        <v>2.3615480884532207</v>
      </c>
    </row>
    <row r="46" spans="1:47" s="68" customFormat="1" x14ac:dyDescent="0.35">
      <c r="A46" s="68">
        <v>7</v>
      </c>
      <c r="B46" s="28"/>
      <c r="C46" s="68">
        <v>27</v>
      </c>
      <c r="D46" s="68">
        <v>104</v>
      </c>
      <c r="E46" s="31">
        <f t="shared" si="23"/>
        <v>2808</v>
      </c>
      <c r="F46" s="69">
        <f t="shared" si="3"/>
        <v>1</v>
      </c>
      <c r="G46" s="25">
        <f t="shared" si="24"/>
        <v>27</v>
      </c>
      <c r="H46" s="31">
        <v>8.08</v>
      </c>
      <c r="I46" s="31">
        <v>1530</v>
      </c>
      <c r="J46" s="31">
        <v>286</v>
      </c>
      <c r="K46" s="27">
        <v>182</v>
      </c>
      <c r="L46" s="27">
        <v>36</v>
      </c>
      <c r="M46" s="27">
        <v>27</v>
      </c>
      <c r="N46" s="31">
        <v>544</v>
      </c>
      <c r="O46" s="31">
        <v>21</v>
      </c>
      <c r="P46" s="21">
        <v>117.4</v>
      </c>
      <c r="Q46" s="21">
        <v>38.979999999999997</v>
      </c>
      <c r="R46" s="21">
        <v>173.1</v>
      </c>
      <c r="S46" s="21">
        <v>16.71</v>
      </c>
      <c r="T46" s="18">
        <v>9.94</v>
      </c>
      <c r="U46" s="171">
        <v>0.2</v>
      </c>
      <c r="V46" s="27">
        <v>2.9000000000000001E-2</v>
      </c>
      <c r="W46" s="81">
        <v>0.02</v>
      </c>
      <c r="X46" s="11">
        <v>0.32200000000000001</v>
      </c>
      <c r="Y46" s="81">
        <v>0.04</v>
      </c>
      <c r="Z46" s="18">
        <v>1.3120000000000001</v>
      </c>
      <c r="AA46" s="31"/>
      <c r="AB46" s="69">
        <f t="shared" si="20"/>
        <v>18.497253104876851</v>
      </c>
      <c r="AC46" s="69">
        <f t="shared" si="1"/>
        <v>16.847456078807546</v>
      </c>
      <c r="AD46" s="69">
        <f t="shared" si="2"/>
        <v>4.6677340517795898</v>
      </c>
      <c r="AF46" s="90">
        <v>8.08</v>
      </c>
      <c r="AG46" s="90">
        <v>-7.8906599999999996</v>
      </c>
      <c r="AH46" s="90">
        <v>0.876</v>
      </c>
      <c r="AI46" s="90">
        <v>-0.92120000000000002</v>
      </c>
      <c r="AJ46" s="90">
        <v>-1.1709000000000001</v>
      </c>
      <c r="AK46" s="90">
        <v>-2.6840999999999999</v>
      </c>
      <c r="AL46" s="90">
        <v>1.1022000000000001</v>
      </c>
      <c r="AM46" s="90">
        <v>0.26079999999999998</v>
      </c>
      <c r="AN46" s="90">
        <v>-1.76</v>
      </c>
      <c r="AO46" s="90">
        <v>-0.37369999999999998</v>
      </c>
      <c r="AQ46" s="50">
        <f t="shared" si="25"/>
        <v>0.182</v>
      </c>
      <c r="AR46" s="50">
        <f t="shared" si="26"/>
        <v>0.39495697252462419</v>
      </c>
      <c r="AS46" s="50">
        <f t="shared" si="27"/>
        <v>-3.4088888888888906E-3</v>
      </c>
      <c r="AT46" s="50">
        <f t="shared" si="29"/>
        <v>0.25395733333333337</v>
      </c>
      <c r="AU46" s="50">
        <f t="shared" si="28"/>
        <v>2.1700932556298032</v>
      </c>
    </row>
    <row r="47" spans="1:47" s="68" customFormat="1" x14ac:dyDescent="0.35">
      <c r="A47" s="68">
        <v>7</v>
      </c>
      <c r="B47" s="28"/>
      <c r="C47" s="68">
        <v>28</v>
      </c>
      <c r="D47" s="68">
        <v>104</v>
      </c>
      <c r="E47" s="31">
        <f t="shared" si="23"/>
        <v>2912</v>
      </c>
      <c r="F47" s="69">
        <f t="shared" si="3"/>
        <v>1</v>
      </c>
      <c r="G47" s="25">
        <f t="shared" si="24"/>
        <v>28</v>
      </c>
      <c r="H47" s="31">
        <v>8.07</v>
      </c>
      <c r="I47" s="31">
        <v>1531</v>
      </c>
      <c r="J47" s="31">
        <v>286</v>
      </c>
      <c r="K47" s="27">
        <v>187</v>
      </c>
      <c r="L47" s="27">
        <v>36</v>
      </c>
      <c r="M47" s="27">
        <v>27</v>
      </c>
      <c r="N47" s="31">
        <v>547</v>
      </c>
      <c r="O47" s="31">
        <v>20</v>
      </c>
      <c r="P47" s="21">
        <v>124</v>
      </c>
      <c r="Q47" s="21">
        <v>41</v>
      </c>
      <c r="R47" s="21">
        <v>180</v>
      </c>
      <c r="S47" s="21">
        <v>19</v>
      </c>
      <c r="T47" s="21">
        <v>10</v>
      </c>
      <c r="U47" s="171">
        <v>0.2</v>
      </c>
      <c r="V47" s="27">
        <v>3.3000000000000002E-2</v>
      </c>
      <c r="W47" s="81">
        <v>0.02</v>
      </c>
      <c r="X47" s="11">
        <v>0.32800000000000001</v>
      </c>
      <c r="Y47" s="81">
        <v>0.04</v>
      </c>
      <c r="Z47" s="18">
        <v>1.3220000000000001</v>
      </c>
      <c r="AA47" s="31"/>
      <c r="AB47" s="69">
        <f t="shared" si="20"/>
        <v>18.559714066775662</v>
      </c>
      <c r="AC47" s="69">
        <f t="shared" si="1"/>
        <v>17.644580835597715</v>
      </c>
      <c r="AD47" s="69">
        <f t="shared" si="2"/>
        <v>2.5276924565045329</v>
      </c>
      <c r="AF47" s="90">
        <v>8.07</v>
      </c>
      <c r="AG47" s="90">
        <v>-5.44923</v>
      </c>
      <c r="AH47" s="90">
        <v>0.88780000000000003</v>
      </c>
      <c r="AI47" s="90">
        <v>-0.90169999999999995</v>
      </c>
      <c r="AJ47" s="90">
        <v>-1.1514</v>
      </c>
      <c r="AK47" s="90">
        <v>-2.6753999999999998</v>
      </c>
      <c r="AL47" s="90">
        <v>1.1237999999999999</v>
      </c>
      <c r="AM47" s="90">
        <v>0.2555</v>
      </c>
      <c r="AN47" s="90">
        <v>-1.6829000000000001</v>
      </c>
      <c r="AO47" s="90">
        <v>-0.36399999999999999</v>
      </c>
      <c r="AQ47" s="50">
        <f t="shared" si="25"/>
        <v>0.187</v>
      </c>
      <c r="AR47" s="50">
        <f t="shared" si="26"/>
        <v>0.3994498012787282</v>
      </c>
      <c r="AS47" s="50">
        <f t="shared" si="27"/>
        <v>-2.8888888888888901E-3</v>
      </c>
      <c r="AT47" s="50">
        <f t="shared" si="29"/>
        <v>0.25684622222222225</v>
      </c>
      <c r="AU47" s="50">
        <f t="shared" si="28"/>
        <v>2.1360951940038939</v>
      </c>
    </row>
    <row r="48" spans="1:47" s="68" customFormat="1" x14ac:dyDescent="0.35">
      <c r="A48" s="68">
        <v>7</v>
      </c>
      <c r="B48" s="28"/>
      <c r="C48" s="68">
        <v>29</v>
      </c>
      <c r="D48" s="68">
        <v>104</v>
      </c>
      <c r="E48" s="31">
        <f t="shared" si="23"/>
        <v>3016</v>
      </c>
      <c r="F48" s="69">
        <f t="shared" si="3"/>
        <v>1</v>
      </c>
      <c r="G48" s="25">
        <f t="shared" si="24"/>
        <v>29</v>
      </c>
      <c r="H48" s="31">
        <v>8.0399999999999991</v>
      </c>
      <c r="I48" s="31">
        <v>1527</v>
      </c>
      <c r="J48" s="31">
        <v>284</v>
      </c>
      <c r="K48" s="27">
        <v>190</v>
      </c>
      <c r="L48" s="27">
        <v>36</v>
      </c>
      <c r="M48" s="27">
        <v>27</v>
      </c>
      <c r="N48" s="31">
        <v>540</v>
      </c>
      <c r="O48" s="31">
        <v>19</v>
      </c>
      <c r="P48" s="21">
        <v>121</v>
      </c>
      <c r="Q48" s="21">
        <v>41</v>
      </c>
      <c r="R48" s="21">
        <v>179</v>
      </c>
      <c r="S48" s="21">
        <v>19</v>
      </c>
      <c r="T48" s="18">
        <v>9.6999999999999993</v>
      </c>
      <c r="U48" s="171">
        <v>0.2</v>
      </c>
      <c r="V48" s="27">
        <v>3.2000000000000001E-2</v>
      </c>
      <c r="W48" s="81">
        <v>0.02</v>
      </c>
      <c r="X48" s="11">
        <v>0.316</v>
      </c>
      <c r="Y48" s="81">
        <v>0.04</v>
      </c>
      <c r="Z48" s="18">
        <v>1.292</v>
      </c>
      <c r="AA48" s="31"/>
      <c r="AB48" s="69">
        <f t="shared" si="20"/>
        <v>18.373971822345098</v>
      </c>
      <c r="AC48" s="69">
        <f t="shared" si="1"/>
        <v>17.443710429840444</v>
      </c>
      <c r="AD48" s="69">
        <f t="shared" si="2"/>
        <v>2.5972127005730283</v>
      </c>
      <c r="AF48" s="90">
        <v>8.0399999999999991</v>
      </c>
      <c r="AG48" s="90">
        <v>-5.5682900000000002</v>
      </c>
      <c r="AH48" s="90">
        <v>0.84789999999999999</v>
      </c>
      <c r="AI48" s="90">
        <v>-0.91410000000000002</v>
      </c>
      <c r="AJ48" s="90">
        <v>-1.1637</v>
      </c>
      <c r="AK48" s="90">
        <v>-2.6467999999999998</v>
      </c>
      <c r="AL48" s="90">
        <v>1.0543</v>
      </c>
      <c r="AM48" s="90">
        <v>0.2099</v>
      </c>
      <c r="AN48" s="90">
        <v>-1.7038</v>
      </c>
      <c r="AO48" s="90">
        <v>-0.39360000000000001</v>
      </c>
      <c r="AQ48" s="50">
        <f t="shared" si="25"/>
        <v>0.19</v>
      </c>
      <c r="AR48" s="50">
        <f t="shared" si="26"/>
        <v>0.40345740452738904</v>
      </c>
      <c r="AS48" s="50">
        <f t="shared" si="27"/>
        <v>-2.5768888888888898E-3</v>
      </c>
      <c r="AT48" s="50">
        <f t="shared" si="29"/>
        <v>0.25942311111111116</v>
      </c>
      <c r="AU48" s="50">
        <f t="shared" si="28"/>
        <v>2.1234600238283634</v>
      </c>
    </row>
    <row r="49" spans="1:47" s="68" customFormat="1" x14ac:dyDescent="0.35">
      <c r="A49" s="68">
        <v>7</v>
      </c>
      <c r="B49" s="28">
        <v>43526</v>
      </c>
      <c r="C49" s="68">
        <v>30</v>
      </c>
      <c r="D49" s="68">
        <v>104</v>
      </c>
      <c r="E49" s="31">
        <f t="shared" si="23"/>
        <v>3120</v>
      </c>
      <c r="F49" s="69">
        <f t="shared" si="3"/>
        <v>1</v>
      </c>
      <c r="G49" s="25">
        <f t="shared" si="24"/>
        <v>30</v>
      </c>
      <c r="H49" s="31">
        <v>8.1199999999999992</v>
      </c>
      <c r="I49" s="31">
        <v>1534</v>
      </c>
      <c r="J49" s="31">
        <v>286</v>
      </c>
      <c r="K49" s="27">
        <v>198</v>
      </c>
      <c r="L49" s="27">
        <v>37</v>
      </c>
      <c r="M49" s="27">
        <v>26</v>
      </c>
      <c r="N49" s="31">
        <v>544</v>
      </c>
      <c r="O49" s="31">
        <v>20</v>
      </c>
      <c r="P49" s="21">
        <v>122</v>
      </c>
      <c r="Q49" s="21">
        <v>41</v>
      </c>
      <c r="R49" s="21">
        <v>179</v>
      </c>
      <c r="S49" s="21">
        <v>20</v>
      </c>
      <c r="T49" s="18">
        <v>9.1999999999999993</v>
      </c>
      <c r="U49" s="171">
        <v>0.2</v>
      </c>
      <c r="V49" s="68">
        <v>2.9000000000000001E-2</v>
      </c>
      <c r="W49" s="81">
        <v>0.02</v>
      </c>
      <c r="X49" s="163">
        <v>0.31900000000000001</v>
      </c>
      <c r="Y49" s="81">
        <v>0.04</v>
      </c>
      <c r="Z49" s="170">
        <v>1.282</v>
      </c>
      <c r="AA49" s="31"/>
      <c r="AB49" s="69">
        <f t="shared" si="20"/>
        <v>18.509332817329646</v>
      </c>
      <c r="AC49" s="69">
        <f t="shared" si="1"/>
        <v>17.480822905656076</v>
      </c>
      <c r="AD49" s="69">
        <f t="shared" si="2"/>
        <v>2.8577534356615604</v>
      </c>
      <c r="AF49" s="90">
        <v>8.1199999999999992</v>
      </c>
      <c r="AG49" s="90">
        <v>-5.8835600000000001</v>
      </c>
      <c r="AH49" s="90">
        <v>0.92900000000000005</v>
      </c>
      <c r="AI49" s="90">
        <v>-0.90980000000000005</v>
      </c>
      <c r="AJ49" s="90">
        <v>-1.1594</v>
      </c>
      <c r="AK49" s="90">
        <v>-2.7271999999999998</v>
      </c>
      <c r="AL49" s="90">
        <v>1.2136</v>
      </c>
      <c r="AM49" s="90">
        <v>0.29249999999999998</v>
      </c>
      <c r="AN49" s="90">
        <v>-1.7454000000000001</v>
      </c>
      <c r="AO49" s="90">
        <v>-0.3155</v>
      </c>
      <c r="AQ49" s="50">
        <f t="shared" si="25"/>
        <v>0.19800000000000001</v>
      </c>
      <c r="AR49" s="50">
        <f t="shared" si="26"/>
        <v>0.40617107309486788</v>
      </c>
      <c r="AS49" s="50">
        <f t="shared" si="27"/>
        <v>-1.7448888888888891E-3</v>
      </c>
      <c r="AT49" s="50">
        <f t="shared" si="29"/>
        <v>0.26116800000000007</v>
      </c>
      <c r="AU49" s="50">
        <f t="shared" si="28"/>
        <v>2.051369056034686</v>
      </c>
    </row>
    <row r="50" spans="1:47" s="68" customFormat="1" x14ac:dyDescent="0.35">
      <c r="B50" s="28"/>
      <c r="E50" s="31"/>
      <c r="F50" s="69"/>
      <c r="G50" s="25"/>
      <c r="K50" s="65"/>
      <c r="L50" s="65"/>
      <c r="N50" s="31"/>
      <c r="P50" s="66"/>
      <c r="Q50" s="65"/>
      <c r="R50" s="32"/>
      <c r="S50" s="32"/>
      <c r="T50" s="32"/>
      <c r="U50" s="171"/>
      <c r="W50" s="176"/>
      <c r="AB50" s="69"/>
      <c r="AC50" s="69"/>
      <c r="AD50" s="69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Q50" s="149"/>
      <c r="AR50" s="149"/>
      <c r="AS50" s="149"/>
      <c r="AT50" s="149"/>
    </row>
    <row r="51" spans="1:47" s="68" customFormat="1" x14ac:dyDescent="0.35">
      <c r="A51" s="68" t="s">
        <v>76</v>
      </c>
      <c r="B51" s="28"/>
      <c r="E51" s="31"/>
      <c r="F51" s="69"/>
      <c r="G51" s="25"/>
      <c r="H51" s="170">
        <v>7.3</v>
      </c>
      <c r="I51" s="165">
        <f>'Influent Results Master'!D38</f>
        <v>2311.5</v>
      </c>
      <c r="J51" s="70">
        <f>'Influent Results Master'!F38</f>
        <v>244.83333333333331</v>
      </c>
      <c r="K51" s="70">
        <f>'Influent Results Master'!G38</f>
        <v>85.666666666666671</v>
      </c>
      <c r="L51" s="70">
        <f>'Influent Results Master'!H38</f>
        <v>91.5</v>
      </c>
      <c r="M51" s="70">
        <f>'Influent Results Master'!I38</f>
        <v>16.333333333333332</v>
      </c>
      <c r="N51" s="70">
        <f>'Influent Results Master'!J38</f>
        <v>975.66666666666674</v>
      </c>
      <c r="O51" s="70">
        <f>'Influent Results Master'!K38</f>
        <v>20</v>
      </c>
      <c r="P51" s="70">
        <f>'Influent Results Master'!L38</f>
        <v>158.21666666666667</v>
      </c>
      <c r="Q51" s="70">
        <f>'Influent Results Master'!M38</f>
        <v>44.49</v>
      </c>
      <c r="R51" s="70">
        <f>'Influent Results Master'!N38</f>
        <v>407.98333333333335</v>
      </c>
      <c r="S51" s="70">
        <f>'Influent Results Master'!O38</f>
        <v>22.978333333333335</v>
      </c>
      <c r="T51" s="15">
        <f>'Influent Results Master'!P38</f>
        <v>8.5111666666666679</v>
      </c>
      <c r="U51" s="171">
        <f>'Influent Results Master'!Q38</f>
        <v>0.20000000000000004</v>
      </c>
      <c r="V51" s="80">
        <f>'Influent Results Master'!R38</f>
        <v>0.02</v>
      </c>
      <c r="W51" s="177">
        <f>'Influent Results Master'!S38</f>
        <v>0.02</v>
      </c>
      <c r="X51" s="69">
        <f>'Influent Results Master'!T38</f>
        <v>0.44666666666666671</v>
      </c>
      <c r="Y51" s="80">
        <f>'Influent Results Master'!U38</f>
        <v>0.04</v>
      </c>
      <c r="Z51" s="15">
        <f>'Influent Results Master'!V38</f>
        <v>1.7963333333333331</v>
      </c>
      <c r="AB51" s="69">
        <f>((J51/50)+(L51/35.45)+(M51/62)+(N51/48.03))</f>
        <v>28.054900498795039</v>
      </c>
      <c r="AC51" s="69">
        <f t="shared" si="1"/>
        <v>29.517558751050874</v>
      </c>
      <c r="AD51" s="69">
        <f t="shared" si="2"/>
        <v>2.5405519780010954</v>
      </c>
      <c r="AF51" s="90">
        <v>7.3</v>
      </c>
      <c r="AG51" s="90">
        <v>-0.385459</v>
      </c>
      <c r="AH51" s="90">
        <v>6.9599999999999995E-2</v>
      </c>
      <c r="AI51" s="90">
        <v>-0.67869999999999997</v>
      </c>
      <c r="AJ51" s="90">
        <v>-0.92810000000000004</v>
      </c>
      <c r="AK51" s="90">
        <v>-1.9704999999999999</v>
      </c>
      <c r="AL51" s="90">
        <v>-0.57879999999999998</v>
      </c>
      <c r="AM51" s="90">
        <v>-0.59299999999999997</v>
      </c>
      <c r="AN51" s="90">
        <v>-1.9323999999999999</v>
      </c>
      <c r="AO51" s="90">
        <v>-1.2484</v>
      </c>
      <c r="AQ51" s="50">
        <f>K51/1000</f>
        <v>8.5666666666666669E-2</v>
      </c>
      <c r="AR51" s="149"/>
      <c r="AS51" s="149"/>
      <c r="AT51" s="149"/>
    </row>
    <row r="52" spans="1:47" s="68" customFormat="1" x14ac:dyDescent="0.35">
      <c r="B52" s="28"/>
      <c r="E52" s="31"/>
      <c r="F52" s="69"/>
      <c r="G52" s="25"/>
      <c r="K52" s="65"/>
      <c r="L52" s="65"/>
      <c r="N52" s="31"/>
      <c r="P52" s="66"/>
      <c r="Q52" s="65"/>
      <c r="R52" s="32"/>
      <c r="S52" s="32"/>
      <c r="T52" s="32"/>
      <c r="U52" s="171"/>
      <c r="W52" s="176"/>
      <c r="AB52" s="69"/>
      <c r="AC52" s="69"/>
      <c r="AD52" s="69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Q52" s="149"/>
      <c r="AR52" s="149"/>
      <c r="AS52" s="149"/>
      <c r="AT52" s="149"/>
    </row>
    <row r="53" spans="1:47" s="68" customFormat="1" x14ac:dyDescent="0.35">
      <c r="A53" s="68">
        <v>7</v>
      </c>
      <c r="B53" s="28">
        <v>43526</v>
      </c>
      <c r="C53" s="68">
        <v>31</v>
      </c>
      <c r="D53" s="68">
        <v>104</v>
      </c>
      <c r="E53" s="31">
        <f>D53+E49</f>
        <v>3224</v>
      </c>
      <c r="F53" s="69">
        <f t="shared" si="3"/>
        <v>1</v>
      </c>
      <c r="G53" s="25">
        <f>G49+F53</f>
        <v>31</v>
      </c>
      <c r="H53" s="31">
        <v>8.06</v>
      </c>
      <c r="I53" s="31">
        <v>2030</v>
      </c>
      <c r="J53" s="31">
        <v>267</v>
      </c>
      <c r="K53" s="27">
        <v>233</v>
      </c>
      <c r="L53" s="27">
        <v>73</v>
      </c>
      <c r="M53" s="186">
        <v>18</v>
      </c>
      <c r="N53" s="31">
        <v>893</v>
      </c>
      <c r="O53" s="31">
        <v>17</v>
      </c>
      <c r="P53" s="21">
        <v>191</v>
      </c>
      <c r="Q53" s="21">
        <v>63</v>
      </c>
      <c r="R53" s="21">
        <v>222</v>
      </c>
      <c r="S53" s="21">
        <v>20</v>
      </c>
      <c r="T53" s="21">
        <v>11</v>
      </c>
      <c r="U53" s="171">
        <v>0.2</v>
      </c>
      <c r="V53" s="161">
        <v>0.02</v>
      </c>
      <c r="W53" s="81">
        <v>0.02</v>
      </c>
      <c r="X53" s="163">
        <v>0.496</v>
      </c>
      <c r="Y53" s="81">
        <v>0.04</v>
      </c>
      <c r="Z53" s="170">
        <v>2.0070000000000001</v>
      </c>
      <c r="AA53" s="27"/>
      <c r="AB53" s="69">
        <f t="shared" ref="AB53:AB60" si="30">((J53/50)+(L53/35.45)+(M53/62)+(N53/48.03))</f>
        <v>26.282107269751375</v>
      </c>
      <c r="AC53" s="69">
        <f t="shared" si="1"/>
        <v>24.649561435455905</v>
      </c>
      <c r="AD53" s="69">
        <f t="shared" si="2"/>
        <v>3.2053649051725612</v>
      </c>
      <c r="AE53" s="31"/>
      <c r="AF53" s="90">
        <v>8.06</v>
      </c>
      <c r="AG53" s="90">
        <v>-5.2361599999999999</v>
      </c>
      <c r="AH53" s="90">
        <v>0.95650000000000002</v>
      </c>
      <c r="AI53" s="90">
        <v>-0.61870000000000003</v>
      </c>
      <c r="AJ53" s="90">
        <v>-0.86829999999999996</v>
      </c>
      <c r="AK53" s="90">
        <v>-2.7109000000000001</v>
      </c>
      <c r="AL53" s="90">
        <v>1.2630999999999999</v>
      </c>
      <c r="AM53" s="90">
        <v>0.30690000000000001</v>
      </c>
      <c r="AN53" s="90">
        <v>-1.8113999999999999</v>
      </c>
      <c r="AO53" s="90">
        <v>-0.29349999999999998</v>
      </c>
      <c r="AQ53" s="50">
        <f t="shared" ref="AQ53:AQ60" si="31">K53/1000</f>
        <v>0.23300000000000001</v>
      </c>
      <c r="AR53" s="50">
        <f>AT53/$AS$6</f>
        <v>0.38234110938310012</v>
      </c>
      <c r="AS53" s="50">
        <f>(AQ53-$AQ$51)*0.104</f>
        <v>1.5322666666666667E-2</v>
      </c>
      <c r="AT53" s="50">
        <f>AT49-AS53</f>
        <v>0.24584533333333339</v>
      </c>
      <c r="AU53" s="50">
        <f t="shared" ref="AU53" si="32">AR53/AQ53</f>
        <v>1.6409489673094424</v>
      </c>
    </row>
    <row r="54" spans="1:47" s="68" customFormat="1" x14ac:dyDescent="0.35">
      <c r="A54" s="68">
        <v>7</v>
      </c>
      <c r="B54" s="28"/>
      <c r="C54" s="68">
        <v>32</v>
      </c>
      <c r="D54" s="68">
        <v>104</v>
      </c>
      <c r="E54" s="31">
        <f>D54+E53</f>
        <v>3328</v>
      </c>
      <c r="F54" s="69">
        <f t="shared" si="3"/>
        <v>1</v>
      </c>
      <c r="G54" s="25">
        <f>G53+F54</f>
        <v>32</v>
      </c>
      <c r="H54" s="31">
        <v>8.06</v>
      </c>
      <c r="I54" s="31">
        <v>2290</v>
      </c>
      <c r="J54" s="31">
        <v>254</v>
      </c>
      <c r="K54" s="27">
        <v>186</v>
      </c>
      <c r="L54" s="27">
        <v>88</v>
      </c>
      <c r="M54" s="186">
        <v>16</v>
      </c>
      <c r="N54" s="31">
        <v>1050</v>
      </c>
      <c r="O54" s="31">
        <v>18</v>
      </c>
      <c r="P54" s="21">
        <v>189</v>
      </c>
      <c r="Q54" s="21">
        <v>63</v>
      </c>
      <c r="R54" s="21">
        <v>283</v>
      </c>
      <c r="S54" s="21">
        <v>20</v>
      </c>
      <c r="T54" s="21">
        <v>11</v>
      </c>
      <c r="U54" s="171">
        <v>0.2</v>
      </c>
      <c r="V54" s="81">
        <v>0.02</v>
      </c>
      <c r="W54" s="81">
        <v>0.02</v>
      </c>
      <c r="X54" s="11">
        <v>0.51200000000000001</v>
      </c>
      <c r="Y54" s="81">
        <v>0.04</v>
      </c>
      <c r="Z54" s="18">
        <v>2.073</v>
      </c>
      <c r="AA54" s="27"/>
      <c r="AB54" s="69">
        <f t="shared" si="30"/>
        <v>29.68177071526938</v>
      </c>
      <c r="AC54" s="69">
        <f t="shared" si="1"/>
        <v>27.203088569964617</v>
      </c>
      <c r="AD54" s="69">
        <f t="shared" si="2"/>
        <v>4.3573671033905006</v>
      </c>
      <c r="AE54" s="31"/>
      <c r="AF54" s="90">
        <v>8.06</v>
      </c>
      <c r="AG54" s="90">
        <v>-6.3119199999999998</v>
      </c>
      <c r="AH54" s="90">
        <v>0.90249999999999997</v>
      </c>
      <c r="AI54" s="90">
        <v>-0.58489999999999998</v>
      </c>
      <c r="AJ54" s="90">
        <v>-0.83440000000000003</v>
      </c>
      <c r="AK54" s="90">
        <v>-2.734</v>
      </c>
      <c r="AL54" s="90">
        <v>1.1611</v>
      </c>
      <c r="AM54" s="90">
        <v>0.26879999999999998</v>
      </c>
      <c r="AN54" s="90">
        <v>-1.8543000000000001</v>
      </c>
      <c r="AO54" s="90">
        <v>-0.34129999999999999</v>
      </c>
      <c r="AQ54" s="50">
        <f t="shared" si="31"/>
        <v>0.186</v>
      </c>
      <c r="AR54" s="50">
        <f t="shared" ref="AR54:AR60" si="33">AT54/$AS$6</f>
        <v>0.36611301192327639</v>
      </c>
      <c r="AS54" s="50">
        <f>(AQ54-$AQ$51)*0.104</f>
        <v>1.0434666666666665E-2</v>
      </c>
      <c r="AT54" s="50">
        <f>AT53-AS54</f>
        <v>0.23541066666666671</v>
      </c>
      <c r="AU54" s="50">
        <f t="shared" ref="AU54" si="34">AR54/AQ54</f>
        <v>1.9683495264692279</v>
      </c>
    </row>
    <row r="55" spans="1:47" s="68" customFormat="1" x14ac:dyDescent="0.35">
      <c r="A55" s="68">
        <v>7</v>
      </c>
      <c r="B55" s="28"/>
      <c r="C55" s="68">
        <v>33</v>
      </c>
      <c r="D55" s="68">
        <v>104</v>
      </c>
      <c r="E55" s="31">
        <f t="shared" ref="E55:E60" si="35">D55+E54</f>
        <v>3432</v>
      </c>
      <c r="F55" s="69">
        <f t="shared" si="3"/>
        <v>1</v>
      </c>
      <c r="G55" s="25">
        <f t="shared" ref="G55:G60" si="36">G54+F55</f>
        <v>33</v>
      </c>
      <c r="H55" s="31">
        <v>8.01</v>
      </c>
      <c r="I55" s="31">
        <v>2330</v>
      </c>
      <c r="J55" s="31">
        <v>248</v>
      </c>
      <c r="K55" s="27">
        <v>150</v>
      </c>
      <c r="L55" s="27">
        <v>88</v>
      </c>
      <c r="M55" s="186">
        <v>16</v>
      </c>
      <c r="N55" s="31">
        <v>1062</v>
      </c>
      <c r="O55" s="31">
        <v>18</v>
      </c>
      <c r="P55" s="12">
        <v>161</v>
      </c>
      <c r="Q55" s="12">
        <v>53</v>
      </c>
      <c r="R55" s="12">
        <v>333</v>
      </c>
      <c r="S55" s="12">
        <v>20</v>
      </c>
      <c r="T55" s="31">
        <v>10</v>
      </c>
      <c r="U55" s="171">
        <v>0.2</v>
      </c>
      <c r="V55" s="81">
        <v>0.02</v>
      </c>
      <c r="W55" s="81">
        <v>0.02</v>
      </c>
      <c r="X55" s="11">
        <v>0.442</v>
      </c>
      <c r="Y55" s="81">
        <v>0.04</v>
      </c>
      <c r="Z55" s="18">
        <v>1.742</v>
      </c>
      <c r="AA55" s="27"/>
      <c r="AB55" s="69">
        <f t="shared" si="30"/>
        <v>29.811614562864634</v>
      </c>
      <c r="AC55" s="69">
        <f t="shared" si="1"/>
        <v>27.132797746708075</v>
      </c>
      <c r="AD55" s="69">
        <f t="shared" si="2"/>
        <v>4.7042663318631401</v>
      </c>
      <c r="AE55" s="31"/>
      <c r="AF55" s="90">
        <v>8.01</v>
      </c>
      <c r="AG55" s="90">
        <v>-6.63767</v>
      </c>
      <c r="AH55" s="90">
        <v>0.77329999999999999</v>
      </c>
      <c r="AI55" s="90">
        <v>-0.64270000000000005</v>
      </c>
      <c r="AJ55" s="90">
        <v>-0.89219999999999999</v>
      </c>
      <c r="AK55" s="90">
        <v>-2.6886000000000001</v>
      </c>
      <c r="AL55" s="90">
        <v>0.89780000000000004</v>
      </c>
      <c r="AM55" s="90">
        <v>0.1462</v>
      </c>
      <c r="AN55" s="90">
        <v>-1.9293</v>
      </c>
      <c r="AO55" s="90">
        <v>-0.47549999999999998</v>
      </c>
      <c r="AQ55" s="50">
        <f t="shared" si="31"/>
        <v>0.15</v>
      </c>
      <c r="AR55" s="50">
        <f t="shared" si="33"/>
        <v>0.35570762052877142</v>
      </c>
      <c r="AS55" s="50">
        <f t="shared" ref="AS55:AS60" si="37">(AQ55-$AQ$51)*0.104</f>
        <v>6.6906666666666659E-3</v>
      </c>
      <c r="AT55" s="50">
        <f t="shared" ref="AT55:AT60" si="38">AT54-AS55</f>
        <v>0.22872000000000003</v>
      </c>
      <c r="AU55" s="50">
        <f t="shared" ref="AU55:AU60" si="39">AR55/AQ55</f>
        <v>2.371384136858476</v>
      </c>
    </row>
    <row r="56" spans="1:47" s="68" customFormat="1" x14ac:dyDescent="0.35">
      <c r="A56" s="68">
        <v>7</v>
      </c>
      <c r="B56" s="28"/>
      <c r="C56" s="68">
        <v>34</v>
      </c>
      <c r="D56" s="68">
        <v>104</v>
      </c>
      <c r="E56" s="31">
        <f t="shared" si="35"/>
        <v>3536</v>
      </c>
      <c r="F56" s="69">
        <f t="shared" si="3"/>
        <v>1</v>
      </c>
      <c r="G56" s="25">
        <f t="shared" si="36"/>
        <v>34</v>
      </c>
      <c r="H56" s="31">
        <v>8.02</v>
      </c>
      <c r="I56" s="31">
        <v>2350</v>
      </c>
      <c r="J56" s="31">
        <v>248</v>
      </c>
      <c r="K56" s="27">
        <v>130</v>
      </c>
      <c r="L56" s="27">
        <v>87</v>
      </c>
      <c r="M56" s="186">
        <v>16</v>
      </c>
      <c r="N56" s="31">
        <v>1038</v>
      </c>
      <c r="O56" s="31">
        <v>18</v>
      </c>
      <c r="P56" s="21">
        <v>149</v>
      </c>
      <c r="Q56" s="21">
        <v>49</v>
      </c>
      <c r="R56" s="21">
        <v>357</v>
      </c>
      <c r="S56" s="21">
        <v>20</v>
      </c>
      <c r="T56" s="21">
        <v>10</v>
      </c>
      <c r="U56" s="171">
        <v>0.2</v>
      </c>
      <c r="V56" s="81">
        <v>0.02</v>
      </c>
      <c r="W56" s="81">
        <v>0.02</v>
      </c>
      <c r="X56" s="11">
        <v>0.41099999999999998</v>
      </c>
      <c r="Y56" s="81">
        <v>0.04</v>
      </c>
      <c r="Z56" s="18">
        <v>1.63</v>
      </c>
      <c r="AA56" s="27"/>
      <c r="AB56" s="69">
        <f t="shared" si="30"/>
        <v>29.283718122963265</v>
      </c>
      <c r="AC56" s="69">
        <f t="shared" si="1"/>
        <v>27.248980127488057</v>
      </c>
      <c r="AD56" s="69">
        <f t="shared" si="2"/>
        <v>3.5992232078874178</v>
      </c>
      <c r="AE56" s="31"/>
      <c r="AF56" s="90">
        <v>8.02</v>
      </c>
      <c r="AG56" s="90">
        <v>-5.3112199999999996</v>
      </c>
      <c r="AH56" s="90">
        <v>0.75290000000000001</v>
      </c>
      <c r="AI56" s="90">
        <v>-0.67910000000000004</v>
      </c>
      <c r="AJ56" s="90">
        <v>-0.92849999999999999</v>
      </c>
      <c r="AK56" s="90">
        <v>-2.6972999999999998</v>
      </c>
      <c r="AL56" s="90">
        <v>0.85660000000000003</v>
      </c>
      <c r="AM56" s="90">
        <v>0.12820000000000001</v>
      </c>
      <c r="AN56" s="90">
        <v>-1.9598</v>
      </c>
      <c r="AO56" s="90">
        <v>-0.49640000000000001</v>
      </c>
      <c r="AQ56" s="50">
        <f t="shared" si="31"/>
        <v>0.13</v>
      </c>
      <c r="AR56" s="50">
        <f t="shared" si="33"/>
        <v>0.34853706583722138</v>
      </c>
      <c r="AS56" s="50">
        <f t="shared" si="37"/>
        <v>4.6106666666666666E-3</v>
      </c>
      <c r="AT56" s="50">
        <f t="shared" si="38"/>
        <v>0.22410933333333335</v>
      </c>
      <c r="AU56" s="50">
        <f t="shared" si="39"/>
        <v>2.6810543525940105</v>
      </c>
    </row>
    <row r="57" spans="1:47" s="68" customFormat="1" x14ac:dyDescent="0.35">
      <c r="A57" s="68">
        <v>7</v>
      </c>
      <c r="B57" s="28"/>
      <c r="C57" s="68">
        <v>35</v>
      </c>
      <c r="D57" s="68">
        <v>104</v>
      </c>
      <c r="E57" s="31">
        <f t="shared" si="35"/>
        <v>3640</v>
      </c>
      <c r="F57" s="69">
        <f t="shared" si="3"/>
        <v>1</v>
      </c>
      <c r="G57" s="25">
        <f t="shared" si="36"/>
        <v>35</v>
      </c>
      <c r="H57" s="31">
        <v>7.99</v>
      </c>
      <c r="I57" s="31">
        <v>2350</v>
      </c>
      <c r="J57" s="31">
        <v>248</v>
      </c>
      <c r="K57" s="27">
        <v>116</v>
      </c>
      <c r="L57" s="27">
        <v>87</v>
      </c>
      <c r="M57" s="186">
        <v>16</v>
      </c>
      <c r="N57" s="31">
        <v>1034</v>
      </c>
      <c r="O57" s="31">
        <v>17</v>
      </c>
      <c r="P57" s="21">
        <v>149.9</v>
      </c>
      <c r="Q57" s="21">
        <v>49.08</v>
      </c>
      <c r="R57" s="21">
        <v>359.9</v>
      </c>
      <c r="S57" s="21">
        <v>20.47</v>
      </c>
      <c r="T57" s="18">
        <v>9.7620000000000005</v>
      </c>
      <c r="U57" s="171">
        <v>0.2</v>
      </c>
      <c r="V57" s="81">
        <v>0.02</v>
      </c>
      <c r="W57" s="81">
        <v>0.02</v>
      </c>
      <c r="X57" s="11">
        <v>0.41</v>
      </c>
      <c r="Y57" s="81">
        <v>0.04</v>
      </c>
      <c r="Z57" s="18">
        <v>1.5649999999999999</v>
      </c>
      <c r="AA57" s="27"/>
      <c r="AB57" s="69">
        <f t="shared" si="30"/>
        <v>29.200436840431514</v>
      </c>
      <c r="AC57" s="69">
        <f t="shared" si="1"/>
        <v>27.420524098758406</v>
      </c>
      <c r="AD57" s="69">
        <f t="shared" si="2"/>
        <v>3.1435579900961206</v>
      </c>
      <c r="AE57" s="31"/>
      <c r="AF57" s="90">
        <v>7.99</v>
      </c>
      <c r="AG57" s="90">
        <v>-4.7875399999999999</v>
      </c>
      <c r="AH57" s="90">
        <v>0.72740000000000005</v>
      </c>
      <c r="AI57" s="90">
        <v>-0.67789999999999995</v>
      </c>
      <c r="AJ57" s="90">
        <v>-0.92730000000000001</v>
      </c>
      <c r="AK57" s="90">
        <v>-2.6663999999999999</v>
      </c>
      <c r="AL57" s="90">
        <v>0.8034</v>
      </c>
      <c r="AM57" s="90">
        <v>9.8599999999999993E-2</v>
      </c>
      <c r="AN57" s="90">
        <v>-1.9563999999999999</v>
      </c>
      <c r="AO57" s="90">
        <v>-0.52400000000000002</v>
      </c>
      <c r="AQ57" s="50">
        <f t="shared" si="31"/>
        <v>0.11600000000000001</v>
      </c>
      <c r="AR57" s="50">
        <f t="shared" si="33"/>
        <v>0.34363089683773979</v>
      </c>
      <c r="AS57" s="50">
        <f t="shared" si="37"/>
        <v>3.1546666666666667E-3</v>
      </c>
      <c r="AT57" s="50">
        <f t="shared" si="38"/>
        <v>0.22095466666666669</v>
      </c>
      <c r="AU57" s="50">
        <f t="shared" si="39"/>
        <v>2.9623353175667222</v>
      </c>
    </row>
    <row r="58" spans="1:47" s="68" customFormat="1" x14ac:dyDescent="0.35">
      <c r="A58" s="68">
        <v>7</v>
      </c>
      <c r="B58" s="28"/>
      <c r="C58" s="68">
        <v>36</v>
      </c>
      <c r="D58" s="68">
        <v>104</v>
      </c>
      <c r="E58" s="31">
        <f t="shared" si="35"/>
        <v>3744</v>
      </c>
      <c r="F58" s="69">
        <f t="shared" si="3"/>
        <v>1</v>
      </c>
      <c r="G58" s="25">
        <f t="shared" si="36"/>
        <v>36</v>
      </c>
      <c r="H58" s="31">
        <v>7.92</v>
      </c>
      <c r="I58" s="31">
        <v>2340</v>
      </c>
      <c r="J58" s="31">
        <v>247</v>
      </c>
      <c r="K58" s="27">
        <v>115</v>
      </c>
      <c r="L58" s="27">
        <v>87</v>
      </c>
      <c r="M58" s="186">
        <v>16</v>
      </c>
      <c r="N58" s="31">
        <v>1056</v>
      </c>
      <c r="O58" s="31">
        <v>18</v>
      </c>
      <c r="P58" s="21">
        <v>145</v>
      </c>
      <c r="Q58" s="21">
        <v>48.25</v>
      </c>
      <c r="R58" s="21">
        <v>360</v>
      </c>
      <c r="S58" s="21">
        <v>20.440000000000001</v>
      </c>
      <c r="T58" s="21">
        <v>10.02</v>
      </c>
      <c r="U58" s="171">
        <v>0.2</v>
      </c>
      <c r="V58" s="81">
        <v>0.02</v>
      </c>
      <c r="W58" s="81">
        <v>0.02</v>
      </c>
      <c r="X58" s="11">
        <v>0.39200000000000002</v>
      </c>
      <c r="Y58" s="81">
        <v>0.04</v>
      </c>
      <c r="Z58" s="18">
        <v>1.5529999999999999</v>
      </c>
      <c r="AA58" s="27"/>
      <c r="AB58" s="69">
        <f t="shared" si="30"/>
        <v>29.638483894356142</v>
      </c>
      <c r="AC58" s="69">
        <f t="shared" si="1"/>
        <v>27.118704724508646</v>
      </c>
      <c r="AD58" s="69">
        <f t="shared" si="2"/>
        <v>4.439577137564525</v>
      </c>
      <c r="AE58" s="31"/>
      <c r="AF58" s="90">
        <v>7.92</v>
      </c>
      <c r="AG58" s="90">
        <v>-6.2714400000000001</v>
      </c>
      <c r="AH58" s="90">
        <v>0.64049999999999996</v>
      </c>
      <c r="AI58" s="90">
        <v>-0.68479999999999996</v>
      </c>
      <c r="AJ58" s="90">
        <v>-0.93420000000000003</v>
      </c>
      <c r="AK58" s="90">
        <v>-2.5952999999999999</v>
      </c>
      <c r="AL58" s="90">
        <v>0.63690000000000002</v>
      </c>
      <c r="AM58" s="90">
        <v>6.7000000000000002E-3</v>
      </c>
      <c r="AN58" s="90">
        <v>-1.9750000000000001</v>
      </c>
      <c r="AO58" s="90">
        <v>-0.60360000000000003</v>
      </c>
      <c r="AQ58" s="50">
        <f t="shared" si="31"/>
        <v>0.115</v>
      </c>
      <c r="AR58" s="50">
        <f t="shared" si="33"/>
        <v>0.33888646967340591</v>
      </c>
      <c r="AS58" s="50">
        <f t="shared" si="37"/>
        <v>3.0506666666666668E-3</v>
      </c>
      <c r="AT58" s="50">
        <f t="shared" si="38"/>
        <v>0.21790400000000001</v>
      </c>
      <c r="AU58" s="50">
        <f t="shared" si="39"/>
        <v>2.9468388667252685</v>
      </c>
    </row>
    <row r="59" spans="1:47" s="68" customFormat="1" x14ac:dyDescent="0.35">
      <c r="A59" s="68">
        <v>7</v>
      </c>
      <c r="B59" s="28"/>
      <c r="C59" s="68">
        <v>37</v>
      </c>
      <c r="D59" s="68">
        <v>104</v>
      </c>
      <c r="E59" s="31">
        <f t="shared" si="35"/>
        <v>3848</v>
      </c>
      <c r="F59" s="69">
        <f t="shared" si="3"/>
        <v>1</v>
      </c>
      <c r="G59" s="25">
        <f t="shared" si="36"/>
        <v>37</v>
      </c>
      <c r="H59" s="31">
        <v>7.91</v>
      </c>
      <c r="I59" s="31">
        <v>2370</v>
      </c>
      <c r="J59" s="31">
        <v>248</v>
      </c>
      <c r="K59" s="27">
        <v>113</v>
      </c>
      <c r="L59" s="27">
        <v>88</v>
      </c>
      <c r="M59" s="186">
        <v>16</v>
      </c>
      <c r="N59" s="31">
        <v>1051</v>
      </c>
      <c r="O59" s="31">
        <v>18</v>
      </c>
      <c r="P59" s="21">
        <v>145.1</v>
      </c>
      <c r="Q59" s="21">
        <v>49.19</v>
      </c>
      <c r="R59" s="21">
        <v>365</v>
      </c>
      <c r="S59" s="21">
        <v>20.47</v>
      </c>
      <c r="T59" s="18">
        <v>9.7829999999999995</v>
      </c>
      <c r="U59" s="171">
        <v>0.2</v>
      </c>
      <c r="V59" s="81">
        <v>0.02</v>
      </c>
      <c r="W59" s="81">
        <v>0.02</v>
      </c>
      <c r="X59" s="11">
        <v>0.40899999999999997</v>
      </c>
      <c r="Y59" s="81">
        <v>0.04</v>
      </c>
      <c r="Z59" s="18">
        <v>1.597</v>
      </c>
      <c r="AA59" s="27"/>
      <c r="AB59" s="69">
        <f t="shared" si="30"/>
        <v>29.582591035902318</v>
      </c>
      <c r="AC59" s="69">
        <f t="shared" si="1"/>
        <v>27.412421858392385</v>
      </c>
      <c r="AD59" s="69">
        <f t="shared" si="2"/>
        <v>3.8076474893247565</v>
      </c>
      <c r="AE59" s="31"/>
      <c r="AF59" s="90">
        <v>7.91</v>
      </c>
      <c r="AG59" s="90">
        <v>-5.5292000000000003</v>
      </c>
      <c r="AH59" s="90">
        <v>0.63339999999999996</v>
      </c>
      <c r="AI59" s="90">
        <v>-0.68669999999999998</v>
      </c>
      <c r="AJ59" s="90">
        <v>-0.93610000000000004</v>
      </c>
      <c r="AK59" s="90">
        <v>-2.5834999999999999</v>
      </c>
      <c r="AL59" s="90">
        <v>0.63070000000000004</v>
      </c>
      <c r="AM59" s="90">
        <v>1.7299999999999999E-2</v>
      </c>
      <c r="AN59" s="90">
        <v>-1.9742</v>
      </c>
      <c r="AO59" s="90">
        <v>-0.6028</v>
      </c>
      <c r="AQ59" s="50">
        <f t="shared" si="31"/>
        <v>0.113</v>
      </c>
      <c r="AR59" s="50">
        <f t="shared" si="33"/>
        <v>0.33446552617936759</v>
      </c>
      <c r="AS59" s="50">
        <f t="shared" si="37"/>
        <v>2.8426666666666665E-3</v>
      </c>
      <c r="AT59" s="50">
        <f t="shared" si="38"/>
        <v>0.21506133333333335</v>
      </c>
      <c r="AU59" s="50">
        <f t="shared" si="39"/>
        <v>2.9598719130917486</v>
      </c>
    </row>
    <row r="60" spans="1:47" s="68" customFormat="1" x14ac:dyDescent="0.35">
      <c r="A60" s="68">
        <v>7</v>
      </c>
      <c r="B60" s="28">
        <v>43527</v>
      </c>
      <c r="C60" s="68">
        <v>38</v>
      </c>
      <c r="D60" s="68">
        <v>104</v>
      </c>
      <c r="E60" s="31">
        <f t="shared" si="35"/>
        <v>3952</v>
      </c>
      <c r="F60" s="69">
        <f t="shared" si="3"/>
        <v>1</v>
      </c>
      <c r="G60" s="25">
        <f t="shared" si="36"/>
        <v>38</v>
      </c>
      <c r="H60" s="31">
        <v>7.87</v>
      </c>
      <c r="I60" s="31">
        <v>2350</v>
      </c>
      <c r="J60" s="31">
        <v>246</v>
      </c>
      <c r="K60" s="27">
        <v>114</v>
      </c>
      <c r="L60" s="27">
        <v>86</v>
      </c>
      <c r="M60" s="186">
        <v>15</v>
      </c>
      <c r="N60" s="31">
        <v>1003</v>
      </c>
      <c r="O60" s="31">
        <v>18</v>
      </c>
      <c r="P60" s="21">
        <v>142.6</v>
      </c>
      <c r="Q60" s="21">
        <v>48.01</v>
      </c>
      <c r="R60" s="21">
        <v>368</v>
      </c>
      <c r="S60" s="21">
        <v>20.65</v>
      </c>
      <c r="T60" s="18">
        <v>9.59</v>
      </c>
      <c r="U60" s="171">
        <v>0.2</v>
      </c>
      <c r="V60" s="81">
        <v>0.02</v>
      </c>
      <c r="W60" s="81">
        <v>0.02</v>
      </c>
      <c r="X60" s="11">
        <v>0.38900000000000001</v>
      </c>
      <c r="Y60" s="81">
        <v>0.04</v>
      </c>
      <c r="Z60" s="18">
        <v>1.5469999999999999</v>
      </c>
      <c r="AA60" s="27"/>
      <c r="AB60" s="69">
        <f t="shared" si="30"/>
        <v>28.470669123841517</v>
      </c>
      <c r="AC60" s="69">
        <f t="shared" si="1"/>
        <v>27.316187342376434</v>
      </c>
      <c r="AD60" s="69">
        <f t="shared" si="2"/>
        <v>2.0694512195075667</v>
      </c>
      <c r="AE60" s="31"/>
      <c r="AF60" s="90">
        <v>7.87</v>
      </c>
      <c r="AG60" s="90">
        <v>-3.5962999999999998</v>
      </c>
      <c r="AH60" s="90">
        <v>0.59189999999999998</v>
      </c>
      <c r="AI60" s="90">
        <v>-0.7046</v>
      </c>
      <c r="AJ60" s="90">
        <v>-0.95399999999999996</v>
      </c>
      <c r="AK60" s="90">
        <v>-2.5453000000000001</v>
      </c>
      <c r="AL60" s="90">
        <v>0.54379999999999995</v>
      </c>
      <c r="AM60" s="90">
        <v>-3.85E-2</v>
      </c>
      <c r="AN60" s="90">
        <v>-1.9713000000000001</v>
      </c>
      <c r="AO60" s="90">
        <v>-0.64810000000000001</v>
      </c>
      <c r="AQ60" s="50">
        <f t="shared" si="31"/>
        <v>0.114</v>
      </c>
      <c r="AR60" s="50">
        <f t="shared" si="33"/>
        <v>0.32988284085018144</v>
      </c>
      <c r="AS60" s="50">
        <f t="shared" si="37"/>
        <v>2.9466666666666669E-3</v>
      </c>
      <c r="AT60" s="50">
        <f t="shared" si="38"/>
        <v>0.21211466666666667</v>
      </c>
      <c r="AU60" s="50">
        <f t="shared" si="39"/>
        <v>2.8937091302647495</v>
      </c>
    </row>
    <row r="61" spans="1:47" x14ac:dyDescent="0.35">
      <c r="P61" s="42"/>
      <c r="Q61" s="42"/>
      <c r="R61" s="42"/>
      <c r="S61" s="42"/>
      <c r="T61" s="42"/>
      <c r="U61" s="87"/>
      <c r="V61" s="87"/>
      <c r="W61" s="87"/>
      <c r="X61" s="87"/>
      <c r="Y61" s="87"/>
      <c r="Z61" s="87"/>
      <c r="AA61" s="87"/>
      <c r="AF61" s="68"/>
      <c r="AG61" s="68"/>
      <c r="AH61" s="68"/>
      <c r="AI61" s="68"/>
      <c r="AJ61" s="68"/>
      <c r="AK61" s="68"/>
      <c r="AL61" s="68"/>
      <c r="AM61" s="68"/>
      <c r="AN61" s="68"/>
      <c r="AO61" s="68"/>
    </row>
    <row r="62" spans="1:47" x14ac:dyDescent="0.35">
      <c r="P62" s="42"/>
      <c r="Q62" s="42"/>
      <c r="R62" s="42"/>
      <c r="S62" s="42"/>
      <c r="T62" s="42"/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7" s="31" customFormat="1" x14ac:dyDescent="0.35">
      <c r="A63" s="31">
        <v>7</v>
      </c>
      <c r="C63" s="31" t="s">
        <v>167</v>
      </c>
      <c r="F63" s="25"/>
      <c r="G63" s="25"/>
      <c r="P63" s="21">
        <v>128.80000000000001</v>
      </c>
      <c r="Q63" s="21">
        <v>32.56</v>
      </c>
      <c r="R63" s="21">
        <v>168.4</v>
      </c>
      <c r="S63" s="21">
        <v>19.82</v>
      </c>
      <c r="T63" s="21">
        <v>12.98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Q63" s="148"/>
      <c r="AR63" s="148"/>
      <c r="AS63" s="148"/>
      <c r="AT63" s="148"/>
    </row>
    <row r="64" spans="1:47" s="68" customFormat="1" x14ac:dyDescent="0.35">
      <c r="A64" s="31">
        <v>7</v>
      </c>
      <c r="B64" s="31"/>
      <c r="C64" s="31" t="s">
        <v>168</v>
      </c>
      <c r="D64" s="31"/>
      <c r="E64" s="31"/>
      <c r="F64" s="31"/>
      <c r="G64" s="31"/>
      <c r="P64" s="175">
        <v>105.5</v>
      </c>
      <c r="Q64" s="175">
        <v>33.159999999999997</v>
      </c>
      <c r="R64" s="175">
        <v>56.43</v>
      </c>
      <c r="S64" s="175">
        <v>16.88</v>
      </c>
      <c r="T64" s="172">
        <v>8.4290000000000003</v>
      </c>
      <c r="AQ64" s="149"/>
      <c r="AR64" s="149"/>
      <c r="AS64" s="149"/>
      <c r="AT64" s="149"/>
    </row>
    <row r="65" spans="1:46" s="68" customFormat="1" x14ac:dyDescent="0.35">
      <c r="A65" s="31">
        <v>7</v>
      </c>
      <c r="B65" s="31"/>
      <c r="C65" s="31" t="s">
        <v>169</v>
      </c>
      <c r="D65" s="31"/>
      <c r="E65" s="31"/>
      <c r="F65" s="31"/>
      <c r="G65" s="31"/>
      <c r="P65" s="175">
        <v>116</v>
      </c>
      <c r="Q65" s="175">
        <v>38.549999999999997</v>
      </c>
      <c r="R65" s="175">
        <v>163.1</v>
      </c>
      <c r="S65" s="175">
        <v>19.03</v>
      </c>
      <c r="T65" s="172">
        <v>8.9689999999999994</v>
      </c>
      <c r="AQ65" s="149"/>
      <c r="AR65" s="149"/>
      <c r="AS65" s="149"/>
      <c r="AT65" s="149"/>
    </row>
    <row r="66" spans="1:46" s="68" customFormat="1" x14ac:dyDescent="0.35">
      <c r="A66" s="31"/>
      <c r="B66" s="31"/>
      <c r="C66" s="31"/>
      <c r="D66" s="31"/>
      <c r="E66" s="31"/>
      <c r="F66" s="31"/>
      <c r="G66" s="31"/>
      <c r="P66" s="65"/>
      <c r="Q66" s="65"/>
      <c r="R66" s="65"/>
      <c r="S66" s="65"/>
      <c r="T66" s="65"/>
      <c r="AQ66" s="149"/>
      <c r="AR66" s="149"/>
      <c r="AS66" s="149"/>
      <c r="AT66" s="149"/>
    </row>
    <row r="67" spans="1:46" s="68" customFormat="1" x14ac:dyDescent="0.35">
      <c r="A67" s="31"/>
      <c r="B67" s="31"/>
      <c r="C67" s="31"/>
      <c r="D67" s="31"/>
      <c r="E67" s="31"/>
      <c r="P67" s="65"/>
      <c r="Q67" s="65"/>
      <c r="R67" s="65"/>
      <c r="S67" s="65"/>
      <c r="T67" s="65"/>
      <c r="AQ67" s="149"/>
      <c r="AR67" s="149"/>
      <c r="AS67" s="149"/>
      <c r="AT67" s="149"/>
    </row>
    <row r="68" spans="1:46" x14ac:dyDescent="0.35">
      <c r="A68" s="198"/>
      <c r="B68" s="198"/>
      <c r="C68" s="198"/>
      <c r="AF68" s="68"/>
      <c r="AG68" s="68"/>
      <c r="AH68" s="68"/>
      <c r="AI68" s="68"/>
      <c r="AJ68" s="68"/>
      <c r="AK68" s="68"/>
      <c r="AL68" s="68"/>
      <c r="AM68" s="68"/>
      <c r="AN68" s="68"/>
      <c r="AO68" s="68"/>
    </row>
    <row r="69" spans="1:46" x14ac:dyDescent="0.35">
      <c r="A69" s="198"/>
      <c r="B69" s="198"/>
      <c r="C69" s="198"/>
      <c r="AF69" s="68"/>
      <c r="AG69" s="68"/>
      <c r="AH69" s="68"/>
      <c r="AI69" s="68"/>
      <c r="AJ69" s="68"/>
      <c r="AK69" s="68"/>
      <c r="AL69" s="68"/>
      <c r="AM69" s="68"/>
      <c r="AN69" s="68"/>
      <c r="AO69" s="68"/>
    </row>
    <row r="70" spans="1:46" x14ac:dyDescent="0.35">
      <c r="A70" s="198"/>
      <c r="B70" s="198"/>
      <c r="C70" s="198"/>
      <c r="AF70" s="31"/>
      <c r="AG70" s="31"/>
      <c r="AH70" s="31"/>
      <c r="AI70" s="31"/>
      <c r="AJ70" s="31"/>
      <c r="AK70" s="31"/>
      <c r="AL70" s="31"/>
      <c r="AM70" s="31"/>
      <c r="AN70" s="31"/>
      <c r="AO70" s="31"/>
    </row>
    <row r="71" spans="1:46" x14ac:dyDescent="0.35">
      <c r="A71" s="28"/>
      <c r="B71" s="198"/>
      <c r="C71" s="198"/>
      <c r="AF71" s="68"/>
      <c r="AG71" s="68"/>
      <c r="AH71" s="68"/>
      <c r="AI71" s="68"/>
      <c r="AJ71" s="68"/>
      <c r="AK71" s="68"/>
      <c r="AL71" s="68"/>
      <c r="AM71" s="68"/>
      <c r="AN71" s="68"/>
      <c r="AO71" s="68"/>
    </row>
    <row r="72" spans="1:46" x14ac:dyDescent="0.35">
      <c r="A72" s="28"/>
      <c r="B72" s="198"/>
      <c r="C72" s="198"/>
      <c r="AF72" s="68"/>
      <c r="AG72" s="68"/>
      <c r="AH72" s="68"/>
      <c r="AI72" s="68"/>
      <c r="AJ72" s="68"/>
      <c r="AK72" s="68"/>
      <c r="AL72" s="68"/>
      <c r="AM72" s="68"/>
      <c r="AN72" s="68"/>
      <c r="AO72" s="68"/>
    </row>
    <row r="73" spans="1:46" x14ac:dyDescent="0.35">
      <c r="A73" s="28"/>
      <c r="B73" s="198"/>
      <c r="C73" s="198"/>
      <c r="AF73" s="68"/>
      <c r="AG73" s="68"/>
      <c r="AH73" s="68"/>
      <c r="AI73" s="68"/>
      <c r="AJ73" s="68"/>
      <c r="AK73" s="68"/>
      <c r="AL73" s="68"/>
      <c r="AM73" s="68"/>
      <c r="AN73" s="68"/>
      <c r="AO73" s="68"/>
    </row>
    <row r="74" spans="1:46" x14ac:dyDescent="0.35">
      <c r="A74" s="28"/>
      <c r="B74" s="198"/>
      <c r="C74" s="198"/>
      <c r="AF74" s="68"/>
      <c r="AG74" s="68"/>
      <c r="AH74" s="68"/>
      <c r="AI74" s="68"/>
      <c r="AJ74" s="68"/>
      <c r="AK74" s="68"/>
      <c r="AL74" s="68"/>
      <c r="AM74" s="68"/>
      <c r="AN74" s="68"/>
      <c r="AO74" s="68"/>
    </row>
    <row r="75" spans="1:46" x14ac:dyDescent="0.35">
      <c r="A75" s="28"/>
      <c r="B75" s="198"/>
      <c r="C75" s="198"/>
    </row>
    <row r="76" spans="1:46" x14ac:dyDescent="0.35">
      <c r="A76" s="28"/>
      <c r="B76" s="198"/>
      <c r="C76" s="198"/>
    </row>
    <row r="77" spans="1:46" x14ac:dyDescent="0.35">
      <c r="A77" s="28"/>
      <c r="B77" s="198"/>
      <c r="C77" s="198"/>
    </row>
    <row r="78" spans="1:46" x14ac:dyDescent="0.35">
      <c r="A78" s="28"/>
      <c r="B78" s="198"/>
      <c r="C78" s="198"/>
    </row>
    <row r="79" spans="1:46" x14ac:dyDescent="0.35">
      <c r="A79" s="28"/>
      <c r="B79" s="198"/>
      <c r="C79" s="198"/>
    </row>
    <row r="80" spans="1:46" x14ac:dyDescent="0.35">
      <c r="A80" s="28"/>
      <c r="B80" s="198"/>
      <c r="C80" s="198"/>
    </row>
    <row r="81" spans="1:3" x14ac:dyDescent="0.35">
      <c r="A81" s="28"/>
      <c r="B81" s="198"/>
      <c r="C81" s="198"/>
    </row>
    <row r="82" spans="1:3" x14ac:dyDescent="0.35">
      <c r="A82" s="28"/>
      <c r="B82" s="198"/>
      <c r="C82" s="198"/>
    </row>
    <row r="83" spans="1:3" x14ac:dyDescent="0.35">
      <c r="A83" s="28"/>
      <c r="B83" s="198"/>
      <c r="C83" s="198"/>
    </row>
    <row r="84" spans="1:3" x14ac:dyDescent="0.35">
      <c r="A84" s="28"/>
      <c r="B84" s="198"/>
      <c r="C84" s="198"/>
    </row>
    <row r="85" spans="1:3" x14ac:dyDescent="0.35">
      <c r="A85" s="28"/>
      <c r="B85" s="198"/>
      <c r="C85" s="198"/>
    </row>
    <row r="86" spans="1:3" x14ac:dyDescent="0.35">
      <c r="A86" s="28"/>
      <c r="B86" s="198"/>
      <c r="C86" s="198"/>
    </row>
    <row r="87" spans="1:3" x14ac:dyDescent="0.35">
      <c r="A87" s="28"/>
      <c r="B87" s="198"/>
      <c r="C87" s="198"/>
    </row>
    <row r="88" spans="1:3" x14ac:dyDescent="0.35">
      <c r="A88" s="28"/>
      <c r="B88" s="198"/>
      <c r="C88" s="198"/>
    </row>
    <row r="89" spans="1:3" x14ac:dyDescent="0.35">
      <c r="A89" s="28"/>
      <c r="B89" s="199"/>
      <c r="C89" s="199"/>
    </row>
    <row r="90" spans="1:3" x14ac:dyDescent="0.35">
      <c r="A90" s="28"/>
      <c r="B90" s="83"/>
      <c r="C90" s="199"/>
    </row>
    <row r="91" spans="1:3" x14ac:dyDescent="0.35">
      <c r="A91" s="28"/>
      <c r="B91" s="198"/>
      <c r="C91" s="198"/>
    </row>
    <row r="92" spans="1:3" x14ac:dyDescent="0.35">
      <c r="A92" s="28"/>
      <c r="B92" s="198"/>
      <c r="C92" s="198"/>
    </row>
    <row r="93" spans="1:3" x14ac:dyDescent="0.35">
      <c r="A93" s="28"/>
      <c r="B93" s="198"/>
      <c r="C93" s="198"/>
    </row>
    <row r="94" spans="1:3" x14ac:dyDescent="0.35">
      <c r="A94" s="28"/>
      <c r="B94" s="198"/>
      <c r="C94" s="198"/>
    </row>
    <row r="95" spans="1:3" x14ac:dyDescent="0.35">
      <c r="A95" s="28"/>
      <c r="B95" s="198"/>
      <c r="C95" s="198"/>
    </row>
    <row r="96" spans="1:3" x14ac:dyDescent="0.35">
      <c r="A96" s="28"/>
      <c r="B96" s="198"/>
      <c r="C96" s="198"/>
    </row>
    <row r="97" spans="1:3" x14ac:dyDescent="0.35">
      <c r="A97" s="28"/>
      <c r="B97" s="198"/>
      <c r="C97" s="198"/>
    </row>
    <row r="98" spans="1:3" x14ac:dyDescent="0.35">
      <c r="A98" s="28"/>
      <c r="B98" s="198"/>
      <c r="C98" s="198"/>
    </row>
    <row r="99" spans="1:3" x14ac:dyDescent="0.35">
      <c r="A99" s="28"/>
      <c r="B99" s="198"/>
      <c r="C99" s="198"/>
    </row>
    <row r="100" spans="1:3" x14ac:dyDescent="0.35">
      <c r="A100" s="28"/>
      <c r="B100" s="198"/>
      <c r="C100" s="198"/>
    </row>
    <row r="101" spans="1:3" x14ac:dyDescent="0.35">
      <c r="A101" s="28"/>
      <c r="B101" s="198"/>
      <c r="C101" s="198"/>
    </row>
    <row r="102" spans="1:3" x14ac:dyDescent="0.35">
      <c r="A102" s="28"/>
      <c r="B102" s="25"/>
      <c r="C102" s="198"/>
    </row>
    <row r="103" spans="1:3" x14ac:dyDescent="0.35">
      <c r="A103" s="28"/>
      <c r="B103" s="85"/>
      <c r="C103" s="198"/>
    </row>
    <row r="104" spans="1:3" x14ac:dyDescent="0.35">
      <c r="A104" s="28"/>
      <c r="B104" s="25"/>
      <c r="C104" s="198"/>
    </row>
    <row r="105" spans="1:3" x14ac:dyDescent="0.35">
      <c r="A105" s="28"/>
      <c r="B105" s="25"/>
      <c r="C105" s="198"/>
    </row>
    <row r="106" spans="1:3" x14ac:dyDescent="0.35">
      <c r="A106" s="28"/>
      <c r="B106" s="25"/>
      <c r="C106" s="198"/>
    </row>
    <row r="107" spans="1:3" x14ac:dyDescent="0.35">
      <c r="A107" s="28"/>
      <c r="B107" s="25"/>
      <c r="C107" s="198"/>
    </row>
    <row r="108" spans="1:3" x14ac:dyDescent="0.35">
      <c r="A108" s="28"/>
      <c r="B108" s="25"/>
      <c r="C108" s="198"/>
    </row>
    <row r="109" spans="1:3" x14ac:dyDescent="0.35">
      <c r="A109" s="28"/>
      <c r="B109" s="25"/>
      <c r="C109" s="198"/>
    </row>
    <row r="110" spans="1:3" x14ac:dyDescent="0.35">
      <c r="A110" s="28"/>
      <c r="B110" s="25"/>
      <c r="C110" s="198"/>
    </row>
  </sheetData>
  <pageMargins left="0.7" right="0.7" top="0.75" bottom="0.75" header="0.3" footer="0.3"/>
  <pageSetup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U76"/>
  <sheetViews>
    <sheetView zoomScaleNormal="100" workbookViewId="0">
      <selection activeCell="A8" sqref="A8"/>
    </sheetView>
  </sheetViews>
  <sheetFormatPr defaultColWidth="9.1796875" defaultRowHeight="14.5" x14ac:dyDescent="0.35"/>
  <cols>
    <col min="1" max="1" width="9.1796875" style="38"/>
    <col min="2" max="2" width="10.453125" style="38" bestFit="1" customWidth="1"/>
    <col min="3" max="8" width="9.1796875" style="38"/>
    <col min="9" max="9" width="15.7265625" style="38" bestFit="1" customWidth="1"/>
    <col min="10" max="10" width="15.453125" style="38" bestFit="1" customWidth="1"/>
    <col min="11" max="11" width="6.26953125" style="38" bestFit="1" customWidth="1"/>
    <col min="12" max="26" width="6.81640625" style="38" bestFit="1" customWidth="1"/>
    <col min="27" max="27" width="10.54296875" style="38" bestFit="1" customWidth="1"/>
    <col min="28" max="29" width="9.1796875" style="38"/>
    <col min="30" max="30" width="16.453125" style="38" bestFit="1" customWidth="1"/>
    <col min="31" max="16384" width="9.1796875" style="38"/>
  </cols>
  <sheetData>
    <row r="1" spans="1:47" x14ac:dyDescent="0.35">
      <c r="A1" s="31" t="s">
        <v>46</v>
      </c>
      <c r="B1" s="31"/>
      <c r="C1" s="31"/>
      <c r="D1" s="31"/>
      <c r="E1" s="31"/>
      <c r="F1" s="31"/>
      <c r="G1" s="25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47" x14ac:dyDescent="0.35">
      <c r="A2" s="1"/>
      <c r="B2" s="1"/>
      <c r="C2" s="1"/>
      <c r="D2" s="1"/>
      <c r="E2" s="1"/>
      <c r="F2" s="1"/>
      <c r="G2" s="25"/>
      <c r="H2" s="31"/>
      <c r="I2" s="1"/>
      <c r="J2" s="1"/>
      <c r="K2" s="1"/>
      <c r="L2" s="1"/>
      <c r="M2" s="1"/>
      <c r="N2" s="31"/>
      <c r="O2" s="1"/>
      <c r="P2" s="1"/>
      <c r="Q2" s="1"/>
      <c r="R2" s="1"/>
      <c r="S2" s="1"/>
      <c r="T2" s="1"/>
      <c r="U2" s="1"/>
      <c r="V2" s="1"/>
      <c r="W2" s="1"/>
    </row>
    <row r="3" spans="1:47" x14ac:dyDescent="0.35">
      <c r="A3" s="1" t="s">
        <v>8</v>
      </c>
      <c r="B3" s="1"/>
      <c r="C3" s="1"/>
      <c r="D3" s="1"/>
      <c r="E3" s="1"/>
      <c r="F3" s="1"/>
      <c r="G3" s="2"/>
      <c r="H3" s="1"/>
      <c r="I3" s="1"/>
      <c r="J3" s="1"/>
      <c r="K3" s="1"/>
      <c r="L3" s="1"/>
      <c r="M3" s="1"/>
      <c r="N3" s="31"/>
      <c r="O3" s="1"/>
      <c r="P3" s="1"/>
      <c r="Q3" s="1"/>
      <c r="R3" s="1"/>
      <c r="S3" s="1"/>
      <c r="T3" s="1"/>
      <c r="U3" s="1"/>
      <c r="V3" s="1"/>
      <c r="W3" s="1"/>
    </row>
    <row r="4" spans="1:47" s="42" customFormat="1" x14ac:dyDescent="0.35">
      <c r="A4" s="31" t="s">
        <v>162</v>
      </c>
      <c r="B4" s="31"/>
      <c r="C4" s="31"/>
      <c r="D4" s="31"/>
      <c r="E4" s="31"/>
      <c r="F4" s="31"/>
      <c r="G4" s="25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47" x14ac:dyDescent="0.35">
      <c r="A5" s="26" t="s">
        <v>358</v>
      </c>
      <c r="B5" s="1"/>
      <c r="C5" s="1"/>
      <c r="D5" s="1"/>
      <c r="E5" s="1"/>
      <c r="F5" s="1"/>
      <c r="G5" s="2"/>
      <c r="H5" s="1"/>
      <c r="I5" s="1"/>
      <c r="J5" s="1"/>
      <c r="K5" s="1"/>
      <c r="L5" s="1"/>
      <c r="M5" s="1"/>
      <c r="N5" s="31"/>
      <c r="O5" s="1"/>
      <c r="P5" s="1"/>
      <c r="Q5" s="1"/>
      <c r="R5" s="1"/>
      <c r="S5" s="1"/>
      <c r="T5" s="1"/>
      <c r="U5" s="1"/>
      <c r="V5" s="1"/>
      <c r="W5" s="1"/>
    </row>
    <row r="6" spans="1:47" x14ac:dyDescent="0.35">
      <c r="AQ6" s="101" t="s">
        <v>254</v>
      </c>
      <c r="AR6" s="101"/>
      <c r="AS6" s="101">
        <v>0.59950000000000003</v>
      </c>
      <c r="AT6" s="101" t="s">
        <v>255</v>
      </c>
      <c r="AU6" s="101"/>
    </row>
    <row r="7" spans="1:47" s="71" customFormat="1" x14ac:dyDescent="0.35">
      <c r="A7" s="31" t="s">
        <v>371</v>
      </c>
      <c r="B7" s="31"/>
      <c r="C7" s="31"/>
      <c r="D7" s="31"/>
      <c r="E7" s="31"/>
      <c r="F7" s="31"/>
      <c r="G7" s="25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F7" s="89" t="s">
        <v>170</v>
      </c>
    </row>
    <row r="8" spans="1:47" x14ac:dyDescent="0.35">
      <c r="A8" s="1"/>
      <c r="B8" s="1"/>
      <c r="C8" s="1"/>
      <c r="D8" s="1"/>
      <c r="E8" s="1"/>
      <c r="F8" s="1"/>
      <c r="G8" s="2"/>
      <c r="H8" s="1"/>
      <c r="I8" s="1"/>
      <c r="J8" s="1"/>
      <c r="K8" s="1"/>
      <c r="L8" s="1"/>
      <c r="M8" s="1"/>
      <c r="N8" s="3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Q8" s="101"/>
      <c r="AR8" s="101"/>
      <c r="AS8" s="101"/>
      <c r="AT8" s="101"/>
      <c r="AU8" s="101"/>
    </row>
    <row r="9" spans="1:47" s="68" customFormat="1" x14ac:dyDescent="0.35">
      <c r="A9" s="68" t="s">
        <v>9</v>
      </c>
      <c r="B9" s="68" t="s">
        <v>10</v>
      </c>
      <c r="C9" s="68" t="s">
        <v>11</v>
      </c>
      <c r="D9" s="68" t="s">
        <v>7</v>
      </c>
      <c r="E9" s="68" t="s">
        <v>12</v>
      </c>
      <c r="F9" s="69" t="s">
        <v>13</v>
      </c>
      <c r="G9" s="69" t="s">
        <v>81</v>
      </c>
      <c r="H9" s="68" t="s">
        <v>14</v>
      </c>
      <c r="I9" s="68" t="s">
        <v>15</v>
      </c>
      <c r="J9" s="68" t="s">
        <v>16</v>
      </c>
      <c r="K9" s="68" t="s">
        <v>3</v>
      </c>
      <c r="L9" s="68" t="s">
        <v>31</v>
      </c>
      <c r="M9" s="68" t="s">
        <v>30</v>
      </c>
      <c r="N9" s="68" t="s">
        <v>18</v>
      </c>
      <c r="O9" s="68" t="s">
        <v>17</v>
      </c>
      <c r="P9" s="68" t="s">
        <v>20</v>
      </c>
      <c r="Q9" s="68" t="s">
        <v>19</v>
      </c>
      <c r="R9" s="68" t="s">
        <v>21</v>
      </c>
      <c r="S9" s="68" t="s">
        <v>47</v>
      </c>
      <c r="T9" s="68" t="s">
        <v>24</v>
      </c>
      <c r="U9" s="68" t="s">
        <v>48</v>
      </c>
      <c r="V9" s="68" t="s">
        <v>4</v>
      </c>
      <c r="W9" s="68" t="s">
        <v>22</v>
      </c>
      <c r="X9" s="68" t="s">
        <v>23</v>
      </c>
      <c r="Y9" s="68" t="s">
        <v>25</v>
      </c>
      <c r="Z9" s="68" t="s">
        <v>49</v>
      </c>
      <c r="AA9" s="68" t="s">
        <v>26</v>
      </c>
      <c r="AB9" s="68" t="s">
        <v>123</v>
      </c>
      <c r="AC9" s="68" t="s">
        <v>124</v>
      </c>
      <c r="AD9" s="68" t="s">
        <v>27</v>
      </c>
      <c r="AF9" s="96" t="s">
        <v>171</v>
      </c>
      <c r="AG9" s="96" t="s">
        <v>172</v>
      </c>
      <c r="AH9" s="96" t="s">
        <v>173</v>
      </c>
      <c r="AI9" s="96" t="s">
        <v>174</v>
      </c>
      <c r="AJ9" s="96" t="s">
        <v>175</v>
      </c>
      <c r="AK9" s="96" t="s">
        <v>176</v>
      </c>
      <c r="AL9" s="96" t="s">
        <v>177</v>
      </c>
      <c r="AM9" s="96" t="s">
        <v>178</v>
      </c>
      <c r="AN9" s="96" t="s">
        <v>179</v>
      </c>
      <c r="AO9" s="96" t="s">
        <v>180</v>
      </c>
      <c r="AQ9" s="149" t="s">
        <v>247</v>
      </c>
      <c r="AR9" s="149" t="s">
        <v>248</v>
      </c>
      <c r="AS9" s="149" t="s">
        <v>253</v>
      </c>
      <c r="AT9" s="149" t="s">
        <v>251</v>
      </c>
      <c r="AU9" s="149" t="s">
        <v>245</v>
      </c>
    </row>
    <row r="10" spans="1:47" s="68" customFormat="1" x14ac:dyDescent="0.35">
      <c r="D10" s="68" t="s">
        <v>6</v>
      </c>
      <c r="E10" s="68" t="s">
        <v>6</v>
      </c>
      <c r="F10" s="69"/>
      <c r="G10" s="69"/>
      <c r="I10" s="203" t="s">
        <v>357</v>
      </c>
      <c r="J10" s="68" t="s">
        <v>28</v>
      </c>
      <c r="K10" s="27" t="s">
        <v>352</v>
      </c>
      <c r="L10" s="68" t="s">
        <v>5</v>
      </c>
      <c r="M10" s="68" t="s">
        <v>5</v>
      </c>
      <c r="N10" s="68" t="s">
        <v>5</v>
      </c>
      <c r="O10" s="68" t="s">
        <v>5</v>
      </c>
      <c r="P10" s="68" t="s">
        <v>5</v>
      </c>
      <c r="Q10" s="68" t="s">
        <v>5</v>
      </c>
      <c r="R10" s="68" t="s">
        <v>5</v>
      </c>
      <c r="S10" s="68" t="s">
        <v>5</v>
      </c>
      <c r="T10" s="68" t="s">
        <v>5</v>
      </c>
      <c r="U10" s="68" t="s">
        <v>5</v>
      </c>
      <c r="V10" s="68" t="s">
        <v>5</v>
      </c>
      <c r="W10" s="68" t="s">
        <v>5</v>
      </c>
      <c r="X10" s="68" t="s">
        <v>5</v>
      </c>
      <c r="Y10" s="68" t="s">
        <v>5</v>
      </c>
      <c r="Z10" s="68" t="s">
        <v>5</v>
      </c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Q10" s="149" t="s">
        <v>246</v>
      </c>
      <c r="AR10" s="149" t="s">
        <v>249</v>
      </c>
      <c r="AS10" s="149" t="s">
        <v>252</v>
      </c>
      <c r="AT10" s="149" t="s">
        <v>252</v>
      </c>
      <c r="AU10" s="149" t="s">
        <v>250</v>
      </c>
    </row>
    <row r="11" spans="1:47" s="68" customFormat="1" x14ac:dyDescent="0.35">
      <c r="F11" s="69"/>
      <c r="G11" s="69"/>
      <c r="N11" s="31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Q11" s="149"/>
      <c r="AR11" s="149"/>
      <c r="AS11" s="149"/>
      <c r="AT11" s="149"/>
      <c r="AU11" s="149"/>
    </row>
    <row r="12" spans="1:47" s="68" customFormat="1" x14ac:dyDescent="0.35">
      <c r="A12" s="68" t="s">
        <v>56</v>
      </c>
      <c r="F12" s="69"/>
      <c r="G12" s="69"/>
      <c r="H12" s="15">
        <v>7.1</v>
      </c>
      <c r="I12" s="165">
        <f>'Influent Results Master'!D34</f>
        <v>1670.1111111111111</v>
      </c>
      <c r="J12" s="165">
        <f>'Influent Results Master'!F34</f>
        <v>320.66666666666669</v>
      </c>
      <c r="K12" s="165">
        <f>'Influent Results Master'!G34</f>
        <v>287.22222222222223</v>
      </c>
      <c r="L12" s="165">
        <f>'Influent Results Master'!H34</f>
        <v>47.333333333333336</v>
      </c>
      <c r="M12" s="165">
        <f>'Influent Results Master'!I34</f>
        <v>21.777777777777775</v>
      </c>
      <c r="N12" s="165">
        <f>'Influent Results Master'!J34</f>
        <v>614.55555555555554</v>
      </c>
      <c r="O12" s="165">
        <f>'Influent Results Master'!K34</f>
        <v>28.111111111111114</v>
      </c>
      <c r="P12" s="165">
        <f>'Influent Results Master'!L34</f>
        <v>153.01111111111109</v>
      </c>
      <c r="Q12" s="165">
        <f>'Influent Results Master'!M34</f>
        <v>62.398888888888884</v>
      </c>
      <c r="R12" s="165">
        <f>'Influent Results Master'!N34</f>
        <v>206.23333333333335</v>
      </c>
      <c r="S12" s="165">
        <f>'Influent Results Master'!O34</f>
        <v>23.54111111111111</v>
      </c>
      <c r="T12" s="170">
        <f>'Influent Results Master'!P34</f>
        <v>6.3293333333333335</v>
      </c>
      <c r="U12" s="171">
        <f>'Influent Results Master'!Q34</f>
        <v>0.20000000000000004</v>
      </c>
      <c r="V12" s="176">
        <f>'Influent Results Master'!R34</f>
        <v>4.7000000000000007E-2</v>
      </c>
      <c r="W12" s="177">
        <f>'Influent Results Master'!S34</f>
        <v>0.02</v>
      </c>
      <c r="X12" s="176">
        <f>'Influent Results Master'!T34</f>
        <v>4.5777777777777785E-2</v>
      </c>
      <c r="Y12" s="177">
        <f>'Influent Results Master'!U34</f>
        <v>0.04</v>
      </c>
      <c r="Z12" s="170">
        <f>'Influent Results Master'!V34</f>
        <v>1.3484444444444446</v>
      </c>
      <c r="AB12" s="69">
        <f>((J12/50)+(L12/35.45)+(M12/62)+(N12/48.03))</f>
        <v>20.895045443353979</v>
      </c>
      <c r="AC12" s="69">
        <f>((P12/20.04)+(Q12/12.16)+(R12/22.99)+(T12/39.1))</f>
        <v>21.89921500465627</v>
      </c>
      <c r="AD12" s="69">
        <f>ABS((AB12-AC12)/(AB12+AC12)*100)</f>
        <v>2.3465052340891206</v>
      </c>
      <c r="AF12" s="96">
        <v>7.1</v>
      </c>
      <c r="AG12" s="96">
        <v>2.1869900000000002</v>
      </c>
      <c r="AH12" s="96">
        <v>5.4199999999999998E-2</v>
      </c>
      <c r="AI12" s="96">
        <v>-0.80840000000000001</v>
      </c>
      <c r="AJ12" s="96">
        <v>-1.0580000000000001</v>
      </c>
      <c r="AK12" s="96">
        <v>-1.6464000000000001</v>
      </c>
      <c r="AL12" s="96">
        <v>-0.4541</v>
      </c>
      <c r="AM12" s="96">
        <v>-1.6025</v>
      </c>
      <c r="AN12" s="96">
        <v>-1.5054000000000001</v>
      </c>
      <c r="AO12" s="96">
        <v>-1.1083000000000001</v>
      </c>
      <c r="AQ12" s="50">
        <f>K12/1000</f>
        <v>0.28722222222222221</v>
      </c>
      <c r="AR12" s="50">
        <f>(1.04-0.36)</f>
        <v>0.68</v>
      </c>
      <c r="AS12" s="50"/>
      <c r="AT12" s="50">
        <f>AS6*AR12</f>
        <v>0.40766000000000008</v>
      </c>
      <c r="AU12" s="50">
        <f>AR12/AQ12</f>
        <v>2.3675048355899424</v>
      </c>
    </row>
    <row r="13" spans="1:47" s="68" customFormat="1" x14ac:dyDescent="0.35">
      <c r="F13" s="69"/>
      <c r="G13" s="69"/>
      <c r="M13" s="65"/>
      <c r="N13" s="27"/>
      <c r="O13" s="65"/>
      <c r="P13" s="65"/>
      <c r="Q13" s="65"/>
      <c r="R13" s="67"/>
      <c r="S13" s="67"/>
      <c r="T13" s="67"/>
      <c r="U13" s="67"/>
      <c r="V13" s="65"/>
      <c r="W13" s="66"/>
      <c r="X13" s="67"/>
      <c r="Y13" s="65"/>
      <c r="AB13" s="69"/>
      <c r="AC13" s="69"/>
      <c r="AD13" s="69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Q13" s="50"/>
      <c r="AR13" s="50"/>
      <c r="AS13" s="50"/>
      <c r="AT13" s="50"/>
      <c r="AU13" s="50"/>
    </row>
    <row r="14" spans="1:47" s="68" customFormat="1" x14ac:dyDescent="0.35">
      <c r="A14" s="68">
        <v>8</v>
      </c>
      <c r="B14" s="10">
        <v>43523</v>
      </c>
      <c r="C14" s="68">
        <v>1</v>
      </c>
      <c r="D14" s="68">
        <v>106</v>
      </c>
      <c r="E14" s="68">
        <v>106</v>
      </c>
      <c r="F14" s="69">
        <f>D14/106</f>
        <v>1</v>
      </c>
      <c r="G14" s="69">
        <v>1</v>
      </c>
      <c r="H14" s="31">
        <v>7.88</v>
      </c>
      <c r="I14" s="31">
        <v>3790</v>
      </c>
      <c r="J14" s="31">
        <v>336</v>
      </c>
      <c r="K14" s="31">
        <v>761</v>
      </c>
      <c r="L14" s="31">
        <v>89</v>
      </c>
      <c r="M14" s="27">
        <v>10</v>
      </c>
      <c r="N14" s="191">
        <v>2417</v>
      </c>
      <c r="O14" s="31">
        <v>71</v>
      </c>
      <c r="P14" s="21">
        <v>429.3</v>
      </c>
      <c r="Q14" s="21">
        <v>133.9</v>
      </c>
      <c r="R14" s="21">
        <v>526.20000000000005</v>
      </c>
      <c r="S14" s="21">
        <v>22.3</v>
      </c>
      <c r="T14" s="21">
        <v>28.56</v>
      </c>
      <c r="U14" s="27">
        <v>0.47</v>
      </c>
      <c r="V14" s="11">
        <v>0.39800000000000002</v>
      </c>
      <c r="W14" s="81">
        <v>0.02</v>
      </c>
      <c r="X14" s="18">
        <v>1.1739999999999999</v>
      </c>
      <c r="Y14" s="81">
        <v>0.04</v>
      </c>
      <c r="Z14" s="18">
        <v>3.67</v>
      </c>
      <c r="AA14" s="31"/>
      <c r="AB14" s="69">
        <f t="shared" ref="AB14:AB20" si="0">((J14/50)+(L14/35.45)+(M14/62)+(N14/48.03))</f>
        <v>59.714583571657755</v>
      </c>
      <c r="AC14" s="69">
        <f t="shared" ref="AC14:AC60" si="1">((P14/20.04)+(Q14/12.16)+(R14/22.99)+(T14/39.1))</f>
        <v>56.052315895328888</v>
      </c>
      <c r="AD14" s="69">
        <f t="shared" ref="AD14:AD60" si="2">ABS((AB14-AC14)/(AB14+AC14)*100)</f>
        <v>3.1634842888517012</v>
      </c>
      <c r="AF14" s="96">
        <v>7.88</v>
      </c>
      <c r="AG14" s="96">
        <v>-4.1336899999999996</v>
      </c>
      <c r="AH14" s="96">
        <v>1.0336000000000001</v>
      </c>
      <c r="AI14" s="96">
        <v>-0.1188</v>
      </c>
      <c r="AJ14" s="96">
        <v>-0.36780000000000002</v>
      </c>
      <c r="AK14" s="96">
        <v>-2.4611000000000001</v>
      </c>
      <c r="AL14" s="96">
        <v>1.4016999999999999</v>
      </c>
      <c r="AM14" s="96">
        <v>0.36749999999999999</v>
      </c>
      <c r="AN14" s="96">
        <v>-0.41620000000000001</v>
      </c>
      <c r="AO14" s="96">
        <v>-0.2319</v>
      </c>
      <c r="AQ14" s="50">
        <f>K14/1000</f>
        <v>0.76100000000000001</v>
      </c>
      <c r="AR14" s="50">
        <f>AT14/($AS$6)</f>
        <v>0.5962294504679827</v>
      </c>
      <c r="AS14" s="50">
        <f>(AQ14-$AQ$12)*0.106</f>
        <v>5.0220444444444443E-2</v>
      </c>
      <c r="AT14" s="50">
        <f>AT12-AS14</f>
        <v>0.35743955555555562</v>
      </c>
      <c r="AU14" s="50">
        <f>AR14/AQ14</f>
        <v>0.78348153806568033</v>
      </c>
    </row>
    <row r="15" spans="1:47" s="68" customFormat="1" x14ac:dyDescent="0.35">
      <c r="A15" s="68">
        <v>8</v>
      </c>
      <c r="B15" s="10"/>
      <c r="C15" s="31">
        <v>2</v>
      </c>
      <c r="D15" s="31">
        <v>106</v>
      </c>
      <c r="E15" s="31">
        <f>E14+D15</f>
        <v>212</v>
      </c>
      <c r="F15" s="69">
        <f t="shared" ref="F15:F60" si="3">D15/106</f>
        <v>1</v>
      </c>
      <c r="G15" s="25">
        <f>G14+F15</f>
        <v>2</v>
      </c>
      <c r="H15" s="25">
        <v>7.95</v>
      </c>
      <c r="I15" s="31">
        <v>2290</v>
      </c>
      <c r="J15" s="31">
        <v>334</v>
      </c>
      <c r="K15" s="31">
        <v>535</v>
      </c>
      <c r="L15" s="31">
        <v>50</v>
      </c>
      <c r="M15" s="27">
        <v>15</v>
      </c>
      <c r="N15" s="31">
        <v>1068</v>
      </c>
      <c r="O15" s="31">
        <v>32</v>
      </c>
      <c r="P15" s="21">
        <v>255</v>
      </c>
      <c r="Q15" s="21">
        <v>67.73</v>
      </c>
      <c r="R15" s="21">
        <v>242.6</v>
      </c>
      <c r="S15" s="21">
        <v>21.39</v>
      </c>
      <c r="T15" s="21">
        <v>18.760000000000002</v>
      </c>
      <c r="U15" s="169">
        <v>0.2</v>
      </c>
      <c r="V15" s="11">
        <v>0.19</v>
      </c>
      <c r="W15" s="81">
        <v>0.02</v>
      </c>
      <c r="X15" s="11">
        <v>0.69799999999999995</v>
      </c>
      <c r="Y15" s="81">
        <v>0.04</v>
      </c>
      <c r="Z15" s="18">
        <v>2.266</v>
      </c>
      <c r="AA15" s="31"/>
      <c r="AB15" s="69">
        <f t="shared" si="0"/>
        <v>30.5684751553915</v>
      </c>
      <c r="AC15" s="69">
        <f t="shared" si="1"/>
        <v>29.326661703496455</v>
      </c>
      <c r="AD15" s="69">
        <f t="shared" si="2"/>
        <v>2.0733126544492895</v>
      </c>
      <c r="AF15" s="96">
        <v>7.95</v>
      </c>
      <c r="AG15" s="96">
        <v>-2.9397199999999999</v>
      </c>
      <c r="AH15" s="96">
        <v>1.0371999999999999</v>
      </c>
      <c r="AI15" s="96">
        <v>-0.47189999999999999</v>
      </c>
      <c r="AJ15" s="96">
        <v>-0.72130000000000005</v>
      </c>
      <c r="AK15" s="96">
        <v>-2.5085000000000002</v>
      </c>
      <c r="AL15" s="96">
        <v>1.3322000000000001</v>
      </c>
      <c r="AM15" s="96">
        <v>0.40550000000000003</v>
      </c>
      <c r="AN15" s="96">
        <v>-0.75160000000000005</v>
      </c>
      <c r="AO15" s="96">
        <v>-0.30499999999999999</v>
      </c>
      <c r="AQ15" s="50">
        <f t="shared" ref="AQ15:AQ20" si="4">K15/1000</f>
        <v>0.53500000000000003</v>
      </c>
      <c r="AR15" s="50">
        <f t="shared" ref="AR15:AR20" si="5">AT15/($AS$6)</f>
        <v>0.55241886757483094</v>
      </c>
      <c r="AS15" s="50">
        <f t="shared" ref="AS15:AS20" si="6">(AQ15-$AQ$12)*0.106</f>
        <v>2.6264444444444448E-2</v>
      </c>
      <c r="AT15" s="50">
        <f>AT14-AS15</f>
        <v>0.3311751111111112</v>
      </c>
      <c r="AU15" s="50">
        <f t="shared" ref="AU15:AU20" si="7">AR15/AQ15</f>
        <v>1.0325586309809924</v>
      </c>
    </row>
    <row r="16" spans="1:47" s="68" customFormat="1" x14ac:dyDescent="0.35">
      <c r="A16" s="68">
        <v>8</v>
      </c>
      <c r="B16" s="10"/>
      <c r="C16" s="68">
        <v>3</v>
      </c>
      <c r="D16" s="68">
        <v>106</v>
      </c>
      <c r="E16" s="31">
        <f t="shared" ref="E16:E19" si="8">E15+D16</f>
        <v>318</v>
      </c>
      <c r="F16" s="69">
        <f t="shared" si="3"/>
        <v>1</v>
      </c>
      <c r="G16" s="25">
        <f t="shared" ref="G16:G19" si="9">G15+F16</f>
        <v>3</v>
      </c>
      <c r="H16" s="31">
        <v>7.98</v>
      </c>
      <c r="I16" s="31">
        <v>1842</v>
      </c>
      <c r="J16" s="31">
        <v>340</v>
      </c>
      <c r="K16" s="27">
        <v>417</v>
      </c>
      <c r="L16" s="27">
        <v>49</v>
      </c>
      <c r="M16" s="27">
        <v>15</v>
      </c>
      <c r="N16" s="31">
        <v>718</v>
      </c>
      <c r="O16" s="31">
        <v>28</v>
      </c>
      <c r="P16" s="21">
        <v>191.8</v>
      </c>
      <c r="Q16" s="21">
        <v>47.76</v>
      </c>
      <c r="R16" s="21">
        <v>190.2</v>
      </c>
      <c r="S16" s="21">
        <v>20.91</v>
      </c>
      <c r="T16" s="21">
        <v>16.48</v>
      </c>
      <c r="U16" s="169">
        <v>0.2</v>
      </c>
      <c r="V16" s="11">
        <v>0.112</v>
      </c>
      <c r="W16" s="81">
        <v>0.02</v>
      </c>
      <c r="X16" s="11">
        <v>0.52300000000000002</v>
      </c>
      <c r="Y16" s="81">
        <v>0.04</v>
      </c>
      <c r="Z16" s="18">
        <v>1.7629999999999999</v>
      </c>
      <c r="AA16" s="31"/>
      <c r="AB16" s="69">
        <f t="shared" si="0"/>
        <v>23.37315418915243</v>
      </c>
      <c r="AC16" s="69">
        <f t="shared" si="1"/>
        <v>22.193135482793693</v>
      </c>
      <c r="AD16" s="69">
        <f t="shared" si="2"/>
        <v>2.5896747680231718</v>
      </c>
      <c r="AF16" s="96">
        <v>7.98</v>
      </c>
      <c r="AG16" s="96">
        <v>-3.7253599999999998</v>
      </c>
      <c r="AH16" s="96">
        <v>1.0175000000000001</v>
      </c>
      <c r="AI16" s="96">
        <v>-0.67130000000000001</v>
      </c>
      <c r="AJ16" s="96">
        <v>-0.92090000000000005</v>
      </c>
      <c r="AK16" s="96">
        <v>-2.5194000000000001</v>
      </c>
      <c r="AL16" s="96">
        <v>1.262</v>
      </c>
      <c r="AM16" s="96">
        <v>0.38879999999999998</v>
      </c>
      <c r="AN16" s="96">
        <v>-1.0204</v>
      </c>
      <c r="AO16" s="96">
        <v>-0.35549999999999998</v>
      </c>
      <c r="AQ16" s="50">
        <f t="shared" si="4"/>
        <v>0.41699999999999998</v>
      </c>
      <c r="AR16" s="50">
        <f t="shared" si="5"/>
        <v>0.52947233805949412</v>
      </c>
      <c r="AS16" s="50">
        <f t="shared" si="6"/>
        <v>1.3756444444444443E-2</v>
      </c>
      <c r="AT16" s="50">
        <f t="shared" ref="AT16:AT20" si="10">AT15-AS16</f>
        <v>0.31741866666666674</v>
      </c>
      <c r="AU16" s="50">
        <f t="shared" si="7"/>
        <v>1.2697178370731275</v>
      </c>
    </row>
    <row r="17" spans="1:47" s="68" customFormat="1" x14ac:dyDescent="0.35">
      <c r="A17" s="68">
        <v>8</v>
      </c>
      <c r="B17" s="10"/>
      <c r="C17" s="68">
        <v>4</v>
      </c>
      <c r="D17" s="31">
        <v>106</v>
      </c>
      <c r="E17" s="31">
        <f t="shared" si="8"/>
        <v>424</v>
      </c>
      <c r="F17" s="69">
        <f t="shared" si="3"/>
        <v>1</v>
      </c>
      <c r="G17" s="25">
        <f t="shared" si="9"/>
        <v>4</v>
      </c>
      <c r="H17" s="31">
        <v>7.96</v>
      </c>
      <c r="I17" s="31">
        <v>1770</v>
      </c>
      <c r="J17" s="31">
        <v>398</v>
      </c>
      <c r="K17" s="27">
        <v>365</v>
      </c>
      <c r="L17" s="27">
        <v>48</v>
      </c>
      <c r="M17" s="27">
        <v>17</v>
      </c>
      <c r="N17" s="31">
        <v>666</v>
      </c>
      <c r="O17" s="31">
        <v>28</v>
      </c>
      <c r="P17" s="21">
        <v>176</v>
      </c>
      <c r="Q17" s="21">
        <v>45.23</v>
      </c>
      <c r="R17" s="21">
        <v>182.7</v>
      </c>
      <c r="S17" s="21">
        <v>20.55</v>
      </c>
      <c r="T17" s="21">
        <v>15.33</v>
      </c>
      <c r="U17" s="169">
        <v>0.2</v>
      </c>
      <c r="V17" s="33">
        <v>8.2000000000000003E-2</v>
      </c>
      <c r="W17" s="81">
        <v>0.02</v>
      </c>
      <c r="X17" s="11">
        <v>0.47899999999999998</v>
      </c>
      <c r="Y17" s="81">
        <v>0.04</v>
      </c>
      <c r="Z17" s="18">
        <v>1.655</v>
      </c>
      <c r="AA17" s="31"/>
      <c r="AB17" s="69">
        <f t="shared" si="0"/>
        <v>23.454546836044933</v>
      </c>
      <c r="AC17" s="69">
        <f t="shared" si="1"/>
        <v>20.841012558740562</v>
      </c>
      <c r="AD17" s="69">
        <f t="shared" si="2"/>
        <v>5.9002173423551749</v>
      </c>
      <c r="AF17" s="96">
        <v>7.96</v>
      </c>
      <c r="AG17" s="96">
        <v>-7.1644500000000004</v>
      </c>
      <c r="AH17" s="96">
        <v>1.0374000000000001</v>
      </c>
      <c r="AI17" s="96">
        <v>-0.7268</v>
      </c>
      <c r="AJ17" s="96">
        <v>-0.97640000000000005</v>
      </c>
      <c r="AK17" s="96">
        <v>-2.4272999999999998</v>
      </c>
      <c r="AL17" s="96">
        <v>1.3163</v>
      </c>
      <c r="AM17" s="96">
        <v>0.41249999999999998</v>
      </c>
      <c r="AN17" s="96">
        <v>-1.1840999999999999</v>
      </c>
      <c r="AO17" s="96">
        <v>-0.3211</v>
      </c>
      <c r="AQ17" s="50">
        <f t="shared" si="4"/>
        <v>0.36499999999999999</v>
      </c>
      <c r="AR17" s="50">
        <f t="shared" si="5"/>
        <v>0.51572013715132992</v>
      </c>
      <c r="AS17" s="50">
        <f t="shared" si="6"/>
        <v>8.2444444444444449E-3</v>
      </c>
      <c r="AT17" s="50">
        <f t="shared" si="10"/>
        <v>0.30917422222222229</v>
      </c>
      <c r="AU17" s="50">
        <f t="shared" si="7"/>
        <v>1.4129318826063835</v>
      </c>
    </row>
    <row r="18" spans="1:47" s="68" customFormat="1" x14ac:dyDescent="0.35">
      <c r="A18" s="68">
        <v>8</v>
      </c>
      <c r="B18" s="10"/>
      <c r="C18" s="68">
        <v>5</v>
      </c>
      <c r="D18" s="68">
        <v>106</v>
      </c>
      <c r="E18" s="31">
        <f t="shared" si="8"/>
        <v>530</v>
      </c>
      <c r="F18" s="69">
        <f t="shared" si="3"/>
        <v>1</v>
      </c>
      <c r="G18" s="25">
        <f t="shared" si="9"/>
        <v>5</v>
      </c>
      <c r="H18" s="31">
        <v>7.95</v>
      </c>
      <c r="I18" s="31">
        <v>1759</v>
      </c>
      <c r="J18" s="31">
        <v>330</v>
      </c>
      <c r="K18" s="27">
        <v>342</v>
      </c>
      <c r="L18" s="27">
        <v>48</v>
      </c>
      <c r="M18" s="27">
        <v>18</v>
      </c>
      <c r="N18" s="31">
        <v>660</v>
      </c>
      <c r="O18" s="31">
        <v>25</v>
      </c>
      <c r="P18" s="21">
        <v>171.1</v>
      </c>
      <c r="Q18" s="21">
        <v>43.52</v>
      </c>
      <c r="R18" s="21">
        <v>185.1</v>
      </c>
      <c r="S18" s="21">
        <v>20.71</v>
      </c>
      <c r="T18" s="21">
        <v>15.67</v>
      </c>
      <c r="U18" s="169">
        <v>0.2</v>
      </c>
      <c r="V18" s="33">
        <v>6.9000000000000006E-2</v>
      </c>
      <c r="W18" s="81">
        <v>0.02</v>
      </c>
      <c r="X18" s="11">
        <v>0.47</v>
      </c>
      <c r="Y18" s="81">
        <v>0.04</v>
      </c>
      <c r="Z18" s="18">
        <v>1.63</v>
      </c>
      <c r="AA18" s="31"/>
      <c r="AB18" s="69">
        <f t="shared" si="0"/>
        <v>21.985753944505372</v>
      </c>
      <c r="AC18" s="69">
        <f t="shared" si="1"/>
        <v>20.568965447311626</v>
      </c>
      <c r="AD18" s="69">
        <f t="shared" si="2"/>
        <v>3.3293334263324632</v>
      </c>
      <c r="AF18" s="96">
        <v>7.95</v>
      </c>
      <c r="AG18" s="96">
        <v>-4.9447799999999997</v>
      </c>
      <c r="AH18" s="96">
        <v>0.94120000000000004</v>
      </c>
      <c r="AI18" s="96">
        <v>-0.73309999999999997</v>
      </c>
      <c r="AJ18" s="96">
        <v>-0.98270000000000002</v>
      </c>
      <c r="AK18" s="96">
        <v>-2.4973999999999998</v>
      </c>
      <c r="AL18" s="96">
        <v>1.1180000000000001</v>
      </c>
      <c r="AM18" s="96">
        <v>0.32</v>
      </c>
      <c r="AN18" s="96">
        <v>-1.2622</v>
      </c>
      <c r="AO18" s="96">
        <v>-0.42330000000000001</v>
      </c>
      <c r="AQ18" s="50">
        <f t="shared" si="4"/>
        <v>0.34200000000000003</v>
      </c>
      <c r="AR18" s="50">
        <f t="shared" si="5"/>
        <v>0.5060346585117228</v>
      </c>
      <c r="AS18" s="50">
        <f t="shared" si="6"/>
        <v>5.8064444444444483E-3</v>
      </c>
      <c r="AT18" s="50">
        <f t="shared" si="10"/>
        <v>0.30336777777777785</v>
      </c>
      <c r="AU18" s="50">
        <f t="shared" si="7"/>
        <v>1.479633504420242</v>
      </c>
    </row>
    <row r="19" spans="1:47" s="68" customFormat="1" x14ac:dyDescent="0.35">
      <c r="A19" s="68">
        <v>8</v>
      </c>
      <c r="B19" s="10"/>
      <c r="C19" s="68">
        <v>6</v>
      </c>
      <c r="D19" s="31">
        <v>106</v>
      </c>
      <c r="E19" s="31">
        <f t="shared" si="8"/>
        <v>636</v>
      </c>
      <c r="F19" s="69">
        <f t="shared" si="3"/>
        <v>1</v>
      </c>
      <c r="G19" s="25">
        <f t="shared" si="9"/>
        <v>6</v>
      </c>
      <c r="H19" s="25">
        <v>7.94</v>
      </c>
      <c r="I19" s="31">
        <v>1751</v>
      </c>
      <c r="J19" s="31">
        <v>332</v>
      </c>
      <c r="K19" s="27">
        <v>333</v>
      </c>
      <c r="L19" s="27">
        <v>48</v>
      </c>
      <c r="M19" s="27">
        <v>19</v>
      </c>
      <c r="N19" s="31">
        <v>648</v>
      </c>
      <c r="O19" s="31">
        <v>26</v>
      </c>
      <c r="P19" s="21">
        <v>168.8</v>
      </c>
      <c r="Q19" s="21">
        <v>44.37</v>
      </c>
      <c r="R19" s="21">
        <v>184.7</v>
      </c>
      <c r="S19" s="21">
        <v>20.9</v>
      </c>
      <c r="T19" s="21">
        <v>15.39</v>
      </c>
      <c r="U19" s="169">
        <v>0.2</v>
      </c>
      <c r="V19" s="33">
        <v>6.2E-2</v>
      </c>
      <c r="W19" s="81">
        <v>0.02</v>
      </c>
      <c r="X19" s="11">
        <v>0.46800000000000003</v>
      </c>
      <c r="Y19" s="81">
        <v>0.04</v>
      </c>
      <c r="Z19" s="18">
        <v>1.625</v>
      </c>
      <c r="AA19" s="31"/>
      <c r="AB19" s="69">
        <f t="shared" si="0"/>
        <v>21.792039129168181</v>
      </c>
      <c r="AC19" s="69">
        <f t="shared" si="1"/>
        <v>20.499536309626059</v>
      </c>
      <c r="AD19" s="69">
        <f t="shared" si="2"/>
        <v>3.0561708948692976</v>
      </c>
      <c r="AF19" s="96">
        <v>7.94</v>
      </c>
      <c r="AG19" s="96">
        <v>-4.5653300000000003</v>
      </c>
      <c r="AH19" s="96">
        <v>0.93079999999999996</v>
      </c>
      <c r="AI19" s="96">
        <v>-0.74409999999999998</v>
      </c>
      <c r="AJ19" s="96">
        <v>-0.99370000000000003</v>
      </c>
      <c r="AK19" s="96">
        <v>-2.4842</v>
      </c>
      <c r="AL19" s="96">
        <v>1.1113</v>
      </c>
      <c r="AM19" s="96">
        <v>0.31530000000000002</v>
      </c>
      <c r="AN19" s="96">
        <v>-1.1040000000000001</v>
      </c>
      <c r="AO19" s="96">
        <v>-0.41959999999999997</v>
      </c>
      <c r="AQ19" s="50">
        <f t="shared" si="4"/>
        <v>0.33300000000000002</v>
      </c>
      <c r="AR19" s="50">
        <f t="shared" si="5"/>
        <v>0.49794050597720335</v>
      </c>
      <c r="AS19" s="50">
        <f t="shared" si="6"/>
        <v>4.8524444444444474E-3</v>
      </c>
      <c r="AT19" s="50">
        <f t="shared" si="10"/>
        <v>0.29851533333333341</v>
      </c>
      <c r="AU19" s="50">
        <f t="shared" si="7"/>
        <v>1.4953168347663763</v>
      </c>
    </row>
    <row r="20" spans="1:47" s="68" customFormat="1" x14ac:dyDescent="0.35">
      <c r="A20" s="68">
        <v>8</v>
      </c>
      <c r="B20" s="10">
        <v>43524</v>
      </c>
      <c r="C20" s="68">
        <v>7</v>
      </c>
      <c r="D20" s="68">
        <v>106</v>
      </c>
      <c r="E20" s="31">
        <f>E19+D20</f>
        <v>742</v>
      </c>
      <c r="F20" s="69">
        <f t="shared" si="3"/>
        <v>1</v>
      </c>
      <c r="G20" s="25">
        <f>G19+F20</f>
        <v>7</v>
      </c>
      <c r="H20" s="31">
        <v>7.82</v>
      </c>
      <c r="I20" s="31">
        <v>1667</v>
      </c>
      <c r="J20" s="31">
        <v>322</v>
      </c>
      <c r="K20" s="27">
        <v>289</v>
      </c>
      <c r="L20" s="31">
        <v>44</v>
      </c>
      <c r="M20" s="27">
        <v>18</v>
      </c>
      <c r="N20" s="31">
        <v>610</v>
      </c>
      <c r="O20" s="31">
        <v>25</v>
      </c>
      <c r="P20" s="21">
        <v>157</v>
      </c>
      <c r="Q20" s="21">
        <v>41.48</v>
      </c>
      <c r="R20" s="21">
        <v>180.7</v>
      </c>
      <c r="S20" s="21">
        <v>20.92</v>
      </c>
      <c r="T20" s="21">
        <v>14.8</v>
      </c>
      <c r="U20" s="169">
        <v>0.2</v>
      </c>
      <c r="V20" s="68">
        <v>5.8999999999999997E-2</v>
      </c>
      <c r="W20" s="81">
        <v>0.02</v>
      </c>
      <c r="X20" s="163">
        <v>0.44</v>
      </c>
      <c r="Y20" s="81">
        <v>0.04</v>
      </c>
      <c r="Z20" s="170">
        <v>1.5409999999999999</v>
      </c>
      <c r="AA20" s="31"/>
      <c r="AB20" s="69">
        <f t="shared" si="0"/>
        <v>20.671902934015044</v>
      </c>
      <c r="AC20" s="69">
        <f t="shared" si="1"/>
        <v>19.483971275850827</v>
      </c>
      <c r="AD20" s="69">
        <f t="shared" si="2"/>
        <v>2.9583010743478098</v>
      </c>
      <c r="AF20" s="96">
        <v>7.82</v>
      </c>
      <c r="AG20" s="96">
        <v>-4.6188200000000004</v>
      </c>
      <c r="AH20" s="96">
        <v>0.78139999999999998</v>
      </c>
      <c r="AI20" s="96">
        <v>-0.78400000000000003</v>
      </c>
      <c r="AJ20" s="96">
        <v>-1.0336000000000001</v>
      </c>
      <c r="AK20" s="96">
        <v>-2.3715000000000002</v>
      </c>
      <c r="AL20" s="96">
        <v>0.81359999999999999</v>
      </c>
      <c r="AM20" s="96">
        <v>0.1691</v>
      </c>
      <c r="AN20" s="96">
        <v>-1.3502000000000001</v>
      </c>
      <c r="AO20" s="96">
        <v>-0.56779999999999997</v>
      </c>
      <c r="AQ20" s="50">
        <f t="shared" si="4"/>
        <v>0.28899999999999998</v>
      </c>
      <c r="AR20" s="50">
        <f t="shared" si="5"/>
        <v>0.49762616995644532</v>
      </c>
      <c r="AS20" s="50">
        <f t="shared" si="6"/>
        <v>1.8844444444444331E-4</v>
      </c>
      <c r="AT20" s="50">
        <f t="shared" si="10"/>
        <v>0.29832688888888897</v>
      </c>
      <c r="AU20" s="50">
        <f t="shared" si="7"/>
        <v>1.7218898614409874</v>
      </c>
    </row>
    <row r="21" spans="1:47" s="68" customFormat="1" x14ac:dyDescent="0.35">
      <c r="B21" s="10"/>
      <c r="E21" s="31"/>
      <c r="F21" s="69"/>
      <c r="G21" s="25"/>
      <c r="K21" s="27"/>
      <c r="L21" s="27"/>
      <c r="N21" s="31"/>
      <c r="R21" s="13"/>
      <c r="S21" s="13"/>
      <c r="T21" s="13"/>
      <c r="U21" s="11"/>
      <c r="V21" s="15"/>
      <c r="W21" s="70"/>
      <c r="X21" s="16"/>
      <c r="AB21" s="69"/>
      <c r="AC21" s="69"/>
      <c r="AD21" s="69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Q21" s="50"/>
      <c r="AR21" s="50"/>
      <c r="AS21" s="50"/>
      <c r="AT21" s="50"/>
      <c r="AU21" s="50"/>
    </row>
    <row r="22" spans="1:47" s="68" customFormat="1" x14ac:dyDescent="0.35">
      <c r="A22" s="68" t="s">
        <v>55</v>
      </c>
      <c r="F22" s="69"/>
      <c r="G22" s="69"/>
      <c r="H22" s="69" t="s">
        <v>266</v>
      </c>
      <c r="I22" s="165">
        <f>'Influent Results Master'!D37</f>
        <v>792.8888888888888</v>
      </c>
      <c r="J22" s="165">
        <f>'Influent Results Master'!F37</f>
        <v>161.7777777777778</v>
      </c>
      <c r="K22" s="170">
        <f>'Influent Results Master'!G37</f>
        <v>7.1555555555555559</v>
      </c>
      <c r="L22" s="165">
        <f>'Influent Results Master'!H37</f>
        <v>11.777777777777779</v>
      </c>
      <c r="M22" s="170">
        <f>'Influent Results Master'!I37</f>
        <v>4.7</v>
      </c>
      <c r="N22" s="165">
        <f>'Influent Results Master'!J37</f>
        <v>323.22222222222223</v>
      </c>
      <c r="O22" s="165">
        <f>'Influent Results Master'!K37</f>
        <v>17.333333333333332</v>
      </c>
      <c r="P22" s="165">
        <f>'Influent Results Master'!L37</f>
        <v>110.73333333333333</v>
      </c>
      <c r="Q22" s="165">
        <f>'Influent Results Master'!M37</f>
        <v>36.826666666666675</v>
      </c>
      <c r="R22" s="165">
        <f>'Influent Results Master'!N37</f>
        <v>60.793333333333329</v>
      </c>
      <c r="S22" s="165">
        <f>'Influent Results Master'!O37</f>
        <v>12.273333333333333</v>
      </c>
      <c r="T22" s="170">
        <f>'Influent Results Master'!P37</f>
        <v>3.2865555555555557</v>
      </c>
      <c r="U22" s="167">
        <f>'Influent Results Master'!Q37</f>
        <v>0.20000000000000004</v>
      </c>
      <c r="V22" s="177">
        <f>'Influent Results Master'!R37</f>
        <v>0.02</v>
      </c>
      <c r="W22" s="177">
        <f>'Influent Results Master'!S37</f>
        <v>0.02</v>
      </c>
      <c r="X22" s="176">
        <f>'Influent Results Master'!T37</f>
        <v>4.3000000000000003E-2</v>
      </c>
      <c r="Y22" s="177">
        <f>'Influent Results Master'!U37</f>
        <v>0.04</v>
      </c>
      <c r="Z22" s="170">
        <f>'Influent Results Master'!V37</f>
        <v>1.2584444444444445</v>
      </c>
      <c r="AB22" s="69">
        <f>((J22/50)+(L22/35.45)+(M22/62)+(N22/48.03))</f>
        <v>10.373188636120361</v>
      </c>
      <c r="AC22" s="69">
        <f t="shared" si="1"/>
        <v>11.282517455045328</v>
      </c>
      <c r="AD22" s="69">
        <f t="shared" si="2"/>
        <v>4.1990264140864122</v>
      </c>
      <c r="AF22" s="96">
        <v>8</v>
      </c>
      <c r="AG22" s="96">
        <v>7.4643600000000001</v>
      </c>
      <c r="AH22" s="96">
        <v>0.60719999999999996</v>
      </c>
      <c r="AI22" s="96">
        <v>-1.0588</v>
      </c>
      <c r="AJ22" s="96">
        <v>-1.3086</v>
      </c>
      <c r="AK22" s="96">
        <v>-2.8530000000000002</v>
      </c>
      <c r="AL22" s="96">
        <v>0.55689999999999995</v>
      </c>
      <c r="AM22" s="96">
        <v>-0.85270000000000001</v>
      </c>
      <c r="AN22" s="96">
        <v>-1.8179000000000001</v>
      </c>
      <c r="AO22" s="96">
        <v>-0.65039999999999998</v>
      </c>
      <c r="AQ22" s="50">
        <f>K22/1000</f>
        <v>7.1555555555555556E-3</v>
      </c>
      <c r="AR22" s="50"/>
      <c r="AS22" s="50"/>
      <c r="AT22" s="50"/>
      <c r="AU22" s="50"/>
    </row>
    <row r="23" spans="1:47" s="68" customFormat="1" x14ac:dyDescent="0.35">
      <c r="F23" s="69"/>
      <c r="G23" s="69"/>
      <c r="M23" s="65"/>
      <c r="N23" s="27"/>
      <c r="O23" s="65"/>
      <c r="P23" s="65"/>
      <c r="Q23" s="65"/>
      <c r="R23" s="67"/>
      <c r="S23" s="67"/>
      <c r="T23" s="67"/>
      <c r="U23" s="67"/>
      <c r="V23" s="65"/>
      <c r="W23" s="66"/>
      <c r="X23" s="67"/>
      <c r="Y23" s="65"/>
      <c r="AB23" s="69"/>
      <c r="AC23" s="69"/>
      <c r="AD23" s="69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Q23" s="50"/>
      <c r="AR23" s="50"/>
      <c r="AS23" s="50"/>
      <c r="AT23" s="50"/>
      <c r="AU23" s="50"/>
    </row>
    <row r="24" spans="1:47" s="68" customFormat="1" x14ac:dyDescent="0.35">
      <c r="A24" s="68">
        <v>8</v>
      </c>
      <c r="B24" s="10">
        <v>43524</v>
      </c>
      <c r="C24" s="68">
        <v>8</v>
      </c>
      <c r="D24" s="68">
        <v>106</v>
      </c>
      <c r="E24" s="68">
        <f>D24+E20</f>
        <v>848</v>
      </c>
      <c r="F24" s="69">
        <f t="shared" si="3"/>
        <v>1</v>
      </c>
      <c r="G24" s="69">
        <f>F24+G20</f>
        <v>8</v>
      </c>
      <c r="H24" s="31">
        <v>7.75</v>
      </c>
      <c r="I24" s="31">
        <v>1307</v>
      </c>
      <c r="J24" s="31">
        <v>243</v>
      </c>
      <c r="K24" s="31">
        <v>193</v>
      </c>
      <c r="L24" s="27">
        <v>26</v>
      </c>
      <c r="M24" s="27">
        <v>9.8000000000000007</v>
      </c>
      <c r="N24" s="31">
        <v>460</v>
      </c>
      <c r="O24" s="31">
        <v>18</v>
      </c>
      <c r="P24" s="21">
        <v>109.8</v>
      </c>
      <c r="Q24" s="21">
        <v>29.76</v>
      </c>
      <c r="R24" s="21">
        <v>141.69999999999999</v>
      </c>
      <c r="S24" s="21">
        <v>19.62</v>
      </c>
      <c r="T24" s="21">
        <v>12.61</v>
      </c>
      <c r="U24" s="169">
        <v>0.2</v>
      </c>
      <c r="V24" s="68">
        <v>3.6999999999999998E-2</v>
      </c>
      <c r="W24" s="81">
        <v>0.02</v>
      </c>
      <c r="X24" s="163">
        <v>0.315</v>
      </c>
      <c r="Y24" s="81">
        <v>0.04</v>
      </c>
      <c r="Z24" s="170">
        <v>1.1080000000000001</v>
      </c>
      <c r="AA24" s="31"/>
      <c r="AB24" s="69">
        <f t="shared" ref="AB24:AB38" si="11">((J24/50)+(L24/35.45)+(M24/62)+(N24/48.03))</f>
        <v>15.328839369762765</v>
      </c>
      <c r="AC24" s="69">
        <f t="shared" si="1"/>
        <v>14.412466100373186</v>
      </c>
      <c r="AD24" s="69">
        <f t="shared" si="2"/>
        <v>3.0811467583685404</v>
      </c>
      <c r="AF24" s="96">
        <v>7.75</v>
      </c>
      <c r="AG24" s="96">
        <v>-5.3681599999999996</v>
      </c>
      <c r="AH24" s="96">
        <v>0.49030000000000001</v>
      </c>
      <c r="AI24" s="96">
        <v>-0.97399999999999998</v>
      </c>
      <c r="AJ24" s="96">
        <v>-1.2237</v>
      </c>
      <c r="AK24" s="96">
        <v>-2.4108000000000001</v>
      </c>
      <c r="AL24" s="96">
        <v>0.23899999999999999</v>
      </c>
      <c r="AM24" s="96">
        <v>-0.1042</v>
      </c>
      <c r="AN24" s="96">
        <v>-1.6369</v>
      </c>
      <c r="AO24" s="96">
        <v>-0.85129999999999995</v>
      </c>
      <c r="AQ24" s="50">
        <f t="shared" ref="AQ24:AQ38" si="12">K24/1000</f>
        <v>0.193</v>
      </c>
      <c r="AR24" s="50">
        <f>AT24/$AS$6</f>
        <v>0.46476626818645178</v>
      </c>
      <c r="AS24" s="50">
        <f>(AQ24-$AQ$22)*0.106</f>
        <v>1.9699511111111113E-2</v>
      </c>
      <c r="AT24" s="50">
        <f>AT20-AS24</f>
        <v>0.27862737777777785</v>
      </c>
      <c r="AU24" s="50">
        <f t="shared" ref="AU24:AU38" si="13">AR24/AQ24</f>
        <v>2.4081153792044132</v>
      </c>
    </row>
    <row r="25" spans="1:47" s="68" customFormat="1" x14ac:dyDescent="0.35">
      <c r="A25" s="68">
        <v>8</v>
      </c>
      <c r="B25" s="10"/>
      <c r="C25" s="68">
        <v>9</v>
      </c>
      <c r="D25" s="68">
        <v>106</v>
      </c>
      <c r="E25" s="31">
        <f>D25+E24</f>
        <v>954</v>
      </c>
      <c r="F25" s="69">
        <f t="shared" si="3"/>
        <v>1</v>
      </c>
      <c r="G25" s="25">
        <f>G24+F25</f>
        <v>9</v>
      </c>
      <c r="H25" s="31">
        <v>8.17</v>
      </c>
      <c r="I25" s="31">
        <v>1110</v>
      </c>
      <c r="J25" s="31">
        <v>208</v>
      </c>
      <c r="K25" s="27">
        <v>141</v>
      </c>
      <c r="L25" s="27">
        <v>16</v>
      </c>
      <c r="M25" s="27">
        <v>4.8</v>
      </c>
      <c r="N25" s="31">
        <v>388</v>
      </c>
      <c r="O25" s="31">
        <v>16</v>
      </c>
      <c r="P25" s="21">
        <v>96.21</v>
      </c>
      <c r="Q25" s="21">
        <v>26.77</v>
      </c>
      <c r="R25" s="21">
        <v>109.9</v>
      </c>
      <c r="S25" s="21">
        <v>19.829999999999998</v>
      </c>
      <c r="T25" s="21">
        <v>11.1</v>
      </c>
      <c r="U25" s="169">
        <v>0.2</v>
      </c>
      <c r="V25" s="33">
        <v>2.4E-2</v>
      </c>
      <c r="W25" s="81">
        <v>0.02</v>
      </c>
      <c r="X25" s="11">
        <v>0.27200000000000002</v>
      </c>
      <c r="Y25" s="81">
        <v>0.04</v>
      </c>
      <c r="Z25" s="18">
        <v>1.0029999999999999</v>
      </c>
      <c r="AA25" s="31"/>
      <c r="AB25" s="69">
        <f t="shared" si="11"/>
        <v>12.767043675792321</v>
      </c>
      <c r="AC25" s="69">
        <f t="shared" si="1"/>
        <v>12.066605212728332</v>
      </c>
      <c r="AD25" s="69">
        <f t="shared" si="2"/>
        <v>2.8205217292403875</v>
      </c>
      <c r="AF25" s="96">
        <v>8.17</v>
      </c>
      <c r="AG25" s="96">
        <v>-5.7829199999999998</v>
      </c>
      <c r="AH25" s="96">
        <v>0.80010000000000003</v>
      </c>
      <c r="AI25" s="96">
        <v>-1.0636000000000001</v>
      </c>
      <c r="AJ25" s="96">
        <v>-1.3133999999999999</v>
      </c>
      <c r="AK25" s="96">
        <v>-2.9056000000000002</v>
      </c>
      <c r="AL25" s="96">
        <v>0.86929999999999996</v>
      </c>
      <c r="AM25" s="96">
        <v>0.20250000000000001</v>
      </c>
      <c r="AN25" s="96">
        <v>-1.8448</v>
      </c>
      <c r="AO25" s="96">
        <v>-0.53069999999999995</v>
      </c>
      <c r="AQ25" s="50">
        <f t="shared" si="12"/>
        <v>0.14099999999999999</v>
      </c>
      <c r="AR25" s="50">
        <f t="shared" ref="AR25:AR38" si="14">AT25/$AS$6</f>
        <v>0.44110069502363092</v>
      </c>
      <c r="AS25" s="50">
        <f t="shared" ref="AS25:AS38" si="15">(AQ25-$AQ$22)*0.106</f>
        <v>1.418751111111111E-2</v>
      </c>
      <c r="AT25" s="50">
        <f>AT24-AS25</f>
        <v>0.26443986666666675</v>
      </c>
      <c r="AU25" s="50">
        <f t="shared" si="13"/>
        <v>3.1283737235718507</v>
      </c>
    </row>
    <row r="26" spans="1:47" s="68" customFormat="1" x14ac:dyDescent="0.35">
      <c r="A26" s="68">
        <v>8</v>
      </c>
      <c r="B26" s="10"/>
      <c r="C26" s="68">
        <v>10</v>
      </c>
      <c r="D26" s="68">
        <v>106</v>
      </c>
      <c r="E26" s="31">
        <f t="shared" ref="E26:E38" si="16">D26+E25</f>
        <v>1060</v>
      </c>
      <c r="F26" s="69">
        <f t="shared" si="3"/>
        <v>1</v>
      </c>
      <c r="G26" s="25">
        <f t="shared" ref="G26:G38" si="17">G25+F26</f>
        <v>10</v>
      </c>
      <c r="H26" s="31">
        <v>8.0399999999999991</v>
      </c>
      <c r="I26" s="31">
        <v>999</v>
      </c>
      <c r="J26" s="31">
        <v>183</v>
      </c>
      <c r="K26" s="27">
        <v>112</v>
      </c>
      <c r="L26" s="27">
        <v>13</v>
      </c>
      <c r="M26" s="27">
        <v>4.3</v>
      </c>
      <c r="N26" s="31">
        <v>364</v>
      </c>
      <c r="O26" s="31">
        <v>17</v>
      </c>
      <c r="P26" s="21">
        <v>95.68</v>
      </c>
      <c r="Q26" s="21">
        <v>27.17</v>
      </c>
      <c r="R26" s="21">
        <v>83.43</v>
      </c>
      <c r="S26" s="21">
        <v>19.52</v>
      </c>
      <c r="T26" s="21">
        <v>10.67</v>
      </c>
      <c r="U26" s="169">
        <v>0.2</v>
      </c>
      <c r="V26" s="81">
        <v>0.02</v>
      </c>
      <c r="W26" s="81">
        <v>0.02</v>
      </c>
      <c r="X26" s="11">
        <v>0.27</v>
      </c>
      <c r="Y26" s="81">
        <v>0.04</v>
      </c>
      <c r="Z26" s="18">
        <v>1</v>
      </c>
      <c r="AA26" s="31"/>
      <c r="AB26" s="69">
        <f t="shared" si="11"/>
        <v>11.674665230340203</v>
      </c>
      <c r="AC26" s="69">
        <f t="shared" si="1"/>
        <v>10.910685240387235</v>
      </c>
      <c r="AD26" s="69">
        <f t="shared" si="2"/>
        <v>3.3826350888074659</v>
      </c>
      <c r="AF26" s="96">
        <v>8.0399999999999991</v>
      </c>
      <c r="AG26" s="96">
        <v>-6.9466999999999999</v>
      </c>
      <c r="AH26" s="96">
        <v>0.63160000000000005</v>
      </c>
      <c r="AI26" s="96">
        <v>-1.0760000000000001</v>
      </c>
      <c r="AJ26" s="96">
        <v>-1.3258000000000001</v>
      </c>
      <c r="AK26" s="96">
        <v>-2.8248000000000002</v>
      </c>
      <c r="AL26" s="96">
        <v>0.53949999999999998</v>
      </c>
      <c r="AM26" s="96">
        <v>3.6299999999999999E-2</v>
      </c>
      <c r="AN26" s="96">
        <v>-1.9066000000000001</v>
      </c>
      <c r="AO26" s="96">
        <v>-0.69210000000000005</v>
      </c>
      <c r="AQ26" s="50">
        <f t="shared" si="12"/>
        <v>0.112</v>
      </c>
      <c r="AR26" s="50">
        <f t="shared" si="14"/>
        <v>0.42256272819942559</v>
      </c>
      <c r="AS26" s="50">
        <f t="shared" si="15"/>
        <v>1.1113511111111111E-2</v>
      </c>
      <c r="AT26" s="50">
        <f t="shared" ref="AT26:AT38" si="18">AT25-AS26</f>
        <v>0.25332635555555566</v>
      </c>
      <c r="AU26" s="50">
        <f t="shared" si="13"/>
        <v>3.7728815017805855</v>
      </c>
    </row>
    <row r="27" spans="1:47" s="68" customFormat="1" x14ac:dyDescent="0.35">
      <c r="A27" s="68">
        <v>8</v>
      </c>
      <c r="B27" s="10"/>
      <c r="C27" s="68">
        <v>11</v>
      </c>
      <c r="D27" s="68">
        <v>106</v>
      </c>
      <c r="E27" s="31">
        <f t="shared" si="16"/>
        <v>1166</v>
      </c>
      <c r="F27" s="69">
        <f t="shared" si="3"/>
        <v>1</v>
      </c>
      <c r="G27" s="25">
        <f t="shared" si="17"/>
        <v>11</v>
      </c>
      <c r="H27" s="31">
        <v>8.0399999999999991</v>
      </c>
      <c r="I27" s="31">
        <v>969</v>
      </c>
      <c r="J27" s="31">
        <v>178</v>
      </c>
      <c r="K27" s="27">
        <v>92</v>
      </c>
      <c r="L27" s="27">
        <v>13</v>
      </c>
      <c r="M27" s="27">
        <v>4.0999999999999996</v>
      </c>
      <c r="N27" s="31">
        <v>354</v>
      </c>
      <c r="O27" s="31">
        <v>16</v>
      </c>
      <c r="P27" s="21">
        <v>100.8</v>
      </c>
      <c r="Q27" s="21">
        <v>29.55</v>
      </c>
      <c r="R27" s="21">
        <v>71.3</v>
      </c>
      <c r="S27" s="21">
        <v>19.260000000000002</v>
      </c>
      <c r="T27" s="21">
        <v>10.39</v>
      </c>
      <c r="U27" s="169">
        <v>0.2</v>
      </c>
      <c r="V27" s="81">
        <v>0.02</v>
      </c>
      <c r="W27" s="81">
        <v>0.02</v>
      </c>
      <c r="X27" s="11">
        <v>0.28899999999999998</v>
      </c>
      <c r="Y27" s="81">
        <v>0.04</v>
      </c>
      <c r="Z27" s="18">
        <v>1.0620000000000001</v>
      </c>
      <c r="AA27" s="31"/>
      <c r="AB27" s="69">
        <f t="shared" si="11"/>
        <v>11.363236217559212</v>
      </c>
      <c r="AC27" s="69">
        <f t="shared" si="1"/>
        <v>10.827116116579957</v>
      </c>
      <c r="AD27" s="69">
        <f t="shared" si="2"/>
        <v>2.4160053563207797</v>
      </c>
      <c r="AF27" s="96">
        <v>8.0399999999999991</v>
      </c>
      <c r="AG27" s="96">
        <v>-6.0546699999999998</v>
      </c>
      <c r="AH27" s="96">
        <v>0.64559999999999995</v>
      </c>
      <c r="AI27" s="96">
        <v>-1.0653999999999999</v>
      </c>
      <c r="AJ27" s="96">
        <v>-1.3151999999999999</v>
      </c>
      <c r="AK27" s="96">
        <v>-2.8378000000000001</v>
      </c>
      <c r="AL27" s="96">
        <v>0.58050000000000002</v>
      </c>
      <c r="AM27" s="96">
        <v>5.8099999999999999E-2</v>
      </c>
      <c r="AN27" s="96">
        <v>-1.8788</v>
      </c>
      <c r="AO27" s="96">
        <v>-0.66510000000000002</v>
      </c>
      <c r="AQ27" s="50">
        <f t="shared" si="12"/>
        <v>9.1999999999999998E-2</v>
      </c>
      <c r="AR27" s="50">
        <f t="shared" si="14"/>
        <v>0.40756104160874818</v>
      </c>
      <c r="AS27" s="50">
        <f t="shared" si="15"/>
        <v>8.9935111111111108E-3</v>
      </c>
      <c r="AT27" s="50">
        <f t="shared" si="18"/>
        <v>0.24433284444444456</v>
      </c>
      <c r="AU27" s="50">
        <f t="shared" si="13"/>
        <v>4.4300113218342192</v>
      </c>
    </row>
    <row r="28" spans="1:47" s="68" customFormat="1" x14ac:dyDescent="0.35">
      <c r="A28" s="68">
        <v>8</v>
      </c>
      <c r="B28" s="28"/>
      <c r="C28" s="68">
        <v>12</v>
      </c>
      <c r="D28" s="68">
        <v>106</v>
      </c>
      <c r="E28" s="31">
        <f t="shared" si="16"/>
        <v>1272</v>
      </c>
      <c r="F28" s="69">
        <f t="shared" si="3"/>
        <v>1</v>
      </c>
      <c r="G28" s="25">
        <f t="shared" si="17"/>
        <v>12</v>
      </c>
      <c r="H28" s="31">
        <v>8.02</v>
      </c>
      <c r="I28" s="31">
        <v>955</v>
      </c>
      <c r="J28" s="31">
        <v>174</v>
      </c>
      <c r="K28" s="27">
        <v>82</v>
      </c>
      <c r="L28" s="27">
        <v>13</v>
      </c>
      <c r="M28" s="27">
        <v>5.6</v>
      </c>
      <c r="N28" s="31">
        <v>356</v>
      </c>
      <c r="O28" s="31">
        <v>15</v>
      </c>
      <c r="P28" s="21">
        <v>103.1</v>
      </c>
      <c r="Q28" s="21">
        <v>31.13</v>
      </c>
      <c r="R28" s="21">
        <v>61.39</v>
      </c>
      <c r="S28" s="21">
        <v>18.82</v>
      </c>
      <c r="T28" s="18">
        <v>9.8170000000000002</v>
      </c>
      <c r="U28" s="169">
        <v>0.2</v>
      </c>
      <c r="V28" s="81">
        <v>0.02</v>
      </c>
      <c r="W28" s="33">
        <v>9.2999999999999999E-2</v>
      </c>
      <c r="X28" s="11">
        <v>0.29699999999999999</v>
      </c>
      <c r="Y28" s="81">
        <v>0.04</v>
      </c>
      <c r="Z28" s="18">
        <v>1.103</v>
      </c>
      <c r="AA28" s="31"/>
      <c r="AB28" s="69">
        <f t="shared" si="11"/>
        <v>11.349070407212183</v>
      </c>
      <c r="AC28" s="69">
        <f t="shared" si="1"/>
        <v>10.626109073434092</v>
      </c>
      <c r="AD28" s="69">
        <f t="shared" si="2"/>
        <v>3.2898995633451333</v>
      </c>
      <c r="AF28" s="96">
        <v>8.02</v>
      </c>
      <c r="AG28" s="96">
        <v>-7.0423499999999999</v>
      </c>
      <c r="AH28" s="96">
        <v>0.62629999999999997</v>
      </c>
      <c r="AI28" s="96">
        <v>-1.0544</v>
      </c>
      <c r="AJ28" s="96">
        <v>-1.3042</v>
      </c>
      <c r="AK28" s="96">
        <v>-2.8275000000000001</v>
      </c>
      <c r="AL28" s="96">
        <v>0.55459999999999998</v>
      </c>
      <c r="AM28" s="96">
        <v>3.9199999999999999E-2</v>
      </c>
      <c r="AN28" s="96">
        <v>-1.8681000000000001</v>
      </c>
      <c r="AO28" s="96">
        <v>-0.67169999999999996</v>
      </c>
      <c r="AQ28" s="50">
        <f t="shared" si="12"/>
        <v>8.2000000000000003E-2</v>
      </c>
      <c r="AR28" s="50">
        <f t="shared" si="14"/>
        <v>0.39432749513483478</v>
      </c>
      <c r="AS28" s="50">
        <f t="shared" si="15"/>
        <v>7.9335111111111106E-3</v>
      </c>
      <c r="AT28" s="50">
        <f t="shared" si="18"/>
        <v>0.23639933333333346</v>
      </c>
      <c r="AU28" s="50">
        <f t="shared" si="13"/>
        <v>4.8088718918882289</v>
      </c>
    </row>
    <row r="29" spans="1:47" s="68" customFormat="1" x14ac:dyDescent="0.35">
      <c r="A29" s="68">
        <v>8</v>
      </c>
      <c r="B29" s="28"/>
      <c r="C29" s="68">
        <v>13</v>
      </c>
      <c r="D29" s="68">
        <v>106</v>
      </c>
      <c r="E29" s="31">
        <f t="shared" si="16"/>
        <v>1378</v>
      </c>
      <c r="F29" s="69">
        <f t="shared" si="3"/>
        <v>1</v>
      </c>
      <c r="G29" s="25">
        <f t="shared" si="17"/>
        <v>13</v>
      </c>
      <c r="H29" s="31">
        <v>8.02</v>
      </c>
      <c r="I29" s="31">
        <v>948</v>
      </c>
      <c r="J29" s="31">
        <v>174</v>
      </c>
      <c r="K29" s="27">
        <v>72</v>
      </c>
      <c r="L29" s="27">
        <v>13</v>
      </c>
      <c r="M29" s="27">
        <v>5.3</v>
      </c>
      <c r="N29" s="31">
        <v>352</v>
      </c>
      <c r="O29" s="31">
        <v>16</v>
      </c>
      <c r="P29" s="21">
        <v>106.2</v>
      </c>
      <c r="Q29" s="21">
        <v>31.79</v>
      </c>
      <c r="R29" s="21">
        <v>57.33</v>
      </c>
      <c r="S29" s="21">
        <v>18.36</v>
      </c>
      <c r="T29" s="18">
        <v>9.6989999999999998</v>
      </c>
      <c r="U29" s="169">
        <v>0.2</v>
      </c>
      <c r="V29" s="81">
        <v>0.02</v>
      </c>
      <c r="W29" s="81">
        <v>0.02</v>
      </c>
      <c r="X29" s="11">
        <v>0.30499999999999999</v>
      </c>
      <c r="Y29" s="81">
        <v>0.04</v>
      </c>
      <c r="Z29" s="18">
        <v>1.121</v>
      </c>
      <c r="AA29" s="31"/>
      <c r="AB29" s="69">
        <f t="shared" si="11"/>
        <v>11.260950415003013</v>
      </c>
      <c r="AC29" s="69">
        <f t="shared" si="1"/>
        <v>10.655459584076613</v>
      </c>
      <c r="AD29" s="69">
        <f t="shared" si="2"/>
        <v>2.7627281610073307</v>
      </c>
      <c r="AF29" s="96">
        <v>8.02</v>
      </c>
      <c r="AG29" s="96">
        <v>-6.8426999999999998</v>
      </c>
      <c r="AH29" s="96">
        <v>0.63990000000000002</v>
      </c>
      <c r="AI29" s="96">
        <v>-1.0477000000000001</v>
      </c>
      <c r="AJ29" s="96">
        <v>-1.2975000000000001</v>
      </c>
      <c r="AK29" s="96">
        <v>-2.8279999999999998</v>
      </c>
      <c r="AL29" s="96">
        <v>0.57779999999999998</v>
      </c>
      <c r="AM29" s="96">
        <v>5.11E-2</v>
      </c>
      <c r="AN29" s="96">
        <v>-1.8542000000000001</v>
      </c>
      <c r="AO29" s="96">
        <v>-0.66200000000000003</v>
      </c>
      <c r="AQ29" s="50">
        <f t="shared" si="12"/>
        <v>7.1999999999999995E-2</v>
      </c>
      <c r="AR29" s="50">
        <f t="shared" si="14"/>
        <v>0.38286208877768529</v>
      </c>
      <c r="AS29" s="50">
        <f t="shared" si="15"/>
        <v>6.8735111111111104E-3</v>
      </c>
      <c r="AT29" s="50">
        <f t="shared" si="18"/>
        <v>0.22952582222222234</v>
      </c>
      <c r="AU29" s="50">
        <f t="shared" si="13"/>
        <v>5.3175290108011852</v>
      </c>
    </row>
    <row r="30" spans="1:47" s="68" customFormat="1" x14ac:dyDescent="0.35">
      <c r="A30" s="68">
        <v>8</v>
      </c>
      <c r="B30" s="28"/>
      <c r="C30" s="68">
        <v>14</v>
      </c>
      <c r="D30" s="68">
        <v>106</v>
      </c>
      <c r="E30" s="31">
        <f t="shared" si="16"/>
        <v>1484</v>
      </c>
      <c r="F30" s="69">
        <f t="shared" si="3"/>
        <v>1</v>
      </c>
      <c r="G30" s="25">
        <f t="shared" si="17"/>
        <v>14</v>
      </c>
      <c r="H30" s="31">
        <v>8.02</v>
      </c>
      <c r="I30" s="31">
        <v>844</v>
      </c>
      <c r="J30" s="31">
        <v>174</v>
      </c>
      <c r="K30" s="27">
        <v>66</v>
      </c>
      <c r="L30" s="27">
        <v>12</v>
      </c>
      <c r="M30" s="27">
        <v>4.5</v>
      </c>
      <c r="N30" s="31">
        <v>347</v>
      </c>
      <c r="O30" s="31">
        <v>14</v>
      </c>
      <c r="P30" s="21">
        <v>106.7</v>
      </c>
      <c r="Q30" s="21">
        <v>32.700000000000003</v>
      </c>
      <c r="R30" s="21">
        <v>56.45</v>
      </c>
      <c r="S30" s="21">
        <v>17.82</v>
      </c>
      <c r="T30" s="18">
        <v>9.2959999999999994</v>
      </c>
      <c r="U30" s="169">
        <v>0.2</v>
      </c>
      <c r="V30" s="81">
        <v>0.02</v>
      </c>
      <c r="W30" s="81">
        <v>0.02</v>
      </c>
      <c r="X30" s="11">
        <v>0.309</v>
      </c>
      <c r="Y30" s="81">
        <v>0.04</v>
      </c>
      <c r="Z30" s="18">
        <v>1.129</v>
      </c>
      <c r="AA30" s="31"/>
      <c r="AB30" s="69">
        <f t="shared" si="11"/>
        <v>11.115736841321013</v>
      </c>
      <c r="AC30" s="69">
        <f t="shared" si="1"/>
        <v>10.706660792860237</v>
      </c>
      <c r="AD30" s="69">
        <f t="shared" si="2"/>
        <v>1.8745696752405623</v>
      </c>
      <c r="AF30" s="96">
        <v>8.02</v>
      </c>
      <c r="AG30" s="96">
        <v>-6.0599100000000004</v>
      </c>
      <c r="AH30" s="96">
        <v>0.64319999999999999</v>
      </c>
      <c r="AI30" s="96">
        <v>-1.0515000000000001</v>
      </c>
      <c r="AJ30" s="96">
        <v>-1.3012999999999999</v>
      </c>
      <c r="AK30" s="96">
        <v>-2.8281999999999998</v>
      </c>
      <c r="AL30" s="96">
        <v>0.59450000000000003</v>
      </c>
      <c r="AM30" s="96">
        <v>5.7799999999999997E-2</v>
      </c>
      <c r="AN30" s="96">
        <v>-1.8505</v>
      </c>
      <c r="AO30" s="96">
        <v>-0.64870000000000005</v>
      </c>
      <c r="AQ30" s="50">
        <f t="shared" si="12"/>
        <v>6.6000000000000003E-2</v>
      </c>
      <c r="AR30" s="50">
        <f t="shared" si="14"/>
        <v>0.37245756649059419</v>
      </c>
      <c r="AS30" s="50">
        <f t="shared" si="15"/>
        <v>6.237511111111111E-3</v>
      </c>
      <c r="AT30" s="50">
        <f t="shared" si="18"/>
        <v>0.22328831111111122</v>
      </c>
      <c r="AU30" s="50">
        <f t="shared" si="13"/>
        <v>5.6432964619787001</v>
      </c>
    </row>
    <row r="31" spans="1:47" s="68" customFormat="1" x14ac:dyDescent="0.35">
      <c r="A31" s="68">
        <v>8</v>
      </c>
      <c r="B31" s="28"/>
      <c r="C31" s="68">
        <v>15</v>
      </c>
      <c r="D31" s="68">
        <v>106</v>
      </c>
      <c r="E31" s="31">
        <f t="shared" si="16"/>
        <v>1590</v>
      </c>
      <c r="F31" s="69">
        <f t="shared" si="3"/>
        <v>1</v>
      </c>
      <c r="G31" s="25">
        <f t="shared" si="17"/>
        <v>15</v>
      </c>
      <c r="H31" s="25">
        <v>7.98</v>
      </c>
      <c r="I31" s="31">
        <v>938</v>
      </c>
      <c r="J31" s="31">
        <v>173</v>
      </c>
      <c r="K31" s="27">
        <v>61</v>
      </c>
      <c r="L31" s="27">
        <v>12</v>
      </c>
      <c r="M31" s="18">
        <v>5</v>
      </c>
      <c r="N31" s="31">
        <v>348</v>
      </c>
      <c r="O31" s="31">
        <v>15</v>
      </c>
      <c r="P31" s="21">
        <v>103.9</v>
      </c>
      <c r="Q31" s="21">
        <v>32.72</v>
      </c>
      <c r="R31" s="21">
        <v>56.28</v>
      </c>
      <c r="S31" s="21">
        <v>17.510000000000002</v>
      </c>
      <c r="T31" s="18">
        <v>9.1649999999999991</v>
      </c>
      <c r="U31" s="169">
        <v>0.2</v>
      </c>
      <c r="V31" s="81">
        <v>0.02</v>
      </c>
      <c r="W31" s="81">
        <v>0.02</v>
      </c>
      <c r="X31" s="11">
        <v>0.30399999999999999</v>
      </c>
      <c r="Y31" s="81">
        <v>0.04</v>
      </c>
      <c r="Z31" s="18">
        <v>1.105</v>
      </c>
      <c r="AA31" s="31"/>
      <c r="AB31" s="69">
        <f t="shared" si="11"/>
        <v>11.124621678082983</v>
      </c>
      <c r="AC31" s="69">
        <f t="shared" si="1"/>
        <v>10.557840067832151</v>
      </c>
      <c r="AD31" s="69">
        <f t="shared" si="2"/>
        <v>2.6140095017467777</v>
      </c>
      <c r="AF31" s="96">
        <v>7.98</v>
      </c>
      <c r="AG31" s="96">
        <v>-6.8858499999999996</v>
      </c>
      <c r="AH31" s="96">
        <v>0.59119999999999995</v>
      </c>
      <c r="AI31" s="96">
        <v>-1.0596000000000001</v>
      </c>
      <c r="AJ31" s="96">
        <v>-1.3093999999999999</v>
      </c>
      <c r="AK31" s="96">
        <v>-2.7888000000000002</v>
      </c>
      <c r="AL31" s="96">
        <v>0.50229999999999997</v>
      </c>
      <c r="AM31" s="96">
        <v>1.03E-2</v>
      </c>
      <c r="AN31" s="96">
        <v>-1.8613999999999999</v>
      </c>
      <c r="AO31" s="96">
        <v>-0.68889999999999996</v>
      </c>
      <c r="AQ31" s="50">
        <f t="shared" si="12"/>
        <v>6.0999999999999999E-2</v>
      </c>
      <c r="AR31" s="50">
        <f t="shared" si="14"/>
        <v>0.36293711426188507</v>
      </c>
      <c r="AS31" s="50">
        <f t="shared" si="15"/>
        <v>5.7075111111111109E-3</v>
      </c>
      <c r="AT31" s="50">
        <f t="shared" si="18"/>
        <v>0.2175808000000001</v>
      </c>
      <c r="AU31" s="50">
        <f t="shared" si="13"/>
        <v>5.9497887583915583</v>
      </c>
    </row>
    <row r="32" spans="1:47" s="68" customFormat="1" x14ac:dyDescent="0.35">
      <c r="A32" s="68">
        <v>8</v>
      </c>
      <c r="B32" s="28"/>
      <c r="C32" s="68">
        <v>16</v>
      </c>
      <c r="D32" s="68">
        <v>106</v>
      </c>
      <c r="E32" s="31">
        <f t="shared" si="16"/>
        <v>1696</v>
      </c>
      <c r="F32" s="69">
        <f t="shared" si="3"/>
        <v>1</v>
      </c>
      <c r="G32" s="25">
        <f t="shared" si="17"/>
        <v>16</v>
      </c>
      <c r="H32" s="31">
        <v>7.81</v>
      </c>
      <c r="I32" s="31">
        <v>929</v>
      </c>
      <c r="J32" s="31">
        <v>180</v>
      </c>
      <c r="K32" s="27">
        <v>54</v>
      </c>
      <c r="L32" s="27">
        <v>12</v>
      </c>
      <c r="M32" s="27">
        <v>4.5</v>
      </c>
      <c r="N32" s="31">
        <v>349</v>
      </c>
      <c r="O32" s="31">
        <v>15</v>
      </c>
      <c r="P32" s="21">
        <v>104.3</v>
      </c>
      <c r="Q32" s="21">
        <v>33.229999999999997</v>
      </c>
      <c r="R32" s="21">
        <v>54.3</v>
      </c>
      <c r="S32" s="21">
        <v>16.91</v>
      </c>
      <c r="T32" s="18">
        <v>8.875</v>
      </c>
      <c r="U32" s="169">
        <v>0.2</v>
      </c>
      <c r="V32" s="81">
        <v>0.02</v>
      </c>
      <c r="W32" s="81">
        <v>0.02</v>
      </c>
      <c r="X32" s="11">
        <v>0.30299999999999999</v>
      </c>
      <c r="Y32" s="81">
        <v>0.04</v>
      </c>
      <c r="Z32" s="18">
        <v>1.1000000000000001</v>
      </c>
      <c r="AA32" s="31"/>
      <c r="AB32" s="69">
        <f t="shared" si="11"/>
        <v>11.277377482586889</v>
      </c>
      <c r="AC32" s="69">
        <f t="shared" si="1"/>
        <v>10.526199655436882</v>
      </c>
      <c r="AD32" s="69">
        <f t="shared" si="2"/>
        <v>3.4452045294898461</v>
      </c>
      <c r="AF32" s="96">
        <v>7.81</v>
      </c>
      <c r="AG32" s="96">
        <v>-7.7086800000000002</v>
      </c>
      <c r="AH32" s="96">
        <v>0.44450000000000001</v>
      </c>
      <c r="AI32" s="96">
        <v>-1.0576000000000001</v>
      </c>
      <c r="AJ32" s="96">
        <v>-1.3073999999999999</v>
      </c>
      <c r="AK32" s="96">
        <v>-2.5972</v>
      </c>
      <c r="AL32" s="96">
        <v>0.2137</v>
      </c>
      <c r="AM32" s="96">
        <v>-0.14050000000000001</v>
      </c>
      <c r="AN32" s="96">
        <v>-1.8602000000000001</v>
      </c>
      <c r="AO32" s="96">
        <v>-0.83079999999999998</v>
      </c>
      <c r="AQ32" s="50">
        <f t="shared" si="12"/>
        <v>5.3999999999999999E-2</v>
      </c>
      <c r="AR32" s="50">
        <f t="shared" si="14"/>
        <v>0.35465436011491075</v>
      </c>
      <c r="AS32" s="50">
        <f t="shared" si="15"/>
        <v>4.9655111111111113E-3</v>
      </c>
      <c r="AT32" s="50">
        <f t="shared" si="18"/>
        <v>0.212615288888889</v>
      </c>
      <c r="AU32" s="50">
        <f t="shared" si="13"/>
        <v>6.5676733354613104</v>
      </c>
    </row>
    <row r="33" spans="1:47" s="68" customFormat="1" x14ac:dyDescent="0.35">
      <c r="A33" s="68">
        <v>8</v>
      </c>
      <c r="B33" s="28"/>
      <c r="C33" s="68">
        <v>17</v>
      </c>
      <c r="D33" s="68">
        <v>106</v>
      </c>
      <c r="E33" s="31">
        <f t="shared" si="16"/>
        <v>1802</v>
      </c>
      <c r="F33" s="69">
        <f t="shared" si="3"/>
        <v>1</v>
      </c>
      <c r="G33" s="25">
        <f t="shared" si="17"/>
        <v>17</v>
      </c>
      <c r="H33" s="31">
        <v>7.81</v>
      </c>
      <c r="I33" s="31">
        <v>928</v>
      </c>
      <c r="J33" s="31">
        <v>174</v>
      </c>
      <c r="K33" s="27">
        <v>46</v>
      </c>
      <c r="L33" s="27">
        <v>12</v>
      </c>
      <c r="M33" s="18">
        <v>5</v>
      </c>
      <c r="N33" s="31">
        <v>350</v>
      </c>
      <c r="O33" s="31">
        <v>16</v>
      </c>
      <c r="P33" s="21">
        <v>106</v>
      </c>
      <c r="Q33" s="21">
        <v>33.380000000000003</v>
      </c>
      <c r="R33" s="21">
        <v>55.5</v>
      </c>
      <c r="S33" s="21">
        <v>16.66</v>
      </c>
      <c r="T33" s="18">
        <v>8.8849999999999998</v>
      </c>
      <c r="U33" s="169">
        <v>0.2</v>
      </c>
      <c r="V33" s="81">
        <v>0.02</v>
      </c>
      <c r="W33" s="81">
        <v>0.02</v>
      </c>
      <c r="X33" s="11">
        <v>0.313</v>
      </c>
      <c r="Y33" s="81">
        <v>0.04</v>
      </c>
      <c r="Z33" s="18">
        <v>1.1140000000000001</v>
      </c>
      <c r="AA33" s="31"/>
      <c r="AB33" s="69">
        <f t="shared" si="11"/>
        <v>11.186262319348858</v>
      </c>
      <c r="AC33" s="69">
        <f t="shared" si="1"/>
        <v>10.675817882770263</v>
      </c>
      <c r="AD33" s="69">
        <f t="shared" si="2"/>
        <v>2.3348392827189297</v>
      </c>
      <c r="AF33" s="96">
        <v>7.81</v>
      </c>
      <c r="AG33" s="96">
        <v>-6.5251400000000004</v>
      </c>
      <c r="AH33" s="96">
        <v>0.43669999999999998</v>
      </c>
      <c r="AI33" s="96">
        <v>-1.0506</v>
      </c>
      <c r="AJ33" s="96">
        <v>-1.3004</v>
      </c>
      <c r="AK33" s="96">
        <v>-2.6122999999999998</v>
      </c>
      <c r="AL33" s="96">
        <v>0.19270000000000001</v>
      </c>
      <c r="AM33" s="96">
        <v>-0.14149999999999999</v>
      </c>
      <c r="AN33" s="96">
        <v>-1.8532999999999999</v>
      </c>
      <c r="AO33" s="96">
        <v>-0.84389999999999998</v>
      </c>
      <c r="AQ33" s="50">
        <f t="shared" si="12"/>
        <v>4.5999999999999999E-2</v>
      </c>
      <c r="AR33" s="50">
        <f t="shared" si="14"/>
        <v>0.34778611806134757</v>
      </c>
      <c r="AS33" s="50">
        <f t="shared" si="15"/>
        <v>4.1175111111111107E-3</v>
      </c>
      <c r="AT33" s="50">
        <f t="shared" si="18"/>
        <v>0.20849777777777789</v>
      </c>
      <c r="AU33" s="50">
        <f t="shared" si="13"/>
        <v>7.5605677839423384</v>
      </c>
    </row>
    <row r="34" spans="1:47" s="68" customFormat="1" x14ac:dyDescent="0.35">
      <c r="A34" s="68">
        <v>8</v>
      </c>
      <c r="B34" s="28"/>
      <c r="C34" s="68">
        <v>18</v>
      </c>
      <c r="D34" s="68">
        <v>106</v>
      </c>
      <c r="E34" s="31">
        <f t="shared" si="16"/>
        <v>1908</v>
      </c>
      <c r="F34" s="69">
        <f t="shared" si="3"/>
        <v>1</v>
      </c>
      <c r="G34" s="25">
        <f t="shared" si="17"/>
        <v>18</v>
      </c>
      <c r="H34" s="31">
        <v>7.9</v>
      </c>
      <c r="I34" s="31">
        <v>929</v>
      </c>
      <c r="J34" s="31">
        <v>178</v>
      </c>
      <c r="K34" s="27">
        <v>42</v>
      </c>
      <c r="L34" s="27">
        <v>12</v>
      </c>
      <c r="M34" s="27">
        <v>5.4</v>
      </c>
      <c r="N34" s="31">
        <v>351</v>
      </c>
      <c r="O34" s="31">
        <v>13</v>
      </c>
      <c r="P34" s="21">
        <v>103.6</v>
      </c>
      <c r="Q34" s="21">
        <v>34.28</v>
      </c>
      <c r="R34" s="21">
        <v>55.51</v>
      </c>
      <c r="S34" s="21">
        <v>17.11</v>
      </c>
      <c r="T34" s="18">
        <v>8.4860000000000007</v>
      </c>
      <c r="U34" s="169">
        <v>0.2</v>
      </c>
      <c r="V34" s="81">
        <v>0.02</v>
      </c>
      <c r="W34" s="81">
        <v>0.02</v>
      </c>
      <c r="X34" s="11">
        <v>0.34699999999999998</v>
      </c>
      <c r="Y34" s="81">
        <v>0.04</v>
      </c>
      <c r="Z34" s="18">
        <v>1.2210000000000001</v>
      </c>
      <c r="AA34" s="31"/>
      <c r="AB34" s="69">
        <f t="shared" si="11"/>
        <v>11.293534252885021</v>
      </c>
      <c r="AC34" s="69">
        <f t="shared" si="1"/>
        <v>10.620300929769359</v>
      </c>
      <c r="AD34" s="69">
        <f t="shared" si="2"/>
        <v>3.0721839308554775</v>
      </c>
      <c r="AF34" s="96">
        <v>7.9</v>
      </c>
      <c r="AG34" s="96">
        <v>-7.2222999999999997</v>
      </c>
      <c r="AH34" s="96">
        <v>0.52339999999999998</v>
      </c>
      <c r="AI34" s="96">
        <v>-1.0597000000000001</v>
      </c>
      <c r="AJ34" s="96">
        <v>-1.3095000000000001</v>
      </c>
      <c r="AK34" s="96">
        <v>-2.6943999999999999</v>
      </c>
      <c r="AL34" s="96">
        <v>0.38819999999999999</v>
      </c>
      <c r="AM34" s="96">
        <v>5.9999999999999995E-4</v>
      </c>
      <c r="AN34" s="96">
        <v>-1.8645</v>
      </c>
      <c r="AO34" s="96">
        <v>-0.73519999999999996</v>
      </c>
      <c r="AQ34" s="50">
        <f t="shared" si="12"/>
        <v>4.2000000000000003E-2</v>
      </c>
      <c r="AR34" s="50">
        <f t="shared" si="14"/>
        <v>0.34162513205449002</v>
      </c>
      <c r="AS34" s="50">
        <f t="shared" si="15"/>
        <v>3.6935111111111116E-3</v>
      </c>
      <c r="AT34" s="50">
        <f t="shared" si="18"/>
        <v>0.20480426666666679</v>
      </c>
      <c r="AU34" s="50">
        <f t="shared" si="13"/>
        <v>8.1339317155830955</v>
      </c>
    </row>
    <row r="35" spans="1:47" s="68" customFormat="1" x14ac:dyDescent="0.35">
      <c r="A35" s="68">
        <v>8</v>
      </c>
      <c r="B35" s="28"/>
      <c r="C35" s="68">
        <v>19</v>
      </c>
      <c r="D35" s="68">
        <v>106</v>
      </c>
      <c r="E35" s="31">
        <f t="shared" si="16"/>
        <v>2014</v>
      </c>
      <c r="F35" s="69">
        <f t="shared" si="3"/>
        <v>1</v>
      </c>
      <c r="G35" s="25">
        <f t="shared" si="17"/>
        <v>19</v>
      </c>
      <c r="H35" s="31">
        <v>7.86</v>
      </c>
      <c r="I35" s="31">
        <v>926</v>
      </c>
      <c r="J35" s="31">
        <v>174</v>
      </c>
      <c r="K35" s="27">
        <v>41</v>
      </c>
      <c r="L35" s="27">
        <v>12</v>
      </c>
      <c r="M35" s="27">
        <v>5.2</v>
      </c>
      <c r="N35" s="31">
        <v>347</v>
      </c>
      <c r="O35" s="31">
        <v>13</v>
      </c>
      <c r="P35" s="12">
        <v>104.1</v>
      </c>
      <c r="Q35" s="12">
        <v>34.590000000000003</v>
      </c>
      <c r="R35" s="21">
        <v>54.99</v>
      </c>
      <c r="S35" s="21">
        <v>16.989999999999998</v>
      </c>
      <c r="T35" s="18">
        <v>8.4689999999999994</v>
      </c>
      <c r="U35" s="169">
        <v>0.2</v>
      </c>
      <c r="V35" s="81">
        <v>0.02</v>
      </c>
      <c r="W35" s="81">
        <v>0.02</v>
      </c>
      <c r="X35" s="11">
        <v>0.33900000000000002</v>
      </c>
      <c r="Y35" s="81">
        <v>0.04</v>
      </c>
      <c r="Z35" s="18">
        <v>1.2</v>
      </c>
      <c r="AA35" s="31"/>
      <c r="AB35" s="69">
        <f t="shared" si="11"/>
        <v>11.127027163901658</v>
      </c>
      <c r="AC35" s="69">
        <f t="shared" si="1"/>
        <v>10.64769113821813</v>
      </c>
      <c r="AD35" s="69">
        <f t="shared" si="2"/>
        <v>2.2013420290119869</v>
      </c>
      <c r="AF35" s="96">
        <v>7.86</v>
      </c>
      <c r="AG35" s="96">
        <v>-6.3581700000000003</v>
      </c>
      <c r="AH35" s="96">
        <v>0.47839999999999999</v>
      </c>
      <c r="AI35" s="96">
        <v>-1.0612999999999999</v>
      </c>
      <c r="AJ35" s="96">
        <v>-1.3110999999999999</v>
      </c>
      <c r="AK35" s="96">
        <v>-2.6633</v>
      </c>
      <c r="AL35" s="96">
        <v>0.29959999999999998</v>
      </c>
      <c r="AM35" s="96">
        <v>-5.7000000000000002E-2</v>
      </c>
      <c r="AN35" s="96">
        <v>-1.8602000000000001</v>
      </c>
      <c r="AO35" s="96">
        <v>-0.77880000000000005</v>
      </c>
      <c r="AQ35" s="50">
        <f t="shared" si="12"/>
        <v>4.1000000000000002E-2</v>
      </c>
      <c r="AR35" s="50">
        <f t="shared" si="14"/>
        <v>0.33564096005930888</v>
      </c>
      <c r="AS35" s="50">
        <f t="shared" si="15"/>
        <v>3.5875111111111115E-3</v>
      </c>
      <c r="AT35" s="50">
        <f t="shared" si="18"/>
        <v>0.20121675555555568</v>
      </c>
      <c r="AU35" s="50">
        <f t="shared" si="13"/>
        <v>8.1863648794953381</v>
      </c>
    </row>
    <row r="36" spans="1:47" s="68" customFormat="1" x14ac:dyDescent="0.35">
      <c r="A36" s="68">
        <v>8</v>
      </c>
      <c r="B36" s="28"/>
      <c r="C36" s="68">
        <v>20</v>
      </c>
      <c r="D36" s="68">
        <v>106</v>
      </c>
      <c r="E36" s="31">
        <f t="shared" si="16"/>
        <v>2120</v>
      </c>
      <c r="F36" s="69">
        <f t="shared" si="3"/>
        <v>1</v>
      </c>
      <c r="G36" s="25">
        <f t="shared" si="17"/>
        <v>20</v>
      </c>
      <c r="H36" s="31">
        <v>7.76</v>
      </c>
      <c r="I36" s="31">
        <v>935</v>
      </c>
      <c r="J36" s="31">
        <v>174</v>
      </c>
      <c r="K36" s="27">
        <v>40</v>
      </c>
      <c r="L36" s="27">
        <v>12</v>
      </c>
      <c r="M36" s="27">
        <v>4.7</v>
      </c>
      <c r="N36" s="31">
        <v>349</v>
      </c>
      <c r="O36" s="31">
        <v>14</v>
      </c>
      <c r="P36" s="12">
        <v>104.2</v>
      </c>
      <c r="Q36" s="12">
        <v>34.68</v>
      </c>
      <c r="R36" s="21">
        <v>56.42</v>
      </c>
      <c r="S36" s="21">
        <v>16.77</v>
      </c>
      <c r="T36" s="18">
        <v>8.2379999999999995</v>
      </c>
      <c r="U36" s="169">
        <v>0.2</v>
      </c>
      <c r="V36" s="81">
        <v>0.02</v>
      </c>
      <c r="W36" s="81">
        <v>0.02</v>
      </c>
      <c r="X36" s="11">
        <v>0.34200000000000003</v>
      </c>
      <c r="Y36" s="81">
        <v>0.04</v>
      </c>
      <c r="Z36" s="18">
        <v>1.194</v>
      </c>
      <c r="AA36" s="31"/>
      <c r="AB36" s="69">
        <f t="shared" si="11"/>
        <v>11.160603289038502</v>
      </c>
      <c r="AC36" s="69">
        <f t="shared" si="1"/>
        <v>10.716375502516737</v>
      </c>
      <c r="AD36" s="69">
        <f t="shared" si="2"/>
        <v>2.0305719119371348</v>
      </c>
      <c r="AF36" s="96">
        <v>7.76</v>
      </c>
      <c r="AG36" s="96">
        <v>-6.1843399999999997</v>
      </c>
      <c r="AH36" s="96">
        <v>0.38069999999999998</v>
      </c>
      <c r="AI36" s="96">
        <v>-1.0590999999999999</v>
      </c>
      <c r="AJ36" s="96">
        <v>-1.3089</v>
      </c>
      <c r="AK36" s="96">
        <v>-2.5611999999999999</v>
      </c>
      <c r="AL36" s="96">
        <v>0.1047</v>
      </c>
      <c r="AM36" s="96">
        <v>-0.15179999999999999</v>
      </c>
      <c r="AN36" s="96">
        <v>-1.8605</v>
      </c>
      <c r="AO36" s="96">
        <v>-0.876</v>
      </c>
      <c r="AQ36" s="50">
        <f t="shared" si="12"/>
        <v>0.04</v>
      </c>
      <c r="AR36" s="50">
        <f t="shared" si="14"/>
        <v>0.32983360207580409</v>
      </c>
      <c r="AS36" s="50">
        <f t="shared" si="15"/>
        <v>3.4815111111111113E-3</v>
      </c>
      <c r="AT36" s="50">
        <f t="shared" si="18"/>
        <v>0.19773524444444457</v>
      </c>
      <c r="AU36" s="50">
        <f t="shared" si="13"/>
        <v>8.2458400518951027</v>
      </c>
    </row>
    <row r="37" spans="1:47" s="68" customFormat="1" x14ac:dyDescent="0.35">
      <c r="A37" s="68">
        <v>8</v>
      </c>
      <c r="B37" s="28"/>
      <c r="C37" s="68">
        <v>21</v>
      </c>
      <c r="D37" s="68">
        <v>106</v>
      </c>
      <c r="E37" s="31">
        <f t="shared" si="16"/>
        <v>2226</v>
      </c>
      <c r="F37" s="69">
        <f t="shared" si="3"/>
        <v>1</v>
      </c>
      <c r="G37" s="25">
        <f t="shared" si="17"/>
        <v>21</v>
      </c>
      <c r="H37" s="31">
        <v>7.83</v>
      </c>
      <c r="I37" s="31">
        <v>927</v>
      </c>
      <c r="J37" s="31">
        <v>176</v>
      </c>
      <c r="K37" s="27">
        <v>34</v>
      </c>
      <c r="L37" s="27">
        <v>12</v>
      </c>
      <c r="M37" s="27">
        <v>5.2</v>
      </c>
      <c r="N37" s="31">
        <v>348</v>
      </c>
      <c r="O37" s="31">
        <v>13</v>
      </c>
      <c r="P37" s="21">
        <v>104.1</v>
      </c>
      <c r="Q37" s="21">
        <v>34.880000000000003</v>
      </c>
      <c r="R37" s="21">
        <v>56.93</v>
      </c>
      <c r="S37" s="21">
        <v>16</v>
      </c>
      <c r="T37" s="18">
        <v>8.2929999999999993</v>
      </c>
      <c r="U37" s="169">
        <v>0.2</v>
      </c>
      <c r="V37" s="81">
        <v>0.02</v>
      </c>
      <c r="W37" s="81">
        <v>0.02</v>
      </c>
      <c r="X37" s="11">
        <v>0.33400000000000002</v>
      </c>
      <c r="Y37" s="81">
        <v>0.04</v>
      </c>
      <c r="Z37" s="18">
        <v>1.204</v>
      </c>
      <c r="AA37" s="31"/>
      <c r="AB37" s="69">
        <f t="shared" si="11"/>
        <v>11.187847484534597</v>
      </c>
      <c r="AC37" s="69">
        <f t="shared" si="1"/>
        <v>10.751423058662802</v>
      </c>
      <c r="AD37" s="69">
        <f t="shared" si="2"/>
        <v>1.9892385437906699</v>
      </c>
      <c r="AF37" s="96">
        <v>7.83</v>
      </c>
      <c r="AG37" s="96">
        <v>-6.0545</v>
      </c>
      <c r="AH37" s="96">
        <v>0.45350000000000001</v>
      </c>
      <c r="AI37" s="96">
        <v>-1.0611999999999999</v>
      </c>
      <c r="AJ37" s="96">
        <v>-1.3109999999999999</v>
      </c>
      <c r="AK37" s="96">
        <v>-2.6278000000000001</v>
      </c>
      <c r="AL37" s="96">
        <v>0.25330000000000003</v>
      </c>
      <c r="AM37" s="96">
        <v>-8.8700000000000001E-2</v>
      </c>
      <c r="AN37" s="96">
        <v>-1.8613</v>
      </c>
      <c r="AO37" s="96">
        <v>-0.80020000000000002</v>
      </c>
      <c r="AQ37" s="50">
        <f t="shared" si="12"/>
        <v>3.4000000000000002E-2</v>
      </c>
      <c r="AR37" s="50">
        <f t="shared" si="14"/>
        <v>0.32508712816235769</v>
      </c>
      <c r="AS37" s="50">
        <f t="shared" si="15"/>
        <v>2.8455111111111114E-3</v>
      </c>
      <c r="AT37" s="50">
        <f t="shared" si="18"/>
        <v>0.19488973333333345</v>
      </c>
      <c r="AU37" s="50">
        <f t="shared" si="13"/>
        <v>9.5613861224222845</v>
      </c>
    </row>
    <row r="38" spans="1:47" s="68" customFormat="1" x14ac:dyDescent="0.35">
      <c r="A38" s="68">
        <v>8</v>
      </c>
      <c r="B38" s="28">
        <v>43525</v>
      </c>
      <c r="C38" s="68">
        <v>22</v>
      </c>
      <c r="D38" s="68">
        <v>106</v>
      </c>
      <c r="E38" s="31">
        <f t="shared" si="16"/>
        <v>2332</v>
      </c>
      <c r="F38" s="69">
        <f t="shared" si="3"/>
        <v>1</v>
      </c>
      <c r="G38" s="25">
        <f t="shared" si="17"/>
        <v>22</v>
      </c>
      <c r="H38" s="31">
        <v>8.08</v>
      </c>
      <c r="I38" s="31">
        <v>966</v>
      </c>
      <c r="J38" s="31">
        <v>176</v>
      </c>
      <c r="K38" s="27">
        <v>36</v>
      </c>
      <c r="L38" s="27">
        <v>14</v>
      </c>
      <c r="M38" s="27">
        <v>5.5</v>
      </c>
      <c r="N38" s="31">
        <v>363</v>
      </c>
      <c r="O38" s="31">
        <v>14</v>
      </c>
      <c r="P38" s="21">
        <v>108.2</v>
      </c>
      <c r="Q38" s="21">
        <v>36.28</v>
      </c>
      <c r="R38" s="21">
        <v>58.48</v>
      </c>
      <c r="S38" s="21">
        <v>16.760000000000002</v>
      </c>
      <c r="T38" s="18">
        <v>7.9420000000000002</v>
      </c>
      <c r="U38" s="169">
        <v>0.2</v>
      </c>
      <c r="V38" s="81">
        <v>0.02</v>
      </c>
      <c r="W38" s="81">
        <v>0.02</v>
      </c>
      <c r="X38" s="163">
        <v>0.34399999999999997</v>
      </c>
      <c r="Y38" s="81">
        <v>0.04</v>
      </c>
      <c r="Z38" s="170">
        <v>1.2310000000000001</v>
      </c>
      <c r="AA38" s="31"/>
      <c r="AB38" s="69">
        <f t="shared" si="11"/>
        <v>11.561408493127802</v>
      </c>
      <c r="AC38" s="69">
        <f t="shared" si="1"/>
        <v>11.129589091536111</v>
      </c>
      <c r="AD38" s="69">
        <f t="shared" si="2"/>
        <v>1.9030428255985661</v>
      </c>
      <c r="AF38" s="96">
        <v>8.08</v>
      </c>
      <c r="AG38" s="96">
        <v>-5.7152700000000003</v>
      </c>
      <c r="AH38" s="96">
        <v>0.70489999999999997</v>
      </c>
      <c r="AI38" s="96">
        <v>-1.0367999999999999</v>
      </c>
      <c r="AJ38" s="96">
        <v>-1.2865</v>
      </c>
      <c r="AK38" s="96">
        <v>-2.8866999999999998</v>
      </c>
      <c r="AL38" s="96">
        <v>0.75760000000000005</v>
      </c>
      <c r="AM38" s="96">
        <v>0.16</v>
      </c>
      <c r="AN38" s="96">
        <v>-1.8534999999999999</v>
      </c>
      <c r="AO38" s="96">
        <v>-0.5474</v>
      </c>
      <c r="AQ38" s="50">
        <f t="shared" si="12"/>
        <v>3.5999999999999997E-2</v>
      </c>
      <c r="AR38" s="50">
        <f t="shared" si="14"/>
        <v>0.31998702622555852</v>
      </c>
      <c r="AS38" s="50">
        <f t="shared" si="15"/>
        <v>3.0575111111111109E-3</v>
      </c>
      <c r="AT38" s="50">
        <f t="shared" si="18"/>
        <v>0.19183222222222235</v>
      </c>
      <c r="AU38" s="50">
        <f t="shared" si="13"/>
        <v>8.8885285062655157</v>
      </c>
    </row>
    <row r="39" spans="1:47" s="68" customFormat="1" x14ac:dyDescent="0.35">
      <c r="B39" s="28"/>
      <c r="E39" s="31"/>
      <c r="F39" s="69"/>
      <c r="G39" s="25"/>
      <c r="K39" s="65"/>
      <c r="L39" s="65"/>
      <c r="N39" s="31"/>
      <c r="P39" s="15"/>
      <c r="R39" s="16"/>
      <c r="S39" s="16"/>
      <c r="T39" s="16"/>
      <c r="U39" s="67"/>
      <c r="AB39" s="69"/>
      <c r="AC39" s="69"/>
      <c r="AD39" s="69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Q39" s="149"/>
      <c r="AR39" s="149"/>
      <c r="AS39" s="149"/>
      <c r="AT39" s="149"/>
      <c r="AU39" s="149"/>
    </row>
    <row r="40" spans="1:47" s="68" customFormat="1" x14ac:dyDescent="0.35">
      <c r="A40" s="68" t="s">
        <v>56</v>
      </c>
      <c r="B40" s="28"/>
      <c r="E40" s="31"/>
      <c r="F40" s="69"/>
      <c r="G40" s="25"/>
      <c r="H40" s="15">
        <v>7.3</v>
      </c>
      <c r="I40" s="165">
        <f>'Influent Results Master'!D34</f>
        <v>1670.1111111111111</v>
      </c>
      <c r="J40" s="165">
        <f>'Influent Results Master'!F34</f>
        <v>320.66666666666669</v>
      </c>
      <c r="K40" s="165">
        <f>'Influent Results Master'!G34</f>
        <v>287.22222222222223</v>
      </c>
      <c r="L40" s="165">
        <f>'Influent Results Master'!H34</f>
        <v>47.333333333333336</v>
      </c>
      <c r="M40" s="165">
        <f>'Influent Results Master'!I34</f>
        <v>21.777777777777775</v>
      </c>
      <c r="N40" s="165">
        <f>'Influent Results Master'!J34</f>
        <v>614.55555555555554</v>
      </c>
      <c r="O40" s="165">
        <f>'Influent Results Master'!K34</f>
        <v>28.111111111111114</v>
      </c>
      <c r="P40" s="165">
        <f>'Influent Results Master'!L34</f>
        <v>153.01111111111109</v>
      </c>
      <c r="Q40" s="165">
        <f>'Influent Results Master'!M34</f>
        <v>62.398888888888884</v>
      </c>
      <c r="R40" s="165">
        <f>'Influent Results Master'!N34</f>
        <v>206.23333333333335</v>
      </c>
      <c r="S40" s="165">
        <f>'Influent Results Master'!O34</f>
        <v>23.54111111111111</v>
      </c>
      <c r="T40" s="170">
        <f>'Influent Results Master'!P34</f>
        <v>6.3293333333333335</v>
      </c>
      <c r="U40" s="171">
        <f>'Influent Results Master'!Q34</f>
        <v>0.20000000000000004</v>
      </c>
      <c r="V40" s="176">
        <f>'Influent Results Master'!R34</f>
        <v>4.7000000000000007E-2</v>
      </c>
      <c r="W40" s="177">
        <f>'Influent Results Master'!S34</f>
        <v>0.02</v>
      </c>
      <c r="X40" s="176">
        <f>'Influent Results Master'!T34</f>
        <v>4.5777777777777785E-2</v>
      </c>
      <c r="Y40" s="177">
        <f>'Influent Results Master'!U34</f>
        <v>0.04</v>
      </c>
      <c r="Z40" s="170">
        <f>'Influent Results Master'!V34</f>
        <v>1.3484444444444446</v>
      </c>
      <c r="AB40" s="69">
        <f>((J40/50)+(L40/35.45)+(M40/62)+(N40/48.03))</f>
        <v>20.895045443353979</v>
      </c>
      <c r="AC40" s="69">
        <f t="shared" si="1"/>
        <v>21.89921500465627</v>
      </c>
      <c r="AD40" s="69">
        <f t="shared" si="2"/>
        <v>2.3465052340891206</v>
      </c>
      <c r="AF40" s="96">
        <v>7.3</v>
      </c>
      <c r="AG40" s="96">
        <v>2.1880000000000002</v>
      </c>
      <c r="AH40" s="96">
        <v>0.25259999999999999</v>
      </c>
      <c r="AI40" s="96">
        <v>-0.80869999999999997</v>
      </c>
      <c r="AJ40" s="96">
        <v>-1.0582</v>
      </c>
      <c r="AK40" s="96">
        <v>-1.8478000000000001</v>
      </c>
      <c r="AL40" s="96">
        <v>-5.7299999999999997E-2</v>
      </c>
      <c r="AM40" s="96">
        <v>-1.3928</v>
      </c>
      <c r="AN40" s="96">
        <v>-1.5369999999999999</v>
      </c>
      <c r="AO40" s="96">
        <v>-0.90980000000000005</v>
      </c>
      <c r="AQ40" s="50">
        <f>K40/1000</f>
        <v>0.28722222222222221</v>
      </c>
      <c r="AR40" s="149"/>
      <c r="AS40" s="149"/>
      <c r="AT40" s="149"/>
      <c r="AU40" s="149"/>
    </row>
    <row r="41" spans="1:47" s="68" customFormat="1" x14ac:dyDescent="0.35">
      <c r="B41" s="28"/>
      <c r="E41" s="31"/>
      <c r="F41" s="69"/>
      <c r="G41" s="25"/>
      <c r="K41" s="65"/>
      <c r="L41" s="65"/>
      <c r="N41" s="31"/>
      <c r="P41" s="15"/>
      <c r="R41" s="16"/>
      <c r="S41" s="16"/>
      <c r="T41" s="16"/>
      <c r="U41" s="67"/>
      <c r="AB41" s="69"/>
      <c r="AC41" s="69"/>
      <c r="AD41" s="69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Q41" s="149"/>
      <c r="AR41" s="149"/>
      <c r="AS41" s="149"/>
      <c r="AT41" s="149"/>
      <c r="AU41" s="149"/>
    </row>
    <row r="42" spans="1:47" s="68" customFormat="1" x14ac:dyDescent="0.35">
      <c r="A42" s="68">
        <v>8</v>
      </c>
      <c r="B42" s="28">
        <v>43525</v>
      </c>
      <c r="C42" s="68">
        <v>23</v>
      </c>
      <c r="D42" s="68">
        <v>106</v>
      </c>
      <c r="E42" s="31">
        <f>D42+E38</f>
        <v>2438</v>
      </c>
      <c r="F42" s="69">
        <f t="shared" si="3"/>
        <v>1</v>
      </c>
      <c r="G42" s="25">
        <f>G38+F42</f>
        <v>23</v>
      </c>
      <c r="H42" s="31">
        <v>8.06</v>
      </c>
      <c r="I42" s="31">
        <v>1417</v>
      </c>
      <c r="J42" s="31">
        <v>261</v>
      </c>
      <c r="K42" s="27">
        <v>81</v>
      </c>
      <c r="L42" s="27">
        <v>39</v>
      </c>
      <c r="M42" s="27">
        <v>18</v>
      </c>
      <c r="N42" s="31">
        <v>538</v>
      </c>
      <c r="O42" s="31">
        <v>16</v>
      </c>
      <c r="P42" s="21">
        <v>170.3</v>
      </c>
      <c r="Q42" s="21">
        <v>57.84</v>
      </c>
      <c r="R42" s="21">
        <v>88.1</v>
      </c>
      <c r="S42" s="21">
        <v>17.260000000000002</v>
      </c>
      <c r="T42" s="18">
        <v>9.7530000000000001</v>
      </c>
      <c r="U42" s="169">
        <v>0.2</v>
      </c>
      <c r="V42" s="81">
        <v>0.02</v>
      </c>
      <c r="W42" s="81">
        <v>0.02</v>
      </c>
      <c r="X42" s="163">
        <v>0.53500000000000003</v>
      </c>
      <c r="Y42" s="81">
        <v>0.04</v>
      </c>
      <c r="Z42" s="170">
        <v>1.9379999999999999</v>
      </c>
      <c r="AA42" s="31"/>
      <c r="AB42" s="69">
        <f t="shared" ref="AB42:AB49" si="19">((J42/50)+(L42/35.45)+(M42/62)+(N42/48.03))</f>
        <v>17.811796124889224</v>
      </c>
      <c r="AC42" s="69">
        <f t="shared" si="1"/>
        <v>17.336121192978467</v>
      </c>
      <c r="AD42" s="69">
        <f t="shared" si="2"/>
        <v>1.3533516868407549</v>
      </c>
      <c r="AF42" s="96">
        <v>8.06</v>
      </c>
      <c r="AG42" s="96">
        <v>-3.7071800000000001</v>
      </c>
      <c r="AH42" s="96">
        <v>0.97899999999999998</v>
      </c>
      <c r="AI42" s="96">
        <v>-0.7883</v>
      </c>
      <c r="AJ42" s="96">
        <v>-1.038</v>
      </c>
      <c r="AK42" s="96">
        <v>-2.7126000000000001</v>
      </c>
      <c r="AL42" s="96">
        <v>1.3156000000000001</v>
      </c>
      <c r="AM42" s="96">
        <v>0.41889999999999999</v>
      </c>
      <c r="AN42" s="96">
        <v>-1.7515000000000001</v>
      </c>
      <c r="AO42" s="96">
        <v>-0.26340000000000002</v>
      </c>
      <c r="AQ42" s="50">
        <f t="shared" ref="AQ42:AQ49" si="20">K42/1000</f>
        <v>8.1000000000000003E-2</v>
      </c>
      <c r="AR42" s="50">
        <f>AT42/$AS$6</f>
        <v>0.35645000463349102</v>
      </c>
      <c r="AS42" s="50">
        <f>(AQ42-$AQ$40)*0.106</f>
        <v>-2.1859555555555552E-2</v>
      </c>
      <c r="AT42" s="50">
        <f>AT38-AS42</f>
        <v>0.2136917777777779</v>
      </c>
      <c r="AU42" s="50">
        <f t="shared" ref="AU42:AU49" si="21">AR42/AQ42</f>
        <v>4.4006173411542102</v>
      </c>
    </row>
    <row r="43" spans="1:47" s="68" customFormat="1" x14ac:dyDescent="0.35">
      <c r="A43" s="68">
        <v>8</v>
      </c>
      <c r="B43" s="28"/>
      <c r="C43" s="68">
        <v>24</v>
      </c>
      <c r="D43" s="68">
        <v>106</v>
      </c>
      <c r="E43" s="31">
        <f t="shared" ref="E43:E49" si="22">D43+E42</f>
        <v>2544</v>
      </c>
      <c r="F43" s="69">
        <f t="shared" si="3"/>
        <v>1</v>
      </c>
      <c r="G43" s="25">
        <f t="shared" ref="G43:G49" si="23">G42+F43</f>
        <v>24</v>
      </c>
      <c r="H43" s="31">
        <v>8.01</v>
      </c>
      <c r="I43" s="31">
        <v>1695</v>
      </c>
      <c r="J43" s="31">
        <v>332</v>
      </c>
      <c r="K43" s="27">
        <v>178</v>
      </c>
      <c r="L43" s="27">
        <v>50</v>
      </c>
      <c r="M43" s="27">
        <v>23</v>
      </c>
      <c r="N43" s="31">
        <v>632</v>
      </c>
      <c r="O43" s="31">
        <v>22</v>
      </c>
      <c r="P43" s="21">
        <v>185.3</v>
      </c>
      <c r="Q43" s="21">
        <v>61.91</v>
      </c>
      <c r="R43" s="21">
        <v>141.30000000000001</v>
      </c>
      <c r="S43" s="21">
        <v>17.72</v>
      </c>
      <c r="T43" s="21">
        <v>10.65</v>
      </c>
      <c r="U43" s="169">
        <v>0.2</v>
      </c>
      <c r="V43" s="27">
        <v>3.2000000000000001E-2</v>
      </c>
      <c r="W43" s="81">
        <v>0.02</v>
      </c>
      <c r="X43" s="11">
        <v>0.57099999999999995</v>
      </c>
      <c r="Y43" s="81">
        <v>0.04</v>
      </c>
      <c r="Z43" s="18">
        <v>2.19</v>
      </c>
      <c r="AA43" s="31"/>
      <c r="AB43" s="69">
        <f t="shared" si="19"/>
        <v>21.579847617495158</v>
      </c>
      <c r="AC43" s="69">
        <f t="shared" si="1"/>
        <v>20.756318897606317</v>
      </c>
      <c r="AD43" s="69">
        <f t="shared" si="2"/>
        <v>1.9452132483348146</v>
      </c>
      <c r="AF43" s="96">
        <v>8.01</v>
      </c>
      <c r="AG43" s="96">
        <v>-3.6894499999999999</v>
      </c>
      <c r="AH43" s="96">
        <v>1.0395000000000001</v>
      </c>
      <c r="AI43" s="96">
        <v>-0.72589999999999999</v>
      </c>
      <c r="AJ43" s="96">
        <v>-0.97550000000000003</v>
      </c>
      <c r="AK43" s="96">
        <v>-2.5607000000000002</v>
      </c>
      <c r="AL43" s="96">
        <v>1.4319999999999999</v>
      </c>
      <c r="AM43" s="96">
        <v>0.46629999999999999</v>
      </c>
      <c r="AN43" s="96">
        <v>-1.5550999999999999</v>
      </c>
      <c r="AO43" s="96">
        <v>-0.2074</v>
      </c>
      <c r="AQ43" s="50">
        <f t="shared" si="20"/>
        <v>0.17799999999999999</v>
      </c>
      <c r="AR43" s="50">
        <f t="shared" ref="AR43:AR49" si="24">AT43/$AS$6</f>
        <v>0.37576202390881308</v>
      </c>
      <c r="AS43" s="50">
        <f t="shared" ref="AS43:AS49" si="25">(AQ43-$AQ$40)*0.106</f>
        <v>-1.1577555555555554E-2</v>
      </c>
      <c r="AT43" s="50">
        <f>AT42-AS43</f>
        <v>0.22526933333333346</v>
      </c>
      <c r="AU43" s="50">
        <f t="shared" si="21"/>
        <v>2.1110226062292869</v>
      </c>
    </row>
    <row r="44" spans="1:47" s="68" customFormat="1" x14ac:dyDescent="0.35">
      <c r="A44" s="68">
        <v>8</v>
      </c>
      <c r="B44" s="28"/>
      <c r="C44" s="68">
        <v>25</v>
      </c>
      <c r="D44" s="68">
        <v>106</v>
      </c>
      <c r="E44" s="31">
        <f t="shared" si="22"/>
        <v>2650</v>
      </c>
      <c r="F44" s="69">
        <f t="shared" si="3"/>
        <v>1</v>
      </c>
      <c r="G44" s="25">
        <f t="shared" si="23"/>
        <v>25</v>
      </c>
      <c r="H44" s="31">
        <v>8.01</v>
      </c>
      <c r="I44" s="31">
        <v>1741</v>
      </c>
      <c r="J44" s="31">
        <v>340</v>
      </c>
      <c r="K44" s="27">
        <v>210</v>
      </c>
      <c r="L44" s="27">
        <v>50</v>
      </c>
      <c r="M44" s="27">
        <v>24</v>
      </c>
      <c r="N44" s="31">
        <v>645</v>
      </c>
      <c r="O44" s="31">
        <v>22</v>
      </c>
      <c r="P44" s="21">
        <v>176.2</v>
      </c>
      <c r="Q44" s="21">
        <v>58.14</v>
      </c>
      <c r="R44" s="21">
        <v>167.4</v>
      </c>
      <c r="S44" s="21">
        <v>18.05</v>
      </c>
      <c r="T44" s="21">
        <v>10.82</v>
      </c>
      <c r="U44" s="169">
        <v>0.2</v>
      </c>
      <c r="V44" s="27">
        <v>4.1000000000000002E-2</v>
      </c>
      <c r="W44" s="81">
        <v>0.02</v>
      </c>
      <c r="X44" s="11">
        <v>0.52900000000000003</v>
      </c>
      <c r="Y44" s="81">
        <v>0.04</v>
      </c>
      <c r="Z44" s="18">
        <v>2.0550000000000002</v>
      </c>
      <c r="AA44" s="31"/>
      <c r="AB44" s="69">
        <f t="shared" si="19"/>
        <v>22.026640817981413</v>
      </c>
      <c r="AC44" s="69">
        <f t="shared" si="1"/>
        <v>21.131818219635704</v>
      </c>
      <c r="AD44" s="69">
        <f t="shared" si="2"/>
        <v>2.0733423256974417</v>
      </c>
      <c r="AF44" s="96">
        <v>8.01</v>
      </c>
      <c r="AG44" s="96">
        <v>-3.8636699999999999</v>
      </c>
      <c r="AH44" s="96">
        <v>1.0245</v>
      </c>
      <c r="AI44" s="96">
        <v>-0.73919999999999997</v>
      </c>
      <c r="AJ44" s="96">
        <v>-0.98880000000000001</v>
      </c>
      <c r="AK44" s="96">
        <v>-2.5491999999999999</v>
      </c>
      <c r="AL44" s="96">
        <v>1.3973</v>
      </c>
      <c r="AM44" s="96">
        <v>0.44019999999999998</v>
      </c>
      <c r="AN44" s="96">
        <v>-1.4754</v>
      </c>
      <c r="AO44" s="96">
        <v>-0.22720000000000001</v>
      </c>
      <c r="AQ44" s="50">
        <f t="shared" si="20"/>
        <v>0.21</v>
      </c>
      <c r="AR44" s="50">
        <f t="shared" si="24"/>
        <v>0.38941599481049044</v>
      </c>
      <c r="AS44" s="50">
        <f t="shared" si="25"/>
        <v>-8.1855555555555553E-3</v>
      </c>
      <c r="AT44" s="50">
        <f t="shared" ref="AT44:AT49" si="26">AT43-AS44</f>
        <v>0.23345488888888902</v>
      </c>
      <c r="AU44" s="50">
        <f t="shared" si="21"/>
        <v>1.8543618800499546</v>
      </c>
    </row>
    <row r="45" spans="1:47" s="68" customFormat="1" x14ac:dyDescent="0.35">
      <c r="A45" s="68">
        <v>8</v>
      </c>
      <c r="B45" s="28"/>
      <c r="C45" s="68">
        <v>26</v>
      </c>
      <c r="D45" s="68">
        <v>106</v>
      </c>
      <c r="E45" s="31">
        <f t="shared" si="22"/>
        <v>2756</v>
      </c>
      <c r="F45" s="69">
        <f t="shared" si="3"/>
        <v>1</v>
      </c>
      <c r="G45" s="25">
        <f t="shared" si="23"/>
        <v>26</v>
      </c>
      <c r="H45" s="31">
        <v>7.98</v>
      </c>
      <c r="I45" s="31">
        <v>1755</v>
      </c>
      <c r="J45" s="31">
        <v>347</v>
      </c>
      <c r="K45" s="27">
        <v>237</v>
      </c>
      <c r="L45" s="27">
        <v>50</v>
      </c>
      <c r="M45" s="27">
        <v>23</v>
      </c>
      <c r="N45" s="31">
        <v>630</v>
      </c>
      <c r="O45" s="31">
        <v>23</v>
      </c>
      <c r="P45" s="21">
        <v>166.8</v>
      </c>
      <c r="Q45" s="21">
        <v>55.05</v>
      </c>
      <c r="R45" s="21">
        <v>179.2</v>
      </c>
      <c r="S45" s="21">
        <v>18.68</v>
      </c>
      <c r="T45" s="21">
        <v>10.7</v>
      </c>
      <c r="U45" s="169">
        <v>0.2</v>
      </c>
      <c r="V45" s="27">
        <v>4.5999999999999999E-2</v>
      </c>
      <c r="W45" s="81">
        <v>0.02</v>
      </c>
      <c r="X45" s="11">
        <v>0.50700000000000001</v>
      </c>
      <c r="Y45" s="81">
        <v>0.04</v>
      </c>
      <c r="Z45" s="18">
        <v>1.944</v>
      </c>
      <c r="AA45" s="31"/>
      <c r="AB45" s="69">
        <f t="shared" si="19"/>
        <v>21.838206976229284</v>
      </c>
      <c r="AC45" s="69">
        <f t="shared" si="1"/>
        <v>20.918842085243046</v>
      </c>
      <c r="AD45" s="69">
        <f t="shared" si="2"/>
        <v>2.1502066002367362</v>
      </c>
      <c r="AF45" s="96">
        <v>7.98</v>
      </c>
      <c r="AG45" s="96">
        <v>-3.9181300000000001</v>
      </c>
      <c r="AH45" s="96">
        <v>0.98409999999999997</v>
      </c>
      <c r="AI45" s="96">
        <v>-0.76590000000000003</v>
      </c>
      <c r="AJ45" s="96">
        <v>-1.0155000000000001</v>
      </c>
      <c r="AK45" s="96">
        <v>-2.5076000000000001</v>
      </c>
      <c r="AL45" s="96">
        <v>1.3167</v>
      </c>
      <c r="AM45" s="96">
        <v>0.40539999999999998</v>
      </c>
      <c r="AN45" s="96">
        <v>-1.446</v>
      </c>
      <c r="AO45" s="96">
        <v>-0.26750000000000002</v>
      </c>
      <c r="AQ45" s="50">
        <f t="shared" si="20"/>
        <v>0.23699999999999999</v>
      </c>
      <c r="AR45" s="50">
        <f t="shared" si="24"/>
        <v>0.39829598739690503</v>
      </c>
      <c r="AS45" s="50">
        <f t="shared" si="25"/>
        <v>-5.3235555555555553E-3</v>
      </c>
      <c r="AT45" s="50">
        <f t="shared" si="26"/>
        <v>0.23877844444444457</v>
      </c>
      <c r="AU45" s="50">
        <f t="shared" si="21"/>
        <v>1.6805737864848314</v>
      </c>
    </row>
    <row r="46" spans="1:47" s="68" customFormat="1" x14ac:dyDescent="0.35">
      <c r="A46" s="68">
        <v>8</v>
      </c>
      <c r="B46" s="28"/>
      <c r="C46" s="68">
        <v>27</v>
      </c>
      <c r="D46" s="68">
        <v>106</v>
      </c>
      <c r="E46" s="31">
        <f t="shared" si="22"/>
        <v>2862</v>
      </c>
      <c r="F46" s="69">
        <f t="shared" si="3"/>
        <v>1</v>
      </c>
      <c r="G46" s="25">
        <f t="shared" si="23"/>
        <v>27</v>
      </c>
      <c r="H46" s="31">
        <v>7.95</v>
      </c>
      <c r="I46" s="31">
        <v>1762</v>
      </c>
      <c r="J46" s="31">
        <v>342</v>
      </c>
      <c r="K46" s="27">
        <v>251</v>
      </c>
      <c r="L46" s="27">
        <v>50</v>
      </c>
      <c r="M46" s="27">
        <v>23</v>
      </c>
      <c r="N46" s="31">
        <v>639</v>
      </c>
      <c r="O46" s="31">
        <v>26</v>
      </c>
      <c r="P46" s="21">
        <v>166.8</v>
      </c>
      <c r="Q46" s="21">
        <v>55.05</v>
      </c>
      <c r="R46" s="21">
        <v>179.2</v>
      </c>
      <c r="S46" s="21">
        <v>18.68</v>
      </c>
      <c r="T46" s="21">
        <v>10.7</v>
      </c>
      <c r="U46" s="169">
        <v>0.2</v>
      </c>
      <c r="V46" s="27">
        <v>5.3999999999999999E-2</v>
      </c>
      <c r="W46" s="81">
        <v>0.02</v>
      </c>
      <c r="X46" s="11">
        <v>0.48499999999999999</v>
      </c>
      <c r="Y46" s="81">
        <v>0.04</v>
      </c>
      <c r="Z46" s="18">
        <v>1.9410000000000001</v>
      </c>
      <c r="AA46" s="31"/>
      <c r="AB46" s="69">
        <f t="shared" si="19"/>
        <v>21.925589861925722</v>
      </c>
      <c r="AC46" s="69">
        <f t="shared" si="1"/>
        <v>20.918842085243046</v>
      </c>
      <c r="AD46" s="69">
        <f t="shared" si="2"/>
        <v>2.3497750604421395</v>
      </c>
      <c r="AF46" s="96">
        <v>7.95</v>
      </c>
      <c r="AG46" s="96">
        <v>-4.0142300000000004</v>
      </c>
      <c r="AH46" s="96">
        <v>0.94789999999999996</v>
      </c>
      <c r="AI46" s="96">
        <v>-0.76070000000000004</v>
      </c>
      <c r="AJ46" s="96">
        <v>-1.0103</v>
      </c>
      <c r="AK46" s="96">
        <v>-2.4828000000000001</v>
      </c>
      <c r="AL46" s="96">
        <v>1.2442</v>
      </c>
      <c r="AM46" s="96">
        <v>0.3498</v>
      </c>
      <c r="AN46" s="96">
        <v>-1.3774999999999999</v>
      </c>
      <c r="AO46" s="96">
        <v>-0.30380000000000001</v>
      </c>
      <c r="AQ46" s="50">
        <f t="shared" si="20"/>
        <v>0.251</v>
      </c>
      <c r="AR46" s="50">
        <f t="shared" si="24"/>
        <v>0.40470058381985002</v>
      </c>
      <c r="AS46" s="50">
        <f t="shared" si="25"/>
        <v>-3.8395555555555544E-3</v>
      </c>
      <c r="AT46" s="50">
        <f t="shared" si="26"/>
        <v>0.24261800000000011</v>
      </c>
      <c r="AU46" s="50">
        <f t="shared" si="21"/>
        <v>1.6123529235850598</v>
      </c>
    </row>
    <row r="47" spans="1:47" s="68" customFormat="1" x14ac:dyDescent="0.35">
      <c r="A47" s="68">
        <v>8</v>
      </c>
      <c r="B47" s="28"/>
      <c r="C47" s="68">
        <v>28</v>
      </c>
      <c r="D47" s="68">
        <v>106</v>
      </c>
      <c r="E47" s="31">
        <f t="shared" si="22"/>
        <v>2968</v>
      </c>
      <c r="F47" s="69">
        <f t="shared" si="3"/>
        <v>1</v>
      </c>
      <c r="G47" s="25">
        <f t="shared" si="23"/>
        <v>28</v>
      </c>
      <c r="H47" s="31">
        <v>7.89</v>
      </c>
      <c r="I47" s="31">
        <v>1756</v>
      </c>
      <c r="J47" s="31">
        <v>342</v>
      </c>
      <c r="K47" s="27">
        <v>263</v>
      </c>
      <c r="L47" s="27">
        <v>50</v>
      </c>
      <c r="M47" s="27">
        <v>23</v>
      </c>
      <c r="N47" s="31">
        <v>633</v>
      </c>
      <c r="O47" s="31">
        <v>23</v>
      </c>
      <c r="P47" s="21">
        <v>159.80000000000001</v>
      </c>
      <c r="Q47" s="21">
        <v>56.13</v>
      </c>
      <c r="R47" s="21">
        <v>189.6</v>
      </c>
      <c r="S47" s="21">
        <v>20.28</v>
      </c>
      <c r="T47" s="21">
        <v>10.39</v>
      </c>
      <c r="U47" s="169">
        <v>0.2</v>
      </c>
      <c r="V47" s="27">
        <v>4.8000000000000001E-2</v>
      </c>
      <c r="W47" s="81">
        <v>0.02</v>
      </c>
      <c r="X47" s="11">
        <v>0.49</v>
      </c>
      <c r="Y47" s="81">
        <v>0.04</v>
      </c>
      <c r="Z47" s="18">
        <v>1.905</v>
      </c>
      <c r="AA47" s="31"/>
      <c r="AB47" s="69">
        <f t="shared" si="19"/>
        <v>21.800667938128093</v>
      </c>
      <c r="AC47" s="69">
        <f t="shared" si="1"/>
        <v>21.102798684675609</v>
      </c>
      <c r="AD47" s="69">
        <f t="shared" si="2"/>
        <v>1.6266034154954714</v>
      </c>
      <c r="AF47" s="96">
        <v>7.89</v>
      </c>
      <c r="AG47" s="96">
        <v>-3.1545200000000002</v>
      </c>
      <c r="AH47" s="96">
        <v>0.87290000000000001</v>
      </c>
      <c r="AI47" s="96">
        <v>-0.78080000000000005</v>
      </c>
      <c r="AJ47" s="96">
        <v>-1.0304</v>
      </c>
      <c r="AK47" s="96">
        <v>-2.4203999999999999</v>
      </c>
      <c r="AL47" s="96">
        <v>1.1209</v>
      </c>
      <c r="AM47" s="96">
        <v>0.29720000000000002</v>
      </c>
      <c r="AN47" s="96">
        <v>-1.4461999999999999</v>
      </c>
      <c r="AO47" s="96">
        <v>-0.35199999999999998</v>
      </c>
      <c r="AQ47" s="50">
        <f t="shared" si="20"/>
        <v>0.26300000000000001</v>
      </c>
      <c r="AR47" s="50">
        <f t="shared" si="24"/>
        <v>0.4089834121026783</v>
      </c>
      <c r="AS47" s="50">
        <f t="shared" si="25"/>
        <v>-2.5675555555555534E-3</v>
      </c>
      <c r="AT47" s="50">
        <f t="shared" si="26"/>
        <v>0.24518555555555566</v>
      </c>
      <c r="AU47" s="50">
        <f t="shared" si="21"/>
        <v>1.5550700079949744</v>
      </c>
    </row>
    <row r="48" spans="1:47" s="68" customFormat="1" x14ac:dyDescent="0.35">
      <c r="A48" s="68">
        <v>8</v>
      </c>
      <c r="B48" s="28"/>
      <c r="C48" s="68">
        <v>29</v>
      </c>
      <c r="D48" s="68">
        <v>106</v>
      </c>
      <c r="E48" s="31">
        <f t="shared" si="22"/>
        <v>3074</v>
      </c>
      <c r="F48" s="69">
        <f t="shared" si="3"/>
        <v>1</v>
      </c>
      <c r="G48" s="25">
        <f t="shared" si="23"/>
        <v>29</v>
      </c>
      <c r="H48" s="31">
        <v>7.83</v>
      </c>
      <c r="I48" s="31">
        <v>1748</v>
      </c>
      <c r="J48" s="31">
        <v>341</v>
      </c>
      <c r="K48" s="27">
        <v>267</v>
      </c>
      <c r="L48" s="27">
        <v>50</v>
      </c>
      <c r="M48" s="27">
        <v>23</v>
      </c>
      <c r="N48" s="31">
        <v>628</v>
      </c>
      <c r="O48" s="31">
        <v>24</v>
      </c>
      <c r="P48" s="21">
        <v>160</v>
      </c>
      <c r="Q48" s="21">
        <v>57.23</v>
      </c>
      <c r="R48" s="21">
        <v>189</v>
      </c>
      <c r="S48" s="21">
        <v>20.92</v>
      </c>
      <c r="T48" s="21">
        <v>10.36</v>
      </c>
      <c r="U48" s="169">
        <v>0.2</v>
      </c>
      <c r="V48" s="65">
        <v>4.7E-2</v>
      </c>
      <c r="W48" s="81">
        <v>0.02</v>
      </c>
      <c r="X48" s="174">
        <v>0.501</v>
      </c>
      <c r="Y48" s="81">
        <v>0.04</v>
      </c>
      <c r="Z48" s="172">
        <v>1.9410000000000001</v>
      </c>
      <c r="AA48" s="31"/>
      <c r="AB48" s="69">
        <f t="shared" si="19"/>
        <v>21.676566334963407</v>
      </c>
      <c r="AC48" s="69">
        <f t="shared" si="1"/>
        <v>21.176373683874182</v>
      </c>
      <c r="AD48" s="69">
        <f t="shared" si="2"/>
        <v>1.1672306517810618</v>
      </c>
      <c r="AF48" s="96">
        <v>7.83</v>
      </c>
      <c r="AG48" s="96">
        <v>-2.6281699999999999</v>
      </c>
      <c r="AH48" s="96">
        <v>0.81530000000000002</v>
      </c>
      <c r="AI48" s="96">
        <v>-0.78310000000000002</v>
      </c>
      <c r="AJ48" s="96">
        <v>-1.0326</v>
      </c>
      <c r="AK48" s="96">
        <v>-2.3601000000000001</v>
      </c>
      <c r="AL48" s="96">
        <v>1.0132000000000001</v>
      </c>
      <c r="AM48" s="96">
        <v>0.24790000000000001</v>
      </c>
      <c r="AN48" s="96">
        <v>-1.4532</v>
      </c>
      <c r="AO48" s="96">
        <v>-0.40210000000000001</v>
      </c>
      <c r="AQ48" s="50">
        <f t="shared" si="20"/>
        <v>0.26700000000000002</v>
      </c>
      <c r="AR48" s="50">
        <f t="shared" si="24"/>
        <v>0.412558984338801</v>
      </c>
      <c r="AS48" s="50">
        <f t="shared" si="25"/>
        <v>-2.1435555555555526E-3</v>
      </c>
      <c r="AT48" s="50">
        <f t="shared" si="26"/>
        <v>0.24732911111111122</v>
      </c>
      <c r="AU48" s="50">
        <f t="shared" si="21"/>
        <v>1.5451647353513145</v>
      </c>
    </row>
    <row r="49" spans="1:47" s="68" customFormat="1" x14ac:dyDescent="0.35">
      <c r="A49" s="68">
        <v>8</v>
      </c>
      <c r="B49" s="28">
        <v>43526</v>
      </c>
      <c r="C49" s="68">
        <v>30</v>
      </c>
      <c r="D49" s="68">
        <v>106</v>
      </c>
      <c r="E49" s="31">
        <f t="shared" si="22"/>
        <v>3180</v>
      </c>
      <c r="F49" s="69">
        <f t="shared" si="3"/>
        <v>1</v>
      </c>
      <c r="G49" s="25">
        <f t="shared" si="23"/>
        <v>30</v>
      </c>
      <c r="H49" s="31">
        <v>8.01</v>
      </c>
      <c r="I49" s="31">
        <v>1757</v>
      </c>
      <c r="J49" s="31">
        <v>342</v>
      </c>
      <c r="K49" s="27">
        <v>274</v>
      </c>
      <c r="L49" s="27">
        <v>51</v>
      </c>
      <c r="M49" s="27">
        <v>23</v>
      </c>
      <c r="N49" s="31">
        <v>628</v>
      </c>
      <c r="O49" s="31">
        <v>22</v>
      </c>
      <c r="P49" s="21">
        <v>160.6</v>
      </c>
      <c r="Q49" s="21">
        <v>56.38</v>
      </c>
      <c r="R49" s="21">
        <v>192.9</v>
      </c>
      <c r="S49" s="21">
        <v>21.98</v>
      </c>
      <c r="T49" s="18">
        <v>9.7889999999999997</v>
      </c>
      <c r="U49" s="169">
        <v>0.2</v>
      </c>
      <c r="V49" s="27">
        <v>4.7E-2</v>
      </c>
      <c r="W49" s="81">
        <v>0.02</v>
      </c>
      <c r="X49" s="11">
        <v>0.50800000000000001</v>
      </c>
      <c r="Y49" s="81">
        <v>0.04</v>
      </c>
      <c r="Z49" s="18">
        <v>1.8979999999999999</v>
      </c>
      <c r="AA49" s="31"/>
      <c r="AB49" s="69">
        <f t="shared" si="19"/>
        <v>21.724775079674266</v>
      </c>
      <c r="AC49" s="69">
        <f t="shared" si="1"/>
        <v>21.291447880749249</v>
      </c>
      <c r="AD49" s="69">
        <f t="shared" si="2"/>
        <v>1.0073576179007948</v>
      </c>
      <c r="AF49" s="96">
        <v>8.01</v>
      </c>
      <c r="AG49" s="96">
        <v>-2.4329900000000002</v>
      </c>
      <c r="AH49" s="96">
        <v>0.99039999999999995</v>
      </c>
      <c r="AI49" s="96">
        <v>-0.78300000000000003</v>
      </c>
      <c r="AJ49" s="96">
        <v>-1.0325</v>
      </c>
      <c r="AK49" s="96">
        <v>-2.5448</v>
      </c>
      <c r="AL49" s="96">
        <v>1.3559000000000001</v>
      </c>
      <c r="AM49" s="96">
        <v>0.42899999999999999</v>
      </c>
      <c r="AN49" s="96">
        <v>-1.4535</v>
      </c>
      <c r="AO49" s="96">
        <v>-0.23449999999999999</v>
      </c>
      <c r="AQ49" s="50">
        <f t="shared" si="20"/>
        <v>0.27400000000000002</v>
      </c>
      <c r="AR49" s="50">
        <f t="shared" si="24"/>
        <v>0.41489685849318891</v>
      </c>
      <c r="AS49" s="50">
        <f t="shared" si="25"/>
        <v>-1.4015555555555522E-3</v>
      </c>
      <c r="AT49" s="50">
        <f t="shared" si="26"/>
        <v>0.24873066666666677</v>
      </c>
      <c r="AU49" s="50">
        <f t="shared" si="21"/>
        <v>1.5142221112890104</v>
      </c>
    </row>
    <row r="50" spans="1:47" s="68" customFormat="1" x14ac:dyDescent="0.35">
      <c r="B50" s="28"/>
      <c r="E50" s="31"/>
      <c r="F50" s="69"/>
      <c r="G50" s="25"/>
      <c r="K50" s="65"/>
      <c r="L50" s="65"/>
      <c r="M50" s="186"/>
      <c r="N50" s="31"/>
      <c r="P50" s="66"/>
      <c r="Q50" s="65"/>
      <c r="R50" s="32"/>
      <c r="S50" s="32"/>
      <c r="T50" s="32"/>
      <c r="U50" s="67"/>
      <c r="AB50" s="69"/>
      <c r="AC50" s="69"/>
      <c r="AD50" s="69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Q50" s="149"/>
      <c r="AR50" s="149"/>
      <c r="AS50" s="149"/>
      <c r="AT50" s="149"/>
      <c r="AU50" s="149"/>
    </row>
    <row r="51" spans="1:47" s="68" customFormat="1" x14ac:dyDescent="0.35">
      <c r="A51" s="68" t="s">
        <v>76</v>
      </c>
      <c r="B51" s="28"/>
      <c r="E51" s="31"/>
      <c r="F51" s="69"/>
      <c r="G51" s="25"/>
      <c r="H51" s="69" t="s">
        <v>267</v>
      </c>
      <c r="I51" s="165">
        <f>'Influent Results Master'!D38</f>
        <v>2311.5</v>
      </c>
      <c r="J51" s="165">
        <f>'Influent Results Master'!F38</f>
        <v>244.83333333333331</v>
      </c>
      <c r="K51" s="165">
        <f>'Influent Results Master'!G38</f>
        <v>85.666666666666671</v>
      </c>
      <c r="L51" s="165">
        <f>'Influent Results Master'!H38</f>
        <v>91.5</v>
      </c>
      <c r="M51" s="12">
        <f>'Influent Results Master'!I38</f>
        <v>16.333333333333332</v>
      </c>
      <c r="N51" s="165">
        <f>'Influent Results Master'!J38</f>
        <v>975.66666666666674</v>
      </c>
      <c r="O51" s="165">
        <f>'Influent Results Master'!K38</f>
        <v>20</v>
      </c>
      <c r="P51" s="165">
        <f>'Influent Results Master'!L38</f>
        <v>158.21666666666667</v>
      </c>
      <c r="Q51" s="165">
        <f>'Influent Results Master'!M38</f>
        <v>44.49</v>
      </c>
      <c r="R51" s="165">
        <f>'Influent Results Master'!N38</f>
        <v>407.98333333333335</v>
      </c>
      <c r="S51" s="165">
        <f>'Influent Results Master'!O38</f>
        <v>22.978333333333335</v>
      </c>
      <c r="T51" s="170">
        <f>'Influent Results Master'!P38</f>
        <v>8.5111666666666679</v>
      </c>
      <c r="U51" s="167">
        <f>'Influent Results Master'!Q38</f>
        <v>0.20000000000000004</v>
      </c>
      <c r="V51" s="177">
        <f>'Influent Results Master'!R38</f>
        <v>0.02</v>
      </c>
      <c r="W51" s="177">
        <f>'Influent Results Master'!S38</f>
        <v>0.02</v>
      </c>
      <c r="X51" s="163">
        <f>'Influent Results Master'!T38</f>
        <v>0.44666666666666671</v>
      </c>
      <c r="Y51" s="177">
        <f>'Influent Results Master'!U38</f>
        <v>0.04</v>
      </c>
      <c r="Z51" s="170">
        <f>'Influent Results Master'!V38</f>
        <v>1.7963333333333331</v>
      </c>
      <c r="AB51" s="69">
        <f>((J51/50)+(L51/35.45)+(M51/62)+(N51/48.03))</f>
        <v>28.054900498795039</v>
      </c>
      <c r="AC51" s="69">
        <f t="shared" si="1"/>
        <v>29.517558751050874</v>
      </c>
      <c r="AD51" s="69">
        <f t="shared" si="2"/>
        <v>2.5405519780010954</v>
      </c>
      <c r="AF51" s="96">
        <v>8</v>
      </c>
      <c r="AG51" s="96">
        <v>-0.38630300000000001</v>
      </c>
      <c r="AH51" s="96">
        <v>0.75439999999999996</v>
      </c>
      <c r="AI51" s="96">
        <v>-0.68069999999999997</v>
      </c>
      <c r="AJ51" s="96">
        <v>-0.93</v>
      </c>
      <c r="AK51" s="96">
        <v>-2.6833</v>
      </c>
      <c r="AL51" s="96">
        <v>0.79169999999999996</v>
      </c>
      <c r="AM51" s="96">
        <v>9.4200000000000006E-2</v>
      </c>
      <c r="AN51" s="96">
        <v>-1.9345000000000001</v>
      </c>
      <c r="AO51" s="96">
        <v>-0.56269999999999998</v>
      </c>
      <c r="AQ51" s="50">
        <f>K51/1000</f>
        <v>8.5666666666666669E-2</v>
      </c>
      <c r="AR51" s="149"/>
      <c r="AS51" s="149"/>
      <c r="AT51" s="149"/>
      <c r="AU51" s="149"/>
    </row>
    <row r="52" spans="1:47" s="68" customFormat="1" x14ac:dyDescent="0.35">
      <c r="B52" s="28"/>
      <c r="E52" s="31"/>
      <c r="F52" s="69"/>
      <c r="G52" s="25"/>
      <c r="K52" s="65"/>
      <c r="L52" s="65"/>
      <c r="M52" s="186"/>
      <c r="N52" s="31"/>
      <c r="P52" s="66"/>
      <c r="Q52" s="65"/>
      <c r="R52" s="32"/>
      <c r="S52" s="32"/>
      <c r="T52" s="32"/>
      <c r="U52" s="67"/>
      <c r="AB52" s="69"/>
      <c r="AC52" s="69"/>
      <c r="AD52" s="69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Q52" s="149"/>
      <c r="AR52" s="149"/>
      <c r="AS52" s="149"/>
      <c r="AT52" s="149"/>
      <c r="AU52" s="149"/>
    </row>
    <row r="53" spans="1:47" s="68" customFormat="1" x14ac:dyDescent="0.35">
      <c r="A53" s="68">
        <v>8</v>
      </c>
      <c r="B53" s="28">
        <v>43526</v>
      </c>
      <c r="C53" s="68">
        <v>31</v>
      </c>
      <c r="D53" s="68">
        <v>106</v>
      </c>
      <c r="E53" s="31">
        <f>D53+E49</f>
        <v>3286</v>
      </c>
      <c r="F53" s="69">
        <f t="shared" si="3"/>
        <v>1</v>
      </c>
      <c r="G53" s="25">
        <f>G49+F53</f>
        <v>31</v>
      </c>
      <c r="H53" s="31">
        <v>7.97</v>
      </c>
      <c r="I53" s="31">
        <v>2090</v>
      </c>
      <c r="J53" s="31">
        <v>287</v>
      </c>
      <c r="K53" s="27">
        <v>246</v>
      </c>
      <c r="L53" s="27">
        <v>77</v>
      </c>
      <c r="M53" s="186">
        <v>17</v>
      </c>
      <c r="N53" s="31">
        <v>917</v>
      </c>
      <c r="O53" s="31">
        <v>20</v>
      </c>
      <c r="P53" s="21">
        <v>201.2</v>
      </c>
      <c r="Q53" s="21">
        <v>71.02</v>
      </c>
      <c r="R53" s="21">
        <v>229.7</v>
      </c>
      <c r="S53" s="21">
        <v>21.36</v>
      </c>
      <c r="T53" s="21">
        <v>10.71</v>
      </c>
      <c r="U53" s="169">
        <v>0.2</v>
      </c>
      <c r="V53" s="31">
        <v>3.3000000000000002E-2</v>
      </c>
      <c r="W53" s="81">
        <v>0.02</v>
      </c>
      <c r="X53" s="25">
        <v>0.63600000000000001</v>
      </c>
      <c r="Y53" s="81">
        <v>0.04</v>
      </c>
      <c r="Z53" s="6">
        <v>2.3860000000000001</v>
      </c>
      <c r="AA53" s="31"/>
      <c r="AB53" s="69">
        <f t="shared" ref="AB53:AB60" si="27">((J53/50)+(L53/35.45)+(M53/62)+(N53/48.03))</f>
        <v>27.27850091152726</v>
      </c>
      <c r="AC53" s="69">
        <f t="shared" si="1"/>
        <v>26.145594294937933</v>
      </c>
      <c r="AD53" s="69">
        <f t="shared" si="2"/>
        <v>2.1205911156961008</v>
      </c>
      <c r="AE53" s="31"/>
      <c r="AF53" s="96">
        <v>7.97</v>
      </c>
      <c r="AG53" s="96">
        <v>-3.5861299999999998</v>
      </c>
      <c r="AH53" s="96">
        <v>0.91769999999999996</v>
      </c>
      <c r="AI53" s="96">
        <v>-0.59860000000000002</v>
      </c>
      <c r="AJ53" s="96">
        <v>-0.84799999999999998</v>
      </c>
      <c r="AK53" s="96">
        <v>-2.5884999999999998</v>
      </c>
      <c r="AL53" s="96">
        <v>1.2146999999999999</v>
      </c>
      <c r="AM53" s="96">
        <v>0.35020000000000001</v>
      </c>
      <c r="AN53" s="96">
        <v>-1.5799000000000001</v>
      </c>
      <c r="AO53" s="96">
        <v>-0.30299999999999999</v>
      </c>
      <c r="AQ53" s="50">
        <f t="shared" ref="AQ53:AQ60" si="28">K53/1000</f>
        <v>0.246</v>
      </c>
      <c r="AR53" s="50">
        <f>AT53/$AS$6</f>
        <v>0.38654767862107325</v>
      </c>
      <c r="AS53" s="50">
        <f>(AQ53-$AQ$51)*0.106</f>
        <v>1.6995333333333331E-2</v>
      </c>
      <c r="AT53" s="50">
        <f>AT49-AS53</f>
        <v>0.23173533333333343</v>
      </c>
      <c r="AU53" s="50">
        <f t="shared" ref="AU53:AU60" si="29">AR53/AQ53</f>
        <v>1.571332026914932</v>
      </c>
    </row>
    <row r="54" spans="1:47" s="68" customFormat="1" x14ac:dyDescent="0.35">
      <c r="A54" s="68">
        <v>8</v>
      </c>
      <c r="B54" s="28"/>
      <c r="C54" s="68">
        <v>32</v>
      </c>
      <c r="D54" s="68">
        <v>106</v>
      </c>
      <c r="E54" s="31">
        <f>D54+E53</f>
        <v>3392</v>
      </c>
      <c r="F54" s="69">
        <f t="shared" si="3"/>
        <v>1</v>
      </c>
      <c r="G54" s="25">
        <f>G53+F54</f>
        <v>32</v>
      </c>
      <c r="H54" s="31">
        <v>7.97</v>
      </c>
      <c r="I54" s="31">
        <v>2310</v>
      </c>
      <c r="J54" s="31">
        <v>254</v>
      </c>
      <c r="K54" s="27">
        <v>180</v>
      </c>
      <c r="L54" s="27">
        <v>88</v>
      </c>
      <c r="M54" s="186">
        <v>15</v>
      </c>
      <c r="N54" s="31">
        <v>1049</v>
      </c>
      <c r="O54" s="31">
        <v>18</v>
      </c>
      <c r="P54" s="21">
        <v>184.1</v>
      </c>
      <c r="Q54" s="21">
        <v>64.78</v>
      </c>
      <c r="R54" s="21">
        <v>293</v>
      </c>
      <c r="S54" s="21">
        <v>20.51</v>
      </c>
      <c r="T54" s="21">
        <v>10.64</v>
      </c>
      <c r="U54" s="169">
        <v>0.2</v>
      </c>
      <c r="V54" s="81">
        <v>0.02</v>
      </c>
      <c r="W54" s="81">
        <v>0.02</v>
      </c>
      <c r="X54" s="25">
        <v>0.59</v>
      </c>
      <c r="Y54" s="81">
        <v>0.04</v>
      </c>
      <c r="Z54" s="6">
        <v>2.17</v>
      </c>
      <c r="AA54" s="31"/>
      <c r="AB54" s="69">
        <f t="shared" si="27"/>
        <v>29.644821362378373</v>
      </c>
      <c r="AC54" s="69">
        <f t="shared" si="1"/>
        <v>27.530723736580509</v>
      </c>
      <c r="AD54" s="69">
        <f t="shared" si="2"/>
        <v>3.6975556982251847</v>
      </c>
      <c r="AE54" s="31"/>
      <c r="AF54" s="96">
        <v>7.97</v>
      </c>
      <c r="AG54" s="96">
        <v>-5.5240999999999998</v>
      </c>
      <c r="AH54" s="96">
        <v>0.80530000000000002</v>
      </c>
      <c r="AI54" s="96">
        <v>-0.59650000000000003</v>
      </c>
      <c r="AJ54" s="96">
        <v>-0.84599999999999997</v>
      </c>
      <c r="AK54" s="96">
        <v>-2.6402000000000001</v>
      </c>
      <c r="AL54" s="96">
        <v>0.99</v>
      </c>
      <c r="AM54" s="96">
        <v>0.24360000000000001</v>
      </c>
      <c r="AN54" s="96">
        <v>-1.9907999999999999</v>
      </c>
      <c r="AO54" s="96">
        <v>-0.4153</v>
      </c>
      <c r="AQ54" s="50">
        <f t="shared" si="28"/>
        <v>0.18</v>
      </c>
      <c r="AR54" s="50">
        <f t="shared" ref="AR54:AR60" si="30">AT54/$AS$6</f>
        <v>0.3698682235195998</v>
      </c>
      <c r="AS54" s="50">
        <f t="shared" ref="AS54:AS60" si="31">(AQ54-$AQ$51)*0.106</f>
        <v>9.9993333333333323E-3</v>
      </c>
      <c r="AT54" s="50">
        <f>AT53-AS54</f>
        <v>0.2217360000000001</v>
      </c>
      <c r="AU54" s="50">
        <f t="shared" si="29"/>
        <v>2.0548234639977769</v>
      </c>
    </row>
    <row r="55" spans="1:47" s="68" customFormat="1" x14ac:dyDescent="0.35">
      <c r="A55" s="68">
        <v>8</v>
      </c>
      <c r="B55" s="28"/>
      <c r="C55" s="68">
        <v>33</v>
      </c>
      <c r="D55" s="68">
        <v>106</v>
      </c>
      <c r="E55" s="31">
        <f t="shared" ref="E55:E60" si="32">D55+E54</f>
        <v>3498</v>
      </c>
      <c r="F55" s="69">
        <f t="shared" si="3"/>
        <v>1</v>
      </c>
      <c r="G55" s="25">
        <f t="shared" ref="G55:G60" si="33">G54+F55</f>
        <v>33</v>
      </c>
      <c r="H55" s="31">
        <v>7.92</v>
      </c>
      <c r="I55" s="31">
        <v>2350</v>
      </c>
      <c r="J55" s="31">
        <v>248</v>
      </c>
      <c r="K55" s="27">
        <v>153</v>
      </c>
      <c r="L55" s="27">
        <v>89</v>
      </c>
      <c r="M55" s="186">
        <v>15</v>
      </c>
      <c r="N55" s="31">
        <v>1052</v>
      </c>
      <c r="O55" s="31">
        <v>18</v>
      </c>
      <c r="P55" s="12">
        <v>162</v>
      </c>
      <c r="Q55" s="12">
        <v>57.34</v>
      </c>
      <c r="R55" s="12">
        <v>323</v>
      </c>
      <c r="S55" s="12">
        <v>20</v>
      </c>
      <c r="T55" s="12">
        <v>10.18</v>
      </c>
      <c r="U55" s="169">
        <v>0.2</v>
      </c>
      <c r="V55" s="81">
        <v>0.02</v>
      </c>
      <c r="W55" s="81">
        <v>0.02</v>
      </c>
      <c r="X55" s="25">
        <v>0.54400000000000004</v>
      </c>
      <c r="Y55" s="81">
        <v>0.04</v>
      </c>
      <c r="Z55" s="6">
        <v>1.966</v>
      </c>
      <c r="AA55" s="31"/>
      <c r="AB55" s="69">
        <f t="shared" si="27"/>
        <v>29.61549106898805</v>
      </c>
      <c r="AC55" s="69">
        <f t="shared" si="1"/>
        <v>27.10923769477062</v>
      </c>
      <c r="AD55" s="69">
        <f t="shared" si="2"/>
        <v>4.4182729981049649</v>
      </c>
      <c r="AE55" s="31"/>
      <c r="AF55" s="96">
        <v>7.92</v>
      </c>
      <c r="AG55" s="96">
        <v>-6.3405800000000001</v>
      </c>
      <c r="AH55" s="96">
        <v>0.69140000000000001</v>
      </c>
      <c r="AI55" s="96">
        <v>-0.64349999999999996</v>
      </c>
      <c r="AJ55" s="96">
        <v>-0.89290000000000003</v>
      </c>
      <c r="AK55" s="96">
        <v>-2.5958999999999999</v>
      </c>
      <c r="AL55" s="96">
        <v>0.76500000000000001</v>
      </c>
      <c r="AM55" s="96">
        <v>0.15090000000000001</v>
      </c>
      <c r="AN55" s="96">
        <v>-1.9235</v>
      </c>
      <c r="AO55" s="96">
        <v>-0.52639999999999998</v>
      </c>
      <c r="AQ55" s="50">
        <f t="shared" si="28"/>
        <v>0.153</v>
      </c>
      <c r="AR55" s="50">
        <f t="shared" si="30"/>
        <v>0.35796274673338907</v>
      </c>
      <c r="AS55" s="50">
        <f t="shared" si="31"/>
        <v>7.1373333333333323E-3</v>
      </c>
      <c r="AT55" s="50">
        <f t="shared" ref="AT55:AT60" si="34">AT54-AS55</f>
        <v>0.21459866666666677</v>
      </c>
      <c r="AU55" s="50">
        <f t="shared" si="29"/>
        <v>2.3396257956430659</v>
      </c>
    </row>
    <row r="56" spans="1:47" s="68" customFormat="1" x14ac:dyDescent="0.35">
      <c r="A56" s="68">
        <v>8</v>
      </c>
      <c r="B56" s="28"/>
      <c r="C56" s="68">
        <v>34</v>
      </c>
      <c r="D56" s="68">
        <v>106</v>
      </c>
      <c r="E56" s="31">
        <f t="shared" si="32"/>
        <v>3604</v>
      </c>
      <c r="F56" s="69">
        <f t="shared" si="3"/>
        <v>1</v>
      </c>
      <c r="G56" s="25">
        <f t="shared" si="33"/>
        <v>34</v>
      </c>
      <c r="H56" s="31">
        <v>7.91</v>
      </c>
      <c r="I56" s="31">
        <v>2350</v>
      </c>
      <c r="J56" s="31">
        <v>247</v>
      </c>
      <c r="K56" s="27">
        <v>136</v>
      </c>
      <c r="L56" s="27">
        <v>88</v>
      </c>
      <c r="M56" s="186">
        <v>15</v>
      </c>
      <c r="N56" s="31">
        <v>1050</v>
      </c>
      <c r="O56" s="31">
        <v>17</v>
      </c>
      <c r="P56" s="21">
        <v>154.9</v>
      </c>
      <c r="Q56" s="21">
        <v>55.29</v>
      </c>
      <c r="R56" s="21">
        <v>355</v>
      </c>
      <c r="S56" s="21">
        <v>20.63</v>
      </c>
      <c r="T56" s="21">
        <v>10.29</v>
      </c>
      <c r="U56" s="169">
        <v>0.2</v>
      </c>
      <c r="V56" s="81">
        <v>0.02</v>
      </c>
      <c r="W56" s="81">
        <v>0.02</v>
      </c>
      <c r="X56" s="25">
        <v>0.498</v>
      </c>
      <c r="Y56" s="81">
        <v>0.04</v>
      </c>
      <c r="Z56" s="6">
        <v>1.77</v>
      </c>
      <c r="AA56" s="31"/>
      <c r="AB56" s="69">
        <f t="shared" si="27"/>
        <v>29.525641683011315</v>
      </c>
      <c r="AC56" s="69">
        <f t="shared" si="1"/>
        <v>27.981083576402717</v>
      </c>
      <c r="AD56" s="69">
        <f t="shared" si="2"/>
        <v>2.6858738689102259</v>
      </c>
      <c r="AE56" s="31"/>
      <c r="AF56" s="96">
        <v>7.91</v>
      </c>
      <c r="AG56" s="96">
        <v>-4.2898800000000001</v>
      </c>
      <c r="AH56" s="96">
        <v>0.66010000000000002</v>
      </c>
      <c r="AI56" s="96">
        <v>-0.66339999999999999</v>
      </c>
      <c r="AJ56" s="96">
        <v>-0.91279999999999994</v>
      </c>
      <c r="AK56" s="96">
        <v>-2.5870000000000002</v>
      </c>
      <c r="AL56" s="96">
        <v>0.70589999999999997</v>
      </c>
      <c r="AM56" s="96">
        <v>0.1</v>
      </c>
      <c r="AN56" s="96">
        <v>-1.9449000000000001</v>
      </c>
      <c r="AO56" s="96">
        <v>-0.55410000000000004</v>
      </c>
      <c r="AQ56" s="50">
        <f t="shared" si="28"/>
        <v>0.13600000000000001</v>
      </c>
      <c r="AR56" s="50">
        <f t="shared" si="30"/>
        <v>0.34906310814567709</v>
      </c>
      <c r="AS56" s="50">
        <f t="shared" si="31"/>
        <v>5.3353333333333343E-3</v>
      </c>
      <c r="AT56" s="50">
        <f t="shared" si="34"/>
        <v>0.20926333333333344</v>
      </c>
      <c r="AU56" s="50">
        <f t="shared" si="29"/>
        <v>2.5666405010711548</v>
      </c>
    </row>
    <row r="57" spans="1:47" s="68" customFormat="1" x14ac:dyDescent="0.35">
      <c r="A57" s="68">
        <v>8</v>
      </c>
      <c r="B57" s="28"/>
      <c r="C57" s="68">
        <v>35</v>
      </c>
      <c r="D57" s="68">
        <v>106</v>
      </c>
      <c r="E57" s="31">
        <f t="shared" si="32"/>
        <v>3710</v>
      </c>
      <c r="F57" s="69">
        <f t="shared" si="3"/>
        <v>1</v>
      </c>
      <c r="G57" s="25">
        <f t="shared" si="33"/>
        <v>35</v>
      </c>
      <c r="H57" s="31">
        <v>7.85</v>
      </c>
      <c r="I57" s="31">
        <v>2390</v>
      </c>
      <c r="J57" s="31">
        <v>248</v>
      </c>
      <c r="K57" s="27">
        <v>122</v>
      </c>
      <c r="L57" s="27">
        <v>89</v>
      </c>
      <c r="M57" s="186">
        <v>15</v>
      </c>
      <c r="N57" s="31">
        <v>1063</v>
      </c>
      <c r="O57" s="31">
        <v>17</v>
      </c>
      <c r="P57" s="21">
        <v>149.9</v>
      </c>
      <c r="Q57" s="21">
        <v>52.71</v>
      </c>
      <c r="R57" s="21">
        <v>353</v>
      </c>
      <c r="S57" s="21">
        <v>20.73</v>
      </c>
      <c r="T57" s="21">
        <v>10.33</v>
      </c>
      <c r="U57" s="169">
        <v>0.2</v>
      </c>
      <c r="V57" s="81">
        <v>0.02</v>
      </c>
      <c r="W57" s="81">
        <v>0.02</v>
      </c>
      <c r="X57" s="25">
        <v>0.47499999999999998</v>
      </c>
      <c r="Y57" s="81">
        <v>0.04</v>
      </c>
      <c r="Z57" s="6">
        <v>1.754</v>
      </c>
      <c r="AA57" s="31"/>
      <c r="AB57" s="69">
        <f t="shared" si="27"/>
        <v>29.844514595950365</v>
      </c>
      <c r="AC57" s="69">
        <f t="shared" si="1"/>
        <v>27.43344019830241</v>
      </c>
      <c r="AD57" s="69">
        <f t="shared" si="2"/>
        <v>4.2094282282053124</v>
      </c>
      <c r="AE57" s="31"/>
      <c r="AF57" s="96">
        <v>7.85</v>
      </c>
      <c r="AG57" s="96">
        <v>-6.0347200000000001</v>
      </c>
      <c r="AH57" s="96">
        <v>0.5877</v>
      </c>
      <c r="AI57" s="96">
        <v>-0.67149999999999999</v>
      </c>
      <c r="AJ57" s="96">
        <v>-0.92090000000000005</v>
      </c>
      <c r="AK57" s="96">
        <v>-2.5226999999999999</v>
      </c>
      <c r="AL57" s="96">
        <v>0.55500000000000005</v>
      </c>
      <c r="AM57" s="96">
        <v>2.18E-2</v>
      </c>
      <c r="AN57" s="96">
        <v>-1.9615</v>
      </c>
      <c r="AO57" s="96">
        <v>-0.63270000000000004</v>
      </c>
      <c r="AQ57" s="50">
        <f t="shared" si="28"/>
        <v>0.122</v>
      </c>
      <c r="AR57" s="50">
        <f t="shared" si="30"/>
        <v>0.34263886572143465</v>
      </c>
      <c r="AS57" s="50">
        <f t="shared" si="31"/>
        <v>3.8513333333333329E-3</v>
      </c>
      <c r="AT57" s="50">
        <f t="shared" si="34"/>
        <v>0.20541200000000009</v>
      </c>
      <c r="AU57" s="50">
        <f t="shared" si="29"/>
        <v>2.8085152927986448</v>
      </c>
    </row>
    <row r="58" spans="1:47" s="68" customFormat="1" x14ac:dyDescent="0.35">
      <c r="A58" s="68">
        <v>8</v>
      </c>
      <c r="B58" s="28"/>
      <c r="C58" s="68">
        <v>36</v>
      </c>
      <c r="D58" s="68">
        <v>106</v>
      </c>
      <c r="E58" s="31">
        <f t="shared" si="32"/>
        <v>3816</v>
      </c>
      <c r="F58" s="69">
        <f t="shared" si="3"/>
        <v>1</v>
      </c>
      <c r="G58" s="25">
        <f t="shared" si="33"/>
        <v>36</v>
      </c>
      <c r="H58" s="31">
        <v>7.82</v>
      </c>
      <c r="I58" s="31">
        <v>2370</v>
      </c>
      <c r="J58" s="31">
        <v>244</v>
      </c>
      <c r="K58" s="27">
        <v>116</v>
      </c>
      <c r="L58" s="27">
        <v>88</v>
      </c>
      <c r="M58" s="186">
        <v>15</v>
      </c>
      <c r="N58" s="31">
        <v>1030</v>
      </c>
      <c r="O58" s="31">
        <v>17</v>
      </c>
      <c r="P58" s="21">
        <v>148.25</v>
      </c>
      <c r="Q58" s="21">
        <v>52.75</v>
      </c>
      <c r="R58" s="21">
        <v>362</v>
      </c>
      <c r="S58" s="21">
        <v>20.72</v>
      </c>
      <c r="T58" s="21">
        <v>10.07</v>
      </c>
      <c r="U58" s="169">
        <v>0.2</v>
      </c>
      <c r="V58" s="81">
        <v>0.02</v>
      </c>
      <c r="W58" s="81">
        <v>0.02</v>
      </c>
      <c r="X58" s="11">
        <v>0.46400000000000002</v>
      </c>
      <c r="Y58" s="81">
        <v>0.04</v>
      </c>
      <c r="Z58" s="18">
        <v>1.7090000000000001</v>
      </c>
      <c r="AA58" s="31"/>
      <c r="AB58" s="69">
        <f t="shared" si="27"/>
        <v>29.049235270352558</v>
      </c>
      <c r="AC58" s="69">
        <f t="shared" si="1"/>
        <v>27.739219280430994</v>
      </c>
      <c r="AD58" s="69">
        <f t="shared" si="2"/>
        <v>2.3068350781584845</v>
      </c>
      <c r="AE58" s="31"/>
      <c r="AF58" s="96">
        <v>7.82</v>
      </c>
      <c r="AG58" s="96">
        <v>-3.8655300000000001</v>
      </c>
      <c r="AH58" s="96">
        <v>0.55230000000000001</v>
      </c>
      <c r="AI58" s="96">
        <v>-0.68410000000000004</v>
      </c>
      <c r="AJ58" s="96">
        <v>-0.9335</v>
      </c>
      <c r="AK58" s="96">
        <v>-2.4988000000000001</v>
      </c>
      <c r="AL58" s="96">
        <v>0.48849999999999999</v>
      </c>
      <c r="AM58" s="96">
        <v>-1.9599999999999999E-2</v>
      </c>
      <c r="AN58" s="96">
        <v>-1.9594</v>
      </c>
      <c r="AO58" s="96">
        <v>-0.66379999999999995</v>
      </c>
      <c r="AQ58" s="50">
        <f t="shared" si="28"/>
        <v>0.11600000000000001</v>
      </c>
      <c r="AR58" s="50">
        <f t="shared" si="30"/>
        <v>0.33727550736725065</v>
      </c>
      <c r="AS58" s="50">
        <f t="shared" si="31"/>
        <v>3.2153333333333335E-3</v>
      </c>
      <c r="AT58" s="50">
        <f t="shared" si="34"/>
        <v>0.20219666666666677</v>
      </c>
      <c r="AU58" s="50">
        <f t="shared" si="29"/>
        <v>2.907547477303885</v>
      </c>
    </row>
    <row r="59" spans="1:47" s="68" customFormat="1" x14ac:dyDescent="0.35">
      <c r="A59" s="68">
        <v>8</v>
      </c>
      <c r="B59" s="28"/>
      <c r="C59" s="68">
        <v>37</v>
      </c>
      <c r="D59" s="68">
        <v>106</v>
      </c>
      <c r="E59" s="31">
        <f t="shared" si="32"/>
        <v>3922</v>
      </c>
      <c r="F59" s="69">
        <f t="shared" si="3"/>
        <v>1</v>
      </c>
      <c r="G59" s="25">
        <f t="shared" si="33"/>
        <v>37</v>
      </c>
      <c r="H59" s="31">
        <v>7.79</v>
      </c>
      <c r="I59" s="31">
        <v>2380</v>
      </c>
      <c r="J59" s="31">
        <v>244</v>
      </c>
      <c r="K59" s="27">
        <v>111</v>
      </c>
      <c r="L59" s="27">
        <v>88</v>
      </c>
      <c r="M59" s="186">
        <v>15</v>
      </c>
      <c r="N59" s="31">
        <v>1038</v>
      </c>
      <c r="O59" s="31">
        <v>17</v>
      </c>
      <c r="P59" s="21">
        <v>144.1</v>
      </c>
      <c r="Q59" s="21">
        <v>51.66</v>
      </c>
      <c r="R59" s="21">
        <v>357</v>
      </c>
      <c r="S59" s="21">
        <v>20.84</v>
      </c>
      <c r="T59" s="18">
        <v>9.6679999999999993</v>
      </c>
      <c r="U59" s="169">
        <v>0.2</v>
      </c>
      <c r="V59" s="81">
        <v>0.02</v>
      </c>
      <c r="W59" s="27">
        <v>3.3000000000000002E-2</v>
      </c>
      <c r="X59" s="11">
        <v>0.45700000000000002</v>
      </c>
      <c r="Y59" s="81">
        <v>0.04</v>
      </c>
      <c r="Z59" s="18">
        <v>1.6579999999999999</v>
      </c>
      <c r="AA59" s="31"/>
      <c r="AB59" s="69">
        <f t="shared" si="27"/>
        <v>29.215797835416058</v>
      </c>
      <c r="AC59" s="69">
        <f t="shared" si="1"/>
        <v>27.214728100850795</v>
      </c>
      <c r="AD59" s="69">
        <f t="shared" si="2"/>
        <v>3.5460767046993134</v>
      </c>
      <c r="AE59" s="31"/>
      <c r="AF59" s="96">
        <v>7.79</v>
      </c>
      <c r="AG59" s="96">
        <v>-5.2980200000000002</v>
      </c>
      <c r="AH59" s="96">
        <v>0.50960000000000005</v>
      </c>
      <c r="AI59" s="96">
        <v>-0.69210000000000005</v>
      </c>
      <c r="AJ59" s="96">
        <v>-0.94159999999999999</v>
      </c>
      <c r="AK59" s="96">
        <v>-2.4674999999999998</v>
      </c>
      <c r="AL59" s="96">
        <v>0.40689999999999998</v>
      </c>
      <c r="AM59" s="96">
        <v>-5.57E-2</v>
      </c>
      <c r="AN59" s="96">
        <v>-1.9731000000000001</v>
      </c>
      <c r="AO59" s="96">
        <v>-0.70279999999999998</v>
      </c>
      <c r="AQ59" s="50">
        <f t="shared" si="28"/>
        <v>0.111</v>
      </c>
      <c r="AR59" s="50">
        <f t="shared" si="30"/>
        <v>0.33279621907144857</v>
      </c>
      <c r="AS59" s="50">
        <f t="shared" si="31"/>
        <v>2.685333333333333E-3</v>
      </c>
      <c r="AT59" s="50">
        <f t="shared" si="34"/>
        <v>0.19951133333333343</v>
      </c>
      <c r="AU59" s="50">
        <f t="shared" si="29"/>
        <v>2.9981641357788158</v>
      </c>
    </row>
    <row r="60" spans="1:47" s="68" customFormat="1" x14ac:dyDescent="0.35">
      <c r="A60" s="68">
        <v>8</v>
      </c>
      <c r="B60" s="28">
        <v>43527</v>
      </c>
      <c r="C60" s="68">
        <v>38</v>
      </c>
      <c r="D60" s="68">
        <v>106</v>
      </c>
      <c r="E60" s="31">
        <f t="shared" si="32"/>
        <v>4028</v>
      </c>
      <c r="F60" s="69">
        <f t="shared" si="3"/>
        <v>1</v>
      </c>
      <c r="G60" s="25">
        <f t="shared" si="33"/>
        <v>38</v>
      </c>
      <c r="H60" s="31">
        <v>7.75</v>
      </c>
      <c r="I60" s="31">
        <v>2390</v>
      </c>
      <c r="J60" s="31">
        <v>246</v>
      </c>
      <c r="K60" s="27">
        <v>111</v>
      </c>
      <c r="L60" s="27">
        <v>87</v>
      </c>
      <c r="M60" s="186">
        <v>15</v>
      </c>
      <c r="N60" s="31">
        <v>1043</v>
      </c>
      <c r="O60" s="31">
        <v>19</v>
      </c>
      <c r="P60" s="21">
        <v>147.19999999999999</v>
      </c>
      <c r="Q60" s="21">
        <v>52.25</v>
      </c>
      <c r="R60" s="21">
        <v>357</v>
      </c>
      <c r="S60" s="21">
        <v>21.08</v>
      </c>
      <c r="T60" s="18">
        <v>9.8819999999999997</v>
      </c>
      <c r="U60" s="169">
        <v>0.2</v>
      </c>
      <c r="V60" s="81">
        <v>0.02</v>
      </c>
      <c r="W60" s="81">
        <v>0.02</v>
      </c>
      <c r="X60" s="11">
        <v>0.45</v>
      </c>
      <c r="Y60" s="81">
        <v>0.04</v>
      </c>
      <c r="Z60" s="18">
        <v>1.639</v>
      </c>
      <c r="AA60" s="31"/>
      <c r="AB60" s="69">
        <f t="shared" si="27"/>
        <v>29.331690693869888</v>
      </c>
      <c r="AC60" s="69">
        <f t="shared" si="1"/>
        <v>27.423411602235422</v>
      </c>
      <c r="AD60" s="69">
        <f t="shared" si="2"/>
        <v>3.362304029827142</v>
      </c>
      <c r="AE60" s="31"/>
      <c r="AF60" s="96">
        <v>7.75</v>
      </c>
      <c r="AG60" s="96">
        <v>-5.0767800000000003</v>
      </c>
      <c r="AH60" s="96">
        <v>0.4824</v>
      </c>
      <c r="AI60" s="96">
        <v>-0.68289999999999995</v>
      </c>
      <c r="AJ60" s="96">
        <v>-0.93230000000000002</v>
      </c>
      <c r="AK60" s="96">
        <v>-2.4235000000000002</v>
      </c>
      <c r="AL60" s="96">
        <v>0.34810000000000002</v>
      </c>
      <c r="AM60" s="96">
        <v>-9.9299999999999999E-2</v>
      </c>
      <c r="AN60" s="96">
        <v>-1.9648000000000001</v>
      </c>
      <c r="AO60" s="96">
        <v>-0.73429999999999995</v>
      </c>
      <c r="AQ60" s="50">
        <f t="shared" si="28"/>
        <v>0.111</v>
      </c>
      <c r="AR60" s="50">
        <f t="shared" si="30"/>
        <v>0.3283169307756465</v>
      </c>
      <c r="AS60" s="50">
        <f t="shared" si="31"/>
        <v>2.685333333333333E-3</v>
      </c>
      <c r="AT60" s="50">
        <f t="shared" si="34"/>
        <v>0.19682600000000008</v>
      </c>
      <c r="AU60" s="50">
        <f t="shared" si="29"/>
        <v>2.9578101871679863</v>
      </c>
    </row>
    <row r="61" spans="1:47" s="42" customFormat="1" x14ac:dyDescent="0.35">
      <c r="U61" s="87"/>
      <c r="V61" s="87"/>
      <c r="W61" s="87"/>
      <c r="X61" s="87"/>
      <c r="Y61" s="87"/>
      <c r="Z61" s="87"/>
      <c r="AF61" s="68"/>
      <c r="AG61" s="68"/>
      <c r="AH61" s="68"/>
      <c r="AI61" s="68"/>
      <c r="AJ61" s="68"/>
      <c r="AK61" s="68"/>
      <c r="AL61" s="68"/>
      <c r="AM61" s="68"/>
      <c r="AN61" s="68"/>
      <c r="AO61" s="68"/>
    </row>
    <row r="62" spans="1:47" s="42" customFormat="1" x14ac:dyDescent="0.35">
      <c r="U62" s="87"/>
      <c r="V62" s="87"/>
      <c r="W62" s="87"/>
      <c r="X62" s="87"/>
      <c r="Y62" s="87"/>
      <c r="Z62" s="87"/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7" s="31" customFormat="1" x14ac:dyDescent="0.35">
      <c r="A63" s="31">
        <v>8</v>
      </c>
      <c r="C63" s="31" t="s">
        <v>167</v>
      </c>
      <c r="F63" s="25"/>
      <c r="G63" s="25"/>
      <c r="P63" s="21">
        <v>167</v>
      </c>
      <c r="Q63" s="21">
        <v>43.43</v>
      </c>
      <c r="R63" s="21">
        <v>179.6</v>
      </c>
      <c r="S63" s="21">
        <v>21.29</v>
      </c>
      <c r="T63" s="21">
        <v>14.61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/>
    </row>
    <row r="64" spans="1:47" s="68" customFormat="1" x14ac:dyDescent="0.35">
      <c r="A64" s="31">
        <v>8</v>
      </c>
      <c r="B64" s="31"/>
      <c r="C64" s="31" t="s">
        <v>168</v>
      </c>
      <c r="D64" s="31"/>
      <c r="E64" s="31"/>
      <c r="F64" s="31"/>
      <c r="G64" s="31"/>
      <c r="P64" s="175">
        <v>94.62</v>
      </c>
      <c r="Q64" s="175">
        <v>31.23</v>
      </c>
      <c r="R64" s="175">
        <v>52.53</v>
      </c>
      <c r="S64" s="175">
        <v>15.41</v>
      </c>
      <c r="T64" s="172">
        <v>7.234</v>
      </c>
    </row>
    <row r="65" spans="1:41" s="68" customFormat="1" x14ac:dyDescent="0.35">
      <c r="A65" s="31">
        <v>8</v>
      </c>
      <c r="B65" s="31"/>
      <c r="C65" s="31" t="s">
        <v>168</v>
      </c>
      <c r="D65" s="31"/>
      <c r="E65" s="31"/>
      <c r="F65" s="31"/>
      <c r="G65" s="31"/>
      <c r="P65" s="175">
        <v>148.5</v>
      </c>
      <c r="Q65" s="175">
        <v>52.91</v>
      </c>
      <c r="R65" s="175">
        <v>176.3</v>
      </c>
      <c r="S65" s="175">
        <v>20.38</v>
      </c>
      <c r="T65" s="172">
        <v>9.2240000000000002</v>
      </c>
      <c r="U65" s="65"/>
      <c r="V65" s="65"/>
      <c r="W65" s="65"/>
      <c r="X65" s="65"/>
      <c r="Y65" s="65"/>
      <c r="Z65" s="65"/>
    </row>
    <row r="66" spans="1:41" s="68" customFormat="1" x14ac:dyDescent="0.35">
      <c r="A66" s="31"/>
      <c r="B66" s="31"/>
      <c r="C66" s="31"/>
      <c r="D66" s="31"/>
      <c r="E66" s="31"/>
      <c r="F66" s="31"/>
      <c r="G66" s="31"/>
      <c r="P66" s="65"/>
      <c r="Q66" s="65"/>
      <c r="R66" s="65"/>
      <c r="S66" s="65"/>
      <c r="T66" s="65"/>
    </row>
    <row r="67" spans="1:41" s="68" customFormat="1" x14ac:dyDescent="0.35">
      <c r="A67" s="31"/>
      <c r="B67" s="31"/>
      <c r="C67" s="31"/>
      <c r="D67" s="31"/>
      <c r="E67" s="31"/>
      <c r="P67" s="65"/>
      <c r="Q67" s="65"/>
      <c r="R67" s="65"/>
      <c r="S67" s="65"/>
      <c r="T67" s="65"/>
      <c r="W67" s="38"/>
      <c r="X67" s="38"/>
      <c r="Y67" s="38"/>
      <c r="Z67" s="38"/>
      <c r="AA67" s="86"/>
    </row>
    <row r="68" spans="1:41" x14ac:dyDescent="0.35">
      <c r="AF68" s="68"/>
      <c r="AG68" s="68"/>
      <c r="AH68" s="68"/>
      <c r="AI68" s="68"/>
      <c r="AJ68" s="68"/>
      <c r="AK68" s="68"/>
      <c r="AL68" s="68"/>
      <c r="AM68" s="68"/>
      <c r="AN68" s="68"/>
      <c r="AO68" s="68"/>
    </row>
    <row r="69" spans="1:41" x14ac:dyDescent="0.35">
      <c r="AF69" s="68"/>
      <c r="AG69" s="68"/>
      <c r="AH69" s="68"/>
      <c r="AI69" s="68"/>
      <c r="AJ69" s="68"/>
      <c r="AK69" s="68"/>
      <c r="AL69" s="68"/>
      <c r="AM69" s="68"/>
      <c r="AN69" s="68"/>
      <c r="AO69" s="68"/>
    </row>
    <row r="70" spans="1:41" x14ac:dyDescent="0.35">
      <c r="AF70" s="42"/>
      <c r="AG70" s="42"/>
      <c r="AH70" s="42"/>
      <c r="AI70" s="42"/>
      <c r="AJ70" s="42"/>
      <c r="AK70" s="42"/>
      <c r="AL70" s="42"/>
      <c r="AM70" s="42"/>
      <c r="AN70" s="42"/>
      <c r="AO70" s="42"/>
    </row>
    <row r="71" spans="1:41" x14ac:dyDescent="0.35">
      <c r="AF71" s="42"/>
      <c r="AG71" s="42"/>
      <c r="AH71" s="42"/>
      <c r="AI71" s="42"/>
      <c r="AJ71" s="42"/>
      <c r="AK71" s="42"/>
      <c r="AL71" s="42"/>
      <c r="AM71" s="42"/>
      <c r="AN71" s="42"/>
      <c r="AO71" s="42"/>
    </row>
    <row r="72" spans="1:41" x14ac:dyDescent="0.35">
      <c r="AF72" s="31"/>
      <c r="AG72" s="31"/>
      <c r="AH72" s="31"/>
      <c r="AI72" s="31"/>
      <c r="AJ72" s="31"/>
      <c r="AK72" s="31"/>
      <c r="AL72" s="31"/>
      <c r="AM72" s="31"/>
      <c r="AN72" s="31"/>
      <c r="AO72" s="31"/>
    </row>
    <row r="73" spans="1:41" x14ac:dyDescent="0.35">
      <c r="AF73" s="68"/>
      <c r="AG73" s="68"/>
      <c r="AH73" s="68"/>
      <c r="AI73" s="68"/>
      <c r="AJ73" s="68"/>
      <c r="AK73" s="68"/>
      <c r="AL73" s="68"/>
      <c r="AM73" s="68"/>
      <c r="AN73" s="68"/>
      <c r="AO73" s="68"/>
    </row>
    <row r="74" spans="1:41" x14ac:dyDescent="0.35">
      <c r="AF74" s="68"/>
      <c r="AG74" s="68"/>
      <c r="AH74" s="68"/>
      <c r="AI74" s="68"/>
      <c r="AJ74" s="68"/>
      <c r="AK74" s="68"/>
      <c r="AL74" s="68"/>
      <c r="AM74" s="68"/>
      <c r="AN74" s="68"/>
      <c r="AO74" s="68"/>
    </row>
    <row r="75" spans="1:41" x14ac:dyDescent="0.35">
      <c r="AF75" s="68"/>
      <c r="AG75" s="68"/>
      <c r="AH75" s="68"/>
      <c r="AI75" s="68"/>
      <c r="AJ75" s="68"/>
      <c r="AK75" s="68"/>
      <c r="AL75" s="68"/>
      <c r="AM75" s="68"/>
      <c r="AN75" s="68"/>
      <c r="AO75" s="68"/>
    </row>
    <row r="76" spans="1:41" x14ac:dyDescent="0.35">
      <c r="AF76" s="68"/>
      <c r="AG76" s="68"/>
      <c r="AH76" s="68"/>
      <c r="AI76" s="68"/>
      <c r="AJ76" s="68"/>
      <c r="AK76" s="68"/>
      <c r="AL76" s="68"/>
      <c r="AM76" s="68"/>
      <c r="AN76" s="68"/>
      <c r="AO76" s="68"/>
    </row>
  </sheetData>
  <pageMargins left="0.7" right="0.7" top="0.75" bottom="0.75" header="0.3" footer="0.3"/>
  <pageSetup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U76"/>
  <sheetViews>
    <sheetView zoomScaleNormal="100" workbookViewId="0">
      <selection activeCell="A7" sqref="A7"/>
    </sheetView>
  </sheetViews>
  <sheetFormatPr defaultColWidth="9.1796875" defaultRowHeight="14.5" x14ac:dyDescent="0.35"/>
  <cols>
    <col min="1" max="1" width="9.1796875" style="38"/>
    <col min="2" max="2" width="10.453125" style="38" bestFit="1" customWidth="1"/>
    <col min="3" max="8" width="9.1796875" style="38"/>
    <col min="9" max="9" width="15.7265625" style="38" bestFit="1" customWidth="1"/>
    <col min="10" max="10" width="15.453125" style="38" bestFit="1" customWidth="1"/>
    <col min="11" max="11" width="6.26953125" style="38" bestFit="1" customWidth="1"/>
    <col min="12" max="22" width="6.81640625" style="38" bestFit="1" customWidth="1"/>
    <col min="23" max="24" width="12" style="38" bestFit="1" customWidth="1"/>
    <col min="25" max="25" width="17.54296875" style="38" bestFit="1" customWidth="1"/>
    <col min="26" max="26" width="6.81640625" style="38" bestFit="1" customWidth="1"/>
    <col min="27" max="16384" width="9.1796875" style="38"/>
  </cols>
  <sheetData>
    <row r="1" spans="1:47" x14ac:dyDescent="0.35">
      <c r="A1" s="31" t="s">
        <v>46</v>
      </c>
      <c r="B1" s="31"/>
      <c r="C1" s="31"/>
      <c r="D1" s="31"/>
      <c r="E1" s="31"/>
      <c r="F1" s="31"/>
      <c r="G1" s="25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47" x14ac:dyDescent="0.35">
      <c r="A2" s="1"/>
      <c r="B2" s="1"/>
      <c r="C2" s="1"/>
      <c r="D2" s="1"/>
      <c r="E2" s="1"/>
      <c r="F2" s="1"/>
      <c r="G2" s="25"/>
      <c r="H2" s="31"/>
      <c r="I2" s="1"/>
      <c r="J2" s="1"/>
      <c r="K2" s="1"/>
      <c r="L2" s="1"/>
      <c r="M2" s="1"/>
      <c r="N2" s="31"/>
      <c r="O2" s="1"/>
      <c r="P2" s="1"/>
      <c r="Q2" s="1"/>
      <c r="R2" s="1"/>
      <c r="S2" s="1"/>
      <c r="T2" s="1"/>
      <c r="U2" s="1"/>
      <c r="V2" s="1"/>
      <c r="W2" s="1"/>
      <c r="X2" s="38" t="s">
        <v>259</v>
      </c>
      <c r="Y2" s="38" t="s">
        <v>260</v>
      </c>
      <c r="AA2" s="38" t="s">
        <v>260</v>
      </c>
    </row>
    <row r="3" spans="1:47" x14ac:dyDescent="0.35">
      <c r="A3" s="1" t="s">
        <v>8</v>
      </c>
      <c r="B3" s="1"/>
      <c r="C3" s="1"/>
      <c r="D3" s="1"/>
      <c r="E3" s="1"/>
      <c r="F3" s="1"/>
      <c r="G3" s="2"/>
      <c r="H3" s="1"/>
      <c r="I3" s="1"/>
      <c r="J3" s="1"/>
      <c r="K3" s="1"/>
      <c r="L3" s="1"/>
      <c r="M3" s="1"/>
      <c r="N3" s="31"/>
      <c r="O3" s="1"/>
      <c r="P3" s="1"/>
      <c r="Q3" s="1"/>
      <c r="R3" s="1"/>
      <c r="S3" s="1"/>
      <c r="T3" s="1"/>
      <c r="U3" s="1"/>
      <c r="V3" s="1" t="s">
        <v>256</v>
      </c>
      <c r="W3" s="1" t="s">
        <v>257</v>
      </c>
      <c r="X3" s="38" t="s">
        <v>258</v>
      </c>
      <c r="Y3" s="149" t="s">
        <v>261</v>
      </c>
      <c r="AA3" s="149"/>
    </row>
    <row r="4" spans="1:47" s="42" customFormat="1" x14ac:dyDescent="0.35">
      <c r="A4" s="31" t="s">
        <v>162</v>
      </c>
      <c r="B4" s="31"/>
      <c r="C4" s="31"/>
      <c r="D4" s="31"/>
      <c r="E4" s="31"/>
      <c r="F4" s="31"/>
      <c r="G4" s="25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>
        <v>106</v>
      </c>
      <c r="W4" s="31">
        <v>0.71</v>
      </c>
      <c r="X4" s="42">
        <f>V4/W4</f>
        <v>149.29577464788733</v>
      </c>
      <c r="Y4" s="42">
        <f>X4/10</f>
        <v>14.929577464788732</v>
      </c>
      <c r="AA4" s="42">
        <f>Y4*60</f>
        <v>895.77464788732391</v>
      </c>
    </row>
    <row r="5" spans="1:47" x14ac:dyDescent="0.35">
      <c r="A5" s="26" t="s">
        <v>358</v>
      </c>
      <c r="B5" s="1"/>
      <c r="C5" s="1"/>
      <c r="D5" s="1"/>
      <c r="E5" s="1"/>
      <c r="F5" s="1"/>
      <c r="G5" s="2"/>
      <c r="H5" s="1"/>
      <c r="I5" s="1"/>
      <c r="J5" s="1"/>
      <c r="K5" s="1"/>
      <c r="L5" s="1"/>
      <c r="M5" s="1"/>
      <c r="N5" s="31"/>
      <c r="O5" s="1"/>
      <c r="P5" s="1"/>
      <c r="Q5" s="1"/>
      <c r="R5" s="1"/>
      <c r="S5" s="1"/>
      <c r="T5" s="1"/>
      <c r="U5" s="1"/>
      <c r="V5" s="1"/>
      <c r="W5" s="1"/>
    </row>
    <row r="6" spans="1:47" x14ac:dyDescent="0.35">
      <c r="AQ6" s="101" t="s">
        <v>254</v>
      </c>
      <c r="AR6" s="101"/>
      <c r="AS6" s="101">
        <v>0.63649999999999995</v>
      </c>
      <c r="AT6" s="101" t="s">
        <v>255</v>
      </c>
      <c r="AU6" s="101"/>
    </row>
    <row r="7" spans="1:47" s="71" customFormat="1" x14ac:dyDescent="0.35">
      <c r="A7" s="31" t="s">
        <v>372</v>
      </c>
      <c r="B7" s="31"/>
      <c r="C7" s="31"/>
      <c r="D7" s="31"/>
      <c r="E7" s="31"/>
      <c r="F7" s="31"/>
      <c r="G7" s="25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F7" s="89" t="s">
        <v>170</v>
      </c>
    </row>
    <row r="8" spans="1:47" x14ac:dyDescent="0.35">
      <c r="A8" s="1"/>
      <c r="B8" s="1"/>
      <c r="C8" s="1"/>
      <c r="D8" s="1"/>
      <c r="E8" s="1"/>
      <c r="F8" s="1"/>
      <c r="G8" s="2"/>
      <c r="H8" s="1"/>
      <c r="I8" s="1"/>
      <c r="J8" s="1"/>
      <c r="K8" s="1"/>
      <c r="L8" s="1"/>
      <c r="M8" s="1"/>
      <c r="N8" s="3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Q8" s="101"/>
      <c r="AR8" s="101"/>
      <c r="AS8" s="101"/>
      <c r="AT8" s="101"/>
      <c r="AU8" s="101"/>
    </row>
    <row r="9" spans="1:47" s="68" customFormat="1" x14ac:dyDescent="0.35">
      <c r="A9" s="68" t="s">
        <v>9</v>
      </c>
      <c r="B9" s="68" t="s">
        <v>10</v>
      </c>
      <c r="C9" s="68" t="s">
        <v>11</v>
      </c>
      <c r="D9" s="68" t="s">
        <v>7</v>
      </c>
      <c r="E9" s="68" t="s">
        <v>12</v>
      </c>
      <c r="F9" s="69" t="s">
        <v>13</v>
      </c>
      <c r="G9" s="69" t="s">
        <v>81</v>
      </c>
      <c r="H9" s="68" t="s">
        <v>14</v>
      </c>
      <c r="I9" s="68" t="s">
        <v>15</v>
      </c>
      <c r="J9" s="68" t="s">
        <v>16</v>
      </c>
      <c r="K9" s="68" t="s">
        <v>3</v>
      </c>
      <c r="L9" s="68" t="s">
        <v>31</v>
      </c>
      <c r="M9" s="68" t="s">
        <v>30</v>
      </c>
      <c r="N9" s="68" t="s">
        <v>18</v>
      </c>
      <c r="O9" s="68" t="s">
        <v>17</v>
      </c>
      <c r="P9" s="68" t="s">
        <v>20</v>
      </c>
      <c r="Q9" s="68" t="s">
        <v>19</v>
      </c>
      <c r="R9" s="68" t="s">
        <v>21</v>
      </c>
      <c r="S9" s="68" t="s">
        <v>47</v>
      </c>
      <c r="T9" s="68" t="s">
        <v>24</v>
      </c>
      <c r="U9" s="68" t="s">
        <v>48</v>
      </c>
      <c r="V9" s="68" t="s">
        <v>4</v>
      </c>
      <c r="W9" s="68" t="s">
        <v>22</v>
      </c>
      <c r="X9" s="68" t="s">
        <v>23</v>
      </c>
      <c r="Y9" s="68" t="s">
        <v>25</v>
      </c>
      <c r="Z9" s="68" t="s">
        <v>49</v>
      </c>
      <c r="AA9" s="68" t="s">
        <v>26</v>
      </c>
      <c r="AB9" s="68" t="s">
        <v>123</v>
      </c>
      <c r="AC9" s="68" t="s">
        <v>124</v>
      </c>
      <c r="AD9" s="68" t="s">
        <v>27</v>
      </c>
      <c r="AF9" s="97" t="s">
        <v>171</v>
      </c>
      <c r="AG9" s="97" t="s">
        <v>172</v>
      </c>
      <c r="AH9" s="97" t="s">
        <v>173</v>
      </c>
      <c r="AI9" s="97" t="s">
        <v>174</v>
      </c>
      <c r="AJ9" s="97" t="s">
        <v>175</v>
      </c>
      <c r="AK9" s="97" t="s">
        <v>176</v>
      </c>
      <c r="AL9" s="97" t="s">
        <v>177</v>
      </c>
      <c r="AM9" s="97" t="s">
        <v>178</v>
      </c>
      <c r="AN9" s="97" t="s">
        <v>179</v>
      </c>
      <c r="AO9" s="97" t="s">
        <v>180</v>
      </c>
      <c r="AQ9" s="149" t="s">
        <v>247</v>
      </c>
      <c r="AR9" s="149" t="s">
        <v>248</v>
      </c>
      <c r="AS9" s="149" t="s">
        <v>253</v>
      </c>
      <c r="AT9" s="149" t="s">
        <v>251</v>
      </c>
      <c r="AU9" s="149" t="s">
        <v>245</v>
      </c>
    </row>
    <row r="10" spans="1:47" s="68" customFormat="1" x14ac:dyDescent="0.35">
      <c r="D10" s="68" t="s">
        <v>6</v>
      </c>
      <c r="E10" s="68" t="s">
        <v>6</v>
      </c>
      <c r="F10" s="69"/>
      <c r="G10" s="69"/>
      <c r="I10" s="203" t="s">
        <v>357</v>
      </c>
      <c r="J10" s="68" t="s">
        <v>28</v>
      </c>
      <c r="K10" s="27" t="s">
        <v>352</v>
      </c>
      <c r="L10" s="68" t="s">
        <v>5</v>
      </c>
      <c r="M10" s="68" t="s">
        <v>5</v>
      </c>
      <c r="N10" s="68" t="s">
        <v>5</v>
      </c>
      <c r="O10" s="68" t="s">
        <v>5</v>
      </c>
      <c r="P10" s="68" t="s">
        <v>5</v>
      </c>
      <c r="Q10" s="68" t="s">
        <v>5</v>
      </c>
      <c r="R10" s="68" t="s">
        <v>5</v>
      </c>
      <c r="S10" s="68" t="s">
        <v>5</v>
      </c>
      <c r="T10" s="68" t="s">
        <v>5</v>
      </c>
      <c r="U10" s="68" t="s">
        <v>5</v>
      </c>
      <c r="V10" s="68" t="s">
        <v>5</v>
      </c>
      <c r="W10" s="68" t="s">
        <v>5</v>
      </c>
      <c r="X10" s="68" t="s">
        <v>5</v>
      </c>
      <c r="Y10" s="68" t="s">
        <v>5</v>
      </c>
      <c r="Z10" s="68" t="s">
        <v>5</v>
      </c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Q10" s="149" t="s">
        <v>246</v>
      </c>
      <c r="AR10" s="149" t="s">
        <v>249</v>
      </c>
      <c r="AS10" s="149" t="s">
        <v>252</v>
      </c>
      <c r="AT10" s="149" t="s">
        <v>252</v>
      </c>
      <c r="AU10" s="149" t="s">
        <v>250</v>
      </c>
    </row>
    <row r="11" spans="1:47" s="68" customFormat="1" x14ac:dyDescent="0.35">
      <c r="F11" s="69"/>
      <c r="G11" s="69"/>
      <c r="N11" s="31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Q11" s="149"/>
      <c r="AR11" s="149"/>
      <c r="AS11" s="149"/>
      <c r="AT11" s="149"/>
      <c r="AU11" s="149"/>
    </row>
    <row r="12" spans="1:47" s="68" customFormat="1" x14ac:dyDescent="0.35">
      <c r="A12" s="68" t="s">
        <v>57</v>
      </c>
      <c r="F12" s="69"/>
      <c r="G12" s="69"/>
      <c r="H12" s="15">
        <v>7.4</v>
      </c>
      <c r="I12" s="165">
        <f>'Influent Results Master'!D35</f>
        <v>2012</v>
      </c>
      <c r="J12" s="165">
        <f>'Influent Results Master'!F35</f>
        <v>293.88888888888891</v>
      </c>
      <c r="K12" s="165">
        <f>'Influent Results Master'!G35</f>
        <v>661.22222222222217</v>
      </c>
      <c r="L12" s="165">
        <f>'Influent Results Master'!H35</f>
        <v>53.44444444444445</v>
      </c>
      <c r="M12" s="167">
        <f>'Influent Results Master'!I35</f>
        <v>3.3333333333333335</v>
      </c>
      <c r="N12" s="165">
        <f>'Influent Results Master'!J35</f>
        <v>800.8888888888888</v>
      </c>
      <c r="O12" s="165">
        <f>'Influent Results Master'!K35</f>
        <v>26.555555555555557</v>
      </c>
      <c r="P12" s="165">
        <f>'Influent Results Master'!L35</f>
        <v>183.55555555555557</v>
      </c>
      <c r="Q12" s="165">
        <f>'Influent Results Master'!M35</f>
        <v>35.531111111111109</v>
      </c>
      <c r="R12" s="165">
        <f>'Influent Results Master'!N35</f>
        <v>315.04444444444442</v>
      </c>
      <c r="S12" s="165">
        <f>'Influent Results Master'!O35</f>
        <v>16.411111111111111</v>
      </c>
      <c r="T12" s="170">
        <f>'Influent Results Master'!P35</f>
        <v>7.6787777777777784</v>
      </c>
      <c r="U12" s="171">
        <f>'Influent Results Master'!Q35</f>
        <v>0.20000000000000004</v>
      </c>
      <c r="V12" s="163">
        <f>'Influent Results Master'!R35</f>
        <v>0.44400000000000001</v>
      </c>
      <c r="W12" s="30">
        <f>'Influent Results Master'!S35</f>
        <v>8.1000000000000003E-2</v>
      </c>
      <c r="X12" s="170">
        <f>'Influent Results Master'!T35</f>
        <v>0.99611111111111106</v>
      </c>
      <c r="Y12" s="30">
        <f>'Influent Results Master'!U35</f>
        <v>9.8999999999999991E-2</v>
      </c>
      <c r="Z12" s="170">
        <f>'Influent Results Master'!V35</f>
        <v>1.699888888888889</v>
      </c>
      <c r="AB12" s="69">
        <f>((J12/50)+(L12/35.45)+(M12/62)+(N12/48.03))</f>
        <v>24.113905366209003</v>
      </c>
      <c r="AC12" s="69">
        <f>((P12/20.04)+(Q12/12.16)+(R12/22.99)+(T12/39.1))</f>
        <v>25.98135601585059</v>
      </c>
      <c r="AD12" s="69">
        <f>ABS((AB12-AC12)/(AB12+AC12)*100)</f>
        <v>3.7277989935997597</v>
      </c>
      <c r="AF12" s="97">
        <v>7.4</v>
      </c>
      <c r="AG12" s="97">
        <v>5.8160800000000004</v>
      </c>
      <c r="AH12" s="97">
        <v>0.34939999999999999</v>
      </c>
      <c r="AI12" s="97">
        <v>-0.6583</v>
      </c>
      <c r="AJ12" s="97">
        <v>-0.90790000000000004</v>
      </c>
      <c r="AK12" s="97">
        <v>-1.9886999999999999</v>
      </c>
      <c r="AL12" s="97">
        <v>-0.1832</v>
      </c>
      <c r="AM12" s="97">
        <v>3.32E-2</v>
      </c>
      <c r="AN12" s="97">
        <v>-0.46100000000000002</v>
      </c>
      <c r="AO12" s="97">
        <v>-1.1325000000000001</v>
      </c>
      <c r="AQ12" s="50">
        <f>K12/1000</f>
        <v>0.66122222222222216</v>
      </c>
      <c r="AR12" s="50">
        <f>(1.04-0.36)</f>
        <v>0.68</v>
      </c>
      <c r="AS12" s="50"/>
      <c r="AT12" s="50">
        <f>AS6*AR12</f>
        <v>0.43281999999999998</v>
      </c>
      <c r="AU12" s="50">
        <f>AR12/AQ12</f>
        <v>1.0283985884725257</v>
      </c>
    </row>
    <row r="13" spans="1:47" s="68" customFormat="1" x14ac:dyDescent="0.35">
      <c r="F13" s="69"/>
      <c r="G13" s="69"/>
      <c r="M13" s="65"/>
      <c r="N13" s="27"/>
      <c r="O13" s="65"/>
      <c r="P13" s="65"/>
      <c r="Q13" s="65"/>
      <c r="R13" s="67"/>
      <c r="S13" s="67"/>
      <c r="T13" s="67"/>
      <c r="U13" s="67"/>
      <c r="V13" s="65"/>
      <c r="W13" s="66"/>
      <c r="X13" s="67"/>
      <c r="Y13" s="65"/>
      <c r="AB13" s="69"/>
      <c r="AC13" s="69"/>
      <c r="AD13" s="69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Q13" s="50"/>
      <c r="AR13" s="50"/>
      <c r="AS13" s="50"/>
      <c r="AT13" s="50"/>
      <c r="AU13" s="50"/>
    </row>
    <row r="14" spans="1:47" s="68" customFormat="1" x14ac:dyDescent="0.35">
      <c r="A14" s="68">
        <v>9</v>
      </c>
      <c r="B14" s="10">
        <v>43523</v>
      </c>
      <c r="C14" s="68">
        <v>1</v>
      </c>
      <c r="D14" s="68">
        <v>106</v>
      </c>
      <c r="E14" s="68">
        <v>106</v>
      </c>
      <c r="F14" s="69">
        <f>D14/106</f>
        <v>1</v>
      </c>
      <c r="G14" s="69">
        <v>1</v>
      </c>
      <c r="H14" s="31">
        <v>7.94</v>
      </c>
      <c r="I14" s="31">
        <v>4220</v>
      </c>
      <c r="J14" s="31">
        <v>314</v>
      </c>
      <c r="K14" s="31">
        <v>892</v>
      </c>
      <c r="L14" s="31">
        <v>98</v>
      </c>
      <c r="M14" s="125">
        <v>1</v>
      </c>
      <c r="N14" s="191">
        <v>2915</v>
      </c>
      <c r="O14" s="31">
        <v>76</v>
      </c>
      <c r="P14" s="21">
        <v>511.8</v>
      </c>
      <c r="Q14" s="21">
        <v>164.1</v>
      </c>
      <c r="R14" s="21">
        <v>611.1</v>
      </c>
      <c r="S14" s="21">
        <v>23.36</v>
      </c>
      <c r="T14" s="21">
        <v>33.19</v>
      </c>
      <c r="U14" s="11">
        <v>0.55400000000000005</v>
      </c>
      <c r="V14" s="11">
        <v>0.69499999999999995</v>
      </c>
      <c r="W14" s="81">
        <v>0.02</v>
      </c>
      <c r="X14" s="18">
        <v>1.5960000000000001</v>
      </c>
      <c r="Y14" s="81">
        <v>0.04</v>
      </c>
      <c r="Z14" s="18">
        <v>4.6390000000000002</v>
      </c>
      <c r="AA14" s="31"/>
      <c r="AB14" s="69">
        <f t="shared" ref="AB14:AB20" si="0">((J14/50)+(L14/35.45)+(M14/62)+(N14/48.03))</f>
        <v>69.751820658935912</v>
      </c>
      <c r="AC14" s="69">
        <f t="shared" ref="AC14:AC60" si="1">((P14/20.04)+(Q14/12.16)+(R14/22.99)+(T14/39.1))</f>
        <v>66.463959277076896</v>
      </c>
      <c r="AD14" s="69">
        <f t="shared" ref="AD14:AD60" si="2">ABS((AB14-AC14)/(AB14+AC14)*100)</f>
        <v>2.4137154912620882</v>
      </c>
      <c r="AF14" s="97">
        <v>7.94</v>
      </c>
      <c r="AG14" s="97">
        <v>-1.99722</v>
      </c>
      <c r="AH14" s="97">
        <v>1.0974999999999999</v>
      </c>
      <c r="AI14" s="97">
        <v>-1.9300000000000001E-2</v>
      </c>
      <c r="AJ14" s="97">
        <v>-0.26819999999999999</v>
      </c>
      <c r="AK14" s="97">
        <v>-2.5627</v>
      </c>
      <c r="AL14" s="97">
        <v>1.5423</v>
      </c>
      <c r="AM14" s="97">
        <v>0.47720000000000001</v>
      </c>
      <c r="AN14" s="97">
        <v>-0.14610000000000001</v>
      </c>
      <c r="AO14" s="97">
        <v>-0.15509999999999999</v>
      </c>
      <c r="AQ14" s="50">
        <f>K14/1000</f>
        <v>0.89200000000000002</v>
      </c>
      <c r="AR14" s="50">
        <f>AT14/($AS$6)</f>
        <v>0.64156725146198834</v>
      </c>
      <c r="AS14" s="50">
        <f>(AQ14-$AQ$12)*0.106</f>
        <v>2.4462444444444453E-2</v>
      </c>
      <c r="AT14" s="50">
        <f>AT12-AS14</f>
        <v>0.40835755555555553</v>
      </c>
      <c r="AU14" s="50">
        <f>AR14/AQ14</f>
        <v>0.7192457976031259</v>
      </c>
    </row>
    <row r="15" spans="1:47" s="68" customFormat="1" x14ac:dyDescent="0.35">
      <c r="A15" s="68">
        <v>9</v>
      </c>
      <c r="B15" s="10"/>
      <c r="C15" s="31">
        <v>2</v>
      </c>
      <c r="D15" s="31">
        <v>106</v>
      </c>
      <c r="E15" s="31">
        <f>E14+D15</f>
        <v>212</v>
      </c>
      <c r="F15" s="69">
        <f t="shared" ref="F15:F60" si="3">D15/106</f>
        <v>1</v>
      </c>
      <c r="G15" s="25">
        <f>G14+F15</f>
        <v>2</v>
      </c>
      <c r="H15" s="25">
        <v>7.96</v>
      </c>
      <c r="I15" s="31">
        <v>2520</v>
      </c>
      <c r="J15" s="31">
        <v>300</v>
      </c>
      <c r="K15" s="31">
        <v>667</v>
      </c>
      <c r="L15" s="31">
        <v>57</v>
      </c>
      <c r="M15" s="125">
        <v>1</v>
      </c>
      <c r="N15" s="31">
        <v>1323</v>
      </c>
      <c r="O15" s="31">
        <v>27</v>
      </c>
      <c r="P15" s="21">
        <v>298.5</v>
      </c>
      <c r="Q15" s="21">
        <v>76.09</v>
      </c>
      <c r="R15" s="21">
        <v>299</v>
      </c>
      <c r="S15" s="21">
        <v>21.96</v>
      </c>
      <c r="T15" s="21">
        <v>21.63</v>
      </c>
      <c r="U15" s="169">
        <v>0.2</v>
      </c>
      <c r="V15" s="11">
        <v>0.58899999999999997</v>
      </c>
      <c r="W15" s="81">
        <v>0.02</v>
      </c>
      <c r="X15" s="11">
        <v>0.85299999999999998</v>
      </c>
      <c r="Y15" s="81">
        <v>0.04</v>
      </c>
      <c r="Z15" s="18">
        <v>2.6669999999999998</v>
      </c>
      <c r="AA15" s="31"/>
      <c r="AB15" s="69">
        <f t="shared" si="0"/>
        <v>35.169311678153747</v>
      </c>
      <c r="AC15" s="69">
        <f t="shared" si="1"/>
        <v>34.711462460022979</v>
      </c>
      <c r="AD15" s="69">
        <f t="shared" si="2"/>
        <v>0.6551862422494823</v>
      </c>
      <c r="AF15" s="97">
        <v>7.96</v>
      </c>
      <c r="AG15" s="97">
        <v>1.28983</v>
      </c>
      <c r="AH15" s="97">
        <v>1.0317000000000001</v>
      </c>
      <c r="AI15" s="97">
        <v>-0.36170000000000002</v>
      </c>
      <c r="AJ15" s="97">
        <v>-0.61109999999999998</v>
      </c>
      <c r="AK15" s="97">
        <v>-2.5724999999999998</v>
      </c>
      <c r="AL15" s="97">
        <v>1.3041</v>
      </c>
      <c r="AM15" s="97">
        <v>0.4113</v>
      </c>
      <c r="AN15" s="97">
        <v>-0.2369</v>
      </c>
      <c r="AO15" s="97">
        <v>-0.3276</v>
      </c>
      <c r="AQ15" s="50">
        <f t="shared" ref="AQ15:AQ20" si="4">K15/1000</f>
        <v>0.66700000000000004</v>
      </c>
      <c r="AR15" s="50">
        <f t="shared" ref="AR15:AR20" si="5">AT15/($AS$6)</f>
        <v>0.64060504495068515</v>
      </c>
      <c r="AS15" s="50">
        <f t="shared" ref="AS15:AS20" si="6">(AQ15-$AQ$12)*0.106</f>
        <v>6.1244444444445538E-4</v>
      </c>
      <c r="AT15" s="50">
        <f>AT14-AS15</f>
        <v>0.40774511111111106</v>
      </c>
      <c r="AU15" s="50">
        <f t="shared" ref="AU15:AU20" si="7">AR15/AQ15</f>
        <v>0.96042735374915311</v>
      </c>
    </row>
    <row r="16" spans="1:47" s="68" customFormat="1" x14ac:dyDescent="0.35">
      <c r="A16" s="68">
        <v>9</v>
      </c>
      <c r="B16" s="10"/>
      <c r="C16" s="68">
        <v>3</v>
      </c>
      <c r="D16" s="68">
        <v>106</v>
      </c>
      <c r="E16" s="31">
        <f t="shared" ref="E16:E19" si="8">E15+D16</f>
        <v>318</v>
      </c>
      <c r="F16" s="69">
        <f t="shared" si="3"/>
        <v>1</v>
      </c>
      <c r="G16" s="25">
        <f t="shared" ref="G16:G20" si="9">G15+F16</f>
        <v>3</v>
      </c>
      <c r="H16" s="31">
        <v>8.01</v>
      </c>
      <c r="I16" s="31">
        <v>2100</v>
      </c>
      <c r="J16" s="31">
        <v>294</v>
      </c>
      <c r="K16" s="27">
        <v>624</v>
      </c>
      <c r="L16" s="27">
        <v>55</v>
      </c>
      <c r="M16" s="125">
        <v>1</v>
      </c>
      <c r="N16" s="31">
        <v>941</v>
      </c>
      <c r="O16" s="31">
        <v>26</v>
      </c>
      <c r="P16" s="21">
        <v>207.3</v>
      </c>
      <c r="Q16" s="21">
        <v>48.75</v>
      </c>
      <c r="R16" s="21">
        <v>285.2</v>
      </c>
      <c r="S16" s="21">
        <v>21.39</v>
      </c>
      <c r="T16" s="21">
        <v>18.59</v>
      </c>
      <c r="U16" s="169">
        <v>0.2</v>
      </c>
      <c r="V16" s="11">
        <v>0.54600000000000004</v>
      </c>
      <c r="W16" s="81">
        <v>0.02</v>
      </c>
      <c r="X16" s="11">
        <v>0.56999999999999995</v>
      </c>
      <c r="Y16" s="81">
        <v>0.04</v>
      </c>
      <c r="Z16" s="18">
        <v>1.873</v>
      </c>
      <c r="AA16" s="31"/>
      <c r="AB16" s="69">
        <f t="shared" si="0"/>
        <v>27.039531706949806</v>
      </c>
      <c r="AC16" s="69">
        <f t="shared" si="1"/>
        <v>27.23419864962236</v>
      </c>
      <c r="AD16" s="69">
        <f t="shared" si="2"/>
        <v>0.35867617979014066</v>
      </c>
      <c r="AF16" s="97">
        <v>8.01</v>
      </c>
      <c r="AG16" s="97">
        <v>2.9475199999999999</v>
      </c>
      <c r="AH16" s="97">
        <v>0.97629999999999995</v>
      </c>
      <c r="AI16" s="97">
        <v>-0.57040000000000002</v>
      </c>
      <c r="AJ16" s="97">
        <v>-0.81989999999999996</v>
      </c>
      <c r="AK16" s="97">
        <v>-2.6185999999999998</v>
      </c>
      <c r="AL16" s="97">
        <v>1.1557999999999999</v>
      </c>
      <c r="AM16" s="97">
        <v>0.35089999999999999</v>
      </c>
      <c r="AN16" s="97">
        <v>-0.35070000000000001</v>
      </c>
      <c r="AO16" s="97">
        <v>-0.42049999999999998</v>
      </c>
      <c r="AQ16" s="50">
        <f t="shared" si="4"/>
        <v>0.624</v>
      </c>
      <c r="AR16" s="50">
        <f t="shared" si="5"/>
        <v>0.6468038753600418</v>
      </c>
      <c r="AS16" s="50">
        <f t="shared" si="6"/>
        <v>-3.9455555555555485E-3</v>
      </c>
      <c r="AT16" s="50">
        <f t="shared" ref="AT16:AT20" si="10">AT15-AS16</f>
        <v>0.41169066666666659</v>
      </c>
      <c r="AU16" s="50">
        <f t="shared" si="7"/>
        <v>1.0365446720513491</v>
      </c>
    </row>
    <row r="17" spans="1:47" s="68" customFormat="1" x14ac:dyDescent="0.35">
      <c r="A17" s="68">
        <v>9</v>
      </c>
      <c r="B17" s="10"/>
      <c r="C17" s="68">
        <v>4</v>
      </c>
      <c r="D17" s="31">
        <v>106</v>
      </c>
      <c r="E17" s="31">
        <f t="shared" si="8"/>
        <v>424</v>
      </c>
      <c r="F17" s="69">
        <f t="shared" si="3"/>
        <v>1</v>
      </c>
      <c r="G17" s="25">
        <f t="shared" si="9"/>
        <v>4</v>
      </c>
      <c r="H17" s="31">
        <v>7.97</v>
      </c>
      <c r="I17" s="31">
        <v>2070</v>
      </c>
      <c r="J17" s="31">
        <v>294</v>
      </c>
      <c r="K17" s="27">
        <v>670</v>
      </c>
      <c r="L17" s="27">
        <v>55</v>
      </c>
      <c r="M17" s="125">
        <v>1</v>
      </c>
      <c r="N17" s="31">
        <v>888</v>
      </c>
      <c r="O17" s="31">
        <v>26</v>
      </c>
      <c r="P17" s="21">
        <v>180.8</v>
      </c>
      <c r="Q17" s="21">
        <v>44.14</v>
      </c>
      <c r="R17" s="21">
        <v>295.8</v>
      </c>
      <c r="S17" s="21">
        <v>20.56</v>
      </c>
      <c r="T17" s="21">
        <v>17.77</v>
      </c>
      <c r="U17" s="169">
        <v>0.2</v>
      </c>
      <c r="V17" s="11">
        <v>0.52100000000000002</v>
      </c>
      <c r="W17" s="81">
        <v>0.02</v>
      </c>
      <c r="X17" s="11">
        <v>0.52</v>
      </c>
      <c r="Y17" s="81">
        <v>0.04</v>
      </c>
      <c r="Z17" s="18">
        <v>1.6779999999999999</v>
      </c>
      <c r="AA17" s="31"/>
      <c r="AB17" s="69">
        <f t="shared" si="0"/>
        <v>25.936054713404104</v>
      </c>
      <c r="AC17" s="69">
        <f t="shared" si="1"/>
        <v>25.972829681536286</v>
      </c>
      <c r="AD17" s="69">
        <f t="shared" si="2"/>
        <v>7.0845229214300615E-2</v>
      </c>
      <c r="AF17" s="97">
        <v>7.97</v>
      </c>
      <c r="AG17" s="97">
        <v>2.6511999999999998</v>
      </c>
      <c r="AH17" s="97">
        <v>0.88929999999999998</v>
      </c>
      <c r="AI17" s="97">
        <v>-0.63490000000000002</v>
      </c>
      <c r="AJ17" s="97">
        <v>-0.88439999999999996</v>
      </c>
      <c r="AK17" s="97">
        <v>-2.5733000000000001</v>
      </c>
      <c r="AL17" s="97">
        <v>0.99780000000000002</v>
      </c>
      <c r="AM17" s="97">
        <v>0.28510000000000002</v>
      </c>
      <c r="AN17" s="97">
        <v>-0.41849999999999998</v>
      </c>
      <c r="AO17" s="97">
        <v>-0.49149999999999999</v>
      </c>
      <c r="AQ17" s="50">
        <f t="shared" si="4"/>
        <v>0.67</v>
      </c>
      <c r="AR17" s="50">
        <f t="shared" si="5"/>
        <v>0.64534206162171592</v>
      </c>
      <c r="AS17" s="50">
        <f t="shared" si="6"/>
        <v>9.3044444444445574E-4</v>
      </c>
      <c r="AT17" s="50">
        <f t="shared" si="10"/>
        <v>0.41076022222222214</v>
      </c>
      <c r="AU17" s="50">
        <f t="shared" si="7"/>
        <v>0.96319710689808336</v>
      </c>
    </row>
    <row r="18" spans="1:47" s="68" customFormat="1" x14ac:dyDescent="0.35">
      <c r="A18" s="68">
        <v>9</v>
      </c>
      <c r="B18" s="10"/>
      <c r="C18" s="68">
        <v>5</v>
      </c>
      <c r="D18" s="68">
        <v>106</v>
      </c>
      <c r="E18" s="31">
        <f t="shared" si="8"/>
        <v>530</v>
      </c>
      <c r="F18" s="69">
        <f t="shared" si="3"/>
        <v>1</v>
      </c>
      <c r="G18" s="25">
        <f t="shared" si="9"/>
        <v>5</v>
      </c>
      <c r="H18" s="31">
        <v>7.98</v>
      </c>
      <c r="I18" s="31">
        <v>2050</v>
      </c>
      <c r="J18" s="31">
        <v>294</v>
      </c>
      <c r="K18" s="27">
        <v>674</v>
      </c>
      <c r="L18" s="27">
        <v>55</v>
      </c>
      <c r="M18" s="125">
        <v>1</v>
      </c>
      <c r="N18" s="31">
        <v>882</v>
      </c>
      <c r="O18" s="31">
        <v>23</v>
      </c>
      <c r="P18" s="21">
        <v>179.5</v>
      </c>
      <c r="Q18" s="21">
        <v>41.79</v>
      </c>
      <c r="R18" s="21">
        <v>297.2</v>
      </c>
      <c r="S18" s="21">
        <v>20.23</v>
      </c>
      <c r="T18" s="21">
        <v>17.21</v>
      </c>
      <c r="U18" s="169">
        <v>0.2</v>
      </c>
      <c r="V18" s="11">
        <v>0.502</v>
      </c>
      <c r="W18" s="81">
        <v>0.02</v>
      </c>
      <c r="X18" s="11">
        <v>0.501</v>
      </c>
      <c r="Y18" s="81">
        <v>0.04</v>
      </c>
      <c r="Z18" s="18">
        <v>1.64</v>
      </c>
      <c r="AA18" s="31"/>
      <c r="AB18" s="69">
        <f t="shared" si="0"/>
        <v>25.811132789606479</v>
      </c>
      <c r="AC18" s="69">
        <f t="shared" si="1"/>
        <v>25.76127663422578</v>
      </c>
      <c r="AD18" s="69">
        <f t="shared" si="2"/>
        <v>9.6672146866303862E-2</v>
      </c>
      <c r="AF18" s="97">
        <v>7.98</v>
      </c>
      <c r="AG18" s="97">
        <v>2.45716</v>
      </c>
      <c r="AH18" s="97">
        <v>0.89700000000000002</v>
      </c>
      <c r="AI18" s="97">
        <v>-0.63829999999999998</v>
      </c>
      <c r="AJ18" s="97">
        <v>-0.88780000000000003</v>
      </c>
      <c r="AK18" s="97">
        <v>-2.5831</v>
      </c>
      <c r="AL18" s="97">
        <v>0.99260000000000004</v>
      </c>
      <c r="AM18" s="97">
        <v>0.27929999999999999</v>
      </c>
      <c r="AN18" s="97">
        <v>-0.43630000000000002</v>
      </c>
      <c r="AO18" s="97">
        <v>-0.50439999999999996</v>
      </c>
      <c r="AQ18" s="50">
        <f t="shared" si="4"/>
        <v>0.67400000000000004</v>
      </c>
      <c r="AR18" s="50">
        <f t="shared" si="5"/>
        <v>0.64321410491402631</v>
      </c>
      <c r="AS18" s="50">
        <f t="shared" si="6"/>
        <v>1.3544444444444561E-3</v>
      </c>
      <c r="AT18" s="50">
        <f t="shared" si="10"/>
        <v>0.4094057777777777</v>
      </c>
      <c r="AU18" s="50">
        <f t="shared" si="7"/>
        <v>0.95432359779529119</v>
      </c>
    </row>
    <row r="19" spans="1:47" s="68" customFormat="1" x14ac:dyDescent="0.35">
      <c r="A19" s="68">
        <v>9</v>
      </c>
      <c r="B19" s="10"/>
      <c r="C19" s="68">
        <v>6</v>
      </c>
      <c r="D19" s="31">
        <v>106</v>
      </c>
      <c r="E19" s="31">
        <f t="shared" si="8"/>
        <v>636</v>
      </c>
      <c r="F19" s="69">
        <f t="shared" si="3"/>
        <v>1</v>
      </c>
      <c r="G19" s="25">
        <f t="shared" si="9"/>
        <v>6</v>
      </c>
      <c r="H19" s="25">
        <v>7.9</v>
      </c>
      <c r="I19" s="31">
        <v>2050</v>
      </c>
      <c r="J19" s="31">
        <v>294</v>
      </c>
      <c r="K19" s="27">
        <v>681</v>
      </c>
      <c r="L19" s="27">
        <v>55</v>
      </c>
      <c r="M19" s="125">
        <v>1</v>
      </c>
      <c r="N19" s="31">
        <v>862</v>
      </c>
      <c r="O19" s="31">
        <v>23</v>
      </c>
      <c r="P19" s="21">
        <v>171</v>
      </c>
      <c r="Q19" s="21">
        <v>42.64</v>
      </c>
      <c r="R19" s="21">
        <v>296.3</v>
      </c>
      <c r="S19" s="21">
        <v>19.77</v>
      </c>
      <c r="T19" s="21">
        <v>17.489999999999998</v>
      </c>
      <c r="U19" s="169">
        <v>0.2</v>
      </c>
      <c r="V19" s="11">
        <v>0.499</v>
      </c>
      <c r="W19" s="81">
        <v>0.02</v>
      </c>
      <c r="X19" s="11">
        <v>0.49199999999999999</v>
      </c>
      <c r="Y19" s="81">
        <v>0.04</v>
      </c>
      <c r="Z19" s="18">
        <v>1.653</v>
      </c>
      <c r="AA19" s="31"/>
      <c r="AB19" s="69">
        <f t="shared" si="0"/>
        <v>25.394726376947723</v>
      </c>
      <c r="AC19" s="69">
        <f t="shared" si="1"/>
        <v>25.375039923312762</v>
      </c>
      <c r="AD19" s="69">
        <f t="shared" si="2"/>
        <v>3.8775939047132842E-2</v>
      </c>
      <c r="AF19" s="97">
        <v>7.9</v>
      </c>
      <c r="AG19" s="97">
        <v>2.5574499999999998</v>
      </c>
      <c r="AH19" s="97">
        <v>0.80320000000000003</v>
      </c>
      <c r="AI19" s="97">
        <v>-0.66249999999999998</v>
      </c>
      <c r="AJ19" s="97">
        <v>-0.91200000000000003</v>
      </c>
      <c r="AK19" s="97">
        <v>-2.4994999999999998</v>
      </c>
      <c r="AL19" s="97">
        <v>0.83450000000000002</v>
      </c>
      <c r="AM19" s="97">
        <v>0.19769999999999999</v>
      </c>
      <c r="AN19" s="97">
        <v>-0.45379999999999998</v>
      </c>
      <c r="AO19" s="97">
        <v>-0.56869999999999998</v>
      </c>
      <c r="AQ19" s="50">
        <f t="shared" si="4"/>
        <v>0.68100000000000005</v>
      </c>
      <c r="AR19" s="50">
        <f t="shared" si="5"/>
        <v>0.63992039800995015</v>
      </c>
      <c r="AS19" s="50">
        <f t="shared" si="6"/>
        <v>2.0964444444444568E-3</v>
      </c>
      <c r="AT19" s="50">
        <f t="shared" si="10"/>
        <v>0.40730933333333325</v>
      </c>
      <c r="AU19" s="50">
        <f t="shared" si="7"/>
        <v>0.93967753011740107</v>
      </c>
    </row>
    <row r="20" spans="1:47" s="68" customFormat="1" x14ac:dyDescent="0.35">
      <c r="A20" s="68">
        <v>9</v>
      </c>
      <c r="B20" s="10">
        <v>43524</v>
      </c>
      <c r="C20" s="68">
        <v>7</v>
      </c>
      <c r="D20" s="68">
        <v>106</v>
      </c>
      <c r="E20" s="31">
        <f>E19+D20</f>
        <v>742</v>
      </c>
      <c r="F20" s="69">
        <f t="shared" si="3"/>
        <v>1</v>
      </c>
      <c r="G20" s="25">
        <f t="shared" si="9"/>
        <v>7</v>
      </c>
      <c r="H20" s="31">
        <v>7.86</v>
      </c>
      <c r="I20" s="31">
        <v>1984</v>
      </c>
      <c r="J20" s="31">
        <v>294</v>
      </c>
      <c r="K20" s="27">
        <v>664</v>
      </c>
      <c r="L20" s="31">
        <v>51</v>
      </c>
      <c r="M20" s="125">
        <v>1</v>
      </c>
      <c r="N20" s="31">
        <v>833</v>
      </c>
      <c r="O20" s="31">
        <v>24</v>
      </c>
      <c r="P20" s="21">
        <v>161.19999999999999</v>
      </c>
      <c r="Q20" s="21">
        <v>39.97</v>
      </c>
      <c r="R20" s="21">
        <v>291.5</v>
      </c>
      <c r="S20" s="21">
        <v>19.100000000000001</v>
      </c>
      <c r="T20" s="21">
        <v>16.829999999999998</v>
      </c>
      <c r="U20" s="169">
        <v>0.2</v>
      </c>
      <c r="V20" s="163">
        <v>0.48199999999999998</v>
      </c>
      <c r="W20" s="81">
        <v>0.02</v>
      </c>
      <c r="X20" s="163">
        <v>0.46700000000000003</v>
      </c>
      <c r="Y20" s="81">
        <v>0.04</v>
      </c>
      <c r="Z20" s="170">
        <v>1.59</v>
      </c>
      <c r="AA20" s="31"/>
      <c r="AB20" s="69">
        <f t="shared" si="0"/>
        <v>24.678102099749086</v>
      </c>
      <c r="AC20" s="69">
        <f t="shared" si="1"/>
        <v>24.440779374525341</v>
      </c>
      <c r="AD20" s="69">
        <f t="shared" si="2"/>
        <v>0.48315987274270589</v>
      </c>
      <c r="AF20" s="97">
        <v>7.86</v>
      </c>
      <c r="AG20" s="97">
        <v>2.09327</v>
      </c>
      <c r="AH20" s="97">
        <v>0.74550000000000005</v>
      </c>
      <c r="AI20" s="97">
        <v>-0.69130000000000003</v>
      </c>
      <c r="AJ20" s="97">
        <v>-0.94079999999999997</v>
      </c>
      <c r="AK20" s="97">
        <v>-2.4563999999999999</v>
      </c>
      <c r="AL20" s="97">
        <v>0.71640000000000004</v>
      </c>
      <c r="AM20" s="97">
        <v>0.1459</v>
      </c>
      <c r="AN20" s="97">
        <v>-0.48699999999999999</v>
      </c>
      <c r="AO20" s="97">
        <v>-0.62909999999999999</v>
      </c>
      <c r="AQ20" s="50">
        <f t="shared" si="4"/>
        <v>0.66400000000000003</v>
      </c>
      <c r="AR20" s="50">
        <f t="shared" si="5"/>
        <v>0.63945779872566988</v>
      </c>
      <c r="AS20" s="50">
        <f t="shared" si="6"/>
        <v>2.9444444444445519E-4</v>
      </c>
      <c r="AT20" s="50">
        <f t="shared" si="10"/>
        <v>0.40701488888888882</v>
      </c>
      <c r="AU20" s="50">
        <f t="shared" si="7"/>
        <v>0.96303885350251484</v>
      </c>
    </row>
    <row r="21" spans="1:47" s="68" customFormat="1" x14ac:dyDescent="0.35">
      <c r="B21" s="10"/>
      <c r="E21" s="31"/>
      <c r="F21" s="69"/>
      <c r="G21" s="25"/>
      <c r="K21" s="27"/>
      <c r="L21" s="27"/>
      <c r="N21" s="31"/>
      <c r="R21" s="13"/>
      <c r="S21" s="13"/>
      <c r="T21" s="13"/>
      <c r="U21" s="11"/>
      <c r="V21" s="15"/>
      <c r="W21" s="70"/>
      <c r="X21" s="16"/>
      <c r="AB21" s="69"/>
      <c r="AC21" s="69"/>
      <c r="AD21" s="69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Q21" s="50"/>
      <c r="AR21" s="50"/>
      <c r="AS21" s="50"/>
      <c r="AT21" s="50"/>
      <c r="AU21" s="50"/>
    </row>
    <row r="22" spans="1:47" s="68" customFormat="1" x14ac:dyDescent="0.35">
      <c r="A22" s="68" t="s">
        <v>55</v>
      </c>
      <c r="F22" s="69"/>
      <c r="G22" s="69"/>
      <c r="H22" s="69" t="s">
        <v>266</v>
      </c>
      <c r="I22" s="165">
        <f>'Influent Results Master'!D37</f>
        <v>792.8888888888888</v>
      </c>
      <c r="J22" s="165">
        <f>'Influent Results Master'!F37</f>
        <v>161.7777777777778</v>
      </c>
      <c r="K22" s="170">
        <f>'Influent Results Master'!G37</f>
        <v>7.1555555555555559</v>
      </c>
      <c r="L22" s="165">
        <f>'Influent Results Master'!H37</f>
        <v>11.777777777777779</v>
      </c>
      <c r="M22" s="170">
        <f>'Influent Results Master'!I37</f>
        <v>4.7</v>
      </c>
      <c r="N22" s="165">
        <f>'Influent Results Master'!J37</f>
        <v>323.22222222222223</v>
      </c>
      <c r="O22" s="165">
        <f>'Influent Results Master'!K37</f>
        <v>17.333333333333332</v>
      </c>
      <c r="P22" s="165">
        <f>'Influent Results Master'!L37</f>
        <v>110.73333333333333</v>
      </c>
      <c r="Q22" s="165">
        <f>'Influent Results Master'!M37</f>
        <v>36.826666666666675</v>
      </c>
      <c r="R22" s="165">
        <f>'Influent Results Master'!N37</f>
        <v>60.793333333333329</v>
      </c>
      <c r="S22" s="165">
        <f>'Influent Results Master'!O37</f>
        <v>12.273333333333333</v>
      </c>
      <c r="T22" s="170">
        <f>'Influent Results Master'!P37</f>
        <v>3.2865555555555557</v>
      </c>
      <c r="U22" s="167">
        <f>'Influent Results Master'!Q37</f>
        <v>0.20000000000000004</v>
      </c>
      <c r="V22" s="177">
        <f>'Influent Results Master'!R37</f>
        <v>0.02</v>
      </c>
      <c r="W22" s="177">
        <f>'Influent Results Master'!S37</f>
        <v>0.02</v>
      </c>
      <c r="X22" s="176">
        <f>'Influent Results Master'!T37</f>
        <v>4.3000000000000003E-2</v>
      </c>
      <c r="Y22" s="177">
        <f>'Influent Results Master'!U37</f>
        <v>0.04</v>
      </c>
      <c r="Z22" s="170">
        <f>'Influent Results Master'!V37</f>
        <v>1.2584444444444445</v>
      </c>
      <c r="AB22" s="69">
        <f>((J22/50)+(L22/35.45)+(M22/62)+(N22/48.03))</f>
        <v>10.373188636120361</v>
      </c>
      <c r="AC22" s="69">
        <f t="shared" si="1"/>
        <v>11.282517455045328</v>
      </c>
      <c r="AD22" s="69">
        <f t="shared" si="2"/>
        <v>4.1990264140864122</v>
      </c>
      <c r="AF22" s="97">
        <v>8</v>
      </c>
      <c r="AG22" s="97">
        <v>7.4643600000000001</v>
      </c>
      <c r="AH22" s="97">
        <v>0.60719999999999996</v>
      </c>
      <c r="AI22" s="97">
        <v>-1.0588</v>
      </c>
      <c r="AJ22" s="97">
        <v>-1.3086</v>
      </c>
      <c r="AK22" s="97">
        <v>-2.8530000000000002</v>
      </c>
      <c r="AL22" s="97">
        <v>0.55689999999999995</v>
      </c>
      <c r="AM22" s="97">
        <v>-0.85270000000000001</v>
      </c>
      <c r="AN22" s="97">
        <v>-1.8179000000000001</v>
      </c>
      <c r="AO22" s="97">
        <v>-0.65039999999999998</v>
      </c>
      <c r="AQ22" s="50">
        <f>K22/1000</f>
        <v>7.1555555555555556E-3</v>
      </c>
      <c r="AR22" s="50"/>
      <c r="AS22" s="50"/>
      <c r="AT22" s="50"/>
      <c r="AU22" s="50"/>
    </row>
    <row r="23" spans="1:47" s="68" customFormat="1" x14ac:dyDescent="0.35">
      <c r="F23" s="69"/>
      <c r="G23" s="69"/>
      <c r="M23" s="65"/>
      <c r="N23" s="27"/>
      <c r="O23" s="65"/>
      <c r="P23" s="65"/>
      <c r="Q23" s="65"/>
      <c r="R23" s="67"/>
      <c r="S23" s="67"/>
      <c r="T23" s="67"/>
      <c r="U23" s="67"/>
      <c r="V23" s="65"/>
      <c r="W23" s="66"/>
      <c r="X23" s="67"/>
      <c r="Y23" s="65"/>
      <c r="AB23" s="69"/>
      <c r="AC23" s="69"/>
      <c r="AD23" s="69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Q23" s="50"/>
      <c r="AR23" s="50"/>
      <c r="AS23" s="50"/>
      <c r="AT23" s="50"/>
      <c r="AU23" s="50"/>
    </row>
    <row r="24" spans="1:47" s="68" customFormat="1" x14ac:dyDescent="0.35">
      <c r="A24" s="68">
        <v>9</v>
      </c>
      <c r="B24" s="10">
        <v>43524</v>
      </c>
      <c r="C24" s="68">
        <v>8</v>
      </c>
      <c r="D24" s="68">
        <v>106</v>
      </c>
      <c r="E24" s="68">
        <f>D24+E20</f>
        <v>848</v>
      </c>
      <c r="F24" s="69">
        <f t="shared" si="3"/>
        <v>1</v>
      </c>
      <c r="G24" s="69">
        <f>G20+F24</f>
        <v>8</v>
      </c>
      <c r="H24" s="31">
        <v>7.8</v>
      </c>
      <c r="I24" s="31">
        <v>1436</v>
      </c>
      <c r="J24" s="31">
        <v>235</v>
      </c>
      <c r="K24" s="31">
        <v>420</v>
      </c>
      <c r="L24" s="27">
        <v>27</v>
      </c>
      <c r="M24" s="27">
        <v>1.8</v>
      </c>
      <c r="N24" s="31">
        <v>507</v>
      </c>
      <c r="O24" s="31">
        <v>18</v>
      </c>
      <c r="P24" s="21">
        <v>94.12</v>
      </c>
      <c r="Q24" s="21">
        <v>24.1</v>
      </c>
      <c r="R24" s="21">
        <v>212.5</v>
      </c>
      <c r="S24" s="21">
        <v>18.809999999999999</v>
      </c>
      <c r="T24" s="21">
        <v>13.26</v>
      </c>
      <c r="U24" s="169">
        <v>0.2</v>
      </c>
      <c r="V24" s="163">
        <v>0.30499999999999999</v>
      </c>
      <c r="W24" s="81">
        <v>0.02</v>
      </c>
      <c r="X24" s="163">
        <v>0.27400000000000002</v>
      </c>
      <c r="Y24" s="81">
        <v>0.04</v>
      </c>
      <c r="Z24" s="163">
        <v>0.98499999999999999</v>
      </c>
      <c r="AA24" s="31"/>
      <c r="AB24" s="69">
        <f t="shared" ref="AB24:AB38" si="11">((J24/50)+(L24/35.45)+(M24/62)+(N24/48.03))</f>
        <v>16.046570926157184</v>
      </c>
      <c r="AC24" s="69">
        <f t="shared" si="1"/>
        <v>16.260794311248905</v>
      </c>
      <c r="AD24" s="69">
        <f t="shared" si="2"/>
        <v>0.66307909517699959</v>
      </c>
      <c r="AF24" s="97">
        <v>7.8</v>
      </c>
      <c r="AG24" s="97">
        <v>3.68451</v>
      </c>
      <c r="AH24" s="97">
        <v>0.44590000000000002</v>
      </c>
      <c r="AI24" s="97">
        <v>-1.0039</v>
      </c>
      <c r="AJ24" s="97">
        <v>-1.2536</v>
      </c>
      <c r="AK24" s="97">
        <v>-2.4754</v>
      </c>
      <c r="AL24" s="97">
        <v>0.12620000000000001</v>
      </c>
      <c r="AM24" s="97">
        <v>-0.1411</v>
      </c>
      <c r="AN24" s="97">
        <v>-0.80389999999999995</v>
      </c>
      <c r="AO24" s="97">
        <v>-0.91969999999999996</v>
      </c>
      <c r="AQ24" s="50">
        <f t="shared" ref="AQ24:AQ38" si="12">K24/1000</f>
        <v>0.42</v>
      </c>
      <c r="AR24" s="50">
        <f>AT24/$AS$6</f>
        <v>0.57070444269878673</v>
      </c>
      <c r="AS24" s="50">
        <f>(AQ24-$AQ$22)*0.106</f>
        <v>4.3761511111111102E-2</v>
      </c>
      <c r="AT24" s="50">
        <f>AT20-AS24</f>
        <v>0.36325337777777772</v>
      </c>
      <c r="AU24" s="50">
        <f t="shared" ref="AU24:AU38" si="13">AR24/AQ24</f>
        <v>1.358820101663778</v>
      </c>
    </row>
    <row r="25" spans="1:47" s="68" customFormat="1" x14ac:dyDescent="0.35">
      <c r="A25" s="68">
        <v>9</v>
      </c>
      <c r="B25" s="10"/>
      <c r="C25" s="68">
        <v>9</v>
      </c>
      <c r="D25" s="68">
        <v>106</v>
      </c>
      <c r="E25" s="31">
        <f>D25+E24</f>
        <v>954</v>
      </c>
      <c r="F25" s="69">
        <f t="shared" si="3"/>
        <v>1</v>
      </c>
      <c r="G25" s="25">
        <f>G24+F25</f>
        <v>9</v>
      </c>
      <c r="H25" s="31">
        <v>8.16</v>
      </c>
      <c r="I25" s="31">
        <v>1107</v>
      </c>
      <c r="J25" s="31">
        <v>189</v>
      </c>
      <c r="K25" s="27">
        <v>261</v>
      </c>
      <c r="L25" s="27">
        <v>14</v>
      </c>
      <c r="M25" s="27">
        <v>2.2000000000000002</v>
      </c>
      <c r="N25" s="31">
        <v>349</v>
      </c>
      <c r="O25" s="31">
        <v>17</v>
      </c>
      <c r="P25" s="21">
        <v>68.11</v>
      </c>
      <c r="Q25" s="21">
        <v>17.3</v>
      </c>
      <c r="R25" s="21">
        <v>155.4</v>
      </c>
      <c r="S25" s="21">
        <v>18.61</v>
      </c>
      <c r="T25" s="21">
        <v>11.08</v>
      </c>
      <c r="U25" s="169">
        <v>0.2</v>
      </c>
      <c r="V25" s="33">
        <v>7.1999999999999995E-2</v>
      </c>
      <c r="W25" s="81">
        <v>0.02</v>
      </c>
      <c r="X25" s="11">
        <v>0.19700000000000001</v>
      </c>
      <c r="Y25" s="81">
        <v>0.04</v>
      </c>
      <c r="Z25" s="11">
        <v>0.72</v>
      </c>
      <c r="AA25" s="31"/>
      <c r="AB25" s="69">
        <f t="shared" si="11"/>
        <v>11.476698197815061</v>
      </c>
      <c r="AC25" s="69">
        <f t="shared" si="1"/>
        <v>11.864236557369438</v>
      </c>
      <c r="AD25" s="69">
        <f t="shared" si="2"/>
        <v>1.6603377868930311</v>
      </c>
      <c r="AF25" s="97">
        <v>8.16</v>
      </c>
      <c r="AG25" s="97">
        <v>4.3494299999999999</v>
      </c>
      <c r="AH25" s="97">
        <v>0.62039999999999995</v>
      </c>
      <c r="AI25" s="97">
        <v>-1.2174</v>
      </c>
      <c r="AJ25" s="97">
        <v>-1.4672000000000001</v>
      </c>
      <c r="AK25" s="97">
        <v>-2.9293</v>
      </c>
      <c r="AL25" s="97">
        <v>0.46889999999999998</v>
      </c>
      <c r="AM25" s="97">
        <v>4.4900000000000002E-2</v>
      </c>
      <c r="AN25" s="97">
        <v>-1.4931000000000001</v>
      </c>
      <c r="AO25" s="97">
        <v>-0.75149999999999995</v>
      </c>
      <c r="AQ25" s="50">
        <f t="shared" si="12"/>
        <v>0.26100000000000001</v>
      </c>
      <c r="AR25" s="50">
        <f t="shared" ref="AR25:AR38" si="14">AT25/$AS$6</f>
        <v>0.528430269704111</v>
      </c>
      <c r="AS25" s="50">
        <f t="shared" ref="AS25:AS38" si="15">(AQ25-$AQ$22)*0.106</f>
        <v>2.6907511111111108E-2</v>
      </c>
      <c r="AT25" s="50">
        <f>AT24-AS25</f>
        <v>0.3363458666666666</v>
      </c>
      <c r="AU25" s="50">
        <f t="shared" si="13"/>
        <v>2.0246370486747547</v>
      </c>
    </row>
    <row r="26" spans="1:47" s="68" customFormat="1" x14ac:dyDescent="0.35">
      <c r="A26" s="68">
        <v>9</v>
      </c>
      <c r="B26" s="10"/>
      <c r="C26" s="68">
        <v>10</v>
      </c>
      <c r="D26" s="68">
        <v>106</v>
      </c>
      <c r="E26" s="31">
        <f t="shared" ref="E26:E38" si="16">D26+E25</f>
        <v>1060</v>
      </c>
      <c r="F26" s="69">
        <f t="shared" si="3"/>
        <v>1</v>
      </c>
      <c r="G26" s="25">
        <f t="shared" ref="G26:G38" si="17">G25+F26</f>
        <v>10</v>
      </c>
      <c r="H26" s="31">
        <v>8.11</v>
      </c>
      <c r="I26" s="31">
        <v>1028</v>
      </c>
      <c r="J26" s="31">
        <v>181</v>
      </c>
      <c r="K26" s="27">
        <v>241</v>
      </c>
      <c r="L26" s="27">
        <v>13</v>
      </c>
      <c r="M26" s="27">
        <v>3.4</v>
      </c>
      <c r="N26" s="31">
        <v>365</v>
      </c>
      <c r="O26" s="31">
        <v>15</v>
      </c>
      <c r="P26" s="21">
        <v>83.55</v>
      </c>
      <c r="Q26" s="21">
        <v>21.07</v>
      </c>
      <c r="R26" s="21">
        <v>115.8</v>
      </c>
      <c r="S26" s="21">
        <v>18.55</v>
      </c>
      <c r="T26" s="21">
        <v>11.12</v>
      </c>
      <c r="U26" s="169">
        <v>0.2</v>
      </c>
      <c r="V26" s="81">
        <v>0.02</v>
      </c>
      <c r="W26" s="81">
        <v>0.02</v>
      </c>
      <c r="X26" s="11">
        <v>0.24299999999999999</v>
      </c>
      <c r="Y26" s="81">
        <v>0.04</v>
      </c>
      <c r="Z26" s="11">
        <v>0.91600000000000004</v>
      </c>
      <c r="AA26" s="31"/>
      <c r="AB26" s="69">
        <f t="shared" si="11"/>
        <v>11.640969421940882</v>
      </c>
      <c r="AC26" s="69">
        <f t="shared" si="1"/>
        <v>11.223263513567908</v>
      </c>
      <c r="AD26" s="69">
        <f t="shared" si="2"/>
        <v>1.8268966623597764</v>
      </c>
      <c r="AF26" s="97">
        <v>8.11</v>
      </c>
      <c r="AG26" s="97">
        <v>0.45776</v>
      </c>
      <c r="AH26" s="97">
        <v>0.63870000000000005</v>
      </c>
      <c r="AI26" s="97">
        <v>-1.1202000000000001</v>
      </c>
      <c r="AJ26" s="97">
        <v>-1.3698999999999999</v>
      </c>
      <c r="AK26" s="97">
        <v>-2.8990999999999998</v>
      </c>
      <c r="AL26" s="97">
        <v>0.50209999999999999</v>
      </c>
      <c r="AM26" s="97">
        <v>5.3400000000000003E-2</v>
      </c>
      <c r="AN26" s="97">
        <v>-1.9615</v>
      </c>
      <c r="AO26" s="97">
        <v>-0.73660000000000003</v>
      </c>
      <c r="AQ26" s="50">
        <f t="shared" si="12"/>
        <v>0.24099999999999999</v>
      </c>
      <c r="AR26" s="50">
        <f t="shared" si="14"/>
        <v>0.48948681155625379</v>
      </c>
      <c r="AS26" s="50">
        <f t="shared" si="15"/>
        <v>2.4787511111111108E-2</v>
      </c>
      <c r="AT26" s="50">
        <f t="shared" ref="AT26:AT38" si="18">AT25-AS26</f>
        <v>0.3115583555555555</v>
      </c>
      <c r="AU26" s="50">
        <f t="shared" si="13"/>
        <v>2.0310656081172356</v>
      </c>
    </row>
    <row r="27" spans="1:47" s="68" customFormat="1" x14ac:dyDescent="0.35">
      <c r="A27" s="68">
        <v>9</v>
      </c>
      <c r="B27" s="10"/>
      <c r="C27" s="68">
        <v>11</v>
      </c>
      <c r="D27" s="68">
        <v>106</v>
      </c>
      <c r="E27" s="31">
        <f t="shared" si="16"/>
        <v>1166</v>
      </c>
      <c r="F27" s="69">
        <f t="shared" si="3"/>
        <v>1</v>
      </c>
      <c r="G27" s="25">
        <f t="shared" si="17"/>
        <v>11</v>
      </c>
      <c r="H27" s="31">
        <v>8.06</v>
      </c>
      <c r="I27" s="31">
        <v>979</v>
      </c>
      <c r="J27" s="31">
        <v>178</v>
      </c>
      <c r="K27" s="27">
        <v>215</v>
      </c>
      <c r="L27" s="27">
        <v>13</v>
      </c>
      <c r="M27" s="27">
        <v>3.8</v>
      </c>
      <c r="N27" s="31">
        <v>361</v>
      </c>
      <c r="O27" s="31">
        <v>15</v>
      </c>
      <c r="P27" s="21">
        <v>106.6</v>
      </c>
      <c r="Q27" s="21">
        <v>27.56</v>
      </c>
      <c r="R27" s="21">
        <v>78.45</v>
      </c>
      <c r="S27" s="21">
        <v>19.28</v>
      </c>
      <c r="T27" s="21">
        <v>11.77</v>
      </c>
      <c r="U27" s="169">
        <v>0.2</v>
      </c>
      <c r="V27" s="81">
        <v>0.02</v>
      </c>
      <c r="W27" s="81">
        <v>0.02</v>
      </c>
      <c r="X27" s="11">
        <v>0.309</v>
      </c>
      <c r="Y27" s="81">
        <v>0.04</v>
      </c>
      <c r="Z27" s="18">
        <v>1.1819999999999999</v>
      </c>
      <c r="AA27" s="31"/>
      <c r="AB27" s="69">
        <f t="shared" si="11"/>
        <v>11.504139752312357</v>
      </c>
      <c r="AC27" s="69">
        <f t="shared" si="1"/>
        <v>11.29918486081117</v>
      </c>
      <c r="AD27" s="69">
        <f t="shared" si="2"/>
        <v>0.89879390386449631</v>
      </c>
      <c r="AF27" s="97">
        <v>8.06</v>
      </c>
      <c r="AG27" s="97">
        <v>1.6049899999999999</v>
      </c>
      <c r="AH27" s="97">
        <v>0.68869999999999998</v>
      </c>
      <c r="AI27" s="97">
        <v>-1.0331999999999999</v>
      </c>
      <c r="AJ27" s="97">
        <v>-1.2829999999999999</v>
      </c>
      <c r="AK27" s="97">
        <v>-2.8593000000000002</v>
      </c>
      <c r="AL27" s="97">
        <v>0.61180000000000001</v>
      </c>
      <c r="AM27" s="97">
        <v>0.1065</v>
      </c>
      <c r="AN27" s="97">
        <v>-1.8527</v>
      </c>
      <c r="AO27" s="97">
        <v>-0.67689999999999995</v>
      </c>
      <c r="AQ27" s="50">
        <f t="shared" si="12"/>
        <v>0.215</v>
      </c>
      <c r="AR27" s="50">
        <f t="shared" si="14"/>
        <v>0.45487328270926064</v>
      </c>
      <c r="AS27" s="50">
        <f t="shared" si="15"/>
        <v>2.203151111111111E-2</v>
      </c>
      <c r="AT27" s="50">
        <f t="shared" si="18"/>
        <v>0.28952684444444438</v>
      </c>
      <c r="AU27" s="50">
        <f t="shared" si="13"/>
        <v>2.1156896870198167</v>
      </c>
    </row>
    <row r="28" spans="1:47" s="68" customFormat="1" x14ac:dyDescent="0.35">
      <c r="A28" s="68">
        <v>9</v>
      </c>
      <c r="B28" s="28"/>
      <c r="C28" s="68">
        <v>12</v>
      </c>
      <c r="D28" s="68">
        <v>106</v>
      </c>
      <c r="E28" s="31">
        <f t="shared" si="16"/>
        <v>1272</v>
      </c>
      <c r="F28" s="69">
        <f t="shared" si="3"/>
        <v>1</v>
      </c>
      <c r="G28" s="25">
        <f t="shared" si="17"/>
        <v>12</v>
      </c>
      <c r="H28" s="31">
        <v>8.0399999999999991</v>
      </c>
      <c r="I28" s="31">
        <v>963</v>
      </c>
      <c r="J28" s="31">
        <v>177</v>
      </c>
      <c r="K28" s="27">
        <v>176</v>
      </c>
      <c r="L28" s="27">
        <v>13</v>
      </c>
      <c r="M28" s="18">
        <v>5</v>
      </c>
      <c r="N28" s="31">
        <v>360</v>
      </c>
      <c r="O28" s="31">
        <v>15</v>
      </c>
      <c r="P28" s="21">
        <v>115.8</v>
      </c>
      <c r="Q28" s="21">
        <v>29.45</v>
      </c>
      <c r="R28" s="21">
        <v>63.23</v>
      </c>
      <c r="S28" s="21">
        <v>18.77</v>
      </c>
      <c r="T28" s="21">
        <v>11.27</v>
      </c>
      <c r="U28" s="169">
        <v>0.2</v>
      </c>
      <c r="V28" s="81">
        <v>0.02</v>
      </c>
      <c r="W28" s="81">
        <v>0.02</v>
      </c>
      <c r="X28" s="11">
        <v>0.33200000000000002</v>
      </c>
      <c r="Y28" s="81">
        <v>0.04</v>
      </c>
      <c r="Z28" s="18">
        <v>1.2729999999999999</v>
      </c>
      <c r="AA28" s="31"/>
      <c r="AB28" s="69">
        <f t="shared" si="11"/>
        <v>11.482674270389097</v>
      </c>
      <c r="AC28" s="69">
        <f t="shared" si="1"/>
        <v>11.23887963668523</v>
      </c>
      <c r="AD28" s="69">
        <f t="shared" si="2"/>
        <v>1.0729663767756759</v>
      </c>
      <c r="AF28" s="97">
        <v>8.0399999999999991</v>
      </c>
      <c r="AG28" s="97">
        <v>-4.4361800000000002</v>
      </c>
      <c r="AH28" s="97">
        <v>0.69910000000000005</v>
      </c>
      <c r="AI28" s="97">
        <v>-1.0087999999999999</v>
      </c>
      <c r="AJ28" s="97">
        <v>-1.2585</v>
      </c>
      <c r="AK28" s="97">
        <v>-2.8433000000000002</v>
      </c>
      <c r="AL28" s="97">
        <v>0.62549999999999994</v>
      </c>
      <c r="AM28" s="97">
        <v>0.109</v>
      </c>
      <c r="AN28" s="97">
        <v>-1.8222</v>
      </c>
      <c r="AO28" s="97">
        <v>-0.67349999999999999</v>
      </c>
      <c r="AQ28" s="50">
        <f t="shared" si="12"/>
        <v>0.17599999999999999</v>
      </c>
      <c r="AR28" s="50">
        <f t="shared" si="14"/>
        <v>0.4267546478135637</v>
      </c>
      <c r="AS28" s="50">
        <f t="shared" si="15"/>
        <v>1.7897511111111111E-2</v>
      </c>
      <c r="AT28" s="50">
        <f t="shared" si="18"/>
        <v>0.27162933333333328</v>
      </c>
      <c r="AU28" s="50">
        <f t="shared" si="13"/>
        <v>2.4247423171225213</v>
      </c>
    </row>
    <row r="29" spans="1:47" s="68" customFormat="1" x14ac:dyDescent="0.35">
      <c r="A29" s="68">
        <v>9</v>
      </c>
      <c r="B29" s="28"/>
      <c r="C29" s="68">
        <v>13</v>
      </c>
      <c r="D29" s="68">
        <v>106</v>
      </c>
      <c r="E29" s="31">
        <f t="shared" si="16"/>
        <v>1378</v>
      </c>
      <c r="F29" s="69">
        <f t="shared" si="3"/>
        <v>1</v>
      </c>
      <c r="G29" s="25">
        <f t="shared" si="17"/>
        <v>13</v>
      </c>
      <c r="H29" s="31">
        <v>8.0500000000000007</v>
      </c>
      <c r="I29" s="31">
        <v>957</v>
      </c>
      <c r="J29" s="31">
        <v>176</v>
      </c>
      <c r="K29" s="27">
        <v>140</v>
      </c>
      <c r="L29" s="27">
        <v>12</v>
      </c>
      <c r="M29" s="27">
        <v>4.5</v>
      </c>
      <c r="N29" s="31">
        <v>358</v>
      </c>
      <c r="O29" s="31">
        <v>15</v>
      </c>
      <c r="P29" s="21">
        <v>116.8</v>
      </c>
      <c r="Q29" s="21">
        <v>29.27</v>
      </c>
      <c r="R29" s="21">
        <v>61.01</v>
      </c>
      <c r="S29" s="21">
        <v>18.25</v>
      </c>
      <c r="T29" s="21">
        <v>10.88</v>
      </c>
      <c r="U29" s="169">
        <v>0.2</v>
      </c>
      <c r="V29" s="81">
        <v>0.02</v>
      </c>
      <c r="W29" s="81">
        <v>0.02</v>
      </c>
      <c r="X29" s="11">
        <v>0.33600000000000002</v>
      </c>
      <c r="Y29" s="81">
        <v>0.04</v>
      </c>
      <c r="Z29" s="18">
        <v>1.3169999999999999</v>
      </c>
      <c r="AA29" s="31"/>
      <c r="AB29" s="69">
        <f t="shared" si="11"/>
        <v>11.384760368283327</v>
      </c>
      <c r="AC29" s="69">
        <f t="shared" si="1"/>
        <v>11.16743905679667</v>
      </c>
      <c r="AD29" s="69">
        <f t="shared" si="2"/>
        <v>0.96363688255158342</v>
      </c>
      <c r="AF29" s="97">
        <v>8.0500000000000007</v>
      </c>
      <c r="AG29" s="97">
        <v>-4.86836</v>
      </c>
      <c r="AH29" s="97">
        <v>0.71060000000000001</v>
      </c>
      <c r="AI29" s="97">
        <v>-1.0071000000000001</v>
      </c>
      <c r="AJ29" s="97">
        <v>-1.2568999999999999</v>
      </c>
      <c r="AK29" s="97">
        <v>-2.8561000000000001</v>
      </c>
      <c r="AL29" s="97">
        <v>0.64219999999999999</v>
      </c>
      <c r="AM29" s="97">
        <v>0.122</v>
      </c>
      <c r="AN29" s="97">
        <v>-1.8177000000000001</v>
      </c>
      <c r="AO29" s="97">
        <v>-0.66839999999999999</v>
      </c>
      <c r="AQ29" s="50">
        <f t="shared" si="12"/>
        <v>0.14000000000000001</v>
      </c>
      <c r="AR29" s="50">
        <f t="shared" si="14"/>
        <v>0.40463129964214012</v>
      </c>
      <c r="AS29" s="50">
        <f t="shared" si="15"/>
        <v>1.4081511111111113E-2</v>
      </c>
      <c r="AT29" s="50">
        <f t="shared" si="18"/>
        <v>0.25754782222222217</v>
      </c>
      <c r="AU29" s="50">
        <f t="shared" si="13"/>
        <v>2.8902235688724289</v>
      </c>
    </row>
    <row r="30" spans="1:47" s="68" customFormat="1" x14ac:dyDescent="0.35">
      <c r="A30" s="68">
        <v>9</v>
      </c>
      <c r="B30" s="28"/>
      <c r="C30" s="68">
        <v>14</v>
      </c>
      <c r="D30" s="68">
        <v>106</v>
      </c>
      <c r="E30" s="31">
        <f t="shared" si="16"/>
        <v>1484</v>
      </c>
      <c r="F30" s="69">
        <f t="shared" si="3"/>
        <v>1</v>
      </c>
      <c r="G30" s="25">
        <f t="shared" si="17"/>
        <v>14</v>
      </c>
      <c r="H30" s="25">
        <v>8</v>
      </c>
      <c r="I30" s="31">
        <v>952</v>
      </c>
      <c r="J30" s="31">
        <v>176</v>
      </c>
      <c r="K30" s="27">
        <v>114</v>
      </c>
      <c r="L30" s="27">
        <v>12</v>
      </c>
      <c r="M30" s="27">
        <v>5.2</v>
      </c>
      <c r="N30" s="31">
        <v>356</v>
      </c>
      <c r="O30" s="31">
        <v>16</v>
      </c>
      <c r="P30" s="21">
        <v>115.3</v>
      </c>
      <c r="Q30" s="21">
        <v>29.05</v>
      </c>
      <c r="R30" s="21">
        <v>57.22</v>
      </c>
      <c r="S30" s="21">
        <v>17.87</v>
      </c>
      <c r="T30" s="21">
        <v>11.04</v>
      </c>
      <c r="U30" s="169">
        <v>0.2</v>
      </c>
      <c r="V30" s="81">
        <v>0.02</v>
      </c>
      <c r="W30" s="81">
        <v>0.02</v>
      </c>
      <c r="X30" s="11">
        <v>0.33</v>
      </c>
      <c r="Y30" s="81">
        <v>0.04</v>
      </c>
      <c r="Z30" s="18">
        <v>1.29</v>
      </c>
      <c r="AA30" s="31"/>
      <c r="AB30" s="69">
        <f t="shared" si="11"/>
        <v>11.354410049598098</v>
      </c>
      <c r="AC30" s="69">
        <f t="shared" si="1"/>
        <v>10.91373443927206</v>
      </c>
      <c r="AD30" s="69">
        <f t="shared" si="2"/>
        <v>1.9789507408050615</v>
      </c>
      <c r="AF30" s="97">
        <v>8</v>
      </c>
      <c r="AG30" s="97">
        <v>-6.0063599999999999</v>
      </c>
      <c r="AH30" s="97">
        <v>0.65859999999999996</v>
      </c>
      <c r="AI30" s="97">
        <v>-1.0122</v>
      </c>
      <c r="AJ30" s="97">
        <v>-1.262</v>
      </c>
      <c r="AK30" s="97">
        <v>-2.8037000000000001</v>
      </c>
      <c r="AL30" s="97">
        <v>0.54039999999999999</v>
      </c>
      <c r="AM30" s="97">
        <v>6.7799999999999999E-2</v>
      </c>
      <c r="AN30" s="97">
        <v>-1.8210999999999999</v>
      </c>
      <c r="AO30" s="97">
        <v>-0.71819999999999995</v>
      </c>
      <c r="AQ30" s="50">
        <f t="shared" si="12"/>
        <v>0.114</v>
      </c>
      <c r="AR30" s="50">
        <f t="shared" si="14"/>
        <v>0.38683788077158066</v>
      </c>
      <c r="AS30" s="50">
        <f t="shared" si="15"/>
        <v>1.1325511111111112E-2</v>
      </c>
      <c r="AT30" s="50">
        <f t="shared" si="18"/>
        <v>0.24622231111111106</v>
      </c>
      <c r="AU30" s="50">
        <f t="shared" si="13"/>
        <v>3.3933147436103566</v>
      </c>
    </row>
    <row r="31" spans="1:47" s="68" customFormat="1" x14ac:dyDescent="0.35">
      <c r="A31" s="68">
        <v>9</v>
      </c>
      <c r="B31" s="28"/>
      <c r="C31" s="68">
        <v>15</v>
      </c>
      <c r="D31" s="68">
        <v>106</v>
      </c>
      <c r="E31" s="31">
        <f t="shared" si="16"/>
        <v>1590</v>
      </c>
      <c r="F31" s="69">
        <f t="shared" si="3"/>
        <v>1</v>
      </c>
      <c r="G31" s="25">
        <f t="shared" si="17"/>
        <v>15</v>
      </c>
      <c r="H31" s="25">
        <v>7.98</v>
      </c>
      <c r="I31" s="31">
        <v>948</v>
      </c>
      <c r="J31" s="31">
        <v>174</v>
      </c>
      <c r="K31" s="27">
        <v>98</v>
      </c>
      <c r="L31" s="27">
        <v>12</v>
      </c>
      <c r="M31" s="27">
        <v>5.8</v>
      </c>
      <c r="N31" s="31">
        <v>356</v>
      </c>
      <c r="O31" s="31">
        <v>15</v>
      </c>
      <c r="P31" s="21">
        <v>117.1</v>
      </c>
      <c r="Q31" s="21">
        <v>29.04</v>
      </c>
      <c r="R31" s="21">
        <v>57.84</v>
      </c>
      <c r="S31" s="21">
        <v>17.86</v>
      </c>
      <c r="T31" s="21">
        <v>10.44</v>
      </c>
      <c r="U31" s="169">
        <v>0.2</v>
      </c>
      <c r="V31" s="81">
        <v>0.02</v>
      </c>
      <c r="W31" s="81">
        <v>0.02</v>
      </c>
      <c r="X31" s="11">
        <v>0.33200000000000002</v>
      </c>
      <c r="Y31" s="81">
        <v>0.04</v>
      </c>
      <c r="Z31" s="18">
        <v>1.288</v>
      </c>
      <c r="AA31" s="31"/>
      <c r="AB31" s="69">
        <f t="shared" si="11"/>
        <v>11.324087468952936</v>
      </c>
      <c r="AC31" s="69">
        <f t="shared" si="1"/>
        <v>11.014355408654184</v>
      </c>
      <c r="AD31" s="69">
        <f t="shared" si="2"/>
        <v>1.3865427505210672</v>
      </c>
      <c r="AF31" s="97">
        <v>7.98</v>
      </c>
      <c r="AG31" s="97">
        <v>-5.3201599999999996</v>
      </c>
      <c r="AH31" s="97">
        <v>0.6411</v>
      </c>
      <c r="AI31" s="97">
        <v>-1.0064</v>
      </c>
      <c r="AJ31" s="97">
        <v>-1.2562</v>
      </c>
      <c r="AK31" s="97">
        <v>-2.7883</v>
      </c>
      <c r="AL31" s="97">
        <v>0.49830000000000002</v>
      </c>
      <c r="AM31" s="97">
        <v>4.58E-2</v>
      </c>
      <c r="AN31" s="97">
        <v>-1.8143</v>
      </c>
      <c r="AO31" s="97">
        <v>-0.74280000000000002</v>
      </c>
      <c r="AQ31" s="50">
        <f t="shared" si="12"/>
        <v>9.8000000000000004E-2</v>
      </c>
      <c r="AR31" s="50">
        <f t="shared" si="14"/>
        <v>0.37170903377847603</v>
      </c>
      <c r="AS31" s="50">
        <f t="shared" si="15"/>
        <v>9.629511111111112E-3</v>
      </c>
      <c r="AT31" s="50">
        <f t="shared" si="18"/>
        <v>0.23659279999999996</v>
      </c>
      <c r="AU31" s="50">
        <f t="shared" si="13"/>
        <v>3.7929493242701633</v>
      </c>
    </row>
    <row r="32" spans="1:47" s="68" customFormat="1" x14ac:dyDescent="0.35">
      <c r="A32" s="68">
        <v>9</v>
      </c>
      <c r="B32" s="28"/>
      <c r="C32" s="68">
        <v>16</v>
      </c>
      <c r="D32" s="68">
        <v>106</v>
      </c>
      <c r="E32" s="31">
        <f t="shared" si="16"/>
        <v>1696</v>
      </c>
      <c r="F32" s="69">
        <f t="shared" si="3"/>
        <v>1</v>
      </c>
      <c r="G32" s="25">
        <f t="shared" si="17"/>
        <v>16</v>
      </c>
      <c r="H32" s="31">
        <v>7.81</v>
      </c>
      <c r="I32" s="31">
        <v>940</v>
      </c>
      <c r="J32" s="31">
        <v>178</v>
      </c>
      <c r="K32" s="27">
        <v>81</v>
      </c>
      <c r="L32" s="27">
        <v>12</v>
      </c>
      <c r="M32" s="27">
        <v>5.9</v>
      </c>
      <c r="N32" s="31">
        <v>350</v>
      </c>
      <c r="O32" s="31">
        <v>16</v>
      </c>
      <c r="P32" s="21">
        <v>121.3</v>
      </c>
      <c r="Q32" s="21">
        <v>29.17</v>
      </c>
      <c r="R32" s="21">
        <v>56.9</v>
      </c>
      <c r="S32" s="21">
        <v>17.66</v>
      </c>
      <c r="T32" s="21">
        <v>10.41</v>
      </c>
      <c r="U32" s="169">
        <v>0.2</v>
      </c>
      <c r="V32" s="81">
        <v>0.02</v>
      </c>
      <c r="W32" s="81">
        <v>0.02</v>
      </c>
      <c r="X32" s="11">
        <v>0.33300000000000002</v>
      </c>
      <c r="Y32" s="81">
        <v>0.04</v>
      </c>
      <c r="Z32" s="18">
        <v>1.2849999999999999</v>
      </c>
      <c r="AA32" s="31"/>
      <c r="AB32" s="69">
        <f t="shared" si="11"/>
        <v>11.280778448381117</v>
      </c>
      <c r="AC32" s="69">
        <f t="shared" si="1"/>
        <v>11.192972430701362</v>
      </c>
      <c r="AD32" s="69">
        <f t="shared" si="2"/>
        <v>0.39070477443745621</v>
      </c>
      <c r="AF32" s="97">
        <v>7.81</v>
      </c>
      <c r="AG32" s="97">
        <v>-4.0962500000000004</v>
      </c>
      <c r="AH32" s="97">
        <v>0.50249999999999995</v>
      </c>
      <c r="AI32" s="97">
        <v>-0.99950000000000006</v>
      </c>
      <c r="AJ32" s="97">
        <v>-1.2492000000000001</v>
      </c>
      <c r="AK32" s="97">
        <v>-2.6044999999999998</v>
      </c>
      <c r="AL32" s="97">
        <v>0.2072</v>
      </c>
      <c r="AM32" s="97">
        <v>-0.10829999999999999</v>
      </c>
      <c r="AN32" s="97">
        <v>-1.7972999999999999</v>
      </c>
      <c r="AO32" s="97">
        <v>-0.89539999999999997</v>
      </c>
      <c r="AQ32" s="50">
        <f t="shared" si="12"/>
        <v>8.1000000000000003E-2</v>
      </c>
      <c r="AR32" s="50">
        <f t="shared" si="14"/>
        <v>0.35941129440516711</v>
      </c>
      <c r="AS32" s="50">
        <f t="shared" si="15"/>
        <v>7.8275111111111122E-3</v>
      </c>
      <c r="AT32" s="50">
        <f t="shared" si="18"/>
        <v>0.22876528888888886</v>
      </c>
      <c r="AU32" s="50">
        <f t="shared" si="13"/>
        <v>4.4371764741378659</v>
      </c>
    </row>
    <row r="33" spans="1:47" s="68" customFormat="1" x14ac:dyDescent="0.35">
      <c r="A33" s="68">
        <v>9</v>
      </c>
      <c r="B33" s="28"/>
      <c r="C33" s="68">
        <v>17</v>
      </c>
      <c r="D33" s="68">
        <v>106</v>
      </c>
      <c r="E33" s="31">
        <f t="shared" si="16"/>
        <v>1802</v>
      </c>
      <c r="F33" s="69">
        <f t="shared" si="3"/>
        <v>1</v>
      </c>
      <c r="G33" s="25">
        <f t="shared" si="17"/>
        <v>17</v>
      </c>
      <c r="H33" s="31">
        <v>7.82</v>
      </c>
      <c r="I33" s="31">
        <v>940</v>
      </c>
      <c r="J33" s="31">
        <v>179</v>
      </c>
      <c r="K33" s="27">
        <v>70</v>
      </c>
      <c r="L33" s="27">
        <v>12</v>
      </c>
      <c r="M33" s="27">
        <v>5.3</v>
      </c>
      <c r="N33" s="31">
        <v>345</v>
      </c>
      <c r="O33" s="31">
        <v>16</v>
      </c>
      <c r="P33" s="21">
        <v>123.7</v>
      </c>
      <c r="Q33" s="21">
        <v>29.81</v>
      </c>
      <c r="R33" s="21">
        <v>59.8</v>
      </c>
      <c r="S33" s="21">
        <v>17.100000000000001</v>
      </c>
      <c r="T33" s="21">
        <v>10.61</v>
      </c>
      <c r="U33" s="169">
        <v>0.2</v>
      </c>
      <c r="V33" s="81">
        <v>0.02</v>
      </c>
      <c r="W33" s="81">
        <v>0.02</v>
      </c>
      <c r="X33" s="11">
        <v>0.32100000000000001</v>
      </c>
      <c r="Y33" s="81">
        <v>0.04</v>
      </c>
      <c r="Z33" s="18">
        <v>1.2749999999999999</v>
      </c>
      <c r="AA33" s="31"/>
      <c r="AB33" s="69">
        <f t="shared" si="11"/>
        <v>11.18699942586159</v>
      </c>
      <c r="AC33" s="69">
        <f t="shared" si="1"/>
        <v>11.496621378987664</v>
      </c>
      <c r="AD33" s="69">
        <f t="shared" si="2"/>
        <v>1.3649582480231008</v>
      </c>
      <c r="AF33" s="97">
        <v>7.82</v>
      </c>
      <c r="AG33" s="97">
        <v>-2.11625</v>
      </c>
      <c r="AH33" s="97">
        <v>0.52359999999999995</v>
      </c>
      <c r="AI33" s="97">
        <v>-0.99890000000000001</v>
      </c>
      <c r="AJ33" s="97">
        <v>-1.2486999999999999</v>
      </c>
      <c r="AK33" s="97">
        <v>-2.6128999999999998</v>
      </c>
      <c r="AL33" s="97">
        <v>0.25</v>
      </c>
      <c r="AM33" s="97">
        <v>-0.1123</v>
      </c>
      <c r="AN33" s="97">
        <v>-1.7885</v>
      </c>
      <c r="AO33" s="97">
        <v>-0.87360000000000004</v>
      </c>
      <c r="AQ33" s="50">
        <f t="shared" si="12"/>
        <v>7.0000000000000007E-2</v>
      </c>
      <c r="AR33" s="50">
        <f t="shared" si="14"/>
        <v>0.34894544819760842</v>
      </c>
      <c r="AS33" s="50">
        <f t="shared" si="15"/>
        <v>6.6615111111111118E-3</v>
      </c>
      <c r="AT33" s="50">
        <f t="shared" si="18"/>
        <v>0.22210377777777776</v>
      </c>
      <c r="AU33" s="50">
        <f t="shared" si="13"/>
        <v>4.9849349742515487</v>
      </c>
    </row>
    <row r="34" spans="1:47" s="68" customFormat="1" x14ac:dyDescent="0.35">
      <c r="A34" s="68">
        <v>9</v>
      </c>
      <c r="B34" s="28"/>
      <c r="C34" s="68">
        <v>18</v>
      </c>
      <c r="D34" s="68">
        <v>106</v>
      </c>
      <c r="E34" s="31">
        <f t="shared" si="16"/>
        <v>1908</v>
      </c>
      <c r="F34" s="69">
        <f t="shared" si="3"/>
        <v>1</v>
      </c>
      <c r="G34" s="25">
        <f t="shared" si="17"/>
        <v>18</v>
      </c>
      <c r="H34" s="31">
        <v>7.9</v>
      </c>
      <c r="I34" s="31">
        <v>938</v>
      </c>
      <c r="J34" s="31">
        <v>177</v>
      </c>
      <c r="K34" s="27">
        <v>64</v>
      </c>
      <c r="L34" s="27">
        <v>12</v>
      </c>
      <c r="M34" s="27">
        <v>5.2</v>
      </c>
      <c r="N34" s="31">
        <v>361</v>
      </c>
      <c r="O34" s="31">
        <v>14</v>
      </c>
      <c r="P34" s="21">
        <v>121.9</v>
      </c>
      <c r="Q34" s="21">
        <v>29.69</v>
      </c>
      <c r="R34" s="21">
        <v>59.54</v>
      </c>
      <c r="S34" s="21">
        <v>17.75</v>
      </c>
      <c r="T34" s="21">
        <v>10.119999999999999</v>
      </c>
      <c r="U34" s="169">
        <v>0.2</v>
      </c>
      <c r="V34" s="81">
        <v>0.02</v>
      </c>
      <c r="W34" s="27">
        <v>1.9E-2</v>
      </c>
      <c r="X34" s="11">
        <v>0.316</v>
      </c>
      <c r="Y34" s="81">
        <v>0.04</v>
      </c>
      <c r="Z34" s="18">
        <v>1.2629999999999999</v>
      </c>
      <c r="AA34" s="31"/>
      <c r="AB34" s="69">
        <f t="shared" si="11"/>
        <v>11.478511652762787</v>
      </c>
      <c r="AC34" s="69">
        <f t="shared" si="1"/>
        <v>11.373091364446349</v>
      </c>
      <c r="AD34" s="69">
        <f t="shared" si="2"/>
        <v>0.46132557193929791</v>
      </c>
      <c r="AF34" s="97">
        <v>7.9</v>
      </c>
      <c r="AG34" s="97">
        <v>-4.2048300000000003</v>
      </c>
      <c r="AH34" s="97">
        <v>0.58579999999999999</v>
      </c>
      <c r="AI34" s="97">
        <v>-0.98880000000000001</v>
      </c>
      <c r="AJ34" s="97">
        <v>-1.2385999999999999</v>
      </c>
      <c r="AK34" s="97">
        <v>-2.6995</v>
      </c>
      <c r="AL34" s="97">
        <v>0.37980000000000003</v>
      </c>
      <c r="AM34" s="97">
        <v>-4.9500000000000002E-2</v>
      </c>
      <c r="AN34" s="97">
        <v>-1.8003</v>
      </c>
      <c r="AO34" s="97">
        <v>-0.80600000000000005</v>
      </c>
      <c r="AQ34" s="50">
        <f t="shared" si="12"/>
        <v>6.4000000000000001E-2</v>
      </c>
      <c r="AR34" s="50">
        <f t="shared" si="14"/>
        <v>0.33947881644409533</v>
      </c>
      <c r="AS34" s="50">
        <f t="shared" si="15"/>
        <v>6.0255111111111115E-3</v>
      </c>
      <c r="AT34" s="50">
        <f t="shared" si="18"/>
        <v>0.21607826666666666</v>
      </c>
      <c r="AU34" s="50">
        <f t="shared" si="13"/>
        <v>5.3043565069389897</v>
      </c>
    </row>
    <row r="35" spans="1:47" s="68" customFormat="1" x14ac:dyDescent="0.35">
      <c r="A35" s="68">
        <v>9</v>
      </c>
      <c r="B35" s="28"/>
      <c r="C35" s="68">
        <v>19</v>
      </c>
      <c r="D35" s="68">
        <v>106</v>
      </c>
      <c r="E35" s="31">
        <f t="shared" si="16"/>
        <v>2014</v>
      </c>
      <c r="F35" s="69">
        <f t="shared" si="3"/>
        <v>1</v>
      </c>
      <c r="G35" s="25">
        <f t="shared" si="17"/>
        <v>19</v>
      </c>
      <c r="H35" s="31">
        <v>7.81</v>
      </c>
      <c r="I35" s="31">
        <v>938</v>
      </c>
      <c r="J35" s="31">
        <v>176</v>
      </c>
      <c r="K35" s="27">
        <v>57</v>
      </c>
      <c r="L35" s="27">
        <v>12</v>
      </c>
      <c r="M35" s="27">
        <v>5.3</v>
      </c>
      <c r="N35" s="31">
        <v>351</v>
      </c>
      <c r="O35" s="31">
        <v>14</v>
      </c>
      <c r="P35" s="12">
        <v>122.2</v>
      </c>
      <c r="Q35" s="12">
        <v>29.57</v>
      </c>
      <c r="R35" s="21">
        <v>59.91</v>
      </c>
      <c r="S35" s="21">
        <v>17.579999999999998</v>
      </c>
      <c r="T35" s="21">
        <v>10.26</v>
      </c>
      <c r="U35" s="169">
        <v>0.2</v>
      </c>
      <c r="V35" s="81">
        <v>0.02</v>
      </c>
      <c r="W35" s="81">
        <v>0.02</v>
      </c>
      <c r="X35" s="11">
        <v>0.316</v>
      </c>
      <c r="Y35" s="81">
        <v>0.04</v>
      </c>
      <c r="Z35" s="18">
        <v>1.274</v>
      </c>
      <c r="AA35" s="31"/>
      <c r="AB35" s="69">
        <f t="shared" si="11"/>
        <v>11.251921349659215</v>
      </c>
      <c r="AC35" s="69">
        <f t="shared" si="1"/>
        <v>11.397867519826802</v>
      </c>
      <c r="AD35" s="69">
        <f t="shared" si="2"/>
        <v>0.64435995853456696</v>
      </c>
      <c r="AF35" s="97">
        <v>7.81</v>
      </c>
      <c r="AG35" s="97">
        <v>-2.98902</v>
      </c>
      <c r="AH35" s="97">
        <v>0.50019999999999998</v>
      </c>
      <c r="AI35" s="97">
        <v>-0.99670000000000003</v>
      </c>
      <c r="AJ35" s="97">
        <v>-1.2464999999999999</v>
      </c>
      <c r="AK35" s="97">
        <v>-2.6095999999999999</v>
      </c>
      <c r="AL35" s="97">
        <v>0.2051</v>
      </c>
      <c r="AM35" s="97">
        <v>-0.13689999999999999</v>
      </c>
      <c r="AN35" s="97">
        <v>-1.7950999999999999</v>
      </c>
      <c r="AO35" s="97">
        <v>-0.89510000000000001</v>
      </c>
      <c r="AQ35" s="50">
        <f t="shared" si="12"/>
        <v>5.7000000000000002E-2</v>
      </c>
      <c r="AR35" s="50">
        <f t="shared" si="14"/>
        <v>0.33117793488696867</v>
      </c>
      <c r="AS35" s="50">
        <f t="shared" si="15"/>
        <v>5.283511111111111E-3</v>
      </c>
      <c r="AT35" s="50">
        <f t="shared" si="18"/>
        <v>0.21079475555555555</v>
      </c>
      <c r="AU35" s="50">
        <f t="shared" si="13"/>
        <v>5.8101392085433101</v>
      </c>
    </row>
    <row r="36" spans="1:47" s="68" customFormat="1" x14ac:dyDescent="0.35">
      <c r="A36" s="68">
        <v>9</v>
      </c>
      <c r="B36" s="28"/>
      <c r="C36" s="68">
        <v>20</v>
      </c>
      <c r="D36" s="68">
        <v>106</v>
      </c>
      <c r="E36" s="31">
        <f t="shared" si="16"/>
        <v>2120</v>
      </c>
      <c r="F36" s="69">
        <f t="shared" si="3"/>
        <v>1</v>
      </c>
      <c r="G36" s="25">
        <f t="shared" si="17"/>
        <v>20</v>
      </c>
      <c r="H36" s="31">
        <v>7.76</v>
      </c>
      <c r="I36" s="31">
        <v>939</v>
      </c>
      <c r="J36" s="31">
        <v>175</v>
      </c>
      <c r="K36" s="27">
        <v>53</v>
      </c>
      <c r="L36" s="27">
        <v>12</v>
      </c>
      <c r="M36" s="27">
        <v>5.2</v>
      </c>
      <c r="N36" s="31">
        <v>352</v>
      </c>
      <c r="O36" s="31">
        <v>13</v>
      </c>
      <c r="P36" s="12">
        <v>118.8</v>
      </c>
      <c r="Q36" s="12">
        <v>29.06</v>
      </c>
      <c r="R36" s="21">
        <v>59.81</v>
      </c>
      <c r="S36" s="21">
        <v>17.329999999999998</v>
      </c>
      <c r="T36" s="21">
        <v>10.039999999999999</v>
      </c>
      <c r="U36" s="169">
        <v>0.2</v>
      </c>
      <c r="V36" s="81">
        <v>0.02</v>
      </c>
      <c r="W36" s="81">
        <v>0.02</v>
      </c>
      <c r="X36" s="11">
        <v>0.31900000000000001</v>
      </c>
      <c r="Y36" s="81">
        <v>0.04</v>
      </c>
      <c r="Z36" s="18">
        <v>1.3009999999999999</v>
      </c>
      <c r="AA36" s="31"/>
      <c r="AB36" s="69">
        <f t="shared" si="11"/>
        <v>11.251128767066346</v>
      </c>
      <c r="AC36" s="69">
        <f t="shared" si="1"/>
        <v>11.176289735976553</v>
      </c>
      <c r="AD36" s="69">
        <f t="shared" si="2"/>
        <v>0.33369436201334923</v>
      </c>
      <c r="AF36" s="97">
        <v>7.76</v>
      </c>
      <c r="AG36" s="97">
        <v>-4.1412800000000001</v>
      </c>
      <c r="AH36" s="97">
        <v>0.43740000000000001</v>
      </c>
      <c r="AI36" s="97">
        <v>-1.0046999999999999</v>
      </c>
      <c r="AJ36" s="97">
        <v>-1.2544999999999999</v>
      </c>
      <c r="AK36" s="97">
        <v>-2.5602999999999998</v>
      </c>
      <c r="AL36" s="97">
        <v>8.43E-2</v>
      </c>
      <c r="AM36" s="97">
        <v>-0.183</v>
      </c>
      <c r="AN36" s="97">
        <v>-1.8064</v>
      </c>
      <c r="AO36" s="97">
        <v>-0.95309999999999995</v>
      </c>
      <c r="AQ36" s="50">
        <f t="shared" si="12"/>
        <v>5.2999999999999999E-2</v>
      </c>
      <c r="AR36" s="50">
        <f t="shared" si="14"/>
        <v>0.32354319629920575</v>
      </c>
      <c r="AS36" s="50">
        <f t="shared" si="15"/>
        <v>4.8595111111111111E-3</v>
      </c>
      <c r="AT36" s="50">
        <f t="shared" si="18"/>
        <v>0.20593524444444444</v>
      </c>
      <c r="AU36" s="50">
        <f t="shared" si="13"/>
        <v>6.1045886094189763</v>
      </c>
    </row>
    <row r="37" spans="1:47" s="68" customFormat="1" x14ac:dyDescent="0.35">
      <c r="A37" s="68">
        <v>9</v>
      </c>
      <c r="B37" s="28"/>
      <c r="C37" s="68">
        <v>21</v>
      </c>
      <c r="D37" s="68">
        <v>106</v>
      </c>
      <c r="E37" s="31">
        <f t="shared" si="16"/>
        <v>2226</v>
      </c>
      <c r="F37" s="69">
        <f t="shared" si="3"/>
        <v>1</v>
      </c>
      <c r="G37" s="25">
        <f t="shared" si="17"/>
        <v>21</v>
      </c>
      <c r="H37" s="31">
        <v>7.79</v>
      </c>
      <c r="I37" s="31">
        <v>933</v>
      </c>
      <c r="J37" s="31">
        <v>178</v>
      </c>
      <c r="K37" s="27">
        <v>50</v>
      </c>
      <c r="L37" s="27">
        <v>12</v>
      </c>
      <c r="M37" s="27">
        <v>5.4</v>
      </c>
      <c r="N37" s="31">
        <v>353</v>
      </c>
      <c r="O37" s="31">
        <v>15</v>
      </c>
      <c r="P37" s="21">
        <v>120.6</v>
      </c>
      <c r="Q37" s="21">
        <v>28.59</v>
      </c>
      <c r="R37" s="21">
        <v>58.17</v>
      </c>
      <c r="S37" s="21">
        <v>16.8</v>
      </c>
      <c r="T37" s="18">
        <v>9.6859999999999999</v>
      </c>
      <c r="U37" s="169">
        <v>0.2</v>
      </c>
      <c r="V37" s="81">
        <v>0.02</v>
      </c>
      <c r="W37" s="81">
        <v>0.02</v>
      </c>
      <c r="X37" s="11">
        <v>0.32200000000000001</v>
      </c>
      <c r="Y37" s="81">
        <v>0.04</v>
      </c>
      <c r="Z37" s="18">
        <v>1.2869999999999999</v>
      </c>
      <c r="AA37" s="31"/>
      <c r="AB37" s="69">
        <f t="shared" si="11"/>
        <v>11.335174894150898</v>
      </c>
      <c r="AC37" s="69">
        <f t="shared" si="1"/>
        <v>11.147069707827225</v>
      </c>
      <c r="AD37" s="69">
        <f t="shared" si="2"/>
        <v>0.83668330121771961</v>
      </c>
      <c r="AF37" s="97">
        <v>7.79</v>
      </c>
      <c r="AG37" s="97">
        <v>-4.6376600000000003</v>
      </c>
      <c r="AH37" s="97">
        <v>0.47989999999999999</v>
      </c>
      <c r="AI37" s="97">
        <v>-0.99809999999999999</v>
      </c>
      <c r="AJ37" s="97">
        <v>-1.2479</v>
      </c>
      <c r="AK37" s="97">
        <v>-2.5836999999999999</v>
      </c>
      <c r="AL37" s="97">
        <v>0.15590000000000001</v>
      </c>
      <c r="AM37" s="97">
        <v>-0.14280000000000001</v>
      </c>
      <c r="AN37" s="97">
        <v>-1.8006</v>
      </c>
      <c r="AO37" s="97">
        <v>-0.92400000000000004</v>
      </c>
      <c r="AQ37" s="50">
        <f t="shared" si="12"/>
        <v>0.05</v>
      </c>
      <c r="AR37" s="50">
        <f t="shared" si="14"/>
        <v>0.31640806493846557</v>
      </c>
      <c r="AS37" s="50">
        <f t="shared" si="15"/>
        <v>4.5415111111111114E-3</v>
      </c>
      <c r="AT37" s="50">
        <f t="shared" si="18"/>
        <v>0.20139373333333332</v>
      </c>
      <c r="AU37" s="50">
        <f t="shared" si="13"/>
        <v>6.3281612987693112</v>
      </c>
    </row>
    <row r="38" spans="1:47" s="68" customFormat="1" x14ac:dyDescent="0.35">
      <c r="A38" s="68">
        <v>9</v>
      </c>
      <c r="B38" s="28">
        <v>43525</v>
      </c>
      <c r="C38" s="68">
        <v>22</v>
      </c>
      <c r="D38" s="68">
        <v>106</v>
      </c>
      <c r="E38" s="31">
        <f t="shared" si="16"/>
        <v>2332</v>
      </c>
      <c r="F38" s="69">
        <f t="shared" si="3"/>
        <v>1</v>
      </c>
      <c r="G38" s="25">
        <f t="shared" si="17"/>
        <v>22</v>
      </c>
      <c r="H38" s="31">
        <v>8.07</v>
      </c>
      <c r="I38" s="31">
        <v>957</v>
      </c>
      <c r="J38" s="31">
        <v>176</v>
      </c>
      <c r="K38" s="27">
        <v>55</v>
      </c>
      <c r="L38" s="27">
        <v>13</v>
      </c>
      <c r="M38" s="27">
        <v>5.0999999999999996</v>
      </c>
      <c r="N38" s="31">
        <v>353</v>
      </c>
      <c r="O38" s="31">
        <v>13</v>
      </c>
      <c r="P38" s="21">
        <v>124.1</v>
      </c>
      <c r="Q38" s="21">
        <v>29.39</v>
      </c>
      <c r="R38" s="21">
        <v>59.43</v>
      </c>
      <c r="S38" s="21">
        <v>16.98</v>
      </c>
      <c r="T38" s="18">
        <v>9.3309999999999995</v>
      </c>
      <c r="U38" s="169">
        <v>0.2</v>
      </c>
      <c r="V38" s="81">
        <v>0.02</v>
      </c>
      <c r="W38" s="81">
        <v>0.02</v>
      </c>
      <c r="X38" s="163">
        <v>0.32600000000000001</v>
      </c>
      <c r="Y38" s="81">
        <v>0.04</v>
      </c>
      <c r="Z38" s="170">
        <v>1.335</v>
      </c>
      <c r="AA38" s="31"/>
      <c r="AB38" s="69">
        <f t="shared" si="11"/>
        <v>11.318544929184338</v>
      </c>
      <c r="AC38" s="69">
        <f t="shared" si="1"/>
        <v>11.43323703380832</v>
      </c>
      <c r="AD38" s="69">
        <f t="shared" si="2"/>
        <v>0.50410163393151697</v>
      </c>
      <c r="AF38" s="97">
        <v>8.07</v>
      </c>
      <c r="AG38" s="97">
        <v>-3.1495500000000001</v>
      </c>
      <c r="AH38" s="97">
        <v>0.75629999999999997</v>
      </c>
      <c r="AI38" s="97">
        <v>-0.99039999999999995</v>
      </c>
      <c r="AJ38" s="97">
        <v>-1.2402</v>
      </c>
      <c r="AK38" s="97">
        <v>-2.8780000000000001</v>
      </c>
      <c r="AL38" s="97">
        <v>0.7087</v>
      </c>
      <c r="AM38" s="97">
        <v>0.12759999999999999</v>
      </c>
      <c r="AN38" s="97">
        <v>-1.7907999999999999</v>
      </c>
      <c r="AO38" s="97">
        <v>-0.64759999999999995</v>
      </c>
      <c r="AQ38" s="50">
        <f t="shared" si="12"/>
        <v>5.5E-2</v>
      </c>
      <c r="AR38" s="50">
        <f t="shared" si="14"/>
        <v>0.30844025486602078</v>
      </c>
      <c r="AS38" s="50">
        <f t="shared" si="15"/>
        <v>5.0715111111111115E-3</v>
      </c>
      <c r="AT38" s="50">
        <f t="shared" si="18"/>
        <v>0.1963222222222222</v>
      </c>
      <c r="AU38" s="50">
        <f t="shared" si="13"/>
        <v>5.6080046339276501</v>
      </c>
    </row>
    <row r="39" spans="1:47" s="68" customFormat="1" x14ac:dyDescent="0.35">
      <c r="B39" s="28"/>
      <c r="E39" s="31"/>
      <c r="F39" s="69"/>
      <c r="G39" s="25"/>
      <c r="K39" s="65"/>
      <c r="L39" s="65"/>
      <c r="N39" s="31"/>
      <c r="P39" s="15"/>
      <c r="R39" s="16"/>
      <c r="S39" s="16"/>
      <c r="T39" s="16"/>
      <c r="U39" s="174"/>
      <c r="V39" s="65"/>
      <c r="W39" s="65"/>
      <c r="X39" s="65"/>
      <c r="Y39" s="65"/>
      <c r="Z39" s="65"/>
      <c r="AB39" s="69"/>
      <c r="AC39" s="69"/>
      <c r="AD39" s="69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Q39" s="149"/>
      <c r="AR39" s="149"/>
      <c r="AS39" s="149"/>
      <c r="AT39" s="149"/>
      <c r="AU39" s="149"/>
    </row>
    <row r="40" spans="1:47" s="68" customFormat="1" x14ac:dyDescent="0.35">
      <c r="A40" s="68" t="s">
        <v>57</v>
      </c>
      <c r="B40" s="28"/>
      <c r="E40" s="31"/>
      <c r="F40" s="69"/>
      <c r="G40" s="25"/>
      <c r="H40" s="69">
        <v>7.3</v>
      </c>
      <c r="I40" s="165">
        <f>'Influent Results Master'!D35</f>
        <v>2012</v>
      </c>
      <c r="J40" s="165">
        <f>'Influent Results Master'!F35</f>
        <v>293.88888888888891</v>
      </c>
      <c r="K40" s="165">
        <f>'Influent Results Master'!G35</f>
        <v>661.22222222222217</v>
      </c>
      <c r="L40" s="165">
        <f>'Influent Results Master'!H35</f>
        <v>53.44444444444445</v>
      </c>
      <c r="M40" s="165">
        <f>'Influent Results Master'!I35</f>
        <v>3.3333333333333335</v>
      </c>
      <c r="N40" s="165">
        <f>'Influent Results Master'!J35</f>
        <v>800.8888888888888</v>
      </c>
      <c r="O40" s="165">
        <f>'Influent Results Master'!K35</f>
        <v>26.555555555555557</v>
      </c>
      <c r="P40" s="165">
        <f>'Influent Results Master'!L35</f>
        <v>183.55555555555557</v>
      </c>
      <c r="Q40" s="165">
        <f>'Influent Results Master'!M35</f>
        <v>35.531111111111109</v>
      </c>
      <c r="R40" s="165">
        <f>'Influent Results Master'!N35</f>
        <v>315.04444444444442</v>
      </c>
      <c r="S40" s="165">
        <f>'Influent Results Master'!O35</f>
        <v>16.411111111111111</v>
      </c>
      <c r="T40" s="170">
        <f>'Influent Results Master'!P35</f>
        <v>7.6787777777777784</v>
      </c>
      <c r="U40" s="171">
        <f>'Influent Results Master'!Q35</f>
        <v>0.20000000000000004</v>
      </c>
      <c r="V40" s="163">
        <f>'Influent Results Master'!R35</f>
        <v>0.44400000000000001</v>
      </c>
      <c r="W40" s="30">
        <f>'Influent Results Master'!S35</f>
        <v>8.1000000000000003E-2</v>
      </c>
      <c r="X40" s="170">
        <f>'Influent Results Master'!T35</f>
        <v>0.99611111111111106</v>
      </c>
      <c r="Y40" s="30">
        <f>'Influent Results Master'!U35</f>
        <v>9.8999999999999991E-2</v>
      </c>
      <c r="Z40" s="170">
        <f>'Influent Results Master'!V35</f>
        <v>1.699888888888889</v>
      </c>
      <c r="AB40" s="69">
        <f>((J40/50)+(L40/35.45)+(M40/62)+(N40/48.03))</f>
        <v>24.113905366209003</v>
      </c>
      <c r="AC40" s="69">
        <f t="shared" si="1"/>
        <v>25.98135601585059</v>
      </c>
      <c r="AD40" s="69">
        <f t="shared" si="2"/>
        <v>3.7277989935997597</v>
      </c>
      <c r="AF40" s="97">
        <v>7.3</v>
      </c>
      <c r="AG40" s="97">
        <v>5.8150300000000001</v>
      </c>
      <c r="AH40" s="97">
        <v>0.2505</v>
      </c>
      <c r="AI40" s="97">
        <v>-0.65820000000000001</v>
      </c>
      <c r="AJ40" s="97">
        <v>-0.90769999999999995</v>
      </c>
      <c r="AK40" s="97">
        <v>-1.8877999999999999</v>
      </c>
      <c r="AL40" s="97">
        <v>-0.38100000000000001</v>
      </c>
      <c r="AM40" s="97">
        <v>-6.59E-2</v>
      </c>
      <c r="AN40" s="97">
        <v>-0.46079999999999999</v>
      </c>
      <c r="AO40" s="97">
        <v>-1.2315</v>
      </c>
      <c r="AQ40" s="50">
        <f>K40/1000</f>
        <v>0.66122222222222216</v>
      </c>
      <c r="AR40" s="149"/>
      <c r="AS40" s="149"/>
      <c r="AT40" s="149"/>
      <c r="AU40" s="149"/>
    </row>
    <row r="41" spans="1:47" s="68" customFormat="1" x14ac:dyDescent="0.35">
      <c r="B41" s="28"/>
      <c r="E41" s="31"/>
      <c r="F41" s="69"/>
      <c r="G41" s="25"/>
      <c r="K41" s="65"/>
      <c r="L41" s="65"/>
      <c r="N41" s="31"/>
      <c r="P41" s="15"/>
      <c r="R41" s="16"/>
      <c r="S41" s="16"/>
      <c r="T41" s="16"/>
      <c r="U41" s="171"/>
      <c r="AB41" s="69"/>
      <c r="AC41" s="69"/>
      <c r="AD41" s="69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Q41" s="149"/>
      <c r="AR41" s="149"/>
      <c r="AS41" s="149"/>
      <c r="AT41" s="149"/>
      <c r="AU41" s="149"/>
    </row>
    <row r="42" spans="1:47" s="68" customFormat="1" x14ac:dyDescent="0.35">
      <c r="A42" s="68">
        <v>9</v>
      </c>
      <c r="B42" s="28">
        <v>43525</v>
      </c>
      <c r="C42" s="68">
        <v>23</v>
      </c>
      <c r="D42" s="68">
        <v>106</v>
      </c>
      <c r="E42" s="31">
        <f>D42+E38</f>
        <v>2438</v>
      </c>
      <c r="F42" s="69">
        <f t="shared" si="3"/>
        <v>1</v>
      </c>
      <c r="G42" s="25">
        <f>G38+F42</f>
        <v>23</v>
      </c>
      <c r="H42" s="31">
        <v>8.01</v>
      </c>
      <c r="I42" s="31">
        <v>1562</v>
      </c>
      <c r="J42" s="31">
        <v>238</v>
      </c>
      <c r="K42" s="27">
        <v>105</v>
      </c>
      <c r="L42" s="27">
        <v>44</v>
      </c>
      <c r="M42" s="27">
        <v>2.1</v>
      </c>
      <c r="N42" s="31">
        <v>673</v>
      </c>
      <c r="O42" s="31">
        <v>17</v>
      </c>
      <c r="P42" s="21">
        <v>233.3</v>
      </c>
      <c r="Q42" s="21">
        <v>55.65</v>
      </c>
      <c r="R42" s="21">
        <v>89.49</v>
      </c>
      <c r="S42" s="21">
        <v>17.8</v>
      </c>
      <c r="T42" s="21">
        <v>11.86</v>
      </c>
      <c r="U42" s="169">
        <v>0.2</v>
      </c>
      <c r="V42" s="163">
        <v>0.125</v>
      </c>
      <c r="W42" s="68">
        <v>7.6999999999999999E-2</v>
      </c>
      <c r="X42" s="163">
        <v>0.623</v>
      </c>
      <c r="Y42" s="81">
        <v>0.04</v>
      </c>
      <c r="Z42" s="170">
        <v>2.5649999999999999</v>
      </c>
      <c r="AA42" s="31"/>
      <c r="AB42" s="69">
        <f t="shared" ref="AB42:AB49" si="19">((J42/50)+(L42/35.45)+(M42/62)+(N42/48.03))</f>
        <v>20.047131520986895</v>
      </c>
      <c r="AC42" s="69">
        <f t="shared" si="1"/>
        <v>20.414083621679382</v>
      </c>
      <c r="AD42" s="69">
        <f t="shared" si="2"/>
        <v>0.90692308522770104</v>
      </c>
      <c r="AF42" s="97">
        <v>8.01</v>
      </c>
      <c r="AG42" s="97">
        <v>4.1704800000000004</v>
      </c>
      <c r="AH42" s="97">
        <v>0.99819999999999998</v>
      </c>
      <c r="AI42" s="97">
        <v>-0.6018</v>
      </c>
      <c r="AJ42" s="97">
        <v>-0.85140000000000005</v>
      </c>
      <c r="AK42" s="97">
        <v>-2.7092000000000001</v>
      </c>
      <c r="AL42" s="97">
        <v>1.2004999999999999</v>
      </c>
      <c r="AM42" s="97">
        <v>0.36470000000000002</v>
      </c>
      <c r="AN42" s="97">
        <v>-0.85070000000000001</v>
      </c>
      <c r="AO42" s="97">
        <v>-0.39779999999999999</v>
      </c>
      <c r="AQ42" s="50">
        <f t="shared" ref="AQ42:AQ49" si="20">K42/1000</f>
        <v>0.105</v>
      </c>
      <c r="AR42" s="50">
        <f>AT42/$AS$6</f>
        <v>0.40107113555031859</v>
      </c>
      <c r="AS42" s="50">
        <f>(AQ42-$AQ$40)*0.106</f>
        <v>-5.895955555555555E-2</v>
      </c>
      <c r="AT42" s="50">
        <f>AT38-AS42</f>
        <v>0.25528177777777777</v>
      </c>
      <c r="AU42" s="50">
        <f t="shared" ref="AU42:AU49" si="21">AR42/AQ42</f>
        <v>3.819725100479225</v>
      </c>
    </row>
    <row r="43" spans="1:47" s="68" customFormat="1" x14ac:dyDescent="0.35">
      <c r="A43" s="68">
        <v>9</v>
      </c>
      <c r="B43" s="28"/>
      <c r="C43" s="68">
        <v>24</v>
      </c>
      <c r="D43" s="68">
        <v>106</v>
      </c>
      <c r="E43" s="31">
        <f t="shared" ref="E43:E49" si="22">D43+E42</f>
        <v>2544</v>
      </c>
      <c r="F43" s="69">
        <f t="shared" si="3"/>
        <v>1</v>
      </c>
      <c r="G43" s="25">
        <f t="shared" ref="G43:G49" si="23">G42+F43</f>
        <v>24</v>
      </c>
      <c r="H43" s="31">
        <v>7.99</v>
      </c>
      <c r="I43" s="31">
        <v>1945</v>
      </c>
      <c r="J43" s="31">
        <v>317</v>
      </c>
      <c r="K43" s="27">
        <v>296</v>
      </c>
      <c r="L43" s="27">
        <v>55</v>
      </c>
      <c r="M43" s="27">
        <v>0.84</v>
      </c>
      <c r="N43" s="31">
        <v>836</v>
      </c>
      <c r="O43" s="31">
        <v>21</v>
      </c>
      <c r="P43" s="21">
        <v>236.7</v>
      </c>
      <c r="Q43" s="21">
        <v>56.07</v>
      </c>
      <c r="R43" s="21">
        <v>177.5</v>
      </c>
      <c r="S43" s="21">
        <v>16.84</v>
      </c>
      <c r="T43" s="21">
        <v>13.04</v>
      </c>
      <c r="U43" s="169">
        <v>0.2</v>
      </c>
      <c r="V43" s="11">
        <v>0.41299999999999998</v>
      </c>
      <c r="W43" s="81">
        <v>0.02</v>
      </c>
      <c r="X43" s="11">
        <v>0.628</v>
      </c>
      <c r="Y43" s="81">
        <v>0.04</v>
      </c>
      <c r="Z43" s="18">
        <v>2.6640000000000001</v>
      </c>
      <c r="AA43" s="31"/>
      <c r="AB43" s="69">
        <f t="shared" si="19"/>
        <v>25.310817395330051</v>
      </c>
      <c r="AC43" s="69">
        <f t="shared" si="1"/>
        <v>24.476648970038383</v>
      </c>
      <c r="AD43" s="69">
        <f t="shared" si="2"/>
        <v>1.6754586770294184</v>
      </c>
      <c r="AF43" s="97">
        <v>7.99</v>
      </c>
      <c r="AG43" s="97">
        <v>0.94538100000000003</v>
      </c>
      <c r="AH43" s="97">
        <v>1.0673999999999999</v>
      </c>
      <c r="AI43" s="97">
        <v>-0.54969999999999997</v>
      </c>
      <c r="AJ43" s="97">
        <v>-0.79930000000000001</v>
      </c>
      <c r="AK43" s="97">
        <v>-2.5666000000000002</v>
      </c>
      <c r="AL43" s="97">
        <v>1.3396999999999999</v>
      </c>
      <c r="AM43" s="97">
        <v>0.4274</v>
      </c>
      <c r="AN43" s="97">
        <v>-0.38400000000000001</v>
      </c>
      <c r="AO43" s="97">
        <v>-0.3276</v>
      </c>
      <c r="AQ43" s="50">
        <f t="shared" si="20"/>
        <v>0.29599999999999999</v>
      </c>
      <c r="AR43" s="50">
        <f t="shared" ref="AR43:AR49" si="24">AT43/$AS$6</f>
        <v>0.46189368944749937</v>
      </c>
      <c r="AS43" s="50">
        <f t="shared" ref="AS43:AS49" si="25">(AQ43-$AQ$40)*0.106</f>
        <v>-3.871355555555555E-2</v>
      </c>
      <c r="AT43" s="50">
        <f>AT42-AS43</f>
        <v>0.29399533333333333</v>
      </c>
      <c r="AU43" s="50">
        <f t="shared" si="21"/>
        <v>1.5604516535388493</v>
      </c>
    </row>
    <row r="44" spans="1:47" s="68" customFormat="1" x14ac:dyDescent="0.35">
      <c r="A44" s="68">
        <v>9</v>
      </c>
      <c r="B44" s="28"/>
      <c r="C44" s="68">
        <v>25</v>
      </c>
      <c r="D44" s="68">
        <v>106</v>
      </c>
      <c r="E44" s="31">
        <f t="shared" si="22"/>
        <v>2650</v>
      </c>
      <c r="F44" s="69">
        <f t="shared" si="3"/>
        <v>1</v>
      </c>
      <c r="G44" s="25">
        <f t="shared" si="23"/>
        <v>25</v>
      </c>
      <c r="H44" s="31">
        <v>8.0299999999999994</v>
      </c>
      <c r="I44" s="31">
        <v>2020</v>
      </c>
      <c r="J44" s="31">
        <v>326</v>
      </c>
      <c r="K44" s="27">
        <v>455</v>
      </c>
      <c r="L44" s="27">
        <v>55</v>
      </c>
      <c r="M44" s="27">
        <v>0.83</v>
      </c>
      <c r="N44" s="31">
        <v>822</v>
      </c>
      <c r="O44" s="31">
        <v>22</v>
      </c>
      <c r="P44" s="21">
        <v>188.2</v>
      </c>
      <c r="Q44" s="21">
        <v>44.87</v>
      </c>
      <c r="R44" s="21">
        <v>254.7</v>
      </c>
      <c r="S44" s="21">
        <v>16.12</v>
      </c>
      <c r="T44" s="21">
        <v>13.25</v>
      </c>
      <c r="U44" s="169">
        <v>0.2</v>
      </c>
      <c r="V44" s="11">
        <v>0.44700000000000001</v>
      </c>
      <c r="W44" s="81">
        <v>0.02</v>
      </c>
      <c r="X44" s="11">
        <v>0.499</v>
      </c>
      <c r="Y44" s="81">
        <v>0.04</v>
      </c>
      <c r="Z44" s="18">
        <v>2.2029999999999998</v>
      </c>
      <c r="AA44" s="31"/>
      <c r="AB44" s="69">
        <f t="shared" si="19"/>
        <v>25.199171616146341</v>
      </c>
      <c r="AC44" s="69">
        <f t="shared" si="1"/>
        <v>24.498789232997954</v>
      </c>
      <c r="AD44" s="69">
        <f t="shared" si="2"/>
        <v>1.4092779083519407</v>
      </c>
      <c r="AF44" s="97">
        <v>8.0299999999999994</v>
      </c>
      <c r="AG44" s="97">
        <v>1.2843500000000001</v>
      </c>
      <c r="AH44" s="97">
        <v>1.0203</v>
      </c>
      <c r="AI44" s="97">
        <v>-0.63980000000000004</v>
      </c>
      <c r="AJ44" s="97">
        <v>-0.88939999999999997</v>
      </c>
      <c r="AK44" s="97">
        <v>-2.5901000000000001</v>
      </c>
      <c r="AL44" s="97">
        <v>1.2496</v>
      </c>
      <c r="AM44" s="97">
        <v>0.38229999999999997</v>
      </c>
      <c r="AN44" s="97">
        <v>-0.45200000000000001</v>
      </c>
      <c r="AO44" s="97">
        <v>-0.37080000000000002</v>
      </c>
      <c r="AQ44" s="50">
        <f t="shared" si="20"/>
        <v>0.45500000000000002</v>
      </c>
      <c r="AR44" s="50">
        <f t="shared" si="24"/>
        <v>0.49623706031247272</v>
      </c>
      <c r="AS44" s="50">
        <f t="shared" si="25"/>
        <v>-2.1859555555555545E-2</v>
      </c>
      <c r="AT44" s="50">
        <f t="shared" ref="AT44:AT49" si="26">AT43-AS44</f>
        <v>0.31585488888888885</v>
      </c>
      <c r="AU44" s="50">
        <f t="shared" si="21"/>
        <v>1.0906309017856544</v>
      </c>
    </row>
    <row r="45" spans="1:47" s="68" customFormat="1" x14ac:dyDescent="0.35">
      <c r="A45" s="68">
        <v>9</v>
      </c>
      <c r="B45" s="28"/>
      <c r="C45" s="68">
        <v>26</v>
      </c>
      <c r="D45" s="68">
        <v>106</v>
      </c>
      <c r="E45" s="31">
        <f t="shared" si="22"/>
        <v>2756</v>
      </c>
      <c r="F45" s="69">
        <f t="shared" si="3"/>
        <v>1</v>
      </c>
      <c r="G45" s="25">
        <f t="shared" si="23"/>
        <v>26</v>
      </c>
      <c r="H45" s="31">
        <v>8.02</v>
      </c>
      <c r="I45" s="31">
        <v>2046</v>
      </c>
      <c r="J45" s="31">
        <v>326</v>
      </c>
      <c r="K45" s="27">
        <v>522</v>
      </c>
      <c r="L45" s="27">
        <v>55</v>
      </c>
      <c r="M45" s="27">
        <v>0.85</v>
      </c>
      <c r="N45" s="31">
        <v>828</v>
      </c>
      <c r="O45" s="31">
        <v>23</v>
      </c>
      <c r="P45" s="21">
        <v>170.8</v>
      </c>
      <c r="Q45" s="21">
        <v>44.32</v>
      </c>
      <c r="R45" s="21">
        <v>288.60000000000002</v>
      </c>
      <c r="S45" s="21">
        <v>16.2</v>
      </c>
      <c r="T45" s="21">
        <v>12.63</v>
      </c>
      <c r="U45" s="169">
        <v>0.2</v>
      </c>
      <c r="V45" s="11">
        <v>0.44400000000000001</v>
      </c>
      <c r="W45" s="81">
        <v>0.02</v>
      </c>
      <c r="X45" s="11">
        <v>0.45700000000000002</v>
      </c>
      <c r="Y45" s="81">
        <v>0.04</v>
      </c>
      <c r="Z45" s="18">
        <v>2.0230000000000001</v>
      </c>
      <c r="AA45" s="31"/>
      <c r="AB45" s="69">
        <f t="shared" si="19"/>
        <v>25.324416120589127</v>
      </c>
      <c r="AC45" s="69">
        <f t="shared" si="1"/>
        <v>25.043992873272558</v>
      </c>
      <c r="AD45" s="69">
        <f t="shared" si="2"/>
        <v>0.55674430246693807</v>
      </c>
      <c r="AF45" s="97">
        <v>8.02</v>
      </c>
      <c r="AG45" s="97">
        <v>2.2475000000000001</v>
      </c>
      <c r="AH45" s="97">
        <v>0.96709999999999996</v>
      </c>
      <c r="AI45" s="97">
        <v>-0.67710000000000004</v>
      </c>
      <c r="AJ45" s="97">
        <v>-0.92659999999999998</v>
      </c>
      <c r="AK45" s="97">
        <v>-2.5781999999999998</v>
      </c>
      <c r="AL45" s="97">
        <v>1.1800999999999999</v>
      </c>
      <c r="AM45" s="97">
        <v>0.33279999999999998</v>
      </c>
      <c r="AN45" s="97">
        <v>-0.50119999999999998</v>
      </c>
      <c r="AO45" s="97">
        <v>-0.38700000000000001</v>
      </c>
      <c r="AQ45" s="50">
        <f t="shared" si="20"/>
        <v>0.52200000000000002</v>
      </c>
      <c r="AR45" s="50">
        <f t="shared" si="24"/>
        <v>0.51942253644060388</v>
      </c>
      <c r="AS45" s="50">
        <f t="shared" si="25"/>
        <v>-1.4757555555555546E-2</v>
      </c>
      <c r="AT45" s="50">
        <f t="shared" si="26"/>
        <v>0.33061244444444438</v>
      </c>
      <c r="AU45" s="50">
        <f t="shared" si="21"/>
        <v>0.99506233034598435</v>
      </c>
    </row>
    <row r="46" spans="1:47" s="68" customFormat="1" x14ac:dyDescent="0.35">
      <c r="A46" s="68">
        <v>9</v>
      </c>
      <c r="B46" s="28"/>
      <c r="C46" s="68">
        <v>27</v>
      </c>
      <c r="D46" s="68">
        <v>106</v>
      </c>
      <c r="E46" s="31">
        <f t="shared" si="22"/>
        <v>2862</v>
      </c>
      <c r="F46" s="69">
        <f t="shared" si="3"/>
        <v>1</v>
      </c>
      <c r="G46" s="25">
        <f t="shared" si="23"/>
        <v>27</v>
      </c>
      <c r="H46" s="31">
        <v>7.98</v>
      </c>
      <c r="I46" s="31">
        <v>2040</v>
      </c>
      <c r="J46" s="31">
        <v>326</v>
      </c>
      <c r="K46" s="27">
        <v>546</v>
      </c>
      <c r="L46" s="27">
        <v>55</v>
      </c>
      <c r="M46" s="27">
        <v>1.3</v>
      </c>
      <c r="N46" s="31">
        <v>817</v>
      </c>
      <c r="O46" s="31">
        <v>21</v>
      </c>
      <c r="P46" s="21">
        <v>170.3</v>
      </c>
      <c r="Q46" s="21">
        <v>44.55</v>
      </c>
      <c r="R46" s="21">
        <v>299.3</v>
      </c>
      <c r="S46" s="21">
        <v>16.809999999999999</v>
      </c>
      <c r="T46" s="21">
        <v>12.02</v>
      </c>
      <c r="U46" s="169">
        <v>0.2</v>
      </c>
      <c r="V46" s="11">
        <v>0.44</v>
      </c>
      <c r="W46" s="81">
        <v>0.02</v>
      </c>
      <c r="X46" s="11">
        <v>0.45500000000000002</v>
      </c>
      <c r="Y46" s="81">
        <v>0.04</v>
      </c>
      <c r="Z46" s="18">
        <v>1.9770000000000001</v>
      </c>
      <c r="AA46" s="31"/>
      <c r="AB46" s="69">
        <f t="shared" si="19"/>
        <v>25.102650658142945</v>
      </c>
      <c r="AC46" s="69">
        <f t="shared" si="1"/>
        <v>25.487775971854866</v>
      </c>
      <c r="AD46" s="69">
        <f t="shared" si="2"/>
        <v>0.76126124914621529</v>
      </c>
      <c r="AF46" s="97">
        <v>7.98</v>
      </c>
      <c r="AG46" s="97">
        <v>3.8328199999999999</v>
      </c>
      <c r="AH46" s="97">
        <v>0.92920000000000003</v>
      </c>
      <c r="AI46" s="97">
        <v>-0.68300000000000005</v>
      </c>
      <c r="AJ46" s="97">
        <v>-0.9325</v>
      </c>
      <c r="AK46" s="97">
        <v>-2.5369999999999999</v>
      </c>
      <c r="AL46" s="97">
        <v>1.1073</v>
      </c>
      <c r="AM46" s="97">
        <v>0.29320000000000002</v>
      </c>
      <c r="AN46" s="97">
        <v>-0.50460000000000005</v>
      </c>
      <c r="AO46" s="97">
        <v>-0.4219</v>
      </c>
      <c r="AQ46" s="50">
        <f t="shared" si="20"/>
        <v>0.54600000000000004</v>
      </c>
      <c r="AR46" s="50">
        <f t="shared" si="24"/>
        <v>0.53861115475255295</v>
      </c>
      <c r="AS46" s="50">
        <f t="shared" si="25"/>
        <v>-1.2213555555555543E-2</v>
      </c>
      <c r="AT46" s="50">
        <f t="shared" si="26"/>
        <v>0.34282599999999991</v>
      </c>
      <c r="AU46" s="50">
        <f t="shared" si="21"/>
        <v>0.986467316396617</v>
      </c>
    </row>
    <row r="47" spans="1:47" s="68" customFormat="1" x14ac:dyDescent="0.35">
      <c r="A47" s="68">
        <v>9</v>
      </c>
      <c r="B47" s="28"/>
      <c r="C47" s="68">
        <v>28</v>
      </c>
      <c r="D47" s="68">
        <v>106</v>
      </c>
      <c r="E47" s="31">
        <f t="shared" si="22"/>
        <v>2968</v>
      </c>
      <c r="F47" s="69">
        <f t="shared" si="3"/>
        <v>1</v>
      </c>
      <c r="G47" s="25">
        <f t="shared" si="23"/>
        <v>28</v>
      </c>
      <c r="H47" s="31">
        <v>7.93</v>
      </c>
      <c r="I47" s="31">
        <v>2050</v>
      </c>
      <c r="J47" s="31">
        <v>324</v>
      </c>
      <c r="K47" s="27">
        <v>553</v>
      </c>
      <c r="L47" s="27">
        <v>55</v>
      </c>
      <c r="M47" s="27">
        <v>0.83</v>
      </c>
      <c r="N47" s="31">
        <v>843</v>
      </c>
      <c r="O47" s="31">
        <v>22</v>
      </c>
      <c r="P47" s="21">
        <v>164.3</v>
      </c>
      <c r="Q47" s="21">
        <v>44.85</v>
      </c>
      <c r="R47" s="21">
        <v>301</v>
      </c>
      <c r="S47" s="21">
        <v>17.25</v>
      </c>
      <c r="T47" s="21">
        <v>11.56</v>
      </c>
      <c r="U47" s="169">
        <v>0.2</v>
      </c>
      <c r="V47" s="11">
        <v>0.43099999999999999</v>
      </c>
      <c r="W47" s="81">
        <v>0.02</v>
      </c>
      <c r="X47" s="11">
        <v>0.441</v>
      </c>
      <c r="Y47" s="81">
        <v>0.04</v>
      </c>
      <c r="Z47" s="18">
        <v>1.9330000000000001</v>
      </c>
      <c r="AA47" s="31"/>
      <c r="AB47" s="69">
        <f t="shared" si="19"/>
        <v>25.596398349438036</v>
      </c>
      <c r="AC47" s="69">
        <f t="shared" si="1"/>
        <v>25.275226314561717</v>
      </c>
      <c r="AD47" s="69">
        <f t="shared" si="2"/>
        <v>0.6313382696102543</v>
      </c>
      <c r="AF47" s="97">
        <v>7.93</v>
      </c>
      <c r="AG47" s="97">
        <v>2.0960899999999998</v>
      </c>
      <c r="AH47" s="97">
        <v>0.85870000000000002</v>
      </c>
      <c r="AI47" s="97">
        <v>-0.6875</v>
      </c>
      <c r="AJ47" s="97">
        <v>-0.93700000000000006</v>
      </c>
      <c r="AK47" s="97">
        <v>-2.4872999999999998</v>
      </c>
      <c r="AL47" s="97">
        <v>0.98519999999999996</v>
      </c>
      <c r="AM47" s="97">
        <v>0.22489999999999999</v>
      </c>
      <c r="AN47" s="97">
        <v>-0.53459999999999996</v>
      </c>
      <c r="AO47" s="97">
        <v>-0.47349999999999998</v>
      </c>
      <c r="AQ47" s="50">
        <f t="shared" si="20"/>
        <v>0.55300000000000005</v>
      </c>
      <c r="AR47" s="50">
        <f t="shared" si="24"/>
        <v>0.55663402286811547</v>
      </c>
      <c r="AS47" s="50">
        <f t="shared" si="25"/>
        <v>-1.1471555555555544E-2</v>
      </c>
      <c r="AT47" s="50">
        <f t="shared" si="26"/>
        <v>0.35429755555555548</v>
      </c>
      <c r="AU47" s="50">
        <f t="shared" si="21"/>
        <v>1.0065714699242594</v>
      </c>
    </row>
    <row r="48" spans="1:47" s="68" customFormat="1" x14ac:dyDescent="0.35">
      <c r="A48" s="68">
        <v>9</v>
      </c>
      <c r="B48" s="28"/>
      <c r="C48" s="68">
        <v>29</v>
      </c>
      <c r="D48" s="68">
        <v>106</v>
      </c>
      <c r="E48" s="31">
        <f t="shared" si="22"/>
        <v>3074</v>
      </c>
      <c r="F48" s="69">
        <f t="shared" si="3"/>
        <v>1</v>
      </c>
      <c r="G48" s="25">
        <f t="shared" si="23"/>
        <v>29</v>
      </c>
      <c r="H48" s="31">
        <v>7.88</v>
      </c>
      <c r="I48" s="31">
        <v>2040</v>
      </c>
      <c r="J48" s="31">
        <v>326</v>
      </c>
      <c r="K48" s="27">
        <v>557</v>
      </c>
      <c r="L48" s="27">
        <v>55</v>
      </c>
      <c r="M48" s="27">
        <v>0.83</v>
      </c>
      <c r="N48" s="31">
        <v>832</v>
      </c>
      <c r="O48" s="31">
        <v>24</v>
      </c>
      <c r="P48" s="21">
        <v>166.8</v>
      </c>
      <c r="Q48" s="21">
        <v>47.51</v>
      </c>
      <c r="R48" s="21">
        <v>301.39999999999998</v>
      </c>
      <c r="S48" s="21">
        <v>17.829999999999998</v>
      </c>
      <c r="T48" s="21">
        <v>11.05</v>
      </c>
      <c r="U48" s="169">
        <v>0.2</v>
      </c>
      <c r="V48" s="11">
        <v>0.43</v>
      </c>
      <c r="W48" s="81">
        <v>0.02</v>
      </c>
      <c r="X48" s="11">
        <v>0.44500000000000001</v>
      </c>
      <c r="Y48" s="81">
        <v>0.04</v>
      </c>
      <c r="Z48" s="18">
        <v>1.861</v>
      </c>
      <c r="AA48" s="31"/>
      <c r="AB48" s="69">
        <f t="shared" si="19"/>
        <v>25.40737482247572</v>
      </c>
      <c r="AC48" s="69">
        <f t="shared" si="1"/>
        <v>25.623082204376352</v>
      </c>
      <c r="AD48" s="69">
        <f t="shared" si="2"/>
        <v>0.42270321386133675</v>
      </c>
      <c r="AF48" s="97">
        <v>7.88</v>
      </c>
      <c r="AG48" s="97">
        <v>3.3738100000000002</v>
      </c>
      <c r="AH48" s="97">
        <v>0.82130000000000003</v>
      </c>
      <c r="AI48" s="97">
        <v>-0.68689999999999996</v>
      </c>
      <c r="AJ48" s="97">
        <v>-0.93640000000000001</v>
      </c>
      <c r="AK48" s="97">
        <v>-2.4338000000000002</v>
      </c>
      <c r="AL48" s="97">
        <v>0.9284</v>
      </c>
      <c r="AM48" s="97">
        <v>0.18379999999999999</v>
      </c>
      <c r="AN48" s="97">
        <v>-0.52669999999999995</v>
      </c>
      <c r="AO48" s="97">
        <v>-0.4929</v>
      </c>
      <c r="AQ48" s="50">
        <f t="shared" si="20"/>
        <v>0.55700000000000005</v>
      </c>
      <c r="AR48" s="50">
        <f t="shared" si="24"/>
        <v>0.57399074801431427</v>
      </c>
      <c r="AS48" s="50">
        <f t="shared" si="25"/>
        <v>-1.1047555555555543E-2</v>
      </c>
      <c r="AT48" s="50">
        <f t="shared" si="26"/>
        <v>0.36534511111111101</v>
      </c>
      <c r="AU48" s="50">
        <f t="shared" si="21"/>
        <v>1.0305040359323414</v>
      </c>
    </row>
    <row r="49" spans="1:47" s="68" customFormat="1" x14ac:dyDescent="0.35">
      <c r="A49" s="68">
        <v>9</v>
      </c>
      <c r="B49" s="28">
        <v>43526</v>
      </c>
      <c r="C49" s="68">
        <v>30</v>
      </c>
      <c r="D49" s="68">
        <v>106</v>
      </c>
      <c r="E49" s="31">
        <f t="shared" si="22"/>
        <v>3180</v>
      </c>
      <c r="F49" s="69">
        <f t="shared" si="3"/>
        <v>1</v>
      </c>
      <c r="G49" s="25">
        <f t="shared" si="23"/>
        <v>30</v>
      </c>
      <c r="H49" s="31">
        <v>8.02</v>
      </c>
      <c r="I49" s="31">
        <v>2030</v>
      </c>
      <c r="J49" s="31">
        <v>322</v>
      </c>
      <c r="K49" s="27">
        <v>579</v>
      </c>
      <c r="L49" s="27">
        <v>55</v>
      </c>
      <c r="M49" s="18">
        <v>1</v>
      </c>
      <c r="N49" s="31">
        <v>831</v>
      </c>
      <c r="O49" s="31">
        <v>22</v>
      </c>
      <c r="P49" s="21">
        <v>160.5</v>
      </c>
      <c r="Q49" s="21">
        <v>47.69</v>
      </c>
      <c r="R49" s="21">
        <v>298</v>
      </c>
      <c r="S49" s="21">
        <v>18.809999999999999</v>
      </c>
      <c r="T49" s="21">
        <v>10.56</v>
      </c>
      <c r="U49" s="169">
        <v>0.2</v>
      </c>
      <c r="V49" s="163">
        <v>0.436</v>
      </c>
      <c r="W49" s="81">
        <v>0.02</v>
      </c>
      <c r="X49" s="163">
        <v>0.46</v>
      </c>
      <c r="Y49" s="81">
        <v>0.04</v>
      </c>
      <c r="Z49" s="170">
        <v>1.8460000000000001</v>
      </c>
      <c r="AA49" s="31"/>
      <c r="AB49" s="69">
        <f t="shared" si="19"/>
        <v>25.309296437326651</v>
      </c>
      <c r="AC49" s="69">
        <f t="shared" si="1"/>
        <v>25.16309122203597</v>
      </c>
      <c r="AD49" s="69">
        <f t="shared" si="2"/>
        <v>0.2896736652868856</v>
      </c>
      <c r="AF49" s="97">
        <v>8.02</v>
      </c>
      <c r="AG49" s="97">
        <v>2.5185</v>
      </c>
      <c r="AH49" s="97">
        <v>0.93440000000000001</v>
      </c>
      <c r="AI49" s="97">
        <v>-0.70189999999999997</v>
      </c>
      <c r="AJ49" s="97">
        <v>-0.95140000000000002</v>
      </c>
      <c r="AK49" s="97">
        <v>-2.5830000000000002</v>
      </c>
      <c r="AL49" s="97">
        <v>1.1735</v>
      </c>
      <c r="AM49" s="97">
        <v>0.32990000000000003</v>
      </c>
      <c r="AN49" s="97">
        <v>-0.53739999999999999</v>
      </c>
      <c r="AO49" s="97">
        <v>-0.3609</v>
      </c>
      <c r="AQ49" s="50">
        <f t="shared" si="20"/>
        <v>0.57899999999999996</v>
      </c>
      <c r="AR49" s="50">
        <f t="shared" si="24"/>
        <v>0.58768368682901273</v>
      </c>
      <c r="AS49" s="50">
        <f t="shared" si="25"/>
        <v>-8.7155555555555528E-3</v>
      </c>
      <c r="AT49" s="50">
        <f t="shared" si="26"/>
        <v>0.37406066666666654</v>
      </c>
      <c r="AU49" s="50">
        <f t="shared" si="21"/>
        <v>1.0149977320017491</v>
      </c>
    </row>
    <row r="50" spans="1:47" s="68" customFormat="1" x14ac:dyDescent="0.35">
      <c r="B50" s="28"/>
      <c r="E50" s="31"/>
      <c r="F50" s="69"/>
      <c r="G50" s="25"/>
      <c r="K50" s="65"/>
      <c r="L50" s="65"/>
      <c r="N50" s="31"/>
      <c r="P50" s="66"/>
      <c r="Q50" s="65"/>
      <c r="R50" s="11"/>
      <c r="S50" s="32"/>
      <c r="T50" s="32"/>
      <c r="U50" s="65"/>
      <c r="V50" s="65"/>
      <c r="W50" s="65"/>
      <c r="X50" s="65"/>
      <c r="Y50" s="65"/>
      <c r="Z50" s="65"/>
      <c r="AB50" s="69"/>
      <c r="AC50" s="69"/>
      <c r="AD50" s="69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Q50" s="149"/>
      <c r="AR50" s="149"/>
      <c r="AS50" s="149"/>
      <c r="AT50" s="149"/>
      <c r="AU50" s="149"/>
    </row>
    <row r="51" spans="1:47" s="68" customFormat="1" x14ac:dyDescent="0.35">
      <c r="A51" s="68" t="s">
        <v>76</v>
      </c>
      <c r="B51" s="28"/>
      <c r="E51" s="31"/>
      <c r="F51" s="69"/>
      <c r="G51" s="25"/>
      <c r="H51" s="69" t="s">
        <v>267</v>
      </c>
      <c r="I51" s="165">
        <f>'Influent Results Master'!D38</f>
        <v>2311.5</v>
      </c>
      <c r="J51" s="165">
        <f>'Influent Results Master'!F38</f>
        <v>244.83333333333331</v>
      </c>
      <c r="K51" s="165">
        <f>'Influent Results Master'!G38</f>
        <v>85.666666666666671</v>
      </c>
      <c r="L51" s="165">
        <f>'Influent Results Master'!H38</f>
        <v>91.5</v>
      </c>
      <c r="M51" s="165">
        <f>'Influent Results Master'!I38</f>
        <v>16.333333333333332</v>
      </c>
      <c r="N51" s="165">
        <f>'Influent Results Master'!J38</f>
        <v>975.66666666666674</v>
      </c>
      <c r="O51" s="165">
        <f>'Influent Results Master'!K38</f>
        <v>20</v>
      </c>
      <c r="P51" s="165">
        <f>'Influent Results Master'!L38</f>
        <v>158.21666666666667</v>
      </c>
      <c r="Q51" s="165">
        <f>'Influent Results Master'!M38</f>
        <v>44.49</v>
      </c>
      <c r="R51" s="165">
        <f>'Influent Results Master'!N38</f>
        <v>407.98333333333335</v>
      </c>
      <c r="S51" s="165">
        <f>'Influent Results Master'!O38</f>
        <v>22.978333333333335</v>
      </c>
      <c r="T51" s="170">
        <f>'Influent Results Master'!P38</f>
        <v>8.5111666666666679</v>
      </c>
      <c r="U51" s="167">
        <f>'Influent Results Master'!Q38</f>
        <v>0.20000000000000004</v>
      </c>
      <c r="V51" s="177">
        <f>'Influent Results Master'!R38</f>
        <v>0.02</v>
      </c>
      <c r="W51" s="177">
        <f>'Influent Results Master'!S38</f>
        <v>0.02</v>
      </c>
      <c r="X51" s="163">
        <f>'Influent Results Master'!T38</f>
        <v>0.44666666666666671</v>
      </c>
      <c r="Y51" s="177">
        <f>'Influent Results Master'!U38</f>
        <v>0.04</v>
      </c>
      <c r="Z51" s="170">
        <f>'Influent Results Master'!V38</f>
        <v>1.7963333333333331</v>
      </c>
      <c r="AB51" s="69">
        <f>((J51/50)+(L51/35.45)+(M51/62)+(N51/48.03))</f>
        <v>28.054900498795039</v>
      </c>
      <c r="AC51" s="69">
        <f t="shared" si="1"/>
        <v>29.517558751050874</v>
      </c>
      <c r="AD51" s="69">
        <f t="shared" si="2"/>
        <v>2.5405519780010954</v>
      </c>
      <c r="AF51" s="97">
        <v>8</v>
      </c>
      <c r="AG51" s="97">
        <v>-0.38630300000000001</v>
      </c>
      <c r="AH51" s="97">
        <v>0.75439999999999996</v>
      </c>
      <c r="AI51" s="97">
        <v>-0.68069999999999997</v>
      </c>
      <c r="AJ51" s="97">
        <v>-0.93</v>
      </c>
      <c r="AK51" s="97">
        <v>-2.6833</v>
      </c>
      <c r="AL51" s="97">
        <v>0.79169999999999996</v>
      </c>
      <c r="AM51" s="97">
        <v>9.4200000000000006E-2</v>
      </c>
      <c r="AN51" s="97">
        <v>-1.9345000000000001</v>
      </c>
      <c r="AO51" s="97">
        <v>-0.56269999999999998</v>
      </c>
      <c r="AQ51" s="50">
        <f>K51/1000</f>
        <v>8.5666666666666669E-2</v>
      </c>
      <c r="AR51" s="149"/>
      <c r="AS51" s="149"/>
      <c r="AT51" s="149"/>
      <c r="AU51" s="149"/>
    </row>
    <row r="52" spans="1:47" s="68" customFormat="1" x14ac:dyDescent="0.35">
      <c r="B52" s="28"/>
      <c r="E52" s="31"/>
      <c r="F52" s="69"/>
      <c r="G52" s="25"/>
      <c r="K52" s="65"/>
      <c r="L52" s="65"/>
      <c r="N52" s="31"/>
      <c r="P52" s="66"/>
      <c r="Q52" s="65"/>
      <c r="R52" s="11"/>
      <c r="S52" s="32"/>
      <c r="T52" s="32"/>
      <c r="U52" s="67"/>
      <c r="AB52" s="69"/>
      <c r="AC52" s="69"/>
      <c r="AD52" s="69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Q52" s="149"/>
      <c r="AR52" s="149"/>
      <c r="AS52" s="149"/>
      <c r="AT52" s="149"/>
      <c r="AU52" s="149"/>
    </row>
    <row r="53" spans="1:47" s="68" customFormat="1" x14ac:dyDescent="0.35">
      <c r="A53" s="68">
        <v>9</v>
      </c>
      <c r="B53" s="28">
        <v>43526</v>
      </c>
      <c r="C53" s="68">
        <v>31</v>
      </c>
      <c r="D53" s="68">
        <v>106</v>
      </c>
      <c r="E53" s="31">
        <f>D53+E49</f>
        <v>3286</v>
      </c>
      <c r="F53" s="69">
        <f t="shared" si="3"/>
        <v>1</v>
      </c>
      <c r="G53" s="25">
        <f>G49+F53</f>
        <v>31</v>
      </c>
      <c r="H53" s="31">
        <v>7.96</v>
      </c>
      <c r="I53" s="31">
        <v>2240</v>
      </c>
      <c r="J53" s="31">
        <v>281</v>
      </c>
      <c r="K53" s="27">
        <v>545</v>
      </c>
      <c r="L53" s="27">
        <v>77</v>
      </c>
      <c r="M53" s="31">
        <v>11</v>
      </c>
      <c r="N53" s="31">
        <v>977</v>
      </c>
      <c r="O53" s="31">
        <v>21</v>
      </c>
      <c r="P53" s="21">
        <v>179.8</v>
      </c>
      <c r="Q53" s="21">
        <v>55.04</v>
      </c>
      <c r="R53" s="21">
        <v>288</v>
      </c>
      <c r="S53" s="21">
        <v>18.329999999999998</v>
      </c>
      <c r="T53" s="21">
        <v>9.9879999999999995</v>
      </c>
      <c r="U53" s="169">
        <v>0.2</v>
      </c>
      <c r="V53" s="68">
        <v>0.28000000000000003</v>
      </c>
      <c r="W53" s="81">
        <v>0.02</v>
      </c>
      <c r="X53" s="163">
        <v>0.55000000000000004</v>
      </c>
      <c r="Y53" s="81">
        <v>0.04</v>
      </c>
      <c r="Z53" s="170">
        <v>2.1219999999999999</v>
      </c>
      <c r="AA53" s="31"/>
      <c r="AB53" s="69">
        <f t="shared" ref="AB53:AB60" si="27">((J53/50)+(L53/35.45)+(M53/62)+(N53/48.03))</f>
        <v>28.310945955955134</v>
      </c>
      <c r="AC53" s="69">
        <f t="shared" si="1"/>
        <v>26.281004980957082</v>
      </c>
      <c r="AD53" s="69">
        <f t="shared" si="2"/>
        <v>3.718388773729485</v>
      </c>
      <c r="AE53" s="31"/>
      <c r="AF53" s="97">
        <v>7.96</v>
      </c>
      <c r="AG53" s="97">
        <v>-5.0627500000000003</v>
      </c>
      <c r="AH53" s="97">
        <v>0.84030000000000005</v>
      </c>
      <c r="AI53" s="97">
        <v>-0.61970000000000003</v>
      </c>
      <c r="AJ53" s="97">
        <v>-0.86909999999999998</v>
      </c>
      <c r="AK53" s="97">
        <v>-2.5842000000000001</v>
      </c>
      <c r="AL53" s="97">
        <v>0.99939999999999996</v>
      </c>
      <c r="AM53" s="97">
        <v>0.26040000000000002</v>
      </c>
      <c r="AN53" s="97">
        <v>-0.71489999999999998</v>
      </c>
      <c r="AO53" s="97">
        <v>-0.44090000000000001</v>
      </c>
      <c r="AQ53" s="50">
        <f t="shared" ref="AQ53:AQ60" si="28">K53/1000</f>
        <v>0.54500000000000004</v>
      </c>
      <c r="AR53" s="50">
        <f>AT53/$AS$6</f>
        <v>0.5111882691804136</v>
      </c>
      <c r="AS53" s="50">
        <f>(AQ53-$AQ$51)*0.106</f>
        <v>4.8689333333333334E-2</v>
      </c>
      <c r="AT53" s="50">
        <f>AT49-AS53</f>
        <v>0.32537133333333323</v>
      </c>
      <c r="AU53" s="50">
        <f t="shared" ref="AU53:AU60" si="29">AR53/AQ53</f>
        <v>0.93796012693653863</v>
      </c>
    </row>
    <row r="54" spans="1:47" s="68" customFormat="1" x14ac:dyDescent="0.35">
      <c r="A54" s="68">
        <v>9</v>
      </c>
      <c r="B54" s="28"/>
      <c r="C54" s="68">
        <v>32</v>
      </c>
      <c r="D54" s="68">
        <v>106</v>
      </c>
      <c r="E54" s="31">
        <f>D54+E53</f>
        <v>3392</v>
      </c>
      <c r="F54" s="69">
        <f t="shared" si="3"/>
        <v>1</v>
      </c>
      <c r="G54" s="25">
        <f>G53+F54</f>
        <v>32</v>
      </c>
      <c r="H54" s="31">
        <v>7.93</v>
      </c>
      <c r="I54" s="31">
        <v>2330</v>
      </c>
      <c r="J54" s="31">
        <v>253</v>
      </c>
      <c r="K54" s="27">
        <v>443</v>
      </c>
      <c r="L54" s="27">
        <v>88</v>
      </c>
      <c r="M54" s="186">
        <v>16</v>
      </c>
      <c r="N54" s="31">
        <v>1046</v>
      </c>
      <c r="O54" s="31">
        <v>17</v>
      </c>
      <c r="P54" s="21">
        <v>181.6</v>
      </c>
      <c r="Q54" s="21">
        <v>55</v>
      </c>
      <c r="R54" s="21">
        <v>323</v>
      </c>
      <c r="S54" s="21">
        <v>18.12</v>
      </c>
      <c r="T54" s="21">
        <v>10.73</v>
      </c>
      <c r="U54" s="169">
        <v>0.2</v>
      </c>
      <c r="V54" s="27">
        <v>6.9000000000000006E-2</v>
      </c>
      <c r="W54" s="81">
        <v>0.02</v>
      </c>
      <c r="X54" s="11">
        <v>0.57699999999999996</v>
      </c>
      <c r="Y54" s="81">
        <v>0.04</v>
      </c>
      <c r="Z54" s="18">
        <v>2.117</v>
      </c>
      <c r="AA54" s="31"/>
      <c r="AB54" s="69">
        <f t="shared" si="27"/>
        <v>29.578489432737626</v>
      </c>
      <c r="AC54" s="69">
        <f t="shared" si="1"/>
        <v>27.908913892583637</v>
      </c>
      <c r="AD54" s="69">
        <f t="shared" si="2"/>
        <v>2.9042458757544845</v>
      </c>
      <c r="AE54" s="31"/>
      <c r="AF54" s="97">
        <v>7.93</v>
      </c>
      <c r="AG54" s="97">
        <v>-4.5084900000000001</v>
      </c>
      <c r="AH54" s="97">
        <v>0.75849999999999995</v>
      </c>
      <c r="AI54" s="97">
        <v>-0.60060000000000002</v>
      </c>
      <c r="AJ54" s="97">
        <v>-0.85</v>
      </c>
      <c r="AK54" s="97">
        <v>-2.6002999999999998</v>
      </c>
      <c r="AL54" s="97">
        <v>0.83130000000000004</v>
      </c>
      <c r="AM54" s="97">
        <v>0.19289999999999999</v>
      </c>
      <c r="AN54" s="97">
        <v>-1.3351</v>
      </c>
      <c r="AO54" s="97">
        <v>-0.5272</v>
      </c>
      <c r="AQ54" s="50">
        <f t="shared" si="28"/>
        <v>0.443</v>
      </c>
      <c r="AR54" s="50">
        <f t="shared" ref="AR54:AR60" si="30">AT54/$AS$6</f>
        <v>0.45167949725058903</v>
      </c>
      <c r="AS54" s="50">
        <f t="shared" ref="AS54:AS60" si="31">(AQ54-$AQ$51)*0.106</f>
        <v>3.7877333333333332E-2</v>
      </c>
      <c r="AT54" s="50">
        <f>AT53-AS54</f>
        <v>0.28749399999999992</v>
      </c>
      <c r="AU54" s="50">
        <f t="shared" si="29"/>
        <v>1.0195925445837224</v>
      </c>
    </row>
    <row r="55" spans="1:47" s="68" customFormat="1" x14ac:dyDescent="0.35">
      <c r="A55" s="68">
        <v>9</v>
      </c>
      <c r="B55" s="28"/>
      <c r="C55" s="68">
        <v>33</v>
      </c>
      <c r="D55" s="68">
        <v>106</v>
      </c>
      <c r="E55" s="31">
        <f t="shared" ref="E55:E60" si="32">D55+E54</f>
        <v>3498</v>
      </c>
      <c r="F55" s="69">
        <f t="shared" si="3"/>
        <v>1</v>
      </c>
      <c r="G55" s="25">
        <f t="shared" ref="G55:G60" si="33">G54+F55</f>
        <v>33</v>
      </c>
      <c r="H55" s="31">
        <v>7.9</v>
      </c>
      <c r="I55" s="31">
        <v>2370</v>
      </c>
      <c r="J55" s="31">
        <v>248</v>
      </c>
      <c r="K55" s="27">
        <v>312</v>
      </c>
      <c r="L55" s="27">
        <v>88</v>
      </c>
      <c r="M55" s="186">
        <v>16</v>
      </c>
      <c r="N55" s="31">
        <v>1046</v>
      </c>
      <c r="O55" s="31">
        <v>20</v>
      </c>
      <c r="P55" s="12">
        <v>160.19999999999999</v>
      </c>
      <c r="Q55" s="12">
        <v>49.64</v>
      </c>
      <c r="R55" s="12">
        <v>346</v>
      </c>
      <c r="S55" s="12">
        <v>18.079999999999998</v>
      </c>
      <c r="T55" s="12">
        <v>10.130000000000001</v>
      </c>
      <c r="U55" s="169">
        <v>0.2</v>
      </c>
      <c r="V55" s="81">
        <v>0.02</v>
      </c>
      <c r="W55" s="81">
        <v>0.02</v>
      </c>
      <c r="X55" s="11">
        <v>0.51800000000000002</v>
      </c>
      <c r="Y55" s="81">
        <v>0.04</v>
      </c>
      <c r="Z55" s="18">
        <v>1.879</v>
      </c>
      <c r="AA55" s="31"/>
      <c r="AB55" s="69">
        <f t="shared" si="27"/>
        <v>29.478489432737629</v>
      </c>
      <c r="AC55" s="69">
        <f t="shared" si="1"/>
        <v>27.38534985062698</v>
      </c>
      <c r="AD55" s="69">
        <f t="shared" si="2"/>
        <v>3.6809677441582664</v>
      </c>
      <c r="AE55" s="31"/>
      <c r="AF55" s="97">
        <v>7.9</v>
      </c>
      <c r="AG55" s="97">
        <v>-5.4078799999999996</v>
      </c>
      <c r="AH55" s="97">
        <v>0.6673</v>
      </c>
      <c r="AI55" s="97">
        <v>-0.64780000000000004</v>
      </c>
      <c r="AJ55" s="97">
        <v>-0.8972</v>
      </c>
      <c r="AK55" s="97">
        <v>-2.5750999999999999</v>
      </c>
      <c r="AL55" s="97">
        <v>0.65900000000000003</v>
      </c>
      <c r="AM55" s="97">
        <v>0.1104</v>
      </c>
      <c r="AN55" s="97">
        <v>-1.9283999999999999</v>
      </c>
      <c r="AO55" s="97">
        <v>-0.60819999999999996</v>
      </c>
      <c r="AQ55" s="50">
        <f t="shared" si="28"/>
        <v>0.312</v>
      </c>
      <c r="AR55" s="50">
        <f t="shared" si="30"/>
        <v>0.41398690756742595</v>
      </c>
      <c r="AS55" s="50">
        <f t="shared" si="31"/>
        <v>2.3991333333333333E-2</v>
      </c>
      <c r="AT55" s="50">
        <f t="shared" ref="AT55:AT60" si="34">AT54-AS55</f>
        <v>0.26350266666666661</v>
      </c>
      <c r="AU55" s="50">
        <f t="shared" si="29"/>
        <v>1.3268811139981602</v>
      </c>
    </row>
    <row r="56" spans="1:47" s="68" customFormat="1" x14ac:dyDescent="0.35">
      <c r="A56" s="68">
        <v>9</v>
      </c>
      <c r="B56" s="28"/>
      <c r="C56" s="68">
        <v>34</v>
      </c>
      <c r="D56" s="68">
        <v>106</v>
      </c>
      <c r="E56" s="31">
        <f t="shared" si="32"/>
        <v>3604</v>
      </c>
      <c r="F56" s="69">
        <f t="shared" si="3"/>
        <v>1</v>
      </c>
      <c r="G56" s="25">
        <f t="shared" si="33"/>
        <v>34</v>
      </c>
      <c r="H56" s="31">
        <v>7.87</v>
      </c>
      <c r="I56" s="31">
        <v>2370</v>
      </c>
      <c r="J56" s="31">
        <v>246</v>
      </c>
      <c r="K56" s="27">
        <v>229</v>
      </c>
      <c r="L56" s="27">
        <v>89</v>
      </c>
      <c r="M56" s="186">
        <v>16</v>
      </c>
      <c r="N56" s="31">
        <v>1031</v>
      </c>
      <c r="O56" s="31">
        <v>16</v>
      </c>
      <c r="P56" s="21">
        <v>153.1</v>
      </c>
      <c r="Q56" s="21">
        <v>46.68</v>
      </c>
      <c r="R56" s="21">
        <v>360</v>
      </c>
      <c r="S56" s="21">
        <v>18.559999999999999</v>
      </c>
      <c r="T56" s="21">
        <v>10.24</v>
      </c>
      <c r="U56" s="169">
        <v>0.2</v>
      </c>
      <c r="V56" s="81">
        <v>0.02</v>
      </c>
      <c r="W56" s="81">
        <v>0.02</v>
      </c>
      <c r="X56" s="11">
        <v>0.504</v>
      </c>
      <c r="Y56" s="81">
        <v>0.04</v>
      </c>
      <c r="Z56" s="18">
        <v>1.8680000000000001</v>
      </c>
      <c r="AA56" s="31"/>
      <c r="AB56" s="69">
        <f t="shared" si="27"/>
        <v>29.154393367954423</v>
      </c>
      <c r="AC56" s="69">
        <f t="shared" si="1"/>
        <v>27.399411097635326</v>
      </c>
      <c r="AD56" s="69">
        <f t="shared" si="2"/>
        <v>3.1032081517821117</v>
      </c>
      <c r="AE56" s="31"/>
      <c r="AF56" s="97">
        <v>7.87</v>
      </c>
      <c r="AG56" s="97">
        <v>-4.7298799999999996</v>
      </c>
      <c r="AH56" s="97">
        <v>0.61760000000000004</v>
      </c>
      <c r="AI56" s="97">
        <v>-0.66879999999999995</v>
      </c>
      <c r="AJ56" s="97">
        <v>-0.91820000000000002</v>
      </c>
      <c r="AK56" s="97">
        <v>-2.5466000000000002</v>
      </c>
      <c r="AL56" s="97">
        <v>0.55259999999999998</v>
      </c>
      <c r="AM56" s="97">
        <v>6.8599999999999994E-2</v>
      </c>
      <c r="AN56" s="97">
        <v>-1.9458</v>
      </c>
      <c r="AO56" s="97">
        <v>-0.66510000000000002</v>
      </c>
      <c r="AQ56" s="50">
        <f t="shared" si="28"/>
        <v>0.22900000000000001</v>
      </c>
      <c r="AR56" s="50">
        <f t="shared" si="30"/>
        <v>0.39011678449855974</v>
      </c>
      <c r="AS56" s="50">
        <f t="shared" si="31"/>
        <v>1.5193333333333333E-2</v>
      </c>
      <c r="AT56" s="50">
        <f t="shared" si="34"/>
        <v>0.24830933333333327</v>
      </c>
      <c r="AU56" s="50">
        <f t="shared" si="29"/>
        <v>1.7035667445351954</v>
      </c>
    </row>
    <row r="57" spans="1:47" s="68" customFormat="1" x14ac:dyDescent="0.35">
      <c r="A57" s="68">
        <v>9</v>
      </c>
      <c r="B57" s="28"/>
      <c r="C57" s="68">
        <v>35</v>
      </c>
      <c r="D57" s="68">
        <v>106</v>
      </c>
      <c r="E57" s="31">
        <f t="shared" si="32"/>
        <v>3710</v>
      </c>
      <c r="F57" s="69">
        <f t="shared" si="3"/>
        <v>1</v>
      </c>
      <c r="G57" s="25">
        <f t="shared" si="33"/>
        <v>35</v>
      </c>
      <c r="H57" s="31">
        <v>7.83</v>
      </c>
      <c r="I57" s="31">
        <v>2350</v>
      </c>
      <c r="J57" s="31">
        <v>246</v>
      </c>
      <c r="K57" s="27">
        <v>189</v>
      </c>
      <c r="L57" s="27">
        <v>89</v>
      </c>
      <c r="M57" s="186">
        <v>16</v>
      </c>
      <c r="N57" s="31">
        <v>1040</v>
      </c>
      <c r="O57" s="31">
        <v>16</v>
      </c>
      <c r="P57" s="21">
        <v>154.5</v>
      </c>
      <c r="Q57" s="21">
        <v>45.73</v>
      </c>
      <c r="R57" s="21">
        <v>400.4</v>
      </c>
      <c r="S57" s="21">
        <v>18.559999999999999</v>
      </c>
      <c r="T57" s="21">
        <v>10.19</v>
      </c>
      <c r="U57" s="169">
        <v>0.2</v>
      </c>
      <c r="V57" s="81">
        <v>0.02</v>
      </c>
      <c r="W57" s="81">
        <v>0.02</v>
      </c>
      <c r="X57" s="11">
        <v>0.498</v>
      </c>
      <c r="Y57" s="81">
        <v>0.04</v>
      </c>
      <c r="Z57" s="18">
        <v>1.833</v>
      </c>
      <c r="AA57" s="31"/>
      <c r="AB57" s="69">
        <f t="shared" si="27"/>
        <v>29.341776253650863</v>
      </c>
      <c r="AC57" s="69">
        <f t="shared" si="1"/>
        <v>29.147153381122457</v>
      </c>
      <c r="AD57" s="69">
        <f t="shared" si="2"/>
        <v>0.33275163991494389</v>
      </c>
      <c r="AE57" s="31"/>
      <c r="AF57" s="97">
        <v>7.83</v>
      </c>
      <c r="AG57" s="97">
        <v>-1.5029999999999999</v>
      </c>
      <c r="AH57" s="97">
        <v>0.57989999999999997</v>
      </c>
      <c r="AI57" s="97">
        <v>-0.66659999999999997</v>
      </c>
      <c r="AJ57" s="97">
        <v>-0.91600000000000004</v>
      </c>
      <c r="AK57" s="97">
        <v>-2.5065</v>
      </c>
      <c r="AL57" s="97">
        <v>0.46389999999999998</v>
      </c>
      <c r="AM57" s="97">
        <v>1.95E-2</v>
      </c>
      <c r="AN57" s="97">
        <v>-1.9468000000000001</v>
      </c>
      <c r="AO57" s="97">
        <v>-0.71599999999999997</v>
      </c>
      <c r="AQ57" s="50">
        <f t="shared" si="28"/>
        <v>0.189</v>
      </c>
      <c r="AR57" s="50">
        <f t="shared" si="30"/>
        <v>0.37290809112333062</v>
      </c>
      <c r="AS57" s="50">
        <f t="shared" si="31"/>
        <v>1.0953333333333332E-2</v>
      </c>
      <c r="AT57" s="50">
        <f t="shared" si="34"/>
        <v>0.23735599999999993</v>
      </c>
      <c r="AU57" s="50">
        <f t="shared" si="29"/>
        <v>1.9730586831922254</v>
      </c>
    </row>
    <row r="58" spans="1:47" s="68" customFormat="1" x14ac:dyDescent="0.35">
      <c r="A58" s="68">
        <v>9</v>
      </c>
      <c r="B58" s="28"/>
      <c r="C58" s="68">
        <v>36</v>
      </c>
      <c r="D58" s="68">
        <v>106</v>
      </c>
      <c r="E58" s="31">
        <f t="shared" si="32"/>
        <v>3816</v>
      </c>
      <c r="F58" s="69">
        <f t="shared" si="3"/>
        <v>1</v>
      </c>
      <c r="G58" s="25">
        <f t="shared" si="33"/>
        <v>36</v>
      </c>
      <c r="H58" s="31">
        <v>7.79</v>
      </c>
      <c r="I58" s="31">
        <v>2340</v>
      </c>
      <c r="J58" s="31">
        <v>244</v>
      </c>
      <c r="K58" s="27">
        <v>160</v>
      </c>
      <c r="L58" s="27">
        <v>88</v>
      </c>
      <c r="M58" s="186">
        <v>16</v>
      </c>
      <c r="N58" s="31">
        <v>1034</v>
      </c>
      <c r="O58" s="31">
        <v>17</v>
      </c>
      <c r="P58" s="21">
        <v>161.1</v>
      </c>
      <c r="Q58" s="21">
        <v>43.69</v>
      </c>
      <c r="R58" s="21">
        <v>366</v>
      </c>
      <c r="S58" s="21">
        <v>18.989999999999998</v>
      </c>
      <c r="T58" s="21">
        <v>10.19</v>
      </c>
      <c r="U58" s="169">
        <v>0.2</v>
      </c>
      <c r="V58" s="81">
        <v>0.02</v>
      </c>
      <c r="W58" s="81">
        <v>0.02</v>
      </c>
      <c r="X58" s="11">
        <v>0.495</v>
      </c>
      <c r="Y58" s="81">
        <v>0.04</v>
      </c>
      <c r="Z58" s="18">
        <v>1.8180000000000001</v>
      </c>
      <c r="AA58" s="31"/>
      <c r="AB58" s="69">
        <f t="shared" si="27"/>
        <v>29.148645585142372</v>
      </c>
      <c r="AC58" s="69">
        <f t="shared" si="1"/>
        <v>27.812428800271114</v>
      </c>
      <c r="AD58" s="69">
        <f t="shared" si="2"/>
        <v>2.3458419618809625</v>
      </c>
      <c r="AE58" s="31"/>
      <c r="AF58" s="97">
        <v>7.79</v>
      </c>
      <c r="AG58" s="97">
        <v>-3.8736700000000002</v>
      </c>
      <c r="AH58" s="97">
        <v>0.55800000000000005</v>
      </c>
      <c r="AI58" s="97">
        <v>-0.64700000000000002</v>
      </c>
      <c r="AJ58" s="97">
        <v>-0.89649999999999996</v>
      </c>
      <c r="AK58" s="97">
        <v>-2.4685999999999999</v>
      </c>
      <c r="AL58" s="97">
        <v>0.38219999999999998</v>
      </c>
      <c r="AM58" s="97">
        <v>-2.18E-2</v>
      </c>
      <c r="AN58" s="97">
        <v>-1.9239999999999999</v>
      </c>
      <c r="AO58" s="97">
        <v>-0.77580000000000005</v>
      </c>
      <c r="AQ58" s="50">
        <f t="shared" si="28"/>
        <v>0.16</v>
      </c>
      <c r="AR58" s="50">
        <f t="shared" si="30"/>
        <v>0.36052893427598842</v>
      </c>
      <c r="AS58" s="50">
        <f t="shared" si="31"/>
        <v>7.8793333333333337E-3</v>
      </c>
      <c r="AT58" s="50">
        <f t="shared" si="34"/>
        <v>0.22947666666666661</v>
      </c>
      <c r="AU58" s="50">
        <f t="shared" si="29"/>
        <v>2.2533058392249274</v>
      </c>
    </row>
    <row r="59" spans="1:47" s="68" customFormat="1" x14ac:dyDescent="0.35">
      <c r="A59" s="68">
        <v>9</v>
      </c>
      <c r="B59" s="28"/>
      <c r="C59" s="68">
        <v>37</v>
      </c>
      <c r="D59" s="68">
        <v>106</v>
      </c>
      <c r="E59" s="31">
        <f t="shared" si="32"/>
        <v>3922</v>
      </c>
      <c r="F59" s="69">
        <f t="shared" si="3"/>
        <v>1</v>
      </c>
      <c r="G59" s="25">
        <f t="shared" si="33"/>
        <v>37</v>
      </c>
      <c r="H59" s="31">
        <v>7.74</v>
      </c>
      <c r="I59" s="31">
        <v>2380</v>
      </c>
      <c r="J59" s="31">
        <v>242</v>
      </c>
      <c r="K59" s="27">
        <v>153</v>
      </c>
      <c r="L59" s="27">
        <v>88</v>
      </c>
      <c r="M59" s="186">
        <v>16</v>
      </c>
      <c r="N59" s="31">
        <v>1016</v>
      </c>
      <c r="O59" s="31">
        <v>17</v>
      </c>
      <c r="P59" s="21">
        <v>155.6</v>
      </c>
      <c r="Q59" s="21">
        <v>43</v>
      </c>
      <c r="R59" s="21">
        <v>363</v>
      </c>
      <c r="S59" s="21">
        <v>18.62</v>
      </c>
      <c r="T59" s="18">
        <v>9.8840000000000003</v>
      </c>
      <c r="U59" s="169">
        <v>0.2</v>
      </c>
      <c r="V59" s="81">
        <v>0.02</v>
      </c>
      <c r="W59" s="81">
        <v>0.02</v>
      </c>
      <c r="X59" s="11">
        <v>0.48499999999999999</v>
      </c>
      <c r="Y59" s="81">
        <v>0.04</v>
      </c>
      <c r="Z59" s="18">
        <v>1.786</v>
      </c>
      <c r="AA59" s="31"/>
      <c r="AB59" s="69">
        <f t="shared" si="27"/>
        <v>28.733879813749496</v>
      </c>
      <c r="AC59" s="69">
        <f t="shared" si="1"/>
        <v>27.34291667640624</v>
      </c>
      <c r="AD59" s="69">
        <f t="shared" si="2"/>
        <v>2.4804611254628983</v>
      </c>
      <c r="AE59" s="31"/>
      <c r="AF59" s="97">
        <v>7.74</v>
      </c>
      <c r="AG59" s="97">
        <v>-4.0515400000000001</v>
      </c>
      <c r="AH59" s="97">
        <v>0.49409999999999998</v>
      </c>
      <c r="AI59" s="97">
        <v>-0.66390000000000005</v>
      </c>
      <c r="AJ59" s="97">
        <v>-0.9133</v>
      </c>
      <c r="AK59" s="97">
        <v>-2.4203000000000001</v>
      </c>
      <c r="AL59" s="97">
        <v>0.26229999999999998</v>
      </c>
      <c r="AM59" s="97">
        <v>-7.9100000000000004E-2</v>
      </c>
      <c r="AN59" s="97">
        <v>-1.9347000000000001</v>
      </c>
      <c r="AO59" s="97">
        <v>-0.83179999999999998</v>
      </c>
      <c r="AQ59" s="50">
        <f t="shared" si="28"/>
        <v>0.153</v>
      </c>
      <c r="AR59" s="50">
        <f t="shared" si="30"/>
        <v>0.34931552762503265</v>
      </c>
      <c r="AS59" s="50">
        <f t="shared" si="31"/>
        <v>7.1373333333333323E-3</v>
      </c>
      <c r="AT59" s="50">
        <f t="shared" si="34"/>
        <v>0.22233933333333328</v>
      </c>
      <c r="AU59" s="50">
        <f t="shared" si="29"/>
        <v>2.2831080236930239</v>
      </c>
    </row>
    <row r="60" spans="1:47" s="68" customFormat="1" x14ac:dyDescent="0.35">
      <c r="A60" s="68">
        <v>9</v>
      </c>
      <c r="B60" s="28">
        <v>43527</v>
      </c>
      <c r="C60" s="68">
        <v>38</v>
      </c>
      <c r="D60" s="68">
        <v>106</v>
      </c>
      <c r="E60" s="31">
        <f t="shared" si="32"/>
        <v>4028</v>
      </c>
      <c r="F60" s="69">
        <f t="shared" si="3"/>
        <v>1</v>
      </c>
      <c r="G60" s="25">
        <f t="shared" si="33"/>
        <v>38</v>
      </c>
      <c r="H60" s="31">
        <v>7.68</v>
      </c>
      <c r="I60" s="31">
        <v>2360</v>
      </c>
      <c r="J60" s="31">
        <v>242</v>
      </c>
      <c r="K60" s="27">
        <v>148</v>
      </c>
      <c r="L60" s="27">
        <v>87</v>
      </c>
      <c r="M60" s="186">
        <v>15</v>
      </c>
      <c r="N60" s="31">
        <v>1031</v>
      </c>
      <c r="O60" s="31">
        <v>16</v>
      </c>
      <c r="P60" s="21">
        <v>157.1</v>
      </c>
      <c r="Q60" s="21">
        <v>40.08</v>
      </c>
      <c r="R60" s="21">
        <v>362</v>
      </c>
      <c r="S60" s="21">
        <v>18.48</v>
      </c>
      <c r="T60" s="18">
        <v>9.8369999999999997</v>
      </c>
      <c r="U60" s="169">
        <v>0.2</v>
      </c>
      <c r="V60" s="81">
        <v>0.02</v>
      </c>
      <c r="W60" s="81">
        <v>0.02</v>
      </c>
      <c r="X60" s="11">
        <v>0.48599999999999999</v>
      </c>
      <c r="Y60" s="81">
        <v>0.04</v>
      </c>
      <c r="Z60" s="18">
        <v>1.8069999999999999</v>
      </c>
      <c r="AA60" s="31"/>
      <c r="AB60" s="69">
        <f t="shared" si="27"/>
        <v>29.001846846274638</v>
      </c>
      <c r="AC60" s="69">
        <f t="shared" si="1"/>
        <v>27.13293617814049</v>
      </c>
      <c r="AD60" s="69">
        <f t="shared" si="2"/>
        <v>3.3293273215668955</v>
      </c>
      <c r="AE60" s="31"/>
      <c r="AF60" s="97">
        <v>7.68</v>
      </c>
      <c r="AG60" s="97">
        <v>-5.0525200000000003</v>
      </c>
      <c r="AH60" s="97">
        <v>0.43719999999999998</v>
      </c>
      <c r="AI60" s="97">
        <v>-0.65469999999999995</v>
      </c>
      <c r="AJ60" s="97">
        <v>-0.9042</v>
      </c>
      <c r="AK60" s="97">
        <v>-2.359</v>
      </c>
      <c r="AL60" s="97">
        <v>0.114</v>
      </c>
      <c r="AM60" s="97">
        <v>-0.1391</v>
      </c>
      <c r="AN60" s="97">
        <v>-1.9332</v>
      </c>
      <c r="AO60" s="97">
        <v>-0.92320000000000002</v>
      </c>
      <c r="AQ60" s="50">
        <f t="shared" si="28"/>
        <v>0.14799999999999999</v>
      </c>
      <c r="AR60" s="50">
        <f t="shared" si="30"/>
        <v>0.33893479968578155</v>
      </c>
      <c r="AS60" s="50">
        <f t="shared" si="31"/>
        <v>6.6073333333333322E-3</v>
      </c>
      <c r="AT60" s="50">
        <f t="shared" si="34"/>
        <v>0.21573199999999995</v>
      </c>
      <c r="AU60" s="50">
        <f t="shared" si="29"/>
        <v>2.2900999978769025</v>
      </c>
    </row>
    <row r="61" spans="1:47" s="42" customFormat="1" x14ac:dyDescent="0.35">
      <c r="U61" s="87"/>
      <c r="V61" s="87"/>
      <c r="W61" s="87"/>
      <c r="X61" s="87"/>
      <c r="Y61" s="87"/>
      <c r="Z61" s="87"/>
      <c r="AF61" s="68"/>
      <c r="AG61" s="68"/>
      <c r="AH61" s="68"/>
      <c r="AI61" s="68"/>
      <c r="AJ61" s="68"/>
      <c r="AK61" s="68"/>
      <c r="AL61" s="68"/>
      <c r="AM61" s="68"/>
      <c r="AN61" s="68"/>
      <c r="AO61" s="68"/>
    </row>
    <row r="62" spans="1:47" s="42" customFormat="1" x14ac:dyDescent="0.35">
      <c r="U62" s="87"/>
      <c r="V62" s="87"/>
      <c r="W62" s="87"/>
      <c r="X62" s="87"/>
      <c r="Y62" s="87"/>
      <c r="Z62" s="87"/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7" s="31" customFormat="1" x14ac:dyDescent="0.35">
      <c r="A63" s="31">
        <v>9</v>
      </c>
      <c r="C63" s="31" t="s">
        <v>167</v>
      </c>
      <c r="F63" s="25"/>
      <c r="G63" s="25"/>
      <c r="P63" s="21">
        <v>171.3</v>
      </c>
      <c r="Q63" s="21">
        <v>41.77</v>
      </c>
      <c r="R63" s="21">
        <v>276.7</v>
      </c>
      <c r="S63" s="21">
        <v>19.420000000000002</v>
      </c>
      <c r="T63" s="21">
        <v>15.75</v>
      </c>
      <c r="U63" s="27"/>
      <c r="V63" s="27"/>
      <c r="W63" s="27"/>
      <c r="X63" s="27"/>
      <c r="Y63" s="27"/>
      <c r="Z63" s="27"/>
      <c r="AF63" s="68"/>
      <c r="AG63" s="68"/>
      <c r="AH63" s="68"/>
      <c r="AI63" s="68"/>
      <c r="AJ63" s="68"/>
      <c r="AK63" s="68"/>
      <c r="AL63" s="68"/>
      <c r="AM63" s="68"/>
      <c r="AN63" s="68"/>
      <c r="AO63" s="68"/>
    </row>
    <row r="64" spans="1:47" s="68" customFormat="1" x14ac:dyDescent="0.35">
      <c r="A64" s="31">
        <v>9</v>
      </c>
      <c r="B64" s="31"/>
      <c r="C64" s="31" t="s">
        <v>168</v>
      </c>
      <c r="D64" s="31"/>
      <c r="E64" s="31"/>
      <c r="F64" s="31"/>
      <c r="G64" s="31"/>
      <c r="P64" s="21">
        <v>105.5</v>
      </c>
      <c r="Q64" s="21">
        <v>25.48</v>
      </c>
      <c r="R64" s="21">
        <v>53.4</v>
      </c>
      <c r="S64" s="21">
        <v>15.24</v>
      </c>
      <c r="T64" s="172">
        <v>8.3350000000000009</v>
      </c>
      <c r="U64" s="65"/>
      <c r="V64" s="65"/>
      <c r="W64" s="65"/>
      <c r="X64" s="65"/>
      <c r="Y64" s="65"/>
      <c r="Z64" s="65"/>
    </row>
    <row r="65" spans="1:41" s="68" customFormat="1" x14ac:dyDescent="0.35">
      <c r="A65" s="31">
        <v>9</v>
      </c>
      <c r="B65" s="31"/>
      <c r="C65" s="31" t="s">
        <v>169</v>
      </c>
      <c r="D65" s="31"/>
      <c r="E65" s="31"/>
      <c r="F65" s="31"/>
      <c r="G65" s="31"/>
      <c r="P65" s="21">
        <v>156.4</v>
      </c>
      <c r="Q65" s="21">
        <v>45.04</v>
      </c>
      <c r="R65" s="21">
        <v>281.60000000000002</v>
      </c>
      <c r="S65" s="21">
        <v>17.809999999999999</v>
      </c>
      <c r="T65" s="175">
        <v>10.07</v>
      </c>
      <c r="U65" s="65"/>
      <c r="V65" s="65"/>
      <c r="W65" s="65"/>
      <c r="X65" s="65"/>
      <c r="Y65" s="65"/>
      <c r="Z65" s="65"/>
    </row>
    <row r="66" spans="1:41" s="68" customFormat="1" x14ac:dyDescent="0.35">
      <c r="A66" s="31"/>
      <c r="B66" s="31"/>
      <c r="C66" s="31"/>
      <c r="D66" s="31"/>
      <c r="E66" s="31"/>
      <c r="F66" s="31"/>
      <c r="G66" s="31"/>
      <c r="P66" s="65"/>
      <c r="Q66" s="65"/>
      <c r="R66" s="65"/>
      <c r="S66" s="65"/>
      <c r="T66" s="65"/>
    </row>
    <row r="67" spans="1:41" s="68" customFormat="1" x14ac:dyDescent="0.35">
      <c r="A67" s="31"/>
      <c r="B67" s="31"/>
      <c r="C67" s="31"/>
      <c r="D67" s="31"/>
      <c r="E67" s="31"/>
      <c r="P67" s="65"/>
      <c r="Q67" s="65"/>
      <c r="R67" s="65"/>
      <c r="S67" s="65"/>
      <c r="T67" s="65"/>
    </row>
    <row r="68" spans="1:41" x14ac:dyDescent="0.35">
      <c r="P68" s="42"/>
      <c r="Q68" s="42"/>
      <c r="R68" s="42"/>
      <c r="S68" s="42"/>
      <c r="T68" s="42"/>
      <c r="AF68" s="68"/>
      <c r="AG68" s="68"/>
      <c r="AH68" s="68"/>
      <c r="AI68" s="68"/>
      <c r="AJ68" s="68"/>
      <c r="AK68" s="68"/>
      <c r="AL68" s="68"/>
      <c r="AM68" s="68"/>
      <c r="AN68" s="68"/>
      <c r="AO68" s="68"/>
    </row>
    <row r="69" spans="1:41" x14ac:dyDescent="0.35">
      <c r="AF69" s="68"/>
      <c r="AG69" s="68"/>
      <c r="AH69" s="68"/>
      <c r="AI69" s="68"/>
      <c r="AJ69" s="68"/>
      <c r="AK69" s="68"/>
      <c r="AL69" s="68"/>
      <c r="AM69" s="68"/>
      <c r="AN69" s="68"/>
      <c r="AO69" s="68"/>
    </row>
    <row r="70" spans="1:41" x14ac:dyDescent="0.35">
      <c r="AF70" s="42"/>
      <c r="AG70" s="42"/>
      <c r="AH70" s="42"/>
      <c r="AI70" s="42"/>
      <c r="AJ70" s="42"/>
      <c r="AK70" s="42"/>
      <c r="AL70" s="42"/>
      <c r="AM70" s="42"/>
      <c r="AN70" s="42"/>
      <c r="AO70" s="42"/>
    </row>
    <row r="71" spans="1:41" x14ac:dyDescent="0.35">
      <c r="AF71" s="42"/>
      <c r="AG71" s="42"/>
      <c r="AH71" s="42"/>
      <c r="AI71" s="42"/>
      <c r="AJ71" s="42"/>
      <c r="AK71" s="42"/>
      <c r="AL71" s="42"/>
      <c r="AM71" s="42"/>
      <c r="AN71" s="42"/>
      <c r="AO71" s="42"/>
    </row>
    <row r="72" spans="1:41" x14ac:dyDescent="0.35">
      <c r="AF72" s="31"/>
      <c r="AG72" s="31"/>
      <c r="AH72" s="31"/>
      <c r="AI72" s="31"/>
      <c r="AJ72" s="31"/>
      <c r="AK72" s="31"/>
      <c r="AL72" s="31"/>
      <c r="AM72" s="31"/>
      <c r="AN72" s="31"/>
      <c r="AO72" s="31"/>
    </row>
    <row r="73" spans="1:41" x14ac:dyDescent="0.35">
      <c r="AF73" s="68"/>
      <c r="AG73" s="68"/>
      <c r="AH73" s="68"/>
      <c r="AI73" s="68"/>
      <c r="AJ73" s="68"/>
      <c r="AK73" s="68"/>
      <c r="AL73" s="68"/>
      <c r="AM73" s="68"/>
      <c r="AN73" s="68"/>
      <c r="AO73" s="68"/>
    </row>
    <row r="74" spans="1:41" x14ac:dyDescent="0.35">
      <c r="AF74" s="68"/>
      <c r="AG74" s="68"/>
      <c r="AH74" s="68"/>
      <c r="AI74" s="68"/>
      <c r="AJ74" s="68"/>
      <c r="AK74" s="68"/>
      <c r="AL74" s="68"/>
      <c r="AM74" s="68"/>
      <c r="AN74" s="68"/>
      <c r="AO74" s="68"/>
    </row>
    <row r="75" spans="1:41" x14ac:dyDescent="0.35">
      <c r="AF75" s="68"/>
      <c r="AG75" s="68"/>
      <c r="AH75" s="68"/>
      <c r="AI75" s="68"/>
      <c r="AJ75" s="68"/>
      <c r="AK75" s="68"/>
      <c r="AL75" s="68"/>
      <c r="AM75" s="68"/>
      <c r="AN75" s="68"/>
      <c r="AO75" s="68"/>
    </row>
    <row r="76" spans="1:41" x14ac:dyDescent="0.35">
      <c r="AF76" s="68"/>
      <c r="AG76" s="68"/>
      <c r="AH76" s="68"/>
      <c r="AI76" s="68"/>
      <c r="AJ76" s="68"/>
      <c r="AK76" s="68"/>
      <c r="AL76" s="68"/>
      <c r="AM76" s="68"/>
      <c r="AN76" s="68"/>
      <c r="AO76" s="68"/>
    </row>
  </sheetData>
  <pageMargins left="0.7" right="0.7" top="0.75" bottom="0.75" header="0.3" footer="0.3"/>
  <pageSetup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U72"/>
  <sheetViews>
    <sheetView zoomScaleNormal="100" workbookViewId="0">
      <selection activeCell="A8" sqref="A8"/>
    </sheetView>
  </sheetViews>
  <sheetFormatPr defaultColWidth="9.1796875" defaultRowHeight="14.5" x14ac:dyDescent="0.35"/>
  <cols>
    <col min="1" max="1" width="9.1796875" style="42"/>
    <col min="2" max="2" width="10.54296875" style="42" bestFit="1" customWidth="1"/>
    <col min="3" max="3" width="10.1796875" style="42" bestFit="1" customWidth="1"/>
    <col min="4" max="4" width="8.7265625" style="42" bestFit="1" customWidth="1"/>
    <col min="5" max="5" width="9.54296875" style="42" bestFit="1" customWidth="1"/>
    <col min="6" max="6" width="10.1796875" style="42" bestFit="1" customWidth="1"/>
    <col min="7" max="7" width="8.7265625" style="42" bestFit="1" customWidth="1"/>
    <col min="8" max="8" width="8.54296875" style="42" bestFit="1" customWidth="1"/>
    <col min="9" max="9" width="17.1796875" style="42" bestFit="1" customWidth="1"/>
    <col min="10" max="10" width="16.7265625" style="42" bestFit="1" customWidth="1"/>
    <col min="11" max="11" width="6.7265625" style="42" bestFit="1" customWidth="1"/>
    <col min="12" max="26" width="7.26953125" style="42" bestFit="1" customWidth="1"/>
    <col min="27" max="16384" width="9.1796875" style="42"/>
  </cols>
  <sheetData>
    <row r="1" spans="1:47" x14ac:dyDescent="0.35">
      <c r="A1" s="31" t="s">
        <v>46</v>
      </c>
      <c r="B1" s="31"/>
      <c r="C1" s="31"/>
      <c r="D1" s="31"/>
      <c r="E1" s="31"/>
      <c r="F1" s="31"/>
      <c r="G1" s="25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47" x14ac:dyDescent="0.35">
      <c r="A2" s="68"/>
      <c r="B2" s="68"/>
      <c r="C2" s="68"/>
      <c r="D2" s="68"/>
      <c r="E2" s="68"/>
      <c r="F2" s="68"/>
      <c r="G2" s="25"/>
      <c r="H2" s="31"/>
      <c r="I2" s="68"/>
      <c r="J2" s="68"/>
      <c r="K2" s="68"/>
      <c r="L2" s="68"/>
      <c r="M2" s="68"/>
      <c r="N2" s="31"/>
      <c r="O2" s="68"/>
      <c r="P2" s="68"/>
      <c r="Q2" s="68"/>
      <c r="R2" s="68"/>
      <c r="S2" s="68"/>
      <c r="T2" s="68"/>
      <c r="U2" s="68"/>
      <c r="V2" s="68"/>
      <c r="W2" s="68"/>
    </row>
    <row r="3" spans="1:47" x14ac:dyDescent="0.35">
      <c r="A3" s="68" t="s">
        <v>8</v>
      </c>
      <c r="B3" s="68"/>
      <c r="C3" s="68"/>
      <c r="D3" s="68"/>
      <c r="E3" s="68"/>
      <c r="F3" s="68"/>
      <c r="G3" s="69"/>
      <c r="H3" s="68"/>
      <c r="I3" s="68"/>
      <c r="J3" s="68"/>
      <c r="K3" s="68"/>
      <c r="L3" s="68"/>
      <c r="M3" s="68"/>
      <c r="N3" s="31"/>
      <c r="O3" s="68"/>
      <c r="P3" s="68"/>
      <c r="Q3" s="68"/>
      <c r="R3" s="68"/>
      <c r="S3" s="68"/>
      <c r="T3" s="68"/>
      <c r="U3" s="68"/>
      <c r="V3" s="68"/>
      <c r="W3" s="68"/>
    </row>
    <row r="4" spans="1:47" x14ac:dyDescent="0.35">
      <c r="A4" s="31" t="s">
        <v>163</v>
      </c>
      <c r="B4" s="31"/>
      <c r="C4" s="31"/>
      <c r="D4" s="31"/>
      <c r="E4" s="31"/>
      <c r="F4" s="31"/>
      <c r="G4" s="25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47" x14ac:dyDescent="0.35">
      <c r="A5" s="26" t="s">
        <v>358</v>
      </c>
      <c r="B5" s="68"/>
      <c r="C5" s="68"/>
      <c r="D5" s="68"/>
      <c r="E5" s="68"/>
      <c r="F5" s="68"/>
      <c r="G5" s="69"/>
      <c r="H5" s="68"/>
      <c r="I5" s="68"/>
      <c r="J5" s="68"/>
      <c r="K5" s="68"/>
      <c r="L5" s="68"/>
      <c r="M5" s="68"/>
      <c r="N5" s="31"/>
      <c r="O5" s="68"/>
      <c r="P5" s="68"/>
      <c r="Q5" s="68"/>
      <c r="R5" s="68"/>
      <c r="S5" s="68"/>
      <c r="T5" s="68"/>
      <c r="U5" s="68"/>
      <c r="V5" s="68"/>
      <c r="W5" s="68"/>
    </row>
    <row r="6" spans="1:47" x14ac:dyDescent="0.35">
      <c r="AQ6" s="101" t="s">
        <v>254</v>
      </c>
      <c r="AR6" s="101"/>
      <c r="AS6" s="101">
        <v>0.62609999999999999</v>
      </c>
      <c r="AT6" s="101" t="s">
        <v>255</v>
      </c>
      <c r="AU6" s="101"/>
    </row>
    <row r="7" spans="1:47" s="71" customFormat="1" x14ac:dyDescent="0.35">
      <c r="A7" s="31" t="s">
        <v>373</v>
      </c>
      <c r="B7" s="31"/>
      <c r="C7" s="31"/>
      <c r="D7" s="31"/>
      <c r="E7" s="31"/>
      <c r="F7" s="31"/>
      <c r="G7" s="25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F7" s="89" t="s">
        <v>170</v>
      </c>
    </row>
    <row r="8" spans="1:47" x14ac:dyDescent="0.35">
      <c r="A8" s="68"/>
      <c r="B8" s="68"/>
      <c r="C8" s="68"/>
      <c r="D8" s="68"/>
      <c r="E8" s="68"/>
      <c r="F8" s="68"/>
      <c r="G8" s="69"/>
      <c r="H8" s="68"/>
      <c r="I8" s="68"/>
      <c r="J8" s="68"/>
      <c r="K8" s="68"/>
      <c r="L8" s="68"/>
      <c r="M8" s="68"/>
      <c r="N8" s="31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Q8" s="101"/>
      <c r="AR8" s="101"/>
      <c r="AS8" s="101"/>
      <c r="AT8" s="101"/>
      <c r="AU8" s="101"/>
    </row>
    <row r="9" spans="1:47" s="68" customFormat="1" x14ac:dyDescent="0.35">
      <c r="A9" s="68" t="s">
        <v>9</v>
      </c>
      <c r="B9" s="68" t="s">
        <v>10</v>
      </c>
      <c r="C9" s="68" t="s">
        <v>11</v>
      </c>
      <c r="D9" s="68" t="s">
        <v>7</v>
      </c>
      <c r="E9" s="68" t="s">
        <v>12</v>
      </c>
      <c r="F9" s="69" t="s">
        <v>13</v>
      </c>
      <c r="G9" s="69" t="s">
        <v>81</v>
      </c>
      <c r="H9" s="68" t="s">
        <v>14</v>
      </c>
      <c r="I9" s="68" t="s">
        <v>15</v>
      </c>
      <c r="J9" s="68" t="s">
        <v>16</v>
      </c>
      <c r="K9" s="68" t="s">
        <v>3</v>
      </c>
      <c r="L9" s="68" t="s">
        <v>31</v>
      </c>
      <c r="M9" s="68" t="s">
        <v>30</v>
      </c>
      <c r="N9" s="68" t="s">
        <v>18</v>
      </c>
      <c r="O9" s="68" t="s">
        <v>17</v>
      </c>
      <c r="P9" s="68" t="s">
        <v>20</v>
      </c>
      <c r="Q9" s="68" t="s">
        <v>19</v>
      </c>
      <c r="R9" s="68" t="s">
        <v>21</v>
      </c>
      <c r="S9" s="68" t="s">
        <v>47</v>
      </c>
      <c r="T9" s="68" t="s">
        <v>24</v>
      </c>
      <c r="U9" s="68" t="s">
        <v>48</v>
      </c>
      <c r="V9" s="68" t="s">
        <v>4</v>
      </c>
      <c r="W9" s="68" t="s">
        <v>22</v>
      </c>
      <c r="X9" s="68" t="s">
        <v>23</v>
      </c>
      <c r="Y9" s="68" t="s">
        <v>25</v>
      </c>
      <c r="Z9" s="68" t="s">
        <v>49</v>
      </c>
      <c r="AA9" s="68" t="s">
        <v>26</v>
      </c>
      <c r="AB9" s="68" t="s">
        <v>123</v>
      </c>
      <c r="AC9" s="68" t="s">
        <v>124</v>
      </c>
      <c r="AD9" s="68" t="s">
        <v>27</v>
      </c>
      <c r="AF9" s="98" t="s">
        <v>171</v>
      </c>
      <c r="AG9" s="98" t="s">
        <v>172</v>
      </c>
      <c r="AH9" s="98" t="s">
        <v>173</v>
      </c>
      <c r="AI9" s="98" t="s">
        <v>174</v>
      </c>
      <c r="AJ9" s="98" t="s">
        <v>175</v>
      </c>
      <c r="AK9" s="98" t="s">
        <v>176</v>
      </c>
      <c r="AL9" s="98" t="s">
        <v>177</v>
      </c>
      <c r="AM9" s="98" t="s">
        <v>178</v>
      </c>
      <c r="AN9" s="98" t="s">
        <v>179</v>
      </c>
      <c r="AO9" s="98" t="s">
        <v>180</v>
      </c>
      <c r="AQ9" s="149" t="s">
        <v>247</v>
      </c>
      <c r="AR9" s="149" t="s">
        <v>248</v>
      </c>
      <c r="AS9" s="149" t="s">
        <v>253</v>
      </c>
      <c r="AT9" s="149" t="s">
        <v>251</v>
      </c>
      <c r="AU9" s="149" t="s">
        <v>245</v>
      </c>
    </row>
    <row r="10" spans="1:47" s="68" customFormat="1" x14ac:dyDescent="0.35">
      <c r="D10" s="68" t="s">
        <v>6</v>
      </c>
      <c r="E10" s="68" t="s">
        <v>6</v>
      </c>
      <c r="F10" s="69"/>
      <c r="G10" s="69"/>
      <c r="I10" s="203" t="s">
        <v>357</v>
      </c>
      <c r="J10" s="68" t="s">
        <v>28</v>
      </c>
      <c r="K10" s="27" t="s">
        <v>352</v>
      </c>
      <c r="L10" s="68" t="s">
        <v>5</v>
      </c>
      <c r="M10" s="68" t="s">
        <v>5</v>
      </c>
      <c r="N10" s="68" t="s">
        <v>5</v>
      </c>
      <c r="O10" s="68" t="s">
        <v>5</v>
      </c>
      <c r="P10" s="68" t="s">
        <v>5</v>
      </c>
      <c r="Q10" s="68" t="s">
        <v>5</v>
      </c>
      <c r="R10" s="68" t="s">
        <v>5</v>
      </c>
      <c r="S10" s="68" t="s">
        <v>5</v>
      </c>
      <c r="T10" s="68" t="s">
        <v>5</v>
      </c>
      <c r="U10" s="68" t="s">
        <v>5</v>
      </c>
      <c r="V10" s="68" t="s">
        <v>5</v>
      </c>
      <c r="W10" s="68" t="s">
        <v>5</v>
      </c>
      <c r="X10" s="68" t="s">
        <v>5</v>
      </c>
      <c r="Y10" s="68" t="s">
        <v>5</v>
      </c>
      <c r="Z10" s="68" t="s">
        <v>5</v>
      </c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Q10" s="149" t="s">
        <v>246</v>
      </c>
      <c r="AR10" s="149" t="s">
        <v>249</v>
      </c>
      <c r="AS10" s="149" t="s">
        <v>252</v>
      </c>
      <c r="AT10" s="149" t="s">
        <v>252</v>
      </c>
      <c r="AU10" s="149" t="s">
        <v>250</v>
      </c>
    </row>
    <row r="11" spans="1:47" s="68" customFormat="1" x14ac:dyDescent="0.35">
      <c r="F11" s="69"/>
      <c r="G11" s="69"/>
      <c r="N11" s="31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Q11" s="149"/>
      <c r="AR11" s="149"/>
      <c r="AS11" s="149"/>
      <c r="AT11" s="149"/>
      <c r="AU11" s="149"/>
    </row>
    <row r="12" spans="1:47" s="68" customFormat="1" x14ac:dyDescent="0.35">
      <c r="A12" s="68" t="s">
        <v>58</v>
      </c>
      <c r="F12" s="69"/>
      <c r="G12" s="69"/>
      <c r="H12" s="15">
        <v>7.4</v>
      </c>
      <c r="I12" s="165">
        <f>'Influent Results Master'!D52</f>
        <v>1832.8333333333335</v>
      </c>
      <c r="J12" s="70">
        <f>'Influent Results Master'!F52</f>
        <v>265.41666666666669</v>
      </c>
      <c r="K12" s="165">
        <f>'Influent Results Master'!G52</f>
        <v>742.66666666666663</v>
      </c>
      <c r="L12" s="165">
        <f>'Influent Results Master'!H52</f>
        <v>42.083333333333336</v>
      </c>
      <c r="M12" s="167">
        <f>'Influent Results Master'!I52</f>
        <v>2.625</v>
      </c>
      <c r="N12" s="175">
        <f>'Influent Results Master'!J52</f>
        <v>695.66666666666663</v>
      </c>
      <c r="O12" s="175">
        <f>'Influent Results Master'!K52</f>
        <v>22.916666666666664</v>
      </c>
      <c r="P12" s="175">
        <f>'Influent Results Master'!L52</f>
        <v>174.5333333333333</v>
      </c>
      <c r="Q12" s="175">
        <f>'Influent Results Master'!M52</f>
        <v>36.525833333333331</v>
      </c>
      <c r="R12" s="175">
        <f>'Influent Results Master'!N52</f>
        <v>237.48333333333335</v>
      </c>
      <c r="S12" s="175">
        <f>'Influent Results Master'!O52</f>
        <v>15.590833333333332</v>
      </c>
      <c r="T12" s="172">
        <f>'Influent Results Master'!P52</f>
        <v>6.6661666666666664</v>
      </c>
      <c r="U12" s="171">
        <f>'Influent Results Master'!Q52</f>
        <v>0.2</v>
      </c>
      <c r="V12" s="174">
        <f>'Influent Results Master'!R52</f>
        <v>0.30833333333333335</v>
      </c>
      <c r="W12" s="174">
        <f>'Influent Results Master'!S52</f>
        <v>0.20458333333333337</v>
      </c>
      <c r="X12" s="172">
        <f>'Influent Results Master'!T52</f>
        <v>1.6755</v>
      </c>
      <c r="Y12" s="174">
        <f>'Influent Results Master'!U52</f>
        <v>0.17333333333333334</v>
      </c>
      <c r="Z12" s="172">
        <f>'Influent Results Master'!V52</f>
        <v>1.5635833333333333</v>
      </c>
      <c r="AB12" s="69">
        <f>((J12/50)+(L12/35.45)+(M12/62)+(N12/48.03))</f>
        <v>21.021793103239819</v>
      </c>
      <c r="AC12" s="69">
        <f>((P12/20.04)+(Q12/12.16)+(R12/22.99)+(T12/39.1))</f>
        <v>22.213361114519572</v>
      </c>
      <c r="AD12" s="69">
        <f>ABS((AB12-AC12)/(AB12+AC12)*100)</f>
        <v>2.756016562999331</v>
      </c>
      <c r="AF12" s="98">
        <v>7.4</v>
      </c>
      <c r="AG12" s="98">
        <v>6.4794600000000004</v>
      </c>
      <c r="AH12" s="98">
        <v>0.31590000000000001</v>
      </c>
      <c r="AI12" s="98">
        <v>-0.69799999999999995</v>
      </c>
      <c r="AJ12" s="98">
        <v>-0.9476</v>
      </c>
      <c r="AK12" s="98">
        <v>-2.0346000000000002</v>
      </c>
      <c r="AL12" s="98">
        <v>-0.2157</v>
      </c>
      <c r="AM12" s="98">
        <v>0.23630000000000001</v>
      </c>
      <c r="AN12" s="98">
        <v>-0.59740000000000004</v>
      </c>
      <c r="AO12" s="98">
        <v>-1.1315999999999999</v>
      </c>
      <c r="AQ12" s="50">
        <f>K12/1000</f>
        <v>0.74266666666666659</v>
      </c>
      <c r="AR12" s="50">
        <f>(1.04-0.36)</f>
        <v>0.68</v>
      </c>
      <c r="AS12" s="50"/>
      <c r="AT12" s="50">
        <f>AS6*AR12</f>
        <v>0.42574800000000002</v>
      </c>
      <c r="AU12" s="50">
        <f>AR12/AQ12</f>
        <v>0.91561938958707378</v>
      </c>
    </row>
    <row r="13" spans="1:47" s="68" customFormat="1" x14ac:dyDescent="0.35">
      <c r="F13" s="69"/>
      <c r="G13" s="69"/>
      <c r="M13" s="65"/>
      <c r="N13" s="27"/>
      <c r="O13" s="65"/>
      <c r="P13" s="65"/>
      <c r="Q13" s="65"/>
      <c r="R13" s="67"/>
      <c r="S13" s="67"/>
      <c r="T13" s="67"/>
      <c r="U13" s="67"/>
      <c r="V13" s="65"/>
      <c r="W13" s="66"/>
      <c r="X13" s="67"/>
      <c r="Y13" s="65"/>
      <c r="AB13" s="69"/>
      <c r="AC13" s="69"/>
      <c r="AD13" s="69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Q13" s="50"/>
      <c r="AR13" s="50"/>
      <c r="AS13" s="50"/>
      <c r="AT13" s="50"/>
      <c r="AU13" s="50"/>
    </row>
    <row r="14" spans="1:47" s="68" customFormat="1" x14ac:dyDescent="0.35">
      <c r="A14" s="68">
        <v>10</v>
      </c>
      <c r="B14" s="10">
        <v>43536</v>
      </c>
      <c r="C14" s="68">
        <v>1</v>
      </c>
      <c r="D14" s="68">
        <v>113</v>
      </c>
      <c r="E14" s="68">
        <v>113</v>
      </c>
      <c r="F14" s="69">
        <f>D14/113</f>
        <v>1</v>
      </c>
      <c r="G14" s="69">
        <v>1</v>
      </c>
      <c r="H14" s="31">
        <v>7.71</v>
      </c>
      <c r="I14" s="31">
        <v>3820</v>
      </c>
      <c r="J14" s="31">
        <v>272</v>
      </c>
      <c r="K14" s="31">
        <v>689</v>
      </c>
      <c r="L14" s="31">
        <v>84</v>
      </c>
      <c r="M14" s="27">
        <v>1.5</v>
      </c>
      <c r="N14" s="31">
        <v>2424</v>
      </c>
      <c r="O14" s="31">
        <v>78</v>
      </c>
      <c r="P14" s="21">
        <v>462</v>
      </c>
      <c r="Q14" s="21">
        <v>136.5</v>
      </c>
      <c r="R14" s="21">
        <v>530.29999999999995</v>
      </c>
      <c r="S14" s="21">
        <v>21.21</v>
      </c>
      <c r="T14" s="21">
        <v>28.32</v>
      </c>
      <c r="U14" s="11">
        <v>0.40799999999999997</v>
      </c>
      <c r="V14" s="11">
        <v>0.57299999999999995</v>
      </c>
      <c r="W14" s="26">
        <v>0.02</v>
      </c>
      <c r="X14" s="18">
        <v>1.1559999999999999</v>
      </c>
      <c r="Y14" s="81">
        <v>0.04</v>
      </c>
      <c r="Z14" s="18">
        <v>3.7429999999999999</v>
      </c>
      <c r="AA14" s="31"/>
      <c r="AB14" s="69">
        <f t="shared" ref="AB14:AB20" si="0">((J14/50)+(L14/35.45)+(M14/62)+(N14/48.03))</f>
        <v>58.302185318340463</v>
      </c>
      <c r="AC14" s="69">
        <f t="shared" ref="AC14:AC56" si="1">((P14/20.04)+(Q14/12.16)+(R14/22.99)+(T14/39.1))</f>
        <v>58.070068512335276</v>
      </c>
      <c r="AD14" s="69">
        <f t="shared" ref="AD14:AD56" si="2">ABS((AB14-AC14)/(AB14+AC14)*100)</f>
        <v>0.19946060883457897</v>
      </c>
      <c r="AF14" s="98">
        <v>7.71</v>
      </c>
      <c r="AG14" s="98">
        <v>1.0055099999999999</v>
      </c>
      <c r="AH14" s="98">
        <v>0.81320000000000003</v>
      </c>
      <c r="AI14" s="98">
        <v>-8.6699999999999999E-2</v>
      </c>
      <c r="AJ14" s="98">
        <v>-0.33579999999999999</v>
      </c>
      <c r="AK14" s="98">
        <v>-2.3794</v>
      </c>
      <c r="AL14" s="98">
        <v>0.93569999999999998</v>
      </c>
      <c r="AM14" s="98">
        <v>0.10730000000000001</v>
      </c>
      <c r="AN14" s="98">
        <v>-0.21909999999999999</v>
      </c>
      <c r="AO14" s="98">
        <v>-0.47760000000000002</v>
      </c>
      <c r="AQ14" s="50">
        <f>K14/1000</f>
        <v>0.68899999999999995</v>
      </c>
      <c r="AR14" s="50">
        <f>AT14/($AS$6)</f>
        <v>0.68968588617366777</v>
      </c>
      <c r="AS14" s="50">
        <f>(AQ14-$AQ$12)*0.113</f>
        <v>-6.0643333333333304E-3</v>
      </c>
      <c r="AT14" s="50">
        <f>AT12-AS14</f>
        <v>0.43181233333333335</v>
      </c>
      <c r="AU14" s="50">
        <f>AR14/AQ14</f>
        <v>1.0009954806584438</v>
      </c>
    </row>
    <row r="15" spans="1:47" s="68" customFormat="1" x14ac:dyDescent="0.35">
      <c r="A15" s="68">
        <v>10</v>
      </c>
      <c r="B15" s="10"/>
      <c r="C15" s="31">
        <v>2</v>
      </c>
      <c r="D15" s="31">
        <v>113</v>
      </c>
      <c r="E15" s="31">
        <f>D15+E14</f>
        <v>226</v>
      </c>
      <c r="F15" s="69">
        <f t="shared" ref="F15:F56" si="3">D15/113</f>
        <v>1</v>
      </c>
      <c r="G15" s="25">
        <f>G14+F15</f>
        <v>2</v>
      </c>
      <c r="H15" s="25">
        <v>7.78</v>
      </c>
      <c r="I15" s="31">
        <v>2300</v>
      </c>
      <c r="J15" s="31">
        <v>278</v>
      </c>
      <c r="K15" s="186">
        <v>674</v>
      </c>
      <c r="L15" s="186">
        <v>43</v>
      </c>
      <c r="M15" s="169">
        <v>0.5</v>
      </c>
      <c r="N15" s="186">
        <v>1101</v>
      </c>
      <c r="O15" s="186">
        <v>29</v>
      </c>
      <c r="P15" s="21">
        <v>266.2</v>
      </c>
      <c r="Q15" s="21">
        <v>65.19</v>
      </c>
      <c r="R15" s="21">
        <v>236.3</v>
      </c>
      <c r="S15" s="21">
        <v>20.38</v>
      </c>
      <c r="T15" s="21">
        <v>18.510000000000002</v>
      </c>
      <c r="U15" s="169">
        <v>0.2</v>
      </c>
      <c r="V15" s="11">
        <v>0.38700000000000001</v>
      </c>
      <c r="W15" s="26">
        <v>0.02</v>
      </c>
      <c r="X15" s="11">
        <v>0.628</v>
      </c>
      <c r="Y15" s="81">
        <v>0.04</v>
      </c>
      <c r="Z15" s="18">
        <v>2.254</v>
      </c>
      <c r="AA15" s="31"/>
      <c r="AB15" s="69">
        <f t="shared" si="0"/>
        <v>29.704213555560486</v>
      </c>
      <c r="AC15" s="69">
        <f t="shared" si="1"/>
        <v>29.396236310277658</v>
      </c>
      <c r="AD15" s="69">
        <f t="shared" si="2"/>
        <v>0.52110812351167601</v>
      </c>
      <c r="AF15" s="98">
        <v>7.78</v>
      </c>
      <c r="AG15" s="98">
        <v>1.6202099999999999</v>
      </c>
      <c r="AH15" s="98">
        <v>0.81369999999999998</v>
      </c>
      <c r="AI15" s="98">
        <v>-0.43790000000000001</v>
      </c>
      <c r="AJ15" s="98">
        <v>-0.68740000000000001</v>
      </c>
      <c r="AK15" s="98">
        <v>-2.4131</v>
      </c>
      <c r="AL15" s="98">
        <v>0.84840000000000004</v>
      </c>
      <c r="AM15" s="98">
        <v>0.1186</v>
      </c>
      <c r="AN15" s="98">
        <v>-0.41870000000000002</v>
      </c>
      <c r="AO15" s="98">
        <v>-0.56530000000000002</v>
      </c>
      <c r="AQ15" s="50">
        <f t="shared" ref="AQ15:AQ20" si="4">K15/1000</f>
        <v>0.67400000000000004</v>
      </c>
      <c r="AR15" s="50">
        <f t="shared" ref="AR15:AR20" si="5">AT15/($AS$6)</f>
        <v>0.70207900761326736</v>
      </c>
      <c r="AS15" s="50">
        <f t="shared" ref="AS15:AS20" si="6">(AQ15-$AQ$12)*0.113</f>
        <v>-7.7593333333333195E-3</v>
      </c>
      <c r="AT15" s="50">
        <f>AT14-AS15</f>
        <v>0.43957166666666669</v>
      </c>
      <c r="AU15" s="50">
        <f t="shared" ref="AU15:AU20" si="7">AR15/AQ15</f>
        <v>1.0416602486843729</v>
      </c>
    </row>
    <row r="16" spans="1:47" s="68" customFormat="1" x14ac:dyDescent="0.35">
      <c r="A16" s="68">
        <v>10</v>
      </c>
      <c r="B16" s="10"/>
      <c r="C16" s="68">
        <v>3</v>
      </c>
      <c r="D16" s="68">
        <v>113</v>
      </c>
      <c r="E16" s="31">
        <f t="shared" ref="E16:E20" si="8">D16+E15</f>
        <v>339</v>
      </c>
      <c r="F16" s="69">
        <f t="shared" si="3"/>
        <v>1</v>
      </c>
      <c r="G16" s="25">
        <f t="shared" ref="G16:G20" si="9">G15+F16</f>
        <v>3</v>
      </c>
      <c r="H16" s="31">
        <v>7.81</v>
      </c>
      <c r="I16" s="31">
        <v>1897</v>
      </c>
      <c r="J16" s="31">
        <v>274</v>
      </c>
      <c r="K16" s="27">
        <v>641</v>
      </c>
      <c r="L16" s="27">
        <v>42</v>
      </c>
      <c r="M16" s="169">
        <v>0.5</v>
      </c>
      <c r="N16" s="186">
        <v>787</v>
      </c>
      <c r="O16" s="186">
        <v>22</v>
      </c>
      <c r="P16" s="21">
        <v>186.6</v>
      </c>
      <c r="Q16" s="21">
        <v>45.25</v>
      </c>
      <c r="R16" s="21">
        <v>200</v>
      </c>
      <c r="S16" s="21">
        <v>19.54</v>
      </c>
      <c r="T16" s="21">
        <v>15.92</v>
      </c>
      <c r="U16" s="169">
        <v>0.2</v>
      </c>
      <c r="V16" s="11">
        <v>0.32900000000000001</v>
      </c>
      <c r="W16" s="26">
        <v>0.02</v>
      </c>
      <c r="X16" s="11">
        <v>0.46700000000000003</v>
      </c>
      <c r="Y16" s="81">
        <v>0.04</v>
      </c>
      <c r="Z16" s="18">
        <v>1.696</v>
      </c>
      <c r="AA16" s="31"/>
      <c r="AB16" s="69">
        <f t="shared" si="0"/>
        <v>23.058424132107174</v>
      </c>
      <c r="AC16" s="69">
        <f t="shared" si="1"/>
        <v>22.139190012846942</v>
      </c>
      <c r="AD16" s="69">
        <f t="shared" si="2"/>
        <v>2.0338111571821873</v>
      </c>
      <c r="AF16" s="98">
        <v>7.81</v>
      </c>
      <c r="AG16" s="98">
        <v>0.27516299999999999</v>
      </c>
      <c r="AH16" s="98">
        <v>0.74350000000000005</v>
      </c>
      <c r="AI16" s="98">
        <v>-0.64239999999999997</v>
      </c>
      <c r="AJ16" s="98">
        <v>-0.89200000000000002</v>
      </c>
      <c r="AK16" s="98">
        <v>-2.4369000000000001</v>
      </c>
      <c r="AL16" s="98">
        <v>0.70140000000000002</v>
      </c>
      <c r="AM16" s="98">
        <v>8.4699999999999998E-2</v>
      </c>
      <c r="AN16" s="98">
        <v>-0.56679999999999997</v>
      </c>
      <c r="AO16" s="98">
        <v>-0.6421</v>
      </c>
      <c r="AQ16" s="50">
        <f t="shared" si="4"/>
        <v>0.64100000000000001</v>
      </c>
      <c r="AR16" s="50">
        <f t="shared" si="5"/>
        <v>0.72042804663791726</v>
      </c>
      <c r="AS16" s="50">
        <f t="shared" si="6"/>
        <v>-1.1488333333333323E-2</v>
      </c>
      <c r="AT16" s="50">
        <f t="shared" ref="AT16:AT20" si="10">AT15-AS16</f>
        <v>0.45106000000000002</v>
      </c>
      <c r="AU16" s="50">
        <f t="shared" si="7"/>
        <v>1.1239127092635215</v>
      </c>
    </row>
    <row r="17" spans="1:47" s="68" customFormat="1" x14ac:dyDescent="0.35">
      <c r="A17" s="68">
        <v>10</v>
      </c>
      <c r="B17" s="10"/>
      <c r="C17" s="68">
        <v>4</v>
      </c>
      <c r="D17" s="31">
        <v>113</v>
      </c>
      <c r="E17" s="31">
        <f t="shared" si="8"/>
        <v>452</v>
      </c>
      <c r="F17" s="69">
        <f t="shared" si="3"/>
        <v>1</v>
      </c>
      <c r="G17" s="25">
        <f t="shared" si="9"/>
        <v>4</v>
      </c>
      <c r="H17" s="31">
        <v>7.77</v>
      </c>
      <c r="I17" s="31">
        <v>1849</v>
      </c>
      <c r="J17" s="31">
        <v>272</v>
      </c>
      <c r="K17" s="27">
        <v>675</v>
      </c>
      <c r="L17" s="27">
        <v>41</v>
      </c>
      <c r="M17" s="169">
        <v>0.5</v>
      </c>
      <c r="N17" s="186">
        <v>739</v>
      </c>
      <c r="O17" s="186">
        <v>22</v>
      </c>
      <c r="P17" s="21">
        <v>176.7</v>
      </c>
      <c r="Q17" s="21">
        <v>42.68</v>
      </c>
      <c r="R17" s="21">
        <v>208</v>
      </c>
      <c r="S17" s="21">
        <v>19.82</v>
      </c>
      <c r="T17" s="21">
        <v>15.81</v>
      </c>
      <c r="U17" s="169">
        <v>0.2</v>
      </c>
      <c r="V17" s="11">
        <v>0.32300000000000001</v>
      </c>
      <c r="W17" s="26">
        <v>0.02</v>
      </c>
      <c r="X17" s="11">
        <v>0.44400000000000001</v>
      </c>
      <c r="Y17" s="81">
        <v>0.04</v>
      </c>
      <c r="Z17" s="18">
        <v>1.593</v>
      </c>
      <c r="AA17" s="31"/>
      <c r="AB17" s="69">
        <f t="shared" si="0"/>
        <v>21.9908399970153</v>
      </c>
      <c r="AC17" s="69">
        <f t="shared" si="1"/>
        <v>21.778993434825981</v>
      </c>
      <c r="AD17" s="69">
        <f t="shared" si="2"/>
        <v>0.48400129856378765</v>
      </c>
      <c r="AF17" s="98">
        <v>7.77</v>
      </c>
      <c r="AG17" s="98">
        <v>2.2310500000000002</v>
      </c>
      <c r="AH17" s="98">
        <v>0.68779999999999997</v>
      </c>
      <c r="AI17" s="98">
        <v>-0.67900000000000005</v>
      </c>
      <c r="AJ17" s="98">
        <v>-0.92859999999999998</v>
      </c>
      <c r="AK17" s="98">
        <v>-2.3976000000000002</v>
      </c>
      <c r="AL17" s="98">
        <v>0.58750000000000002</v>
      </c>
      <c r="AM17" s="98">
        <v>2.4199999999999999E-2</v>
      </c>
      <c r="AN17" s="98">
        <v>-0.58609999999999995</v>
      </c>
      <c r="AO17" s="98">
        <v>-0.70030000000000003</v>
      </c>
      <c r="AQ17" s="50">
        <f t="shared" si="4"/>
        <v>0.67500000000000004</v>
      </c>
      <c r="AR17" s="50">
        <f t="shared" si="5"/>
        <v>0.7326406857264548</v>
      </c>
      <c r="AS17" s="50">
        <f t="shared" si="6"/>
        <v>-7.6463333333333192E-3</v>
      </c>
      <c r="AT17" s="50">
        <f t="shared" si="10"/>
        <v>0.45870633333333333</v>
      </c>
      <c r="AU17" s="50">
        <f t="shared" si="7"/>
        <v>1.0853936084836366</v>
      </c>
    </row>
    <row r="18" spans="1:47" s="68" customFormat="1" x14ac:dyDescent="0.35">
      <c r="A18" s="68">
        <v>10</v>
      </c>
      <c r="B18" s="10"/>
      <c r="C18" s="68">
        <v>5</v>
      </c>
      <c r="D18" s="68">
        <v>113</v>
      </c>
      <c r="E18" s="31">
        <f t="shared" si="8"/>
        <v>565</v>
      </c>
      <c r="F18" s="69">
        <f t="shared" si="3"/>
        <v>1</v>
      </c>
      <c r="G18" s="25">
        <f t="shared" si="9"/>
        <v>5</v>
      </c>
      <c r="H18" s="31">
        <v>7.76</v>
      </c>
      <c r="I18" s="31">
        <v>1842</v>
      </c>
      <c r="J18" s="31">
        <v>272</v>
      </c>
      <c r="K18" s="27">
        <v>706</v>
      </c>
      <c r="L18" s="27">
        <v>41</v>
      </c>
      <c r="M18" s="169">
        <v>0.5</v>
      </c>
      <c r="N18" s="186">
        <v>730</v>
      </c>
      <c r="O18" s="186">
        <v>21</v>
      </c>
      <c r="P18" s="21">
        <v>167.8</v>
      </c>
      <c r="Q18" s="21">
        <v>39.96</v>
      </c>
      <c r="R18" s="21">
        <v>202.8</v>
      </c>
      <c r="S18" s="21">
        <v>18.97</v>
      </c>
      <c r="T18" s="21">
        <v>15.29</v>
      </c>
      <c r="U18" s="169">
        <v>0.2</v>
      </c>
      <c r="V18" s="11">
        <v>0.32</v>
      </c>
      <c r="W18" s="26">
        <v>0.02</v>
      </c>
      <c r="X18" s="11">
        <v>0.434</v>
      </c>
      <c r="Y18" s="81">
        <v>0.04</v>
      </c>
      <c r="Z18" s="18">
        <v>1.597</v>
      </c>
      <c r="AA18" s="31"/>
      <c r="AB18" s="69">
        <f t="shared" si="0"/>
        <v>21.803457111318863</v>
      </c>
      <c r="AC18" s="69">
        <f t="shared" si="1"/>
        <v>20.871712917160355</v>
      </c>
      <c r="AD18" s="69">
        <f t="shared" si="2"/>
        <v>2.183340320698687</v>
      </c>
      <c r="AF18" s="98">
        <v>7.76</v>
      </c>
      <c r="AG18" s="98">
        <v>0.22161900000000001</v>
      </c>
      <c r="AH18" s="98">
        <v>0.65859999999999996</v>
      </c>
      <c r="AI18" s="98">
        <v>-0.69869999999999999</v>
      </c>
      <c r="AJ18" s="98">
        <v>-0.94830000000000003</v>
      </c>
      <c r="AK18" s="98">
        <v>-2.3858000000000001</v>
      </c>
      <c r="AL18" s="98">
        <v>0.52310000000000001</v>
      </c>
      <c r="AM18" s="98">
        <v>8.8000000000000005E-3</v>
      </c>
      <c r="AN18" s="98">
        <v>-0.60870000000000002</v>
      </c>
      <c r="AO18" s="98">
        <v>-0.73550000000000004</v>
      </c>
      <c r="AQ18" s="50">
        <f t="shared" si="4"/>
        <v>0.70599999999999996</v>
      </c>
      <c r="AR18" s="50">
        <f t="shared" si="5"/>
        <v>0.73925837193206623</v>
      </c>
      <c r="AS18" s="50">
        <f t="shared" si="6"/>
        <v>-4.1433333333333287E-3</v>
      </c>
      <c r="AT18" s="50">
        <f t="shared" si="10"/>
        <v>0.46284966666666666</v>
      </c>
      <c r="AU18" s="50">
        <f t="shared" si="7"/>
        <v>1.0471081755411704</v>
      </c>
    </row>
    <row r="19" spans="1:47" s="68" customFormat="1" x14ac:dyDescent="0.35">
      <c r="A19" s="68">
        <v>10</v>
      </c>
      <c r="B19" s="10"/>
      <c r="C19" s="68">
        <v>6</v>
      </c>
      <c r="D19" s="31">
        <v>113</v>
      </c>
      <c r="E19" s="31">
        <f t="shared" si="8"/>
        <v>678</v>
      </c>
      <c r="F19" s="69">
        <f t="shared" si="3"/>
        <v>1</v>
      </c>
      <c r="G19" s="25">
        <f t="shared" si="9"/>
        <v>6</v>
      </c>
      <c r="H19" s="25">
        <v>7.66</v>
      </c>
      <c r="I19" s="31">
        <v>1810</v>
      </c>
      <c r="J19" s="31">
        <v>272</v>
      </c>
      <c r="K19" s="27">
        <v>702</v>
      </c>
      <c r="L19" s="27">
        <v>41</v>
      </c>
      <c r="M19" s="169">
        <v>0.5</v>
      </c>
      <c r="N19" s="186">
        <v>729</v>
      </c>
      <c r="O19" s="186">
        <v>20</v>
      </c>
      <c r="P19" s="21">
        <v>161.1</v>
      </c>
      <c r="Q19" s="21">
        <v>39.340000000000003</v>
      </c>
      <c r="R19" s="21">
        <v>204</v>
      </c>
      <c r="S19" s="21">
        <v>18.62</v>
      </c>
      <c r="T19" s="21">
        <v>14.93</v>
      </c>
      <c r="U19" s="169">
        <v>0.2</v>
      </c>
      <c r="V19" s="11">
        <v>0.308</v>
      </c>
      <c r="W19" s="26">
        <v>0.02</v>
      </c>
      <c r="X19" s="11">
        <v>0.42399999999999999</v>
      </c>
      <c r="Y19" s="81">
        <v>0.04</v>
      </c>
      <c r="Z19" s="18">
        <v>1.5409999999999999</v>
      </c>
      <c r="AA19" s="31"/>
      <c r="AB19" s="69">
        <f t="shared" si="0"/>
        <v>21.782636790685924</v>
      </c>
      <c r="AC19" s="69">
        <f t="shared" si="1"/>
        <v>20.529384183824952</v>
      </c>
      <c r="AD19" s="69">
        <f t="shared" si="2"/>
        <v>2.9619303876218583</v>
      </c>
      <c r="AF19" s="98">
        <v>7.66</v>
      </c>
      <c r="AG19" s="98">
        <v>-0.70456200000000002</v>
      </c>
      <c r="AH19" s="98">
        <v>0.54400000000000004</v>
      </c>
      <c r="AI19" s="98">
        <v>-0.71330000000000005</v>
      </c>
      <c r="AJ19" s="98">
        <v>-0.96289999999999998</v>
      </c>
      <c r="AK19" s="98">
        <v>-2.2829000000000002</v>
      </c>
      <c r="AL19" s="98">
        <v>0.30470000000000003</v>
      </c>
      <c r="AM19" s="98">
        <v>-9.8100000000000007E-2</v>
      </c>
      <c r="AN19" s="98">
        <v>-0.65349999999999997</v>
      </c>
      <c r="AO19" s="98">
        <v>-0.83930000000000005</v>
      </c>
      <c r="AQ19" s="50">
        <f t="shared" si="4"/>
        <v>0.70199999999999996</v>
      </c>
      <c r="AR19" s="50">
        <f t="shared" si="5"/>
        <v>0.74659798754192619</v>
      </c>
      <c r="AS19" s="50">
        <f t="shared" si="6"/>
        <v>-4.5953333333333289E-3</v>
      </c>
      <c r="AT19" s="50">
        <f t="shared" si="10"/>
        <v>0.467445</v>
      </c>
      <c r="AU19" s="50">
        <f t="shared" si="7"/>
        <v>1.0635298967833706</v>
      </c>
    </row>
    <row r="20" spans="1:47" s="68" customFormat="1" x14ac:dyDescent="0.35">
      <c r="A20" s="68">
        <v>10</v>
      </c>
      <c r="B20" s="10">
        <v>43537</v>
      </c>
      <c r="C20" s="68">
        <v>7</v>
      </c>
      <c r="D20" s="68">
        <v>113</v>
      </c>
      <c r="E20" s="31">
        <f t="shared" si="8"/>
        <v>791</v>
      </c>
      <c r="F20" s="69">
        <f t="shared" si="3"/>
        <v>1</v>
      </c>
      <c r="G20" s="25">
        <f t="shared" si="9"/>
        <v>7</v>
      </c>
      <c r="H20" s="31">
        <v>7.89</v>
      </c>
      <c r="I20" s="31">
        <v>1798</v>
      </c>
      <c r="J20" s="31">
        <v>278</v>
      </c>
      <c r="K20" s="27">
        <v>697</v>
      </c>
      <c r="L20" s="186">
        <v>40</v>
      </c>
      <c r="M20" s="27">
        <v>0.54</v>
      </c>
      <c r="N20" s="186">
        <v>707</v>
      </c>
      <c r="O20" s="186">
        <v>20</v>
      </c>
      <c r="P20" s="12">
        <v>152</v>
      </c>
      <c r="Q20" s="12">
        <v>37.549999999999997</v>
      </c>
      <c r="R20" s="12">
        <v>201.4</v>
      </c>
      <c r="S20" s="12">
        <v>18.77</v>
      </c>
      <c r="T20" s="12">
        <v>15.07</v>
      </c>
      <c r="U20" s="169">
        <v>0.2</v>
      </c>
      <c r="V20" s="163">
        <v>0.311</v>
      </c>
      <c r="W20" s="26">
        <v>0.02</v>
      </c>
      <c r="X20" s="163">
        <v>0.40899999999999997</v>
      </c>
      <c r="Y20" s="81">
        <v>0.04</v>
      </c>
      <c r="Z20" s="170">
        <v>1.5209999999999999</v>
      </c>
      <c r="AA20" s="31"/>
      <c r="AB20" s="69">
        <f t="shared" si="0"/>
        <v>21.417026153340757</v>
      </c>
      <c r="AC20" s="69">
        <f t="shared" si="1"/>
        <v>19.818576333771297</v>
      </c>
      <c r="AD20" s="69">
        <f t="shared" si="2"/>
        <v>3.8763828419120254</v>
      </c>
      <c r="AF20" s="98">
        <v>7.89</v>
      </c>
      <c r="AG20" s="98">
        <v>-1.6726399999999999</v>
      </c>
      <c r="AH20" s="98">
        <v>0.75690000000000002</v>
      </c>
      <c r="AI20" s="98">
        <v>-0.74319999999999997</v>
      </c>
      <c r="AJ20" s="98">
        <v>-0.99280000000000002</v>
      </c>
      <c r="AK20" s="98">
        <v>-2.5070000000000001</v>
      </c>
      <c r="AL20" s="98">
        <v>0.73619999999999997</v>
      </c>
      <c r="AM20" s="98">
        <v>0.1308</v>
      </c>
      <c r="AN20" s="98">
        <v>-0.65800000000000003</v>
      </c>
      <c r="AO20" s="98">
        <v>-0.62070000000000003</v>
      </c>
      <c r="AQ20" s="50">
        <f t="shared" si="4"/>
        <v>0.69699999999999995</v>
      </c>
      <c r="AR20" s="50">
        <f t="shared" si="5"/>
        <v>0.75484001490709685</v>
      </c>
      <c r="AS20" s="50">
        <f t="shared" si="6"/>
        <v>-5.1603333333333293E-3</v>
      </c>
      <c r="AT20" s="50">
        <f t="shared" si="10"/>
        <v>0.47260533333333332</v>
      </c>
      <c r="AU20" s="50">
        <f t="shared" si="7"/>
        <v>1.0829842394649885</v>
      </c>
    </row>
    <row r="21" spans="1:47" s="68" customFormat="1" x14ac:dyDescent="0.35">
      <c r="B21" s="10"/>
      <c r="E21" s="31"/>
      <c r="F21" s="69"/>
      <c r="G21" s="25"/>
      <c r="K21" s="27"/>
      <c r="L21" s="27"/>
      <c r="M21" s="186"/>
      <c r="N21" s="186"/>
      <c r="O21" s="186"/>
      <c r="P21" s="12"/>
      <c r="Q21" s="12"/>
      <c r="R21" s="192"/>
      <c r="S21" s="192"/>
      <c r="T21" s="169"/>
      <c r="U21" s="11"/>
      <c r="V21" s="66"/>
      <c r="W21" s="49"/>
      <c r="X21" s="32"/>
      <c r="Y21" s="65"/>
      <c r="Z21" s="174"/>
      <c r="AB21" s="69"/>
      <c r="AC21" s="69"/>
      <c r="AD21" s="69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Q21" s="50"/>
      <c r="AR21" s="50"/>
      <c r="AS21" s="50"/>
      <c r="AT21" s="50"/>
      <c r="AU21" s="50"/>
    </row>
    <row r="22" spans="1:47" s="68" customFormat="1" x14ac:dyDescent="0.35">
      <c r="A22" s="68" t="s">
        <v>164</v>
      </c>
      <c r="F22" s="69"/>
      <c r="G22" s="69"/>
      <c r="H22" s="15">
        <v>8.1999999999999993</v>
      </c>
      <c r="I22" s="165">
        <f>'Influent Results Master'!D53</f>
        <v>959</v>
      </c>
      <c r="J22" s="70">
        <f>'Influent Results Master'!F53</f>
        <v>160.66666666666666</v>
      </c>
      <c r="K22" s="6">
        <f>'Influent Results Master'!G53</f>
        <v>7.3999999999999995</v>
      </c>
      <c r="L22" s="12">
        <f>'Influent Results Master'!H53</f>
        <v>15</v>
      </c>
      <c r="M22" s="169">
        <f>'Influent Results Master'!I53</f>
        <v>0.5</v>
      </c>
      <c r="N22" s="12">
        <f>'Influent Results Master'!J53</f>
        <v>355.33333333333331</v>
      </c>
      <c r="O22" s="12">
        <f>'Influent Results Master'!K53</f>
        <v>15</v>
      </c>
      <c r="P22" s="12">
        <f>'Influent Results Master'!L53</f>
        <v>102.33333333333333</v>
      </c>
      <c r="Q22" s="12">
        <f>'Influent Results Master'!M53</f>
        <v>39</v>
      </c>
      <c r="R22" s="12">
        <f>'Influent Results Master'!N53</f>
        <v>72.333333333333329</v>
      </c>
      <c r="S22" s="12">
        <f>'Influent Results Master'!O53</f>
        <v>12</v>
      </c>
      <c r="T22" s="6">
        <f>'Influent Results Master'!P53</f>
        <v>4.1333333333333329</v>
      </c>
      <c r="U22" s="171">
        <f>'Influent Results Master'!Q53</f>
        <v>0.20000000000000004</v>
      </c>
      <c r="V22" s="177">
        <f>'Influent Results Master'!R53</f>
        <v>0.02</v>
      </c>
      <c r="W22" s="177">
        <f>'Influent Results Master'!S53</f>
        <v>0.02</v>
      </c>
      <c r="X22" s="176">
        <f>'Influent Results Master'!T53</f>
        <v>5.1333333333333335E-2</v>
      </c>
      <c r="Y22" s="177">
        <f>'Influent Results Master'!U53</f>
        <v>0.04</v>
      </c>
      <c r="Z22" s="163">
        <f>'Influent Results Master'!V53</f>
        <v>1.0303333333333333</v>
      </c>
      <c r="AB22" s="69">
        <f>((J22/50)+(L22/35.45)+(M22/62)+(N22/48.03))</f>
        <v>11.042682951695816</v>
      </c>
      <c r="AC22" s="69">
        <f t="shared" si="1"/>
        <v>11.565697942004107</v>
      </c>
      <c r="AD22" s="69">
        <f t="shared" si="2"/>
        <v>2.3133677407833937</v>
      </c>
      <c r="AF22" s="98">
        <v>8.1999999999999993</v>
      </c>
      <c r="AG22" s="98">
        <v>5.5386199999999999</v>
      </c>
      <c r="AH22" s="98">
        <v>0.76190000000000002</v>
      </c>
      <c r="AI22" s="98">
        <v>-1.0630999999999999</v>
      </c>
      <c r="AJ22" s="98">
        <v>-1.3129</v>
      </c>
      <c r="AK22" s="98">
        <v>-3.0495999999999999</v>
      </c>
      <c r="AL22" s="98">
        <v>0.92769999999999997</v>
      </c>
      <c r="AM22" s="98">
        <v>-0.5847</v>
      </c>
      <c r="AN22" s="98">
        <v>-1.8691</v>
      </c>
      <c r="AO22" s="98">
        <v>-0.43419999999999997</v>
      </c>
      <c r="AQ22" s="50">
        <f>K22/1000</f>
        <v>7.3999999999999995E-3</v>
      </c>
      <c r="AR22" s="50"/>
      <c r="AS22" s="50"/>
      <c r="AT22" s="50"/>
      <c r="AU22" s="50"/>
    </row>
    <row r="23" spans="1:47" s="68" customFormat="1" x14ac:dyDescent="0.35">
      <c r="F23" s="69"/>
      <c r="G23" s="69"/>
      <c r="K23" s="186"/>
      <c r="L23" s="186"/>
      <c r="M23" s="27"/>
      <c r="N23" s="27"/>
      <c r="O23" s="27"/>
      <c r="P23" s="21"/>
      <c r="Q23" s="21"/>
      <c r="R23" s="192"/>
      <c r="S23" s="192"/>
      <c r="T23" s="26"/>
      <c r="U23" s="171"/>
      <c r="V23" s="65"/>
      <c r="W23" s="66"/>
      <c r="X23" s="67"/>
      <c r="Y23" s="65"/>
      <c r="Z23" s="163"/>
      <c r="AB23" s="69"/>
      <c r="AC23" s="69"/>
      <c r="AD23" s="69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Q23" s="50"/>
      <c r="AR23" s="50"/>
      <c r="AS23" s="50"/>
      <c r="AT23" s="50"/>
      <c r="AU23" s="50"/>
    </row>
    <row r="24" spans="1:47" s="68" customFormat="1" x14ac:dyDescent="0.35">
      <c r="A24" s="68">
        <v>10</v>
      </c>
      <c r="B24" s="10">
        <v>43537</v>
      </c>
      <c r="C24" s="68">
        <v>8</v>
      </c>
      <c r="D24" s="68">
        <v>113</v>
      </c>
      <c r="E24" s="68">
        <f>D24+E20</f>
        <v>904</v>
      </c>
      <c r="F24" s="69">
        <f t="shared" si="3"/>
        <v>1</v>
      </c>
      <c r="G24" s="69">
        <f>G20+F24</f>
        <v>8</v>
      </c>
      <c r="H24" s="31">
        <v>7.98</v>
      </c>
      <c r="I24" s="31">
        <v>1376</v>
      </c>
      <c r="J24" s="31">
        <v>226</v>
      </c>
      <c r="K24" s="186">
        <v>467</v>
      </c>
      <c r="L24" s="27">
        <v>23</v>
      </c>
      <c r="M24" s="18">
        <v>2</v>
      </c>
      <c r="N24" s="186">
        <v>517</v>
      </c>
      <c r="O24" s="186">
        <v>17</v>
      </c>
      <c r="P24" s="12">
        <v>100.7</v>
      </c>
      <c r="Q24" s="12">
        <v>24.51</v>
      </c>
      <c r="R24" s="12">
        <v>158.30000000000001</v>
      </c>
      <c r="S24" s="12">
        <v>17.89</v>
      </c>
      <c r="T24" s="12">
        <v>12.21</v>
      </c>
      <c r="U24" s="169">
        <v>0.2</v>
      </c>
      <c r="V24" s="163">
        <v>0.2</v>
      </c>
      <c r="W24" s="81">
        <v>0.02</v>
      </c>
      <c r="X24" s="163">
        <v>0.27400000000000002</v>
      </c>
      <c r="Y24" s="81">
        <v>0.04</v>
      </c>
      <c r="Z24" s="170">
        <v>1.0489999999999999</v>
      </c>
      <c r="AA24" s="31"/>
      <c r="AB24" s="69">
        <f t="shared" ref="AB24:AB35" si="11">((J24/50)+(L24/35.45)+(M24/62)+(N24/48.03))</f>
        <v>15.965164960094732</v>
      </c>
      <c r="AC24" s="69">
        <f t="shared" si="1"/>
        <v>14.238453750475832</v>
      </c>
      <c r="AD24" s="69">
        <f t="shared" si="2"/>
        <v>5.716901759902667</v>
      </c>
      <c r="AF24" s="98">
        <v>7.98</v>
      </c>
      <c r="AG24" s="98">
        <v>-3.4276</v>
      </c>
      <c r="AH24" s="98">
        <v>0.63470000000000004</v>
      </c>
      <c r="AI24" s="98">
        <v>-0.96289999999999998</v>
      </c>
      <c r="AJ24" s="98">
        <v>-1.2125999999999999</v>
      </c>
      <c r="AK24" s="98">
        <v>-2.6760999999999999</v>
      </c>
      <c r="AL24" s="98">
        <v>0.48270000000000002</v>
      </c>
      <c r="AM24" s="98">
        <v>2.2200000000000001E-2</v>
      </c>
      <c r="AN24" s="98">
        <v>-0.95279999999999998</v>
      </c>
      <c r="AO24" s="98">
        <v>-0.752</v>
      </c>
      <c r="AQ24" s="50">
        <f t="shared" ref="AQ24:AQ35" si="12">K24/1000</f>
        <v>0.46700000000000003</v>
      </c>
      <c r="AR24" s="50">
        <f>AT24/$AS$6</f>
        <v>0.67189032635894164</v>
      </c>
      <c r="AS24" s="50">
        <f>(AQ24-$AQ$22)*0.113</f>
        <v>5.1934800000000003E-2</v>
      </c>
      <c r="AT24" s="50">
        <f>AT20-AS24</f>
        <v>0.42067053333333332</v>
      </c>
      <c r="AU24" s="50">
        <f t="shared" ref="AU24:AU35" si="13">AR24/AQ24</f>
        <v>1.4387373155437722</v>
      </c>
    </row>
    <row r="25" spans="1:47" s="68" customFormat="1" x14ac:dyDescent="0.35">
      <c r="A25" s="68">
        <v>10</v>
      </c>
      <c r="B25" s="10"/>
      <c r="C25" s="68">
        <v>9</v>
      </c>
      <c r="D25" s="68">
        <v>113</v>
      </c>
      <c r="E25" s="31">
        <f>D25+E24</f>
        <v>1017</v>
      </c>
      <c r="F25" s="69">
        <f t="shared" si="3"/>
        <v>1</v>
      </c>
      <c r="G25" s="25">
        <f>G24+F25</f>
        <v>9</v>
      </c>
      <c r="H25" s="31">
        <v>7.97</v>
      </c>
      <c r="I25" s="31">
        <v>1099</v>
      </c>
      <c r="J25" s="31">
        <v>184</v>
      </c>
      <c r="K25" s="27">
        <v>311</v>
      </c>
      <c r="L25" s="27">
        <v>16</v>
      </c>
      <c r="M25" s="18">
        <v>2.2000000000000002</v>
      </c>
      <c r="N25" s="186">
        <v>395</v>
      </c>
      <c r="O25" s="186">
        <v>14</v>
      </c>
      <c r="P25" s="21">
        <v>81.459999999999994</v>
      </c>
      <c r="Q25" s="21">
        <v>19.89</v>
      </c>
      <c r="R25" s="21">
        <v>117.4</v>
      </c>
      <c r="S25" s="21">
        <v>17.03</v>
      </c>
      <c r="T25" s="21">
        <v>10.58</v>
      </c>
      <c r="U25" s="169">
        <v>0.2</v>
      </c>
      <c r="V25" s="33">
        <v>0.08</v>
      </c>
      <c r="W25" s="81">
        <v>0.02</v>
      </c>
      <c r="X25" s="11">
        <v>0.218</v>
      </c>
      <c r="Y25" s="81">
        <v>0.04</v>
      </c>
      <c r="Z25" s="11">
        <v>0.89800000000000002</v>
      </c>
      <c r="AA25" s="31"/>
      <c r="AB25" s="69">
        <f t="shared" si="11"/>
        <v>12.390850436351919</v>
      </c>
      <c r="AC25" s="69">
        <f t="shared" si="1"/>
        <v>11.077717357324092</v>
      </c>
      <c r="AD25" s="69">
        <f t="shared" si="2"/>
        <v>5.5952842566800003</v>
      </c>
      <c r="AF25" s="98">
        <v>7.97</v>
      </c>
      <c r="AG25" s="98">
        <v>-3.0727699999999998</v>
      </c>
      <c r="AH25" s="98">
        <v>0.49109999999999998</v>
      </c>
      <c r="AI25" s="98">
        <v>-1.1034999999999999</v>
      </c>
      <c r="AJ25" s="98">
        <v>-1.3532999999999999</v>
      </c>
      <c r="AK25" s="98">
        <v>-2.7473999999999998</v>
      </c>
      <c r="AL25" s="98">
        <v>0.19359999999999999</v>
      </c>
      <c r="AM25" s="98">
        <v>-0.121</v>
      </c>
      <c r="AN25" s="98">
        <v>-1.3808</v>
      </c>
      <c r="AO25" s="98">
        <v>-0.89749999999999996</v>
      </c>
      <c r="AQ25" s="50">
        <f t="shared" si="12"/>
        <v>0.311</v>
      </c>
      <c r="AR25" s="50">
        <f t="shared" ref="AR25:AR35" si="14">AT25/$AS$6</f>
        <v>0.61709588457647868</v>
      </c>
      <c r="AS25" s="50">
        <f t="shared" ref="AS25:AS35" si="15">(AQ25-$AQ$22)*0.113</f>
        <v>3.4306799999999998E-2</v>
      </c>
      <c r="AT25" s="50">
        <f>AT24-AS25</f>
        <v>0.38636373333333329</v>
      </c>
      <c r="AU25" s="50">
        <f t="shared" si="13"/>
        <v>1.9842311401172947</v>
      </c>
    </row>
    <row r="26" spans="1:47" s="68" customFormat="1" x14ac:dyDescent="0.35">
      <c r="A26" s="68">
        <v>10</v>
      </c>
      <c r="B26" s="10"/>
      <c r="C26" s="68">
        <v>10</v>
      </c>
      <c r="D26" s="68">
        <v>113</v>
      </c>
      <c r="E26" s="31">
        <f t="shared" ref="E26:E35" si="16">D26+E25</f>
        <v>1130</v>
      </c>
      <c r="F26" s="69">
        <f t="shared" si="3"/>
        <v>1</v>
      </c>
      <c r="G26" s="25">
        <f t="shared" ref="G26:G35" si="17">G25+F26</f>
        <v>10</v>
      </c>
      <c r="H26" s="31">
        <v>7.93</v>
      </c>
      <c r="I26" s="31">
        <v>1030</v>
      </c>
      <c r="J26" s="31">
        <v>175</v>
      </c>
      <c r="K26" s="27">
        <v>262</v>
      </c>
      <c r="L26" s="27">
        <v>15</v>
      </c>
      <c r="M26" s="27">
        <v>2.8</v>
      </c>
      <c r="N26" s="186">
        <v>377</v>
      </c>
      <c r="O26" s="186">
        <v>14</v>
      </c>
      <c r="P26" s="21">
        <v>88.82</v>
      </c>
      <c r="Q26" s="21">
        <v>21.84</v>
      </c>
      <c r="R26" s="21">
        <v>90.53</v>
      </c>
      <c r="S26" s="21">
        <v>16.68</v>
      </c>
      <c r="T26" s="21">
        <v>10.54</v>
      </c>
      <c r="U26" s="169">
        <v>0.2</v>
      </c>
      <c r="V26" s="33">
        <v>3.2000000000000001E-2</v>
      </c>
      <c r="W26" s="81">
        <v>0.02</v>
      </c>
      <c r="X26" s="11">
        <v>0.23599999999999999</v>
      </c>
      <c r="Y26" s="81">
        <v>0.04</v>
      </c>
      <c r="Z26" s="11">
        <v>0.96799999999999997</v>
      </c>
      <c r="AA26" s="31"/>
      <c r="AB26" s="69">
        <f t="shared" si="11"/>
        <v>11.817553339603016</v>
      </c>
      <c r="AC26" s="69">
        <f t="shared" si="1"/>
        <v>10.435552620575367</v>
      </c>
      <c r="AD26" s="69">
        <f t="shared" si="2"/>
        <v>6.2103722577006568</v>
      </c>
      <c r="AF26" s="98">
        <v>7.93</v>
      </c>
      <c r="AG26" s="98">
        <v>-6.7582199999999997</v>
      </c>
      <c r="AH26" s="98">
        <v>0.4743</v>
      </c>
      <c r="AI26" s="98">
        <v>-1.0831</v>
      </c>
      <c r="AJ26" s="98">
        <v>-1.3329</v>
      </c>
      <c r="AK26" s="98">
        <v>-2.7288999999999999</v>
      </c>
      <c r="AL26" s="98">
        <v>0.16239999999999999</v>
      </c>
      <c r="AM26" s="98">
        <v>-0.13830000000000001</v>
      </c>
      <c r="AN26" s="98">
        <v>-1.7322</v>
      </c>
      <c r="AO26" s="98">
        <v>-0.91190000000000004</v>
      </c>
      <c r="AQ26" s="50">
        <f t="shared" si="12"/>
        <v>0.26200000000000001</v>
      </c>
      <c r="AR26" s="50">
        <f t="shared" si="14"/>
        <v>0.57114507799606018</v>
      </c>
      <c r="AS26" s="50">
        <f t="shared" si="15"/>
        <v>2.8769800000000002E-2</v>
      </c>
      <c r="AT26" s="50">
        <f t="shared" ref="AT26:AT35" si="18">AT25-AS26</f>
        <v>0.35759393333333328</v>
      </c>
      <c r="AU26" s="50">
        <f t="shared" si="13"/>
        <v>2.179943045786489</v>
      </c>
    </row>
    <row r="27" spans="1:47" s="68" customFormat="1" x14ac:dyDescent="0.35">
      <c r="A27" s="68">
        <v>10</v>
      </c>
      <c r="B27" s="10"/>
      <c r="C27" s="68">
        <v>11</v>
      </c>
      <c r="D27" s="68">
        <v>113</v>
      </c>
      <c r="E27" s="31">
        <f t="shared" si="16"/>
        <v>1243</v>
      </c>
      <c r="F27" s="69">
        <f t="shared" si="3"/>
        <v>1</v>
      </c>
      <c r="G27" s="25">
        <f t="shared" si="17"/>
        <v>11</v>
      </c>
      <c r="H27" s="31">
        <v>7.87</v>
      </c>
      <c r="I27" s="31">
        <v>996</v>
      </c>
      <c r="J27" s="31">
        <v>168</v>
      </c>
      <c r="K27" s="27">
        <v>222</v>
      </c>
      <c r="L27" s="27">
        <v>15</v>
      </c>
      <c r="M27" s="27">
        <v>3.3</v>
      </c>
      <c r="N27" s="186">
        <v>372</v>
      </c>
      <c r="O27" s="186">
        <v>13</v>
      </c>
      <c r="P27" s="21">
        <v>95.34</v>
      </c>
      <c r="Q27" s="21">
        <v>23.73</v>
      </c>
      <c r="R27" s="21">
        <v>73.67</v>
      </c>
      <c r="S27" s="21">
        <v>16.39</v>
      </c>
      <c r="T27" s="21">
        <v>10.35</v>
      </c>
      <c r="U27" s="169">
        <v>0.2</v>
      </c>
      <c r="V27" s="81">
        <v>0.02</v>
      </c>
      <c r="W27" s="81">
        <v>0.02</v>
      </c>
      <c r="X27" s="11">
        <v>0.255</v>
      </c>
      <c r="Y27" s="81">
        <v>0.04</v>
      </c>
      <c r="Z27" s="18">
        <v>1.091</v>
      </c>
      <c r="AA27" s="31"/>
      <c r="AB27" s="69">
        <f t="shared" si="11"/>
        <v>11.58151625256736</v>
      </c>
      <c r="AC27" s="69">
        <f t="shared" si="1"/>
        <v>10.178107887064703</v>
      </c>
      <c r="AD27" s="69">
        <f t="shared" si="2"/>
        <v>6.4495983776969172</v>
      </c>
      <c r="AF27" s="98">
        <v>7.87</v>
      </c>
      <c r="AG27" s="98">
        <v>-7.1609999999999996</v>
      </c>
      <c r="AH27" s="98">
        <v>0.43180000000000002</v>
      </c>
      <c r="AI27" s="98">
        <v>-1.0585</v>
      </c>
      <c r="AJ27" s="98">
        <v>-1.3083</v>
      </c>
      <c r="AK27" s="98">
        <v>-2.6859999999999999</v>
      </c>
      <c r="AL27" s="98">
        <v>8.2100000000000006E-2</v>
      </c>
      <c r="AM27" s="98">
        <v>-0.17730000000000001</v>
      </c>
      <c r="AN27" s="98">
        <v>-2.0876999999999999</v>
      </c>
      <c r="AO27" s="98">
        <v>-0.94979999999999998</v>
      </c>
      <c r="AQ27" s="50">
        <f t="shared" si="12"/>
        <v>0.222</v>
      </c>
      <c r="AR27" s="50">
        <f t="shared" si="14"/>
        <v>0.53241356545812701</v>
      </c>
      <c r="AS27" s="50">
        <f t="shared" si="15"/>
        <v>2.4249800000000002E-2</v>
      </c>
      <c r="AT27" s="50">
        <f t="shared" si="18"/>
        <v>0.33334413333333329</v>
      </c>
      <c r="AU27" s="50">
        <f t="shared" si="13"/>
        <v>2.3982593038654372</v>
      </c>
    </row>
    <row r="28" spans="1:47" s="68" customFormat="1" x14ac:dyDescent="0.35">
      <c r="A28" s="68">
        <v>10</v>
      </c>
      <c r="B28" s="28"/>
      <c r="C28" s="68">
        <v>12</v>
      </c>
      <c r="D28" s="68">
        <v>113</v>
      </c>
      <c r="E28" s="31">
        <f t="shared" si="16"/>
        <v>1356</v>
      </c>
      <c r="F28" s="69">
        <f t="shared" si="3"/>
        <v>1</v>
      </c>
      <c r="G28" s="25">
        <f t="shared" si="17"/>
        <v>12</v>
      </c>
      <c r="H28" s="31">
        <v>7.83</v>
      </c>
      <c r="I28" s="31">
        <v>979</v>
      </c>
      <c r="J28" s="31">
        <v>168</v>
      </c>
      <c r="K28" s="27">
        <v>182</v>
      </c>
      <c r="L28" s="27">
        <v>15</v>
      </c>
      <c r="M28" s="27">
        <v>3.4</v>
      </c>
      <c r="N28" s="186">
        <v>370</v>
      </c>
      <c r="O28" s="186">
        <v>14</v>
      </c>
      <c r="P28" s="21">
        <v>99.95</v>
      </c>
      <c r="Q28" s="21">
        <v>24.5</v>
      </c>
      <c r="R28" s="21">
        <v>63.65</v>
      </c>
      <c r="S28" s="21">
        <v>15.99</v>
      </c>
      <c r="T28" s="21">
        <v>10.050000000000001</v>
      </c>
      <c r="U28" s="169">
        <v>0.2</v>
      </c>
      <c r="V28" s="81">
        <v>0.02</v>
      </c>
      <c r="W28" s="81">
        <v>0.02</v>
      </c>
      <c r="X28" s="11">
        <v>0.26500000000000001</v>
      </c>
      <c r="Y28" s="81">
        <v>0.04</v>
      </c>
      <c r="Z28" s="18">
        <v>1.129</v>
      </c>
      <c r="AA28" s="31"/>
      <c r="AB28" s="69">
        <f t="shared" si="11"/>
        <v>11.541488514527291</v>
      </c>
      <c r="AC28" s="69">
        <f t="shared" si="1"/>
        <v>10.027955871082904</v>
      </c>
      <c r="AD28" s="69">
        <f t="shared" si="2"/>
        <v>7.0170219333703505</v>
      </c>
      <c r="AF28" s="98">
        <v>7.83</v>
      </c>
      <c r="AG28" s="98">
        <v>-7.8340199999999998</v>
      </c>
      <c r="AH28" s="98">
        <v>0.41449999999999998</v>
      </c>
      <c r="AI28" s="98">
        <v>-1.0414000000000001</v>
      </c>
      <c r="AJ28" s="98">
        <v>-1.2911999999999999</v>
      </c>
      <c r="AK28" s="98">
        <v>-2.6455000000000002</v>
      </c>
      <c r="AL28" s="98">
        <v>4.0300000000000002E-2</v>
      </c>
      <c r="AM28" s="98">
        <v>-0.20730000000000001</v>
      </c>
      <c r="AN28" s="98">
        <v>-2.4801000000000002</v>
      </c>
      <c r="AO28" s="98">
        <v>-0.97419999999999995</v>
      </c>
      <c r="AQ28" s="50">
        <f t="shared" si="12"/>
        <v>0.182</v>
      </c>
      <c r="AR28" s="50">
        <f t="shared" si="14"/>
        <v>0.50090134696267896</v>
      </c>
      <c r="AS28" s="50">
        <f t="shared" si="15"/>
        <v>1.9729800000000002E-2</v>
      </c>
      <c r="AT28" s="50">
        <f t="shared" si="18"/>
        <v>0.31361433333333327</v>
      </c>
      <c r="AU28" s="50">
        <f t="shared" si="13"/>
        <v>2.7522052030916426</v>
      </c>
    </row>
    <row r="29" spans="1:47" s="68" customFormat="1" x14ac:dyDescent="0.35">
      <c r="A29" s="68">
        <v>10</v>
      </c>
      <c r="B29" s="28"/>
      <c r="C29" s="68">
        <v>13</v>
      </c>
      <c r="D29" s="68">
        <v>113</v>
      </c>
      <c r="E29" s="31">
        <f t="shared" si="16"/>
        <v>1469</v>
      </c>
      <c r="F29" s="69">
        <f t="shared" si="3"/>
        <v>1</v>
      </c>
      <c r="G29" s="25">
        <f t="shared" si="17"/>
        <v>13</v>
      </c>
      <c r="H29" s="31">
        <v>7.82</v>
      </c>
      <c r="I29" s="31">
        <v>980</v>
      </c>
      <c r="J29" s="31">
        <v>168</v>
      </c>
      <c r="K29" s="27">
        <v>154</v>
      </c>
      <c r="L29" s="27">
        <v>15</v>
      </c>
      <c r="M29" s="27">
        <v>3.5</v>
      </c>
      <c r="N29" s="186">
        <v>367</v>
      </c>
      <c r="O29" s="186">
        <v>13</v>
      </c>
      <c r="P29" s="21">
        <v>100.9</v>
      </c>
      <c r="Q29" s="21">
        <v>24.81</v>
      </c>
      <c r="R29" s="21">
        <v>63.36</v>
      </c>
      <c r="S29" s="21">
        <v>15.86</v>
      </c>
      <c r="T29" s="18">
        <v>9.9250000000000007</v>
      </c>
      <c r="U29" s="169">
        <v>0.2</v>
      </c>
      <c r="V29" s="81">
        <v>0.02</v>
      </c>
      <c r="W29" s="81">
        <v>0.02</v>
      </c>
      <c r="X29" s="11">
        <v>0.26800000000000002</v>
      </c>
      <c r="Y29" s="81">
        <v>0.04</v>
      </c>
      <c r="Z29" s="18">
        <v>1.129</v>
      </c>
      <c r="AA29" s="31"/>
      <c r="AB29" s="69">
        <f t="shared" si="11"/>
        <v>11.480640455854285</v>
      </c>
      <c r="AC29" s="69">
        <f t="shared" si="1"/>
        <v>10.085043370731707</v>
      </c>
      <c r="AD29" s="69">
        <f t="shared" si="2"/>
        <v>6.4713787716858651</v>
      </c>
      <c r="AF29" s="98">
        <v>7.82</v>
      </c>
      <c r="AG29" s="98">
        <v>-7.56271</v>
      </c>
      <c r="AH29" s="98">
        <v>0.4093</v>
      </c>
      <c r="AI29" s="98">
        <v>-1.0411999999999999</v>
      </c>
      <c r="AJ29" s="98">
        <v>-1.2909999999999999</v>
      </c>
      <c r="AK29" s="98">
        <v>-2.6354000000000002</v>
      </c>
      <c r="AL29" s="98">
        <v>3.1300000000000001E-2</v>
      </c>
      <c r="AM29" s="98">
        <v>-0.21190000000000001</v>
      </c>
      <c r="AN29" s="98">
        <v>-3.1745999999999999</v>
      </c>
      <c r="AO29" s="98">
        <v>-0.97799999999999998</v>
      </c>
      <c r="AQ29" s="50">
        <f t="shared" si="12"/>
        <v>0.154</v>
      </c>
      <c r="AR29" s="50">
        <f t="shared" si="14"/>
        <v>0.47444263429697053</v>
      </c>
      <c r="AS29" s="50">
        <f t="shared" si="15"/>
        <v>1.6565800000000002E-2</v>
      </c>
      <c r="AT29" s="50">
        <f t="shared" si="18"/>
        <v>0.29704853333333325</v>
      </c>
      <c r="AU29" s="50">
        <f t="shared" si="13"/>
        <v>3.0807963266037048</v>
      </c>
    </row>
    <row r="30" spans="1:47" s="68" customFormat="1" x14ac:dyDescent="0.35">
      <c r="A30" s="68">
        <v>10</v>
      </c>
      <c r="B30" s="28"/>
      <c r="C30" s="68">
        <v>14</v>
      </c>
      <c r="D30" s="68">
        <v>113</v>
      </c>
      <c r="E30" s="31">
        <f t="shared" si="16"/>
        <v>1582</v>
      </c>
      <c r="F30" s="69">
        <f t="shared" si="3"/>
        <v>1</v>
      </c>
      <c r="G30" s="25">
        <f t="shared" si="17"/>
        <v>14</v>
      </c>
      <c r="H30" s="25">
        <v>8.4499999999999993</v>
      </c>
      <c r="I30" s="31">
        <v>1019</v>
      </c>
      <c r="J30" s="31">
        <v>179</v>
      </c>
      <c r="K30" s="27">
        <v>124</v>
      </c>
      <c r="L30" s="27">
        <v>15</v>
      </c>
      <c r="M30" s="27">
        <v>3.7</v>
      </c>
      <c r="N30" s="186">
        <v>377</v>
      </c>
      <c r="O30" s="186">
        <v>21</v>
      </c>
      <c r="P30" s="21">
        <v>102</v>
      </c>
      <c r="Q30" s="21">
        <v>24.91</v>
      </c>
      <c r="R30" s="21">
        <v>63.12</v>
      </c>
      <c r="S30" s="21">
        <v>15.97</v>
      </c>
      <c r="T30" s="21">
        <v>10.02</v>
      </c>
      <c r="U30" s="169">
        <v>0.2</v>
      </c>
      <c r="V30" s="81">
        <v>0.02</v>
      </c>
      <c r="W30" s="81">
        <v>0.02</v>
      </c>
      <c r="X30" s="11">
        <v>0.27</v>
      </c>
      <c r="Y30" s="81">
        <v>0.04</v>
      </c>
      <c r="Z30" s="18">
        <v>1.133</v>
      </c>
      <c r="AA30" s="31"/>
      <c r="AB30" s="69">
        <f t="shared" si="11"/>
        <v>11.912069468635275</v>
      </c>
      <c r="AC30" s="69">
        <f t="shared" si="1"/>
        <v>10.140147620578187</v>
      </c>
      <c r="AD30" s="25">
        <f t="shared" si="2"/>
        <v>8.0351188313115198</v>
      </c>
      <c r="AF30" s="98">
        <v>8.4499999999999993</v>
      </c>
      <c r="AG30" s="98">
        <v>-9.2609300000000001</v>
      </c>
      <c r="AH30" s="98">
        <v>1.0319</v>
      </c>
      <c r="AI30" s="98">
        <v>-1.0355000000000001</v>
      </c>
      <c r="AJ30" s="98">
        <v>-1.2853000000000001</v>
      </c>
      <c r="AK30" s="98">
        <v>-3.2667999999999999</v>
      </c>
      <c r="AL30" s="98">
        <v>1.2769999999999999</v>
      </c>
      <c r="AM30" s="98">
        <v>0.41560000000000002</v>
      </c>
      <c r="AN30" s="98">
        <v>-1.8807</v>
      </c>
      <c r="AO30" s="98">
        <v>-0.35489999999999999</v>
      </c>
      <c r="AQ30" s="50">
        <f t="shared" si="12"/>
        <v>0.124</v>
      </c>
      <c r="AR30" s="50">
        <f t="shared" si="14"/>
        <v>0.45339839216312611</v>
      </c>
      <c r="AS30" s="50">
        <f t="shared" si="15"/>
        <v>1.31758E-2</v>
      </c>
      <c r="AT30" s="50">
        <f t="shared" si="18"/>
        <v>0.28387273333333324</v>
      </c>
      <c r="AU30" s="50">
        <f t="shared" si="13"/>
        <v>3.6564386464768233</v>
      </c>
    </row>
    <row r="31" spans="1:47" s="68" customFormat="1" x14ac:dyDescent="0.35">
      <c r="A31" s="68">
        <v>10</v>
      </c>
      <c r="B31" s="28"/>
      <c r="C31" s="68">
        <v>15</v>
      </c>
      <c r="D31" s="68">
        <v>113</v>
      </c>
      <c r="E31" s="31">
        <f t="shared" si="16"/>
        <v>1695</v>
      </c>
      <c r="F31" s="69">
        <f t="shared" si="3"/>
        <v>1</v>
      </c>
      <c r="G31" s="25">
        <f t="shared" si="17"/>
        <v>15</v>
      </c>
      <c r="H31" s="25">
        <v>8.1</v>
      </c>
      <c r="I31" s="31">
        <v>979</v>
      </c>
      <c r="J31" s="31">
        <v>170</v>
      </c>
      <c r="K31" s="27">
        <v>102</v>
      </c>
      <c r="L31" s="27">
        <v>15</v>
      </c>
      <c r="M31" s="27">
        <v>3.8</v>
      </c>
      <c r="N31" s="186">
        <v>374</v>
      </c>
      <c r="O31" s="186">
        <v>14</v>
      </c>
      <c r="P31" s="21">
        <v>103.1</v>
      </c>
      <c r="Q31" s="21">
        <v>24.81</v>
      </c>
      <c r="R31" s="21">
        <v>64.42</v>
      </c>
      <c r="S31" s="21">
        <v>15.9</v>
      </c>
      <c r="T31" s="18">
        <v>9.9120000000000008</v>
      </c>
      <c r="U31" s="169">
        <v>0.2</v>
      </c>
      <c r="V31" s="81">
        <v>0.02</v>
      </c>
      <c r="W31" s="81">
        <v>0.02</v>
      </c>
      <c r="X31" s="174">
        <v>0.26800000000000002</v>
      </c>
      <c r="Y31" s="81">
        <v>0.04</v>
      </c>
      <c r="Z31" s="18">
        <v>1.1399999999999999</v>
      </c>
      <c r="AA31" s="31"/>
      <c r="AB31" s="69">
        <f t="shared" si="11"/>
        <v>11.671221409962268</v>
      </c>
      <c r="AC31" s="69">
        <f t="shared" si="1"/>
        <v>10.24059833207985</v>
      </c>
      <c r="AD31" s="69">
        <f t="shared" si="2"/>
        <v>6.5290016745505026</v>
      </c>
      <c r="AF31" s="98">
        <v>8.1</v>
      </c>
      <c r="AG31" s="98">
        <v>-7.6044</v>
      </c>
      <c r="AH31" s="98">
        <v>0.69099999999999995</v>
      </c>
      <c r="AI31" s="98">
        <v>-1.0294000000000001</v>
      </c>
      <c r="AJ31" s="98">
        <v>-1.2791999999999999</v>
      </c>
      <c r="AK31" s="98">
        <v>-2.9188999999999998</v>
      </c>
      <c r="AL31" s="98">
        <v>0.58640000000000003</v>
      </c>
      <c r="AM31" s="98">
        <v>6.2100000000000002E-2</v>
      </c>
      <c r="AN31" s="98">
        <v>-1.8694999999999999</v>
      </c>
      <c r="AO31" s="98">
        <v>-0.70469999999999999</v>
      </c>
      <c r="AQ31" s="50">
        <f t="shared" si="12"/>
        <v>0.10199999999999999</v>
      </c>
      <c r="AR31" s="50">
        <f t="shared" si="14"/>
        <v>0.4363247617526485</v>
      </c>
      <c r="AS31" s="50">
        <f t="shared" si="15"/>
        <v>1.0689799999999999E-2</v>
      </c>
      <c r="AT31" s="50">
        <f t="shared" si="18"/>
        <v>0.27318293333333321</v>
      </c>
      <c r="AU31" s="50">
        <f t="shared" si="13"/>
        <v>4.2776937426730246</v>
      </c>
    </row>
    <row r="32" spans="1:47" s="68" customFormat="1" x14ac:dyDescent="0.35">
      <c r="A32" s="68">
        <v>10</v>
      </c>
      <c r="B32" s="28"/>
      <c r="C32" s="68">
        <v>16</v>
      </c>
      <c r="D32" s="68">
        <v>113</v>
      </c>
      <c r="E32" s="31">
        <f t="shared" si="16"/>
        <v>1808</v>
      </c>
      <c r="F32" s="69">
        <f t="shared" si="3"/>
        <v>1</v>
      </c>
      <c r="G32" s="25">
        <f t="shared" si="17"/>
        <v>16</v>
      </c>
      <c r="H32" s="31">
        <v>8.0299999999999994</v>
      </c>
      <c r="I32" s="31">
        <v>975</v>
      </c>
      <c r="J32" s="31">
        <v>162</v>
      </c>
      <c r="K32" s="27">
        <v>91</v>
      </c>
      <c r="L32" s="27">
        <v>15</v>
      </c>
      <c r="M32" s="27">
        <v>3.7</v>
      </c>
      <c r="N32" s="186">
        <v>372</v>
      </c>
      <c r="O32" s="186">
        <v>14</v>
      </c>
      <c r="P32" s="21">
        <v>104.2</v>
      </c>
      <c r="Q32" s="21">
        <v>25.19</v>
      </c>
      <c r="R32" s="21">
        <v>63.37</v>
      </c>
      <c r="S32" s="21">
        <v>15.95</v>
      </c>
      <c r="T32" s="18">
        <v>9.8010000000000002</v>
      </c>
      <c r="U32" s="169">
        <v>0.2</v>
      </c>
      <c r="V32" s="81">
        <v>0.02</v>
      </c>
      <c r="W32" s="81">
        <v>0.02</v>
      </c>
      <c r="X32" s="11">
        <v>0.26700000000000002</v>
      </c>
      <c r="Y32" s="81">
        <v>0.04</v>
      </c>
      <c r="Z32" s="18">
        <v>1.137</v>
      </c>
      <c r="AA32" s="31"/>
      <c r="AB32" s="69">
        <f t="shared" si="11"/>
        <v>11.467967865470586</v>
      </c>
      <c r="AC32" s="69">
        <f t="shared" si="1"/>
        <v>10.27822764564246</v>
      </c>
      <c r="AD32" s="69">
        <f t="shared" si="2"/>
        <v>5.4710269629468211</v>
      </c>
      <c r="AF32" s="98">
        <v>8.0299999999999994</v>
      </c>
      <c r="AG32" s="98">
        <v>-6.5334300000000001</v>
      </c>
      <c r="AH32" s="98">
        <v>0.60919999999999996</v>
      </c>
      <c r="AI32" s="98">
        <v>-1.026</v>
      </c>
      <c r="AJ32" s="98">
        <v>-1.2758</v>
      </c>
      <c r="AK32" s="98">
        <v>-2.8673999999999999</v>
      </c>
      <c r="AL32" s="98">
        <v>0.42409999999999998</v>
      </c>
      <c r="AM32" s="98">
        <v>-2.6700000000000002E-2</v>
      </c>
      <c r="AN32" s="98">
        <v>-1.8625</v>
      </c>
      <c r="AO32" s="98">
        <v>-0.78510000000000002</v>
      </c>
      <c r="AQ32" s="50">
        <f t="shared" si="12"/>
        <v>9.0999999999999998E-2</v>
      </c>
      <c r="AR32" s="50">
        <f t="shared" si="14"/>
        <v>0.4212364372038544</v>
      </c>
      <c r="AS32" s="50">
        <f t="shared" si="15"/>
        <v>9.4468E-3</v>
      </c>
      <c r="AT32" s="50">
        <f t="shared" si="18"/>
        <v>0.26373613333333323</v>
      </c>
      <c r="AU32" s="50">
        <f t="shared" si="13"/>
        <v>4.6289718374049933</v>
      </c>
    </row>
    <row r="33" spans="1:47" s="68" customFormat="1" x14ac:dyDescent="0.35">
      <c r="A33" s="68">
        <v>10</v>
      </c>
      <c r="B33" s="28"/>
      <c r="C33" s="68">
        <v>17</v>
      </c>
      <c r="D33" s="68">
        <v>113</v>
      </c>
      <c r="E33" s="31">
        <f t="shared" si="16"/>
        <v>1921</v>
      </c>
      <c r="F33" s="69">
        <f t="shared" si="3"/>
        <v>1</v>
      </c>
      <c r="G33" s="25">
        <f t="shared" si="17"/>
        <v>17</v>
      </c>
      <c r="H33" s="31">
        <v>8.0299999999999994</v>
      </c>
      <c r="I33" s="31">
        <v>976</v>
      </c>
      <c r="J33" s="31">
        <v>164</v>
      </c>
      <c r="K33" s="27">
        <v>81</v>
      </c>
      <c r="L33" s="27">
        <v>15</v>
      </c>
      <c r="M33" s="27">
        <v>3.8</v>
      </c>
      <c r="N33" s="186">
        <v>371</v>
      </c>
      <c r="O33" s="186">
        <v>13</v>
      </c>
      <c r="P33" s="21">
        <v>105</v>
      </c>
      <c r="Q33" s="21">
        <v>25.01</v>
      </c>
      <c r="R33" s="21">
        <v>64.11</v>
      </c>
      <c r="S33" s="21">
        <v>15.47</v>
      </c>
      <c r="T33" s="18">
        <v>9.4570000000000007</v>
      </c>
      <c r="U33" s="169">
        <v>0.2</v>
      </c>
      <c r="V33" s="81">
        <v>0.02</v>
      </c>
      <c r="W33" s="81">
        <v>0.02</v>
      </c>
      <c r="X33" s="11">
        <v>0.27</v>
      </c>
      <c r="Y33" s="81">
        <v>0.04</v>
      </c>
      <c r="Z33" s="18">
        <v>1.1240000000000001</v>
      </c>
      <c r="AA33" s="31"/>
      <c r="AB33" s="69">
        <f t="shared" si="11"/>
        <v>11.488760448063456</v>
      </c>
      <c r="AC33" s="69">
        <f t="shared" si="1"/>
        <v>10.32673512756595</v>
      </c>
      <c r="AD33" s="69">
        <f t="shared" si="2"/>
        <v>5.3266051943171577</v>
      </c>
      <c r="AF33" s="98">
        <v>8.0299999999999994</v>
      </c>
      <c r="AG33" s="98">
        <v>-6.3201799999999997</v>
      </c>
      <c r="AH33" s="98">
        <v>0.61780000000000002</v>
      </c>
      <c r="AI33" s="98">
        <v>-1.0243</v>
      </c>
      <c r="AJ33" s="98">
        <v>-1.2741</v>
      </c>
      <c r="AK33" s="98">
        <v>-2.8622000000000001</v>
      </c>
      <c r="AL33" s="98">
        <v>0.43490000000000001</v>
      </c>
      <c r="AM33" s="98">
        <v>-1.67E-2</v>
      </c>
      <c r="AN33" s="98">
        <v>-1.8593</v>
      </c>
      <c r="AO33" s="98">
        <v>-0.78290000000000004</v>
      </c>
      <c r="AQ33" s="50">
        <f t="shared" si="12"/>
        <v>8.1000000000000003E-2</v>
      </c>
      <c r="AR33" s="50">
        <f t="shared" si="14"/>
        <v>0.40795293616568157</v>
      </c>
      <c r="AS33" s="50">
        <f t="shared" si="15"/>
        <v>8.3168000000000009E-3</v>
      </c>
      <c r="AT33" s="50">
        <f t="shared" si="18"/>
        <v>0.25541933333333322</v>
      </c>
      <c r="AU33" s="50">
        <f t="shared" si="13"/>
        <v>5.0364560020454512</v>
      </c>
    </row>
    <row r="34" spans="1:47" s="68" customFormat="1" x14ac:dyDescent="0.35">
      <c r="A34" s="68">
        <v>10</v>
      </c>
      <c r="B34" s="28"/>
      <c r="C34" s="68">
        <v>18</v>
      </c>
      <c r="D34" s="68">
        <v>113</v>
      </c>
      <c r="E34" s="31">
        <f t="shared" si="16"/>
        <v>2034</v>
      </c>
      <c r="F34" s="69">
        <f t="shared" si="3"/>
        <v>1</v>
      </c>
      <c r="G34" s="25">
        <f t="shared" si="17"/>
        <v>18</v>
      </c>
      <c r="H34" s="31">
        <v>7.96</v>
      </c>
      <c r="I34" s="31">
        <v>965</v>
      </c>
      <c r="J34" s="31">
        <v>162</v>
      </c>
      <c r="K34" s="27">
        <v>53</v>
      </c>
      <c r="L34" s="27">
        <v>15</v>
      </c>
      <c r="M34" s="27">
        <v>3.7</v>
      </c>
      <c r="N34" s="186">
        <v>363</v>
      </c>
      <c r="O34" s="186">
        <v>13</v>
      </c>
      <c r="P34" s="21">
        <v>104.3</v>
      </c>
      <c r="Q34" s="21">
        <v>25.01</v>
      </c>
      <c r="R34" s="21">
        <v>63.21</v>
      </c>
      <c r="S34" s="21">
        <v>14.66</v>
      </c>
      <c r="T34" s="18">
        <v>8.4179999999999993</v>
      </c>
      <c r="U34" s="169">
        <v>0.2</v>
      </c>
      <c r="V34" s="81">
        <v>0.02</v>
      </c>
      <c r="W34" s="81">
        <v>0.02</v>
      </c>
      <c r="X34" s="11">
        <v>0.26700000000000002</v>
      </c>
      <c r="Y34" s="81">
        <v>0.04</v>
      </c>
      <c r="Z34" s="18">
        <v>1.139</v>
      </c>
      <c r="AA34" s="31"/>
      <c r="AB34" s="69">
        <f t="shared" si="11"/>
        <v>11.280584979774146</v>
      </c>
      <c r="AC34" s="69">
        <f t="shared" si="1"/>
        <v>10.226084642404416</v>
      </c>
      <c r="AD34" s="69">
        <f t="shared" si="2"/>
        <v>4.9031317070230402</v>
      </c>
      <c r="AF34" s="98">
        <v>7.96</v>
      </c>
      <c r="AG34" s="98">
        <v>-5.8657899999999996</v>
      </c>
      <c r="AH34" s="98">
        <v>0.5454</v>
      </c>
      <c r="AI34" s="98">
        <v>-1.0326</v>
      </c>
      <c r="AJ34" s="98">
        <v>-1.2824</v>
      </c>
      <c r="AK34" s="98">
        <v>-2.7949000000000002</v>
      </c>
      <c r="AL34" s="98">
        <v>0.29239999999999999</v>
      </c>
      <c r="AM34" s="98">
        <v>-9.1499999999999998E-2</v>
      </c>
      <c r="AN34" s="98">
        <v>-1.8579000000000001</v>
      </c>
      <c r="AO34" s="98">
        <v>-0.85289999999999999</v>
      </c>
      <c r="AQ34" s="50">
        <f t="shared" si="12"/>
        <v>5.2999999999999999E-2</v>
      </c>
      <c r="AR34" s="50">
        <f t="shared" si="14"/>
        <v>0.39972294095724836</v>
      </c>
      <c r="AS34" s="50">
        <f t="shared" si="15"/>
        <v>5.1527999999999999E-3</v>
      </c>
      <c r="AT34" s="50">
        <f t="shared" si="18"/>
        <v>0.25026653333333321</v>
      </c>
      <c r="AU34" s="50">
        <f t="shared" si="13"/>
        <v>7.5419422822122337</v>
      </c>
    </row>
    <row r="35" spans="1:47" s="68" customFormat="1" x14ac:dyDescent="0.35">
      <c r="A35" s="68">
        <v>10</v>
      </c>
      <c r="B35" s="28">
        <v>43539</v>
      </c>
      <c r="C35" s="68">
        <v>19</v>
      </c>
      <c r="D35" s="68">
        <v>113</v>
      </c>
      <c r="E35" s="31">
        <f t="shared" si="16"/>
        <v>2147</v>
      </c>
      <c r="F35" s="69">
        <f t="shared" si="3"/>
        <v>1</v>
      </c>
      <c r="G35" s="25">
        <f t="shared" si="17"/>
        <v>19</v>
      </c>
      <c r="H35" s="31">
        <v>7.95</v>
      </c>
      <c r="I35" s="31">
        <v>998</v>
      </c>
      <c r="J35" s="31">
        <v>194</v>
      </c>
      <c r="K35" s="27">
        <v>50</v>
      </c>
      <c r="L35" s="27">
        <v>16</v>
      </c>
      <c r="M35" s="18">
        <v>3.7</v>
      </c>
      <c r="N35" s="186">
        <v>455</v>
      </c>
      <c r="O35" s="186">
        <v>14</v>
      </c>
      <c r="P35" s="12">
        <v>115.1</v>
      </c>
      <c r="Q35" s="12">
        <v>29.18</v>
      </c>
      <c r="R35" s="21">
        <v>74.91</v>
      </c>
      <c r="S35" s="21">
        <v>15.28</v>
      </c>
      <c r="T35" s="18">
        <v>9.452</v>
      </c>
      <c r="U35" s="169">
        <v>0.2</v>
      </c>
      <c r="V35" s="81">
        <v>0.02</v>
      </c>
      <c r="W35" s="81">
        <v>0.02</v>
      </c>
      <c r="X35" s="11">
        <v>0.27900000000000003</v>
      </c>
      <c r="Y35" s="81">
        <v>0.04</v>
      </c>
      <c r="Z35" s="18">
        <v>1.173</v>
      </c>
      <c r="AA35" s="31"/>
      <c r="AB35" s="69">
        <f t="shared" si="11"/>
        <v>13.86426322271528</v>
      </c>
      <c r="AC35" s="69">
        <f t="shared" si="1"/>
        <v>11.643296362859884</v>
      </c>
      <c r="AD35" s="25">
        <f t="shared" si="2"/>
        <v>8.7070927048284936</v>
      </c>
      <c r="AF35" s="98">
        <v>7.95</v>
      </c>
      <c r="AG35" s="98">
        <v>-9.8923900000000007</v>
      </c>
      <c r="AH35" s="98">
        <v>0.622</v>
      </c>
      <c r="AI35" s="98">
        <v>-0.93799999999999994</v>
      </c>
      <c r="AJ35" s="98">
        <v>-1.1877</v>
      </c>
      <c r="AK35" s="98">
        <v>-2.7105000000000001</v>
      </c>
      <c r="AL35" s="98">
        <v>0.47289999999999999</v>
      </c>
      <c r="AM35" s="98">
        <v>-3.9600000000000003E-2</v>
      </c>
      <c r="AN35" s="98">
        <v>-1.8599000000000001</v>
      </c>
      <c r="AO35" s="98">
        <v>-0.74909999999999999</v>
      </c>
      <c r="AQ35" s="50">
        <f t="shared" si="12"/>
        <v>0.05</v>
      </c>
      <c r="AR35" s="50">
        <f t="shared" si="14"/>
        <v>0.39203439280200159</v>
      </c>
      <c r="AS35" s="50">
        <f t="shared" si="15"/>
        <v>4.8138000000000009E-3</v>
      </c>
      <c r="AT35" s="50">
        <f t="shared" si="18"/>
        <v>0.2454527333333332</v>
      </c>
      <c r="AU35" s="50">
        <f t="shared" si="13"/>
        <v>7.8406878560400317</v>
      </c>
    </row>
    <row r="36" spans="1:47" s="68" customFormat="1" x14ac:dyDescent="0.35">
      <c r="B36" s="28"/>
      <c r="E36" s="31"/>
      <c r="F36" s="69"/>
      <c r="G36" s="25"/>
      <c r="K36" s="65"/>
      <c r="L36" s="65"/>
      <c r="N36" s="31"/>
      <c r="P36" s="15"/>
      <c r="R36" s="16"/>
      <c r="S36" s="16"/>
      <c r="T36" s="16"/>
      <c r="U36" s="67"/>
      <c r="AB36" s="69"/>
      <c r="AC36" s="69"/>
      <c r="AD36" s="69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Q36" s="149"/>
      <c r="AR36" s="149"/>
      <c r="AS36" s="149"/>
      <c r="AT36" s="149"/>
      <c r="AU36" s="149"/>
    </row>
    <row r="37" spans="1:47" s="68" customFormat="1" x14ac:dyDescent="0.35">
      <c r="A37" s="68" t="s">
        <v>58</v>
      </c>
      <c r="B37" s="28"/>
      <c r="E37" s="31"/>
      <c r="F37" s="69"/>
      <c r="G37" s="25"/>
      <c r="H37" s="69" t="s">
        <v>270</v>
      </c>
      <c r="I37" s="165">
        <f>'Influent Results Master'!D52</f>
        <v>1832.8333333333335</v>
      </c>
      <c r="J37" s="165">
        <f>'Influent Results Master'!F52</f>
        <v>265.41666666666669</v>
      </c>
      <c r="K37" s="165">
        <f>'Influent Results Master'!G52</f>
        <v>742.66666666666663</v>
      </c>
      <c r="L37" s="165">
        <f>'Influent Results Master'!H52</f>
        <v>42.083333333333336</v>
      </c>
      <c r="M37" s="167">
        <f>'Influent Results Master'!I52</f>
        <v>2.625</v>
      </c>
      <c r="N37" s="165">
        <f>'Influent Results Master'!J52</f>
        <v>695.66666666666663</v>
      </c>
      <c r="O37" s="165">
        <f>'Influent Results Master'!K52</f>
        <v>22.916666666666664</v>
      </c>
      <c r="P37" s="165">
        <f>'Influent Results Master'!L52</f>
        <v>174.5333333333333</v>
      </c>
      <c r="Q37" s="165">
        <f>'Influent Results Master'!M52</f>
        <v>36.525833333333331</v>
      </c>
      <c r="R37" s="165">
        <f>'Influent Results Master'!N52</f>
        <v>237.48333333333335</v>
      </c>
      <c r="S37" s="165">
        <f>'Influent Results Master'!O52</f>
        <v>15.590833333333332</v>
      </c>
      <c r="T37" s="170">
        <f>'Influent Results Master'!P52</f>
        <v>6.6661666666666664</v>
      </c>
      <c r="U37" s="171">
        <f>'Influent Results Master'!Q52</f>
        <v>0.2</v>
      </c>
      <c r="V37" s="163">
        <f>'Influent Results Master'!R52</f>
        <v>0.30833333333333335</v>
      </c>
      <c r="W37" s="163">
        <f>'Influent Results Master'!S52</f>
        <v>0.20458333333333337</v>
      </c>
      <c r="X37" s="170">
        <f>'Influent Results Master'!T52</f>
        <v>1.6755</v>
      </c>
      <c r="Y37" s="163">
        <f>'Influent Results Master'!U52</f>
        <v>0.17333333333333334</v>
      </c>
      <c r="Z37" s="170">
        <f>'Influent Results Master'!V52</f>
        <v>1.5635833333333333</v>
      </c>
      <c r="AB37" s="69">
        <f>((J37/50)+(L37/35.45)+(M37/62)+(N37/48.03))</f>
        <v>21.021793103239819</v>
      </c>
      <c r="AC37" s="69">
        <f t="shared" si="1"/>
        <v>22.213361114519572</v>
      </c>
      <c r="AD37" s="69">
        <f t="shared" si="2"/>
        <v>2.756016562999331</v>
      </c>
      <c r="AF37" s="98">
        <v>8</v>
      </c>
      <c r="AG37" s="98">
        <v>6.5</v>
      </c>
      <c r="AH37" s="98">
        <v>0.90010000000000001</v>
      </c>
      <c r="AI37" s="98">
        <v>-0.70009999999999994</v>
      </c>
      <c r="AJ37" s="98">
        <v>-0.94969999999999999</v>
      </c>
      <c r="AK37" s="98">
        <v>-2.6476000000000002</v>
      </c>
      <c r="AL37" s="98">
        <v>0.95389999999999997</v>
      </c>
      <c r="AM37" s="98">
        <v>0.82340000000000002</v>
      </c>
      <c r="AN37" s="98">
        <v>-0.59970000000000001</v>
      </c>
      <c r="AO37" s="98">
        <v>-0.54620000000000002</v>
      </c>
      <c r="AQ37" s="50">
        <f>K37/1000</f>
        <v>0.74266666666666659</v>
      </c>
      <c r="AR37" s="149"/>
      <c r="AS37" s="149"/>
      <c r="AT37" s="149"/>
      <c r="AU37" s="149"/>
    </row>
    <row r="38" spans="1:47" s="68" customFormat="1" x14ac:dyDescent="0.35">
      <c r="B38" s="28"/>
      <c r="E38" s="31"/>
      <c r="F38" s="69"/>
      <c r="G38" s="25"/>
      <c r="K38" s="65"/>
      <c r="L38" s="65"/>
      <c r="N38" s="31"/>
      <c r="P38" s="15"/>
      <c r="R38" s="16"/>
      <c r="S38" s="16"/>
      <c r="T38" s="16"/>
      <c r="U38" s="67"/>
      <c r="AB38" s="69"/>
      <c r="AC38" s="69"/>
      <c r="AD38" s="69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Q38" s="149"/>
      <c r="AR38" s="149"/>
      <c r="AS38" s="149"/>
      <c r="AT38" s="149"/>
      <c r="AU38" s="149"/>
    </row>
    <row r="39" spans="1:47" s="68" customFormat="1" x14ac:dyDescent="0.35">
      <c r="A39" s="68">
        <v>10</v>
      </c>
      <c r="B39" s="28">
        <v>43539</v>
      </c>
      <c r="C39" s="68">
        <v>23</v>
      </c>
      <c r="D39" s="68">
        <v>113</v>
      </c>
      <c r="E39" s="31">
        <f>D39+E35</f>
        <v>2260</v>
      </c>
      <c r="F39" s="69">
        <f t="shared" si="3"/>
        <v>1</v>
      </c>
      <c r="G39" s="25">
        <f>G35+F39</f>
        <v>20</v>
      </c>
      <c r="H39" s="31">
        <v>7.96</v>
      </c>
      <c r="I39" s="31">
        <v>1445</v>
      </c>
      <c r="J39" s="31">
        <v>212</v>
      </c>
      <c r="K39" s="27">
        <v>116</v>
      </c>
      <c r="L39" s="27">
        <v>33</v>
      </c>
      <c r="M39" s="27">
        <v>1.3</v>
      </c>
      <c r="N39" s="31">
        <v>692</v>
      </c>
      <c r="O39" s="31">
        <v>17</v>
      </c>
      <c r="P39" s="12">
        <v>176.5</v>
      </c>
      <c r="Q39" s="12">
        <v>44.88</v>
      </c>
      <c r="R39" s="21">
        <v>88.27</v>
      </c>
      <c r="S39" s="21">
        <v>15.3</v>
      </c>
      <c r="T39" s="18">
        <v>9.7129999999999992</v>
      </c>
      <c r="U39" s="169">
        <v>0.2</v>
      </c>
      <c r="V39" s="11">
        <v>0.10199999999999999</v>
      </c>
      <c r="W39" s="81">
        <v>0.02</v>
      </c>
      <c r="X39" s="11">
        <v>0.44600000000000001</v>
      </c>
      <c r="Y39" s="81">
        <v>0.04</v>
      </c>
      <c r="Z39" s="18">
        <v>1.89</v>
      </c>
      <c r="AA39" s="31"/>
      <c r="AB39" s="69">
        <f t="shared" ref="AB39:AB42" si="19">((J39/50)+(L39/35.45)+(M39/62)+(N39/48.03))</f>
        <v>19.599518195386796</v>
      </c>
      <c r="AC39" s="69">
        <f t="shared" si="1"/>
        <v>16.586084458272637</v>
      </c>
      <c r="AD39" s="25">
        <f t="shared" si="2"/>
        <v>8.3277146603206074</v>
      </c>
      <c r="AF39" s="98">
        <v>7.96</v>
      </c>
      <c r="AG39" s="98">
        <v>-9.4184800000000006</v>
      </c>
      <c r="AH39" s="98">
        <v>0.78500000000000003</v>
      </c>
      <c r="AI39" s="98">
        <v>-0.67930000000000001</v>
      </c>
      <c r="AJ39" s="98">
        <v>-0.92900000000000005</v>
      </c>
      <c r="AK39" s="98">
        <v>-2.6968999999999999</v>
      </c>
      <c r="AL39" s="98">
        <v>0.80359999999999998</v>
      </c>
      <c r="AM39" s="98">
        <v>0.1348</v>
      </c>
      <c r="AN39" s="98">
        <v>-1.0555000000000001</v>
      </c>
      <c r="AO39" s="98">
        <v>-0.58140000000000003</v>
      </c>
      <c r="AQ39" s="50">
        <f t="shared" ref="AQ39:AQ46" si="20">K39/1000</f>
        <v>0.11600000000000001</v>
      </c>
      <c r="AR39" s="50">
        <f>AT39/$AS$6</f>
        <v>0.50513666613427011</v>
      </c>
      <c r="AS39" s="50">
        <f>(AQ39-$AQ$37)*0.113</f>
        <v>-7.0813333333333325E-2</v>
      </c>
      <c r="AT39" s="50">
        <f>AT35-AS39</f>
        <v>0.31626606666666651</v>
      </c>
      <c r="AU39" s="50">
        <f t="shared" ref="AU39:AU46" si="21">AR39/AQ39</f>
        <v>4.3546264321919832</v>
      </c>
    </row>
    <row r="40" spans="1:47" s="68" customFormat="1" x14ac:dyDescent="0.35">
      <c r="A40" s="68">
        <v>10</v>
      </c>
      <c r="B40" s="28"/>
      <c r="C40" s="68">
        <v>24</v>
      </c>
      <c r="D40" s="68">
        <v>113</v>
      </c>
      <c r="E40" s="31">
        <f>D40+E39</f>
        <v>2373</v>
      </c>
      <c r="F40" s="69">
        <f t="shared" si="3"/>
        <v>1</v>
      </c>
      <c r="G40" s="25">
        <f>G39+F40</f>
        <v>21</v>
      </c>
      <c r="H40" s="31">
        <v>7.98</v>
      </c>
      <c r="I40" s="31">
        <v>1735</v>
      </c>
      <c r="J40" s="12">
        <v>259.5</v>
      </c>
      <c r="K40" s="27">
        <v>363</v>
      </c>
      <c r="L40" s="27">
        <v>41</v>
      </c>
      <c r="M40" s="169">
        <v>0.5</v>
      </c>
      <c r="N40" s="31">
        <v>798</v>
      </c>
      <c r="O40" s="31">
        <v>20</v>
      </c>
      <c r="P40" s="21">
        <v>188.1</v>
      </c>
      <c r="Q40" s="12">
        <v>47.72</v>
      </c>
      <c r="R40" s="12">
        <v>148.9</v>
      </c>
      <c r="S40" s="12">
        <v>15.14</v>
      </c>
      <c r="T40" s="12">
        <v>10.14</v>
      </c>
      <c r="U40" s="169">
        <v>0.2</v>
      </c>
      <c r="V40" s="11">
        <v>0.252</v>
      </c>
      <c r="W40" s="81">
        <v>0.02</v>
      </c>
      <c r="X40" s="11">
        <v>0.47</v>
      </c>
      <c r="Y40" s="81">
        <v>0.04</v>
      </c>
      <c r="Z40" s="18">
        <v>1.964</v>
      </c>
      <c r="AA40" s="31"/>
      <c r="AB40" s="69">
        <f t="shared" si="19"/>
        <v>22.969238914358627</v>
      </c>
      <c r="AC40" s="69">
        <f t="shared" si="1"/>
        <v>20.046633701150689</v>
      </c>
      <c r="AD40" s="69">
        <f t="shared" si="2"/>
        <v>6.7942483448637416</v>
      </c>
      <c r="AF40" s="98">
        <v>7.98</v>
      </c>
      <c r="AG40" s="98">
        <v>-5.7006500000000004</v>
      </c>
      <c r="AH40" s="98">
        <v>0.88929999999999998</v>
      </c>
      <c r="AI40" s="98">
        <v>-0.62970000000000004</v>
      </c>
      <c r="AJ40" s="98">
        <v>-0.87929999999999997</v>
      </c>
      <c r="AK40" s="98">
        <v>-2.6343999999999999</v>
      </c>
      <c r="AL40" s="98">
        <v>1.0133000000000001</v>
      </c>
      <c r="AM40" s="98">
        <v>0.23069999999999999</v>
      </c>
      <c r="AN40" s="98">
        <v>-0.67530000000000001</v>
      </c>
      <c r="AO40" s="98">
        <v>-0.47599999999999998</v>
      </c>
      <c r="AQ40" s="50">
        <f t="shared" si="20"/>
        <v>0.36299999999999999</v>
      </c>
      <c r="AR40" s="50">
        <f t="shared" ref="AR40:AR46" si="22">AT40/$AS$6</f>
        <v>0.57365979875419237</v>
      </c>
      <c r="AS40" s="50">
        <f t="shared" ref="AS40:AS46" si="23">(AQ40-$AQ$37)*0.113</f>
        <v>-4.2902333333333327E-2</v>
      </c>
      <c r="AT40" s="50">
        <f>AT39-AS40</f>
        <v>0.35916839999999983</v>
      </c>
      <c r="AU40" s="50">
        <f t="shared" si="21"/>
        <v>1.5803300241162326</v>
      </c>
    </row>
    <row r="41" spans="1:47" s="68" customFormat="1" x14ac:dyDescent="0.35">
      <c r="A41" s="68">
        <v>10</v>
      </c>
      <c r="B41" s="28"/>
      <c r="C41" s="68">
        <v>25</v>
      </c>
      <c r="D41" s="68">
        <v>113</v>
      </c>
      <c r="E41" s="31">
        <f t="shared" ref="E41:E46" si="24">D41+E40</f>
        <v>2486</v>
      </c>
      <c r="F41" s="69">
        <f t="shared" si="3"/>
        <v>1</v>
      </c>
      <c r="G41" s="25">
        <f t="shared" ref="G41:G46" si="25">G40+F41</f>
        <v>22</v>
      </c>
      <c r="H41" s="25">
        <v>8</v>
      </c>
      <c r="I41" s="31">
        <v>1780</v>
      </c>
      <c r="J41" s="31">
        <v>268</v>
      </c>
      <c r="K41" s="27">
        <v>520</v>
      </c>
      <c r="L41" s="27">
        <v>42</v>
      </c>
      <c r="M41" s="169">
        <v>0.5</v>
      </c>
      <c r="N41" s="31">
        <v>703</v>
      </c>
      <c r="O41" s="31">
        <v>20</v>
      </c>
      <c r="P41" s="21">
        <v>165.1</v>
      </c>
      <c r="Q41" s="21">
        <v>42.78</v>
      </c>
      <c r="R41" s="21">
        <v>183.9</v>
      </c>
      <c r="S41" s="21">
        <v>14.98</v>
      </c>
      <c r="T41" s="21">
        <v>10.45</v>
      </c>
      <c r="U41" s="169">
        <v>0.2</v>
      </c>
      <c r="V41" s="163">
        <v>0.27400000000000002</v>
      </c>
      <c r="W41" s="81">
        <v>0.02</v>
      </c>
      <c r="X41" s="163">
        <v>0.41599999999999998</v>
      </c>
      <c r="Y41" s="81">
        <v>0.04</v>
      </c>
      <c r="Z41" s="170">
        <v>1.7150000000000001</v>
      </c>
      <c r="AA41" s="31"/>
      <c r="AB41" s="69">
        <f t="shared" si="19"/>
        <v>21.189517198940404</v>
      </c>
      <c r="AC41" s="69">
        <f t="shared" si="1"/>
        <v>20.023008543011272</v>
      </c>
      <c r="AD41" s="69">
        <f t="shared" si="2"/>
        <v>2.8304711612025799</v>
      </c>
      <c r="AF41" s="98">
        <v>8</v>
      </c>
      <c r="AG41" s="98">
        <v>-0.50602199999999997</v>
      </c>
      <c r="AH41" s="98">
        <v>0.88400000000000001</v>
      </c>
      <c r="AI41" s="98">
        <v>-0.71519999999999995</v>
      </c>
      <c r="AJ41" s="98">
        <v>-0.96479999999999999</v>
      </c>
      <c r="AK41" s="98">
        <v>-2.6381999999999999</v>
      </c>
      <c r="AL41" s="98">
        <v>1.0105999999999999</v>
      </c>
      <c r="AM41" s="98">
        <v>0.2291</v>
      </c>
      <c r="AN41" s="98">
        <v>-0.67490000000000006</v>
      </c>
      <c r="AO41" s="98">
        <v>-0.4733</v>
      </c>
      <c r="AQ41" s="50">
        <f t="shared" si="20"/>
        <v>0.52</v>
      </c>
      <c r="AR41" s="50">
        <f t="shared" si="22"/>
        <v>0.61384720225736011</v>
      </c>
      <c r="AS41" s="50">
        <f t="shared" si="23"/>
        <v>-2.5161333333333324E-2</v>
      </c>
      <c r="AT41" s="50">
        <f t="shared" ref="AT41:AT46" si="26">AT40-AS41</f>
        <v>0.38432973333333315</v>
      </c>
      <c r="AU41" s="50">
        <f t="shared" si="21"/>
        <v>1.1804753889564616</v>
      </c>
    </row>
    <row r="42" spans="1:47" s="68" customFormat="1" x14ac:dyDescent="0.35">
      <c r="A42" s="68">
        <v>10</v>
      </c>
      <c r="B42" s="28"/>
      <c r="C42" s="68">
        <v>26</v>
      </c>
      <c r="D42" s="68">
        <v>113</v>
      </c>
      <c r="E42" s="31">
        <f t="shared" si="24"/>
        <v>2599</v>
      </c>
      <c r="F42" s="69">
        <f t="shared" si="3"/>
        <v>1</v>
      </c>
      <c r="G42" s="25">
        <f t="shared" si="25"/>
        <v>23</v>
      </c>
      <c r="H42" s="31">
        <v>7.99</v>
      </c>
      <c r="I42" s="31">
        <v>1797</v>
      </c>
      <c r="J42" s="31">
        <v>272</v>
      </c>
      <c r="K42" s="27">
        <v>603</v>
      </c>
      <c r="L42" s="27">
        <v>41</v>
      </c>
      <c r="M42" s="169">
        <v>0.5</v>
      </c>
      <c r="N42" s="31">
        <v>686</v>
      </c>
      <c r="O42" s="31">
        <v>21</v>
      </c>
      <c r="P42" s="165">
        <v>155.30000000000001</v>
      </c>
      <c r="Q42" s="165">
        <v>43.52</v>
      </c>
      <c r="R42" s="165">
        <v>207.1</v>
      </c>
      <c r="S42" s="165">
        <v>15.31</v>
      </c>
      <c r="T42" s="165">
        <v>10.19</v>
      </c>
      <c r="U42" s="169">
        <v>0.2</v>
      </c>
      <c r="V42" s="163">
        <v>0.28999999999999998</v>
      </c>
      <c r="W42" s="81">
        <v>0.02</v>
      </c>
      <c r="X42" s="163">
        <v>0.39700000000000002</v>
      </c>
      <c r="Y42" s="81">
        <v>0.04</v>
      </c>
      <c r="Z42" s="170">
        <v>1.6870000000000001</v>
      </c>
      <c r="AA42" s="31"/>
      <c r="AB42" s="69">
        <f t="shared" si="19"/>
        <v>20.887363003469602</v>
      </c>
      <c r="AC42" s="69">
        <f t="shared" si="1"/>
        <v>20.59732663997665</v>
      </c>
      <c r="AD42" s="69">
        <f t="shared" si="2"/>
        <v>0.69914073357126305</v>
      </c>
      <c r="AF42" s="98">
        <v>7.99</v>
      </c>
      <c r="AG42" s="98">
        <v>2.1076299999999999</v>
      </c>
      <c r="AH42" s="98">
        <v>0.85670000000000002</v>
      </c>
      <c r="AI42" s="98">
        <v>-0.74850000000000005</v>
      </c>
      <c r="AJ42" s="98">
        <v>-0.99809999999999999</v>
      </c>
      <c r="AK42" s="98">
        <v>-2.6208999999999998</v>
      </c>
      <c r="AL42" s="98">
        <v>0.98980000000000001</v>
      </c>
      <c r="AM42" s="98">
        <v>0.2074</v>
      </c>
      <c r="AN42" s="98">
        <v>-0.67510000000000003</v>
      </c>
      <c r="AO42" s="98">
        <v>-0.46679999999999999</v>
      </c>
      <c r="AQ42" s="50">
        <f t="shared" si="20"/>
        <v>0.60299999999999998</v>
      </c>
      <c r="AR42" s="50">
        <f t="shared" si="22"/>
        <v>0.63905457062237103</v>
      </c>
      <c r="AS42" s="50">
        <f t="shared" si="23"/>
        <v>-1.5782333333333325E-2</v>
      </c>
      <c r="AT42" s="50">
        <f t="shared" si="26"/>
        <v>0.40011206666666649</v>
      </c>
      <c r="AU42" s="50">
        <f t="shared" si="21"/>
        <v>1.0597919910818756</v>
      </c>
    </row>
    <row r="43" spans="1:47" s="68" customFormat="1" x14ac:dyDescent="0.35">
      <c r="A43" s="68">
        <v>10</v>
      </c>
      <c r="B43" s="28"/>
      <c r="C43" s="68">
        <v>27</v>
      </c>
      <c r="D43" s="68">
        <v>113</v>
      </c>
      <c r="E43" s="31">
        <f t="shared" si="24"/>
        <v>2712</v>
      </c>
      <c r="F43" s="69">
        <f t="shared" si="3"/>
        <v>1</v>
      </c>
      <c r="G43" s="25">
        <f t="shared" si="25"/>
        <v>24</v>
      </c>
      <c r="H43" s="31">
        <v>7.94</v>
      </c>
      <c r="I43" s="31">
        <v>1793</v>
      </c>
      <c r="J43" s="31">
        <v>271</v>
      </c>
      <c r="K43" s="27">
        <v>650</v>
      </c>
      <c r="L43" s="27">
        <v>42</v>
      </c>
      <c r="M43" s="169">
        <v>0.5</v>
      </c>
      <c r="N43" s="31">
        <v>697</v>
      </c>
      <c r="O43" s="31">
        <v>22</v>
      </c>
      <c r="P43" s="21">
        <v>151.1</v>
      </c>
      <c r="Q43" s="21">
        <v>43.39</v>
      </c>
      <c r="R43" s="21">
        <v>206</v>
      </c>
      <c r="S43" s="21">
        <v>15.54</v>
      </c>
      <c r="T43" s="18">
        <v>9.6050000000000004</v>
      </c>
      <c r="U43" s="169">
        <v>0.2</v>
      </c>
      <c r="V43" s="11">
        <v>0.28499999999999998</v>
      </c>
      <c r="W43" s="81">
        <v>0.02</v>
      </c>
      <c r="X43" s="11">
        <v>0.378</v>
      </c>
      <c r="Y43" s="81">
        <v>0.04</v>
      </c>
      <c r="Z43" s="18">
        <v>1.6220000000000001</v>
      </c>
      <c r="AA43" s="31"/>
      <c r="AB43" s="69">
        <f>((J43/50)+(L43/35.45)+(M46/62)+(N43/48.03))</f>
        <v>21.125079146110519</v>
      </c>
      <c r="AC43" s="69">
        <f t="shared" si="1"/>
        <v>20.314246485398815</v>
      </c>
      <c r="AD43" s="69">
        <f t="shared" si="2"/>
        <v>1.9566743627101126</v>
      </c>
      <c r="AF43" s="98">
        <v>7.94</v>
      </c>
      <c r="AG43" s="98">
        <v>0.569156</v>
      </c>
      <c r="AH43" s="98">
        <v>0.79339999999999999</v>
      </c>
      <c r="AI43" s="98">
        <v>-0.75329999999999997</v>
      </c>
      <c r="AJ43" s="98">
        <v>-1.0029999999999999</v>
      </c>
      <c r="AK43" s="98">
        <v>-2.5703</v>
      </c>
      <c r="AL43" s="98">
        <v>0.874</v>
      </c>
      <c r="AM43" s="98">
        <v>0.13489999999999999</v>
      </c>
      <c r="AN43" s="98">
        <v>-0.6966</v>
      </c>
      <c r="AO43" s="98">
        <v>-0.51939999999999997</v>
      </c>
      <c r="AQ43" s="50">
        <f t="shared" si="20"/>
        <v>0.65</v>
      </c>
      <c r="AR43" s="50">
        <f t="shared" si="22"/>
        <v>0.65577926848746182</v>
      </c>
      <c r="AS43" s="50">
        <f t="shared" si="23"/>
        <v>-1.0471333333333322E-2</v>
      </c>
      <c r="AT43" s="50">
        <f t="shared" si="26"/>
        <v>0.41058339999999982</v>
      </c>
      <c r="AU43" s="50">
        <f t="shared" si="21"/>
        <v>1.0088911822884028</v>
      </c>
    </row>
    <row r="44" spans="1:47" s="68" customFormat="1" x14ac:dyDescent="0.35">
      <c r="A44" s="68">
        <v>10</v>
      </c>
      <c r="B44" s="28"/>
      <c r="C44" s="68">
        <v>28</v>
      </c>
      <c r="D44" s="68">
        <v>113</v>
      </c>
      <c r="E44" s="31">
        <f t="shared" si="24"/>
        <v>2825</v>
      </c>
      <c r="F44" s="69">
        <f t="shared" si="3"/>
        <v>1</v>
      </c>
      <c r="G44" s="25">
        <f t="shared" si="25"/>
        <v>25</v>
      </c>
      <c r="H44" s="31">
        <v>7.88</v>
      </c>
      <c r="I44" s="31">
        <v>1786</v>
      </c>
      <c r="J44" s="31">
        <v>273</v>
      </c>
      <c r="K44" s="27">
        <v>694</v>
      </c>
      <c r="L44" s="27">
        <v>41</v>
      </c>
      <c r="M44" s="169">
        <v>0.5</v>
      </c>
      <c r="N44" s="31">
        <v>696</v>
      </c>
      <c r="O44" s="31">
        <v>21</v>
      </c>
      <c r="P44" s="21">
        <v>146.5</v>
      </c>
      <c r="Q44" s="21">
        <v>45.28</v>
      </c>
      <c r="R44" s="21">
        <v>205.6</v>
      </c>
      <c r="S44" s="21">
        <v>15.42</v>
      </c>
      <c r="T44" s="18">
        <v>8.7929999999999993</v>
      </c>
      <c r="U44" s="169">
        <v>0.2</v>
      </c>
      <c r="V44" s="11">
        <v>0.28399999999999997</v>
      </c>
      <c r="W44" s="81">
        <v>0.02</v>
      </c>
      <c r="X44" s="11">
        <v>0.38200000000000001</v>
      </c>
      <c r="Y44" s="81">
        <v>0.04</v>
      </c>
      <c r="Z44" s="18">
        <v>1.5660000000000001</v>
      </c>
      <c r="AA44" s="31"/>
      <c r="AB44" s="69">
        <f>((J44/50)+(L44/35.45)+(M50/62)+(N44/48.03))</f>
        <v>21.284921048508657</v>
      </c>
      <c r="AC44" s="69">
        <f t="shared" si="1"/>
        <v>20.201967066313472</v>
      </c>
      <c r="AD44" s="69">
        <f t="shared" si="2"/>
        <v>2.6103524062781553</v>
      </c>
      <c r="AF44" s="98">
        <v>7.88</v>
      </c>
      <c r="AG44" s="98">
        <v>0.28609499999999999</v>
      </c>
      <c r="AH44" s="98">
        <v>0.72560000000000002</v>
      </c>
      <c r="AI44" s="98">
        <v>-0.7661</v>
      </c>
      <c r="AJ44" s="98">
        <v>-1.0157</v>
      </c>
      <c r="AK44" s="98">
        <v>-2.5049999999999999</v>
      </c>
      <c r="AL44" s="98">
        <v>0.77029999999999998</v>
      </c>
      <c r="AM44" s="98">
        <v>8.4900000000000003E-2</v>
      </c>
      <c r="AN44" s="98">
        <v>-0.71099999999999997</v>
      </c>
      <c r="AO44" s="98">
        <v>-0.55530000000000002</v>
      </c>
      <c r="AQ44" s="50">
        <f t="shared" si="20"/>
        <v>0.69399999999999995</v>
      </c>
      <c r="AR44" s="50">
        <f t="shared" si="22"/>
        <v>0.66456274290581885</v>
      </c>
      <c r="AS44" s="50">
        <f t="shared" si="23"/>
        <v>-5.49933333333333E-3</v>
      </c>
      <c r="AT44" s="50">
        <f t="shared" si="26"/>
        <v>0.41608273333333318</v>
      </c>
      <c r="AU44" s="50">
        <f t="shared" si="21"/>
        <v>0.95758320303432121</v>
      </c>
    </row>
    <row r="45" spans="1:47" s="68" customFormat="1" x14ac:dyDescent="0.35">
      <c r="A45" s="68">
        <v>10</v>
      </c>
      <c r="B45" s="28"/>
      <c r="C45" s="68">
        <v>29</v>
      </c>
      <c r="D45" s="68">
        <v>113</v>
      </c>
      <c r="E45" s="31">
        <f t="shared" si="24"/>
        <v>2938</v>
      </c>
      <c r="F45" s="69">
        <f t="shared" si="3"/>
        <v>1</v>
      </c>
      <c r="G45" s="25">
        <f t="shared" si="25"/>
        <v>26</v>
      </c>
      <c r="H45" s="31">
        <v>7.93</v>
      </c>
      <c r="I45" s="31">
        <v>1794</v>
      </c>
      <c r="J45" s="31">
        <v>268</v>
      </c>
      <c r="K45" s="27">
        <v>686</v>
      </c>
      <c r="L45" s="27">
        <v>41</v>
      </c>
      <c r="M45" s="169">
        <v>0.5</v>
      </c>
      <c r="N45" s="31">
        <v>704</v>
      </c>
      <c r="O45" s="31">
        <v>20</v>
      </c>
      <c r="P45" s="21">
        <v>148.80000000000001</v>
      </c>
      <c r="Q45" s="21">
        <v>43.45</v>
      </c>
      <c r="R45" s="21">
        <v>204.7</v>
      </c>
      <c r="S45" s="21">
        <v>15.21</v>
      </c>
      <c r="T45" s="18">
        <v>9.0540000000000003</v>
      </c>
      <c r="U45" s="169">
        <v>0.2</v>
      </c>
      <c r="V45" s="11">
        <v>0.28699999999999998</v>
      </c>
      <c r="W45" s="81">
        <v>0.02</v>
      </c>
      <c r="X45" s="11">
        <v>0.39</v>
      </c>
      <c r="Y45" s="81">
        <v>0.04</v>
      </c>
      <c r="Z45" s="18">
        <v>1.6160000000000001</v>
      </c>
      <c r="AA45" s="31"/>
      <c r="AB45" s="69">
        <f>((J45/50)+(L45/35.45)+(M51/62)+(N45/48.03))</f>
        <v>21.43212877486248</v>
      </c>
      <c r="AC45" s="69">
        <f t="shared" si="1"/>
        <v>20.133771840743137</v>
      </c>
      <c r="AD45" s="69">
        <f t="shared" si="2"/>
        <v>3.1236107359403276</v>
      </c>
      <c r="AF45" s="98">
        <v>7.93</v>
      </c>
      <c r="AG45" s="98">
        <v>-0.15864600000000001</v>
      </c>
      <c r="AH45" s="98">
        <v>0.77129999999999999</v>
      </c>
      <c r="AI45" s="98">
        <v>-0.75560000000000005</v>
      </c>
      <c r="AJ45" s="98">
        <v>-1.0052000000000001</v>
      </c>
      <c r="AK45" s="98">
        <v>-2.5646</v>
      </c>
      <c r="AL45" s="98">
        <v>0.83720000000000006</v>
      </c>
      <c r="AM45" s="98">
        <v>0.13339999999999999</v>
      </c>
      <c r="AN45" s="98">
        <v>-0.70130000000000003</v>
      </c>
      <c r="AO45" s="98">
        <v>-0.53410000000000002</v>
      </c>
      <c r="AQ45" s="50">
        <f t="shared" si="20"/>
        <v>0.68600000000000005</v>
      </c>
      <c r="AR45" s="50">
        <f t="shared" si="22"/>
        <v>0.67479007613267294</v>
      </c>
      <c r="AS45" s="50">
        <f t="shared" si="23"/>
        <v>-6.4033333333333182E-3</v>
      </c>
      <c r="AT45" s="50">
        <f t="shared" si="26"/>
        <v>0.42248606666666649</v>
      </c>
      <c r="AU45" s="50">
        <f t="shared" si="21"/>
        <v>0.98365900310885257</v>
      </c>
    </row>
    <row r="46" spans="1:47" s="68" customFormat="1" x14ac:dyDescent="0.35">
      <c r="A46" s="68">
        <v>10</v>
      </c>
      <c r="B46" s="28">
        <v>43539</v>
      </c>
      <c r="C46" s="68">
        <v>30</v>
      </c>
      <c r="D46" s="68">
        <v>113</v>
      </c>
      <c r="E46" s="31">
        <f t="shared" si="24"/>
        <v>3051</v>
      </c>
      <c r="F46" s="69">
        <f t="shared" si="3"/>
        <v>1</v>
      </c>
      <c r="G46" s="25">
        <f t="shared" si="25"/>
        <v>27</v>
      </c>
      <c r="H46" s="31">
        <v>8.07</v>
      </c>
      <c r="I46" s="31">
        <v>1814</v>
      </c>
      <c r="J46" s="31">
        <v>274</v>
      </c>
      <c r="K46" s="27">
        <v>662</v>
      </c>
      <c r="L46" s="27">
        <v>42</v>
      </c>
      <c r="M46" s="27">
        <v>0.53</v>
      </c>
      <c r="N46" s="31">
        <v>719</v>
      </c>
      <c r="O46" s="31">
        <v>21</v>
      </c>
      <c r="P46" s="21">
        <v>146</v>
      </c>
      <c r="Q46" s="21">
        <v>46.97</v>
      </c>
      <c r="R46" s="21">
        <v>207.1</v>
      </c>
      <c r="S46" s="21">
        <v>15.72</v>
      </c>
      <c r="T46" s="18">
        <v>8.7050000000000001</v>
      </c>
      <c r="U46" s="169">
        <v>0.2</v>
      </c>
      <c r="V46" s="11">
        <v>0.29099999999999998</v>
      </c>
      <c r="W46" s="81">
        <v>0.02</v>
      </c>
      <c r="X46" s="11">
        <v>0.38900000000000001</v>
      </c>
      <c r="Y46" s="81">
        <v>0.04</v>
      </c>
      <c r="Z46" s="18">
        <v>1.599</v>
      </c>
      <c r="AA46" s="31"/>
      <c r="AB46" s="69">
        <f>((J46/50)+(L46/35.45)+(M52/62)+(N46/48.03))</f>
        <v>21.892642329067407</v>
      </c>
      <c r="AC46" s="69">
        <f t="shared" si="1"/>
        <v>20.378992349310437</v>
      </c>
      <c r="AD46" s="69">
        <f t="shared" si="2"/>
        <v>3.5807699211859658</v>
      </c>
      <c r="AF46" s="98">
        <v>8.07</v>
      </c>
      <c r="AG46" s="98">
        <v>-0.717032</v>
      </c>
      <c r="AH46" s="98">
        <v>0.90249999999999997</v>
      </c>
      <c r="AI46" s="98">
        <v>-0.76090000000000002</v>
      </c>
      <c r="AJ46" s="98">
        <v>-1.0105</v>
      </c>
      <c r="AK46" s="98">
        <v>-2.7002999999999999</v>
      </c>
      <c r="AL46" s="98">
        <v>1.1426000000000001</v>
      </c>
      <c r="AM46" s="98">
        <v>0.2727</v>
      </c>
      <c r="AN46" s="98">
        <v>-0.71</v>
      </c>
      <c r="AO46" s="98">
        <v>-0.3599</v>
      </c>
      <c r="AQ46" s="50">
        <f t="shared" si="20"/>
        <v>0.66200000000000003</v>
      </c>
      <c r="AR46" s="50">
        <f t="shared" si="22"/>
        <v>0.68934898578501802</v>
      </c>
      <c r="AS46" s="50">
        <f t="shared" si="23"/>
        <v>-9.1153333333333208E-3</v>
      </c>
      <c r="AT46" s="50">
        <f t="shared" si="26"/>
        <v>0.4316013999999998</v>
      </c>
      <c r="AU46" s="50">
        <f t="shared" si="21"/>
        <v>1.0413126673489699</v>
      </c>
    </row>
    <row r="47" spans="1:47" s="68" customFormat="1" x14ac:dyDescent="0.35">
      <c r="B47" s="28"/>
      <c r="E47" s="31"/>
      <c r="F47" s="69"/>
      <c r="G47" s="25"/>
      <c r="K47" s="65"/>
      <c r="L47" s="65"/>
      <c r="N47" s="31"/>
      <c r="P47" s="66"/>
      <c r="Q47" s="65"/>
      <c r="R47" s="32"/>
      <c r="S47" s="32"/>
      <c r="T47" s="32"/>
      <c r="U47" s="67"/>
      <c r="AB47" s="69"/>
      <c r="AC47" s="69"/>
      <c r="AD47" s="69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Q47" s="149"/>
      <c r="AR47" s="149"/>
      <c r="AS47" s="149"/>
      <c r="AT47" s="149"/>
      <c r="AU47" s="149"/>
    </row>
    <row r="48" spans="1:47" s="68" customFormat="1" x14ac:dyDescent="0.35">
      <c r="A48" s="68" t="s">
        <v>76</v>
      </c>
      <c r="B48" s="28"/>
      <c r="E48" s="31"/>
      <c r="F48" s="69"/>
      <c r="G48" s="25"/>
      <c r="H48" s="15">
        <v>7.1</v>
      </c>
      <c r="I48" s="165">
        <f>'Influent Results Master'!D54</f>
        <v>2312</v>
      </c>
      <c r="J48" s="70">
        <f>'Influent Results Master'!F54</f>
        <v>245.88888888888889</v>
      </c>
      <c r="K48" s="165">
        <f>'Influent Results Master'!G54</f>
        <v>86.777777777777786</v>
      </c>
      <c r="L48" s="165">
        <f>'Influent Results Master'!H54</f>
        <v>90</v>
      </c>
      <c r="M48" s="165">
        <f>'Influent Results Master'!I54</f>
        <v>16.888888888888889</v>
      </c>
      <c r="N48" s="165">
        <f>'Influent Results Master'!J54</f>
        <v>981.77777777777783</v>
      </c>
      <c r="O48" s="165">
        <f>'Influent Results Master'!K54</f>
        <v>19</v>
      </c>
      <c r="P48" s="165">
        <f>'Influent Results Master'!L54</f>
        <v>155.97777777777779</v>
      </c>
      <c r="Q48" s="165">
        <f>'Influent Results Master'!M54</f>
        <v>44.49</v>
      </c>
      <c r="R48" s="165">
        <f>'Influent Results Master'!N54</f>
        <v>409.65555555555557</v>
      </c>
      <c r="S48" s="165">
        <f>'Influent Results Master'!O54</f>
        <v>22.975555555555559</v>
      </c>
      <c r="T48" s="170">
        <f>'Influent Results Master'!P54</f>
        <v>8.5394444444444453</v>
      </c>
      <c r="U48" s="177">
        <f>'Influent Results Master'!Q54</f>
        <v>0.20000000000000004</v>
      </c>
      <c r="V48" s="177">
        <f>'Influent Results Master'!R54</f>
        <v>0.02</v>
      </c>
      <c r="W48" s="177">
        <f>'Influent Results Master'!S54</f>
        <v>0.02</v>
      </c>
      <c r="X48" s="163">
        <f>'Influent Results Master'!T54</f>
        <v>0.40411111111111114</v>
      </c>
      <c r="Y48" s="177">
        <f>'Influent Results Master'!U54</f>
        <v>0.04</v>
      </c>
      <c r="Z48" s="170">
        <f>'Influent Results Master'!V54</f>
        <v>1.8005555555555555</v>
      </c>
      <c r="AB48" s="69">
        <f>((J48/50)+(L48/35.45)+(M48/62)+(N48/48.03))</f>
        <v>28.169894359073403</v>
      </c>
      <c r="AC48" s="69">
        <f t="shared" si="1"/>
        <v>29.479297904199917</v>
      </c>
      <c r="AD48" s="69">
        <f t="shared" si="2"/>
        <v>2.2713302541112936</v>
      </c>
      <c r="AF48" s="98">
        <v>7.1</v>
      </c>
      <c r="AG48" s="98">
        <v>-0.38524599999999998</v>
      </c>
      <c r="AH48" s="98">
        <v>-0.12889999999999999</v>
      </c>
      <c r="AI48" s="98">
        <v>-0.67849999999999999</v>
      </c>
      <c r="AJ48" s="98">
        <v>-0.92789999999999995</v>
      </c>
      <c r="AK48" s="98">
        <v>-1.7692000000000001</v>
      </c>
      <c r="AL48" s="98">
        <v>-0.97599999999999998</v>
      </c>
      <c r="AM48" s="98">
        <v>-0.79179999999999995</v>
      </c>
      <c r="AN48" s="98">
        <v>-1.9322999999999999</v>
      </c>
      <c r="AO48" s="98">
        <v>-1.4471000000000001</v>
      </c>
      <c r="AQ48" s="50">
        <f>K48/1000</f>
        <v>8.6777777777777787E-2</v>
      </c>
      <c r="AR48" s="149"/>
      <c r="AS48" s="149"/>
      <c r="AT48" s="149"/>
      <c r="AU48" s="149"/>
    </row>
    <row r="49" spans="1:47" s="68" customFormat="1" x14ac:dyDescent="0.35">
      <c r="B49" s="28"/>
      <c r="E49" s="31"/>
      <c r="F49" s="69"/>
      <c r="G49" s="25"/>
      <c r="K49" s="65"/>
      <c r="L49" s="65"/>
      <c r="N49" s="31"/>
      <c r="P49" s="66"/>
      <c r="Q49" s="65"/>
      <c r="R49" s="32"/>
      <c r="S49" s="32"/>
      <c r="T49" s="32"/>
      <c r="U49" s="67"/>
      <c r="AB49" s="69"/>
      <c r="AC49" s="69"/>
      <c r="AD49" s="69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Q49" s="149"/>
      <c r="AR49" s="149"/>
      <c r="AS49" s="149"/>
      <c r="AT49" s="149"/>
      <c r="AU49" s="149"/>
    </row>
    <row r="50" spans="1:47" s="68" customFormat="1" x14ac:dyDescent="0.35">
      <c r="A50" s="68">
        <v>10</v>
      </c>
      <c r="B50" s="28">
        <v>43539</v>
      </c>
      <c r="C50" s="68">
        <v>31</v>
      </c>
      <c r="D50" s="31">
        <v>113</v>
      </c>
      <c r="E50" s="31">
        <f>D43+E46</f>
        <v>3164</v>
      </c>
      <c r="F50" s="69">
        <f t="shared" si="3"/>
        <v>1</v>
      </c>
      <c r="G50" s="25">
        <f>G46+F50</f>
        <v>28</v>
      </c>
      <c r="H50" s="31">
        <v>8.0299999999999994</v>
      </c>
      <c r="I50" s="31">
        <v>2170</v>
      </c>
      <c r="J50" s="31">
        <v>280</v>
      </c>
      <c r="K50" s="27">
        <v>740</v>
      </c>
      <c r="L50" s="27">
        <v>73</v>
      </c>
      <c r="M50" s="27">
        <v>11</v>
      </c>
      <c r="N50" s="31">
        <v>922</v>
      </c>
      <c r="O50" s="31">
        <v>20</v>
      </c>
      <c r="P50" s="21">
        <v>187.3</v>
      </c>
      <c r="Q50" s="21">
        <v>61.39</v>
      </c>
      <c r="R50" s="21">
        <v>238.6</v>
      </c>
      <c r="S50" s="21">
        <v>16.260000000000002</v>
      </c>
      <c r="T50" s="18">
        <v>9.4149999999999991</v>
      </c>
      <c r="U50" s="169">
        <v>0.2</v>
      </c>
      <c r="V50" s="27">
        <v>0.17</v>
      </c>
      <c r="W50" s="81">
        <v>0.02</v>
      </c>
      <c r="X50" s="11">
        <v>0.496</v>
      </c>
      <c r="Y50" s="81">
        <v>0.04</v>
      </c>
      <c r="Z50" s="18">
        <v>2.0830000000000002</v>
      </c>
      <c r="AA50" s="31"/>
      <c r="AB50" s="69" t="e">
        <f>((J50/50)+(L50/35.45)+(#REF!/62)+(N50/48.03))</f>
        <v>#REF!</v>
      </c>
      <c r="AC50" s="69">
        <f t="shared" si="1"/>
        <v>25.014045363295171</v>
      </c>
      <c r="AD50" s="69" t="e">
        <f t="shared" si="2"/>
        <v>#REF!</v>
      </c>
      <c r="AE50" s="31"/>
      <c r="AF50" s="98">
        <v>8.0299999999999994</v>
      </c>
      <c r="AG50" s="98">
        <v>-4.2547699999999997</v>
      </c>
      <c r="AH50" s="98">
        <v>0.93430000000000002</v>
      </c>
      <c r="AI50" s="98">
        <v>-0.61670000000000003</v>
      </c>
      <c r="AJ50" s="98">
        <v>-0.86619999999999997</v>
      </c>
      <c r="AK50" s="98">
        <v>-2.6595</v>
      </c>
      <c r="AL50" s="98">
        <v>1.2161999999999999</v>
      </c>
      <c r="AM50" s="98">
        <v>0.29349999999999998</v>
      </c>
      <c r="AN50" s="98">
        <v>-0.89649999999999996</v>
      </c>
      <c r="AO50" s="98">
        <v>-0.31809999999999999</v>
      </c>
      <c r="AQ50" s="50">
        <f t="shared" ref="AQ50:AQ56" si="27">K50/1000</f>
        <v>0.74</v>
      </c>
      <c r="AR50" s="50">
        <f>AT50/$AS$6</f>
        <v>0.57145390335232182</v>
      </c>
      <c r="AS50" s="50">
        <f>(AQ50-$AQ$48)*0.113</f>
        <v>7.3814111111111108E-2</v>
      </c>
      <c r="AT50" s="50">
        <f>AT46-AS50</f>
        <v>0.35778728888888867</v>
      </c>
      <c r="AU50" s="50">
        <f t="shared" ref="AU50:AU56" si="28">AR50/AQ50</f>
        <v>0.77223500453016458</v>
      </c>
    </row>
    <row r="51" spans="1:47" s="68" customFormat="1" x14ac:dyDescent="0.35">
      <c r="A51" s="68">
        <v>10</v>
      </c>
      <c r="B51" s="28"/>
      <c r="C51" s="68">
        <v>32</v>
      </c>
      <c r="D51" s="31">
        <v>113</v>
      </c>
      <c r="E51" s="31">
        <f>D44+E50</f>
        <v>3277</v>
      </c>
      <c r="F51" s="69">
        <f t="shared" si="3"/>
        <v>1</v>
      </c>
      <c r="G51" s="25">
        <f>G50+F51</f>
        <v>29</v>
      </c>
      <c r="H51" s="25">
        <v>8</v>
      </c>
      <c r="I51" s="31">
        <v>2390</v>
      </c>
      <c r="J51" s="31">
        <v>290</v>
      </c>
      <c r="K51" s="27">
        <v>473</v>
      </c>
      <c r="L51" s="27">
        <v>86</v>
      </c>
      <c r="M51" s="27">
        <v>16</v>
      </c>
      <c r="N51" s="31">
        <v>1015</v>
      </c>
      <c r="O51" s="31">
        <v>21</v>
      </c>
      <c r="P51" s="21">
        <v>187.7</v>
      </c>
      <c r="Q51" s="21">
        <v>61.66</v>
      </c>
      <c r="R51" s="21">
        <v>298.5</v>
      </c>
      <c r="S51" s="21">
        <v>16.87</v>
      </c>
      <c r="T51" s="18">
        <v>9.8620000000000001</v>
      </c>
      <c r="U51" s="169">
        <v>0.2</v>
      </c>
      <c r="V51" s="27">
        <v>4.2000000000000003E-2</v>
      </c>
      <c r="W51" s="81">
        <v>0.02</v>
      </c>
      <c r="X51" s="11">
        <v>0.49399999999999999</v>
      </c>
      <c r="Y51" s="81">
        <v>0.04</v>
      </c>
      <c r="Z51" s="18">
        <v>2.1160000000000001</v>
      </c>
      <c r="AA51" s="31"/>
      <c r="AB51" s="69" t="e">
        <f>((J51/50)+(L51/35.45)+(#REF!/62)+(N51/48.03))</f>
        <v>#REF!</v>
      </c>
      <c r="AC51" s="69">
        <f t="shared" si="1"/>
        <v>27.673122259326007</v>
      </c>
      <c r="AD51" s="69" t="e">
        <f t="shared" si="2"/>
        <v>#REF!</v>
      </c>
      <c r="AE51" s="31"/>
      <c r="AF51" s="98">
        <v>8</v>
      </c>
      <c r="AG51" s="98">
        <v>-3.8675199999999998</v>
      </c>
      <c r="AH51" s="98">
        <v>0.90290000000000004</v>
      </c>
      <c r="AI51" s="98">
        <v>-0.59850000000000003</v>
      </c>
      <c r="AJ51" s="98">
        <v>-0.84789999999999999</v>
      </c>
      <c r="AK51" s="98">
        <v>-2.6143000000000001</v>
      </c>
      <c r="AL51" s="98">
        <v>1.1555</v>
      </c>
      <c r="AM51" s="98">
        <v>0.25600000000000001</v>
      </c>
      <c r="AN51" s="98">
        <v>-1.5304</v>
      </c>
      <c r="AO51" s="98">
        <v>-0.34739999999999999</v>
      </c>
      <c r="AQ51" s="50">
        <f t="shared" si="27"/>
        <v>0.47299999999999998</v>
      </c>
      <c r="AR51" s="50">
        <f t="shared" ref="AR51:AR56" si="29">AT51/$AS$6</f>
        <v>0.50174760865321444</v>
      </c>
      <c r="AS51" s="50">
        <f t="shared" ref="AS51:AS56" si="30">(AQ51-$AQ$48)*0.113</f>
        <v>4.3643111111111112E-2</v>
      </c>
      <c r="AT51" s="50">
        <f>AT50-AS51</f>
        <v>0.31414417777777753</v>
      </c>
      <c r="AU51" s="50">
        <f t="shared" si="28"/>
        <v>1.0607771853133499</v>
      </c>
    </row>
    <row r="52" spans="1:47" s="68" customFormat="1" x14ac:dyDescent="0.35">
      <c r="A52" s="68">
        <v>10</v>
      </c>
      <c r="B52" s="28"/>
      <c r="C52" s="68">
        <v>33</v>
      </c>
      <c r="D52" s="31">
        <v>113</v>
      </c>
      <c r="E52" s="31">
        <f>D45+E51</f>
        <v>3390</v>
      </c>
      <c r="F52" s="69">
        <f t="shared" si="3"/>
        <v>1</v>
      </c>
      <c r="G52" s="25">
        <f t="shared" ref="G52:G56" si="31">G51+F52</f>
        <v>30</v>
      </c>
      <c r="H52" s="31">
        <v>7.96</v>
      </c>
      <c r="I52" s="31">
        <v>2210</v>
      </c>
      <c r="J52" s="31">
        <v>302</v>
      </c>
      <c r="K52" s="27">
        <v>260</v>
      </c>
      <c r="L52" s="27">
        <v>86</v>
      </c>
      <c r="M52" s="27">
        <v>16</v>
      </c>
      <c r="N52" s="31">
        <v>1021</v>
      </c>
      <c r="O52" s="31">
        <v>22</v>
      </c>
      <c r="P52" s="165">
        <v>165.6</v>
      </c>
      <c r="Q52" s="165">
        <v>52.54</v>
      </c>
      <c r="R52" s="165">
        <v>331.5</v>
      </c>
      <c r="S52" s="165">
        <v>16.98</v>
      </c>
      <c r="T52" s="170">
        <v>9.6150000000000002</v>
      </c>
      <c r="U52" s="169">
        <v>0.2</v>
      </c>
      <c r="V52" s="81">
        <v>0.02</v>
      </c>
      <c r="W52" s="81">
        <v>0.02</v>
      </c>
      <c r="X52" s="163">
        <v>0.45800000000000002</v>
      </c>
      <c r="Y52" s="81">
        <v>0.04</v>
      </c>
      <c r="Z52" s="170">
        <v>1.95</v>
      </c>
      <c r="AA52" s="31"/>
      <c r="AB52" s="69" t="e">
        <f>((J52/50)+(L52/35.45)+(#REF!/62)+(N52/48.03))</f>
        <v>#REF!</v>
      </c>
      <c r="AC52" s="69">
        <f t="shared" si="1"/>
        <v>27.249417411163087</v>
      </c>
      <c r="AD52" s="69" t="e">
        <f t="shared" si="2"/>
        <v>#REF!</v>
      </c>
      <c r="AE52" s="31"/>
      <c r="AF52" s="98">
        <v>7.96</v>
      </c>
      <c r="AG52" s="98">
        <v>-5.3529999999999998</v>
      </c>
      <c r="AH52" s="98">
        <v>0.82679999999999998</v>
      </c>
      <c r="AI52" s="98">
        <v>-0.64410000000000001</v>
      </c>
      <c r="AJ52" s="98">
        <v>-0.89349999999999996</v>
      </c>
      <c r="AK52" s="98">
        <v>-2.5516000000000001</v>
      </c>
      <c r="AL52" s="98">
        <v>0.9889</v>
      </c>
      <c r="AM52" s="98">
        <v>0.20250000000000001</v>
      </c>
      <c r="AN52" s="98">
        <v>-2.0082</v>
      </c>
      <c r="AO52" s="98">
        <v>-0.43790000000000001</v>
      </c>
      <c r="AQ52" s="50">
        <f t="shared" si="27"/>
        <v>0.26</v>
      </c>
      <c r="AR52" s="50">
        <f t="shared" si="29"/>
        <v>0.47048405473034088</v>
      </c>
      <c r="AS52" s="50">
        <f t="shared" si="30"/>
        <v>1.9574111111111112E-2</v>
      </c>
      <c r="AT52" s="50">
        <f t="shared" ref="AT52:AT56" si="32">AT51-AS52</f>
        <v>0.29457006666666641</v>
      </c>
      <c r="AU52" s="50">
        <f t="shared" si="28"/>
        <v>1.8095540566551571</v>
      </c>
    </row>
    <row r="53" spans="1:47" s="68" customFormat="1" x14ac:dyDescent="0.35">
      <c r="A53" s="68">
        <v>10</v>
      </c>
      <c r="B53" s="28"/>
      <c r="C53" s="68">
        <v>34</v>
      </c>
      <c r="D53" s="31">
        <v>113</v>
      </c>
      <c r="E53" s="31">
        <f>D46+E52</f>
        <v>3503</v>
      </c>
      <c r="F53" s="69">
        <f t="shared" si="3"/>
        <v>1</v>
      </c>
      <c r="G53" s="25">
        <f t="shared" si="31"/>
        <v>31</v>
      </c>
      <c r="H53" s="31">
        <v>7.88</v>
      </c>
      <c r="I53" s="31">
        <v>2430</v>
      </c>
      <c r="J53" s="31">
        <v>296</v>
      </c>
      <c r="K53" s="27">
        <v>174</v>
      </c>
      <c r="L53" s="27">
        <v>88</v>
      </c>
      <c r="M53" s="186">
        <v>16</v>
      </c>
      <c r="N53" s="31">
        <v>1017</v>
      </c>
      <c r="O53" s="31">
        <v>21</v>
      </c>
      <c r="P53" s="165">
        <v>155.30000000000001</v>
      </c>
      <c r="Q53" s="165">
        <v>49.34</v>
      </c>
      <c r="R53" s="12">
        <v>383.6</v>
      </c>
      <c r="S53" s="165">
        <v>18.190000000000001</v>
      </c>
      <c r="T53" s="170">
        <v>9.7829999999999995</v>
      </c>
      <c r="U53" s="169">
        <v>0.2</v>
      </c>
      <c r="V53" s="81">
        <v>0.02</v>
      </c>
      <c r="W53" s="81">
        <v>0.02</v>
      </c>
      <c r="X53" s="163">
        <v>0.46400000000000002</v>
      </c>
      <c r="Y53" s="81">
        <v>0.04</v>
      </c>
      <c r="Z53" s="170">
        <v>1.8839999999999999</v>
      </c>
      <c r="AA53" s="31"/>
      <c r="AB53" s="69">
        <f t="shared" ref="AB53:AB56" si="33">((J53/50)+(L53/35.45)+(M53/62)+(N53/48.03))</f>
        <v>29.83470013438243</v>
      </c>
      <c r="AC53" s="69">
        <f t="shared" si="1"/>
        <v>28.742786832554543</v>
      </c>
      <c r="AD53" s="69">
        <f t="shared" si="2"/>
        <v>1.8640494127790053</v>
      </c>
      <c r="AE53" s="31"/>
      <c r="AF53" s="98">
        <v>7.88</v>
      </c>
      <c r="AG53" s="98">
        <v>-1.9540500000000001</v>
      </c>
      <c r="AH53" s="98">
        <v>0.71279999999999999</v>
      </c>
      <c r="AI53" s="98">
        <v>-0.67300000000000004</v>
      </c>
      <c r="AJ53" s="98">
        <v>-0.9224</v>
      </c>
      <c r="AK53" s="98">
        <v>-2.4773000000000001</v>
      </c>
      <c r="AL53" s="98">
        <v>0.7611</v>
      </c>
      <c r="AM53" s="98">
        <v>0.1201</v>
      </c>
      <c r="AN53" s="98">
        <v>-1.9639</v>
      </c>
      <c r="AO53" s="98">
        <v>-0.55179999999999996</v>
      </c>
      <c r="AQ53" s="50">
        <f t="shared" si="27"/>
        <v>0.17399999999999999</v>
      </c>
      <c r="AR53" s="50">
        <f t="shared" si="29"/>
        <v>0.45474198299881058</v>
      </c>
      <c r="AS53" s="50">
        <f t="shared" si="30"/>
        <v>9.8561111111111089E-3</v>
      </c>
      <c r="AT53" s="50">
        <f t="shared" si="32"/>
        <v>0.28471395555555529</v>
      </c>
      <c r="AU53" s="50">
        <f t="shared" si="28"/>
        <v>2.6134596724069574</v>
      </c>
    </row>
    <row r="54" spans="1:47" s="68" customFormat="1" x14ac:dyDescent="0.35">
      <c r="A54" s="68">
        <v>10</v>
      </c>
      <c r="B54" s="28"/>
      <c r="C54" s="68">
        <v>35</v>
      </c>
      <c r="D54" s="31">
        <v>113</v>
      </c>
      <c r="E54" s="31">
        <f>E53+D50</f>
        <v>3616</v>
      </c>
      <c r="F54" s="69">
        <f t="shared" si="3"/>
        <v>1</v>
      </c>
      <c r="G54" s="25">
        <f t="shared" si="31"/>
        <v>32</v>
      </c>
      <c r="H54" s="31">
        <v>7.94</v>
      </c>
      <c r="I54" s="31">
        <v>2460</v>
      </c>
      <c r="J54" s="31">
        <v>296</v>
      </c>
      <c r="K54" s="27">
        <v>142</v>
      </c>
      <c r="L54" s="27">
        <v>89</v>
      </c>
      <c r="M54" s="186">
        <v>16</v>
      </c>
      <c r="N54" s="31">
        <v>1026</v>
      </c>
      <c r="O54" s="31">
        <v>22</v>
      </c>
      <c r="P54" s="21">
        <v>156.9</v>
      </c>
      <c r="Q54" s="21">
        <v>46.38</v>
      </c>
      <c r="R54" s="21">
        <v>393.4</v>
      </c>
      <c r="S54" s="21">
        <v>19.440000000000001</v>
      </c>
      <c r="T54" s="18">
        <v>9.7059999999999995</v>
      </c>
      <c r="U54" s="169">
        <v>0.2</v>
      </c>
      <c r="V54" s="81">
        <v>0.02</v>
      </c>
      <c r="W54" s="81">
        <v>0.02</v>
      </c>
      <c r="X54" s="11">
        <v>0.44600000000000001</v>
      </c>
      <c r="Y54" s="81">
        <v>0.04</v>
      </c>
      <c r="Z54" s="18">
        <v>1.829</v>
      </c>
      <c r="AA54" s="31"/>
      <c r="AB54" s="69">
        <f t="shared" si="33"/>
        <v>30.050291764789733</v>
      </c>
      <c r="AC54" s="69">
        <f t="shared" si="1"/>
        <v>29.003509082122328</v>
      </c>
      <c r="AD54" s="69">
        <f t="shared" si="2"/>
        <v>1.7725915481393475</v>
      </c>
      <c r="AE54" s="31"/>
      <c r="AF54" s="98">
        <v>7.94</v>
      </c>
      <c r="AG54" s="98">
        <v>-1.8511599999999999</v>
      </c>
      <c r="AH54" s="98">
        <v>0.77339999999999998</v>
      </c>
      <c r="AI54" s="98">
        <v>-0.66669999999999996</v>
      </c>
      <c r="AJ54" s="98">
        <v>-0.91610000000000003</v>
      </c>
      <c r="AK54" s="98">
        <v>-2.5390999999999999</v>
      </c>
      <c r="AL54" s="98">
        <v>0.85109999999999997</v>
      </c>
      <c r="AM54" s="98">
        <v>0.15920000000000001</v>
      </c>
      <c r="AN54" s="98">
        <v>-1.9400999999999999</v>
      </c>
      <c r="AO54" s="98">
        <v>-0.52229999999999999</v>
      </c>
      <c r="AQ54" s="50">
        <f t="shared" si="27"/>
        <v>0.14199999999999999</v>
      </c>
      <c r="AR54" s="50">
        <f t="shared" si="29"/>
        <v>0.44477534650126843</v>
      </c>
      <c r="AS54" s="50">
        <f t="shared" si="30"/>
        <v>6.2401111111111086E-3</v>
      </c>
      <c r="AT54" s="50">
        <f t="shared" si="32"/>
        <v>0.27847384444444417</v>
      </c>
      <c r="AU54" s="50">
        <f t="shared" si="28"/>
        <v>3.132220750008933</v>
      </c>
    </row>
    <row r="55" spans="1:47" s="68" customFormat="1" x14ac:dyDescent="0.35">
      <c r="A55" s="68">
        <v>10</v>
      </c>
      <c r="B55" s="28"/>
      <c r="C55" s="68">
        <v>36</v>
      </c>
      <c r="D55" s="31">
        <v>113</v>
      </c>
      <c r="E55" s="31">
        <f>E54+D51</f>
        <v>3729</v>
      </c>
      <c r="F55" s="69">
        <f t="shared" si="3"/>
        <v>1</v>
      </c>
      <c r="G55" s="25">
        <f t="shared" si="31"/>
        <v>33</v>
      </c>
      <c r="H55" s="31">
        <v>7.85</v>
      </c>
      <c r="I55" s="31">
        <v>2460</v>
      </c>
      <c r="J55" s="31">
        <v>294</v>
      </c>
      <c r="K55" s="27">
        <v>119</v>
      </c>
      <c r="L55" s="27">
        <v>89</v>
      </c>
      <c r="M55" s="186">
        <v>16</v>
      </c>
      <c r="N55" s="31">
        <v>1023</v>
      </c>
      <c r="O55" s="31">
        <v>21</v>
      </c>
      <c r="P55" s="12">
        <v>154.30000000000001</v>
      </c>
      <c r="Q55" s="12">
        <v>44.44</v>
      </c>
      <c r="R55" s="12">
        <v>389.8</v>
      </c>
      <c r="S55" s="12">
        <v>20.149999999999999</v>
      </c>
      <c r="T55" s="6">
        <v>9.8659999999999997</v>
      </c>
      <c r="U55" s="169">
        <v>0.2</v>
      </c>
      <c r="V55" s="81">
        <v>0.02</v>
      </c>
      <c r="W55" s="81">
        <v>0.02</v>
      </c>
      <c r="X55" s="11">
        <v>0.439</v>
      </c>
      <c r="Y55" s="81">
        <v>0.04</v>
      </c>
      <c r="Z55" s="18">
        <v>1.734</v>
      </c>
      <c r="AA55" s="31"/>
      <c r="AB55" s="69">
        <f t="shared" si="33"/>
        <v>29.94783080289092</v>
      </c>
      <c r="AC55" s="69">
        <f t="shared" si="1"/>
        <v>28.561731339425702</v>
      </c>
      <c r="AD55" s="69">
        <f t="shared" si="2"/>
        <v>2.3690135641311376</v>
      </c>
      <c r="AE55" s="31"/>
      <c r="AF55" s="98">
        <v>7.85</v>
      </c>
      <c r="AG55" s="98">
        <v>-2.5557599999999998</v>
      </c>
      <c r="AH55" s="98">
        <v>0.67730000000000001</v>
      </c>
      <c r="AI55" s="98">
        <v>-0.67200000000000004</v>
      </c>
      <c r="AJ55" s="98">
        <v>-0.9214</v>
      </c>
      <c r="AK55" s="98">
        <v>-2.4487999999999999</v>
      </c>
      <c r="AL55" s="98">
        <v>0.64739999999999998</v>
      </c>
      <c r="AM55" s="98">
        <v>6.3600000000000004E-2</v>
      </c>
      <c r="AN55" s="98">
        <v>-1.9457</v>
      </c>
      <c r="AO55" s="98">
        <v>-0.62980000000000003</v>
      </c>
      <c r="AQ55" s="50">
        <f t="shared" si="27"/>
        <v>0.11899999999999999</v>
      </c>
      <c r="AR55" s="50">
        <f t="shared" si="29"/>
        <v>0.43895980407815538</v>
      </c>
      <c r="AS55" s="50">
        <f t="shared" si="30"/>
        <v>3.6411111111111097E-3</v>
      </c>
      <c r="AT55" s="50">
        <f t="shared" si="32"/>
        <v>0.27483273333333308</v>
      </c>
      <c r="AU55" s="50">
        <f t="shared" si="28"/>
        <v>3.6887378493962637</v>
      </c>
    </row>
    <row r="56" spans="1:47" s="68" customFormat="1" x14ac:dyDescent="0.35">
      <c r="A56" s="68">
        <v>10</v>
      </c>
      <c r="B56" s="28">
        <v>43540</v>
      </c>
      <c r="C56" s="68">
        <v>37</v>
      </c>
      <c r="D56" s="31">
        <v>113</v>
      </c>
      <c r="E56" s="31">
        <f>E55+D52</f>
        <v>3842</v>
      </c>
      <c r="F56" s="69">
        <f t="shared" si="3"/>
        <v>1</v>
      </c>
      <c r="G56" s="25">
        <f t="shared" si="31"/>
        <v>34</v>
      </c>
      <c r="H56" s="31">
        <v>7.86</v>
      </c>
      <c r="I56" s="31">
        <v>2450</v>
      </c>
      <c r="J56" s="31">
        <v>290</v>
      </c>
      <c r="K56" s="27">
        <v>115</v>
      </c>
      <c r="L56" s="27">
        <v>89</v>
      </c>
      <c r="M56" s="186">
        <v>15</v>
      </c>
      <c r="N56" s="31">
        <v>992</v>
      </c>
      <c r="O56" s="31">
        <v>21</v>
      </c>
      <c r="P56" s="21">
        <v>156.30000000000001</v>
      </c>
      <c r="Q56" s="21">
        <v>42.32</v>
      </c>
      <c r="R56" s="21">
        <v>390.3</v>
      </c>
      <c r="S56" s="21">
        <v>20.54</v>
      </c>
      <c r="T56" s="18">
        <v>9.9220000000000006</v>
      </c>
      <c r="U56" s="169">
        <v>0.2</v>
      </c>
      <c r="V56" s="81">
        <v>0.02</v>
      </c>
      <c r="W56" s="81">
        <v>0.02</v>
      </c>
      <c r="X56" s="11">
        <v>0.45700000000000002</v>
      </c>
      <c r="Y56" s="81">
        <v>0.04</v>
      </c>
      <c r="Z56" s="18">
        <v>1.78</v>
      </c>
      <c r="AA56" s="31"/>
      <c r="AB56" s="69">
        <f t="shared" si="33"/>
        <v>29.206271831011787</v>
      </c>
      <c r="AC56" s="69">
        <f t="shared" si="1"/>
        <v>28.510370444769968</v>
      </c>
      <c r="AD56" s="69">
        <f t="shared" si="2"/>
        <v>1.205720497246983</v>
      </c>
      <c r="AE56" s="31"/>
      <c r="AF56" s="98">
        <v>7.86</v>
      </c>
      <c r="AG56" s="98">
        <v>-1.2621500000000001</v>
      </c>
      <c r="AH56" s="98">
        <v>0.69199999999999995</v>
      </c>
      <c r="AI56" s="98">
        <v>-0.67369999999999997</v>
      </c>
      <c r="AJ56" s="98">
        <v>-0.92310000000000003</v>
      </c>
      <c r="AK56" s="98">
        <v>-2.4647999999999999</v>
      </c>
      <c r="AL56" s="98">
        <v>0.64959999999999996</v>
      </c>
      <c r="AM56" s="98">
        <v>9.0200000000000002E-2</v>
      </c>
      <c r="AN56" s="98">
        <v>-1.9332</v>
      </c>
      <c r="AO56" s="98">
        <v>-0.64239999999999997</v>
      </c>
      <c r="AQ56" s="50">
        <f t="shared" si="27"/>
        <v>0.115</v>
      </c>
      <c r="AR56" s="50">
        <f t="shared" si="29"/>
        <v>0.43386619105929086</v>
      </c>
      <c r="AS56" s="50">
        <f t="shared" si="30"/>
        <v>3.1891111111111109E-3</v>
      </c>
      <c r="AT56" s="50">
        <f t="shared" si="32"/>
        <v>0.27164362222222199</v>
      </c>
      <c r="AU56" s="50">
        <f t="shared" si="28"/>
        <v>3.7727494874720944</v>
      </c>
    </row>
    <row r="57" spans="1:47" x14ac:dyDescent="0.35"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Q57" s="50"/>
      <c r="AR57" s="50"/>
      <c r="AS57" s="50"/>
      <c r="AT57" s="50"/>
      <c r="AU57" s="50"/>
    </row>
    <row r="58" spans="1:47" x14ac:dyDescent="0.35">
      <c r="AF58" s="68"/>
      <c r="AG58" s="68"/>
      <c r="AH58" s="68"/>
      <c r="AI58" s="68"/>
      <c r="AJ58" s="68"/>
      <c r="AK58" s="68"/>
      <c r="AL58" s="68"/>
      <c r="AM58" s="68"/>
      <c r="AN58" s="68"/>
      <c r="AO58" s="68"/>
    </row>
    <row r="59" spans="1:47" s="68" customFormat="1" x14ac:dyDescent="0.35">
      <c r="A59" s="31"/>
      <c r="B59" s="31"/>
      <c r="C59" s="31"/>
      <c r="D59" s="31"/>
      <c r="E59" s="31"/>
      <c r="F59" s="31"/>
      <c r="G59" s="31"/>
      <c r="P59" s="65"/>
      <c r="Q59" s="65"/>
      <c r="R59" s="65"/>
      <c r="S59" s="65"/>
      <c r="T59" s="65"/>
    </row>
    <row r="60" spans="1:47" s="68" customFormat="1" x14ac:dyDescent="0.35">
      <c r="A60" s="31"/>
      <c r="B60" s="31"/>
      <c r="C60" s="31"/>
      <c r="D60" s="31"/>
      <c r="E60" s="31"/>
      <c r="P60" s="65"/>
      <c r="Q60" s="65"/>
      <c r="R60" s="65"/>
      <c r="S60" s="65"/>
      <c r="T60" s="65"/>
    </row>
    <row r="61" spans="1:47" x14ac:dyDescent="0.35">
      <c r="AF61" s="68"/>
      <c r="AG61" s="68"/>
      <c r="AH61" s="68"/>
      <c r="AI61" s="68"/>
      <c r="AJ61" s="68"/>
      <c r="AK61" s="68"/>
      <c r="AL61" s="68"/>
      <c r="AM61" s="68"/>
      <c r="AN61" s="68"/>
      <c r="AO61" s="68"/>
    </row>
    <row r="62" spans="1:47" x14ac:dyDescent="0.35"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7" x14ac:dyDescent="0.35">
      <c r="AF63" s="68"/>
      <c r="AG63" s="68"/>
      <c r="AH63" s="68"/>
      <c r="AI63" s="68"/>
      <c r="AJ63" s="68"/>
      <c r="AK63" s="68"/>
      <c r="AL63" s="68"/>
      <c r="AM63" s="68"/>
      <c r="AN63" s="68"/>
      <c r="AO63" s="68"/>
    </row>
    <row r="64" spans="1:47" x14ac:dyDescent="0.35">
      <c r="AF64" s="68"/>
      <c r="AG64" s="68"/>
      <c r="AH64" s="68"/>
      <c r="AI64" s="68"/>
      <c r="AJ64" s="68"/>
      <c r="AK64" s="68"/>
      <c r="AL64" s="68"/>
      <c r="AM64" s="68"/>
      <c r="AN64" s="68"/>
      <c r="AO64" s="68"/>
    </row>
    <row r="65" spans="32:41" x14ac:dyDescent="0.35">
      <c r="AF65" s="68"/>
      <c r="AG65" s="68"/>
      <c r="AH65" s="68"/>
      <c r="AI65" s="68"/>
      <c r="AJ65" s="68"/>
      <c r="AK65" s="68"/>
      <c r="AL65" s="68"/>
      <c r="AM65" s="68"/>
      <c r="AN65" s="68"/>
      <c r="AO65" s="68"/>
    </row>
    <row r="68" spans="32:41" x14ac:dyDescent="0.35">
      <c r="AF68" s="31"/>
      <c r="AG68" s="31"/>
      <c r="AH68" s="31"/>
      <c r="AI68" s="31"/>
      <c r="AJ68" s="31"/>
      <c r="AK68" s="31"/>
      <c r="AL68" s="31"/>
      <c r="AM68" s="31"/>
      <c r="AN68" s="31"/>
      <c r="AO68" s="31"/>
    </row>
    <row r="69" spans="32:41" x14ac:dyDescent="0.35">
      <c r="AF69" s="68"/>
      <c r="AG69" s="68"/>
      <c r="AH69" s="68"/>
      <c r="AI69" s="68"/>
      <c r="AJ69" s="68"/>
      <c r="AK69" s="68"/>
      <c r="AL69" s="68"/>
      <c r="AM69" s="68"/>
      <c r="AN69" s="68"/>
      <c r="AO69" s="68"/>
    </row>
    <row r="70" spans="32:41" x14ac:dyDescent="0.35">
      <c r="AF70" s="68"/>
      <c r="AG70" s="68"/>
      <c r="AH70" s="68"/>
      <c r="AI70" s="68"/>
      <c r="AJ70" s="68"/>
      <c r="AK70" s="68"/>
      <c r="AL70" s="68"/>
      <c r="AM70" s="68"/>
      <c r="AN70" s="68"/>
      <c r="AO70" s="68"/>
    </row>
    <row r="71" spans="32:41" x14ac:dyDescent="0.35">
      <c r="AF71" s="68"/>
      <c r="AG71" s="68"/>
      <c r="AH71" s="68"/>
      <c r="AI71" s="68"/>
      <c r="AJ71" s="68"/>
      <c r="AK71" s="68"/>
      <c r="AL71" s="68"/>
      <c r="AM71" s="68"/>
      <c r="AN71" s="68"/>
      <c r="AO71" s="68"/>
    </row>
    <row r="72" spans="32:41" x14ac:dyDescent="0.35">
      <c r="AF72" s="68"/>
      <c r="AG72" s="68"/>
      <c r="AH72" s="68"/>
      <c r="AI72" s="68"/>
      <c r="AJ72" s="68"/>
      <c r="AK72" s="68"/>
      <c r="AL72" s="68"/>
      <c r="AM72" s="68"/>
      <c r="AN72" s="68"/>
      <c r="AO72" s="68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U76"/>
  <sheetViews>
    <sheetView tabSelected="1" zoomScaleNormal="100" workbookViewId="0">
      <selection activeCell="A8" sqref="A8"/>
    </sheetView>
  </sheetViews>
  <sheetFormatPr defaultColWidth="9.1796875" defaultRowHeight="14.5" x14ac:dyDescent="0.35"/>
  <cols>
    <col min="1" max="1" width="9.1796875" style="38"/>
    <col min="2" max="2" width="10.54296875" style="38" bestFit="1" customWidth="1"/>
    <col min="3" max="3" width="10.1796875" style="38" bestFit="1" customWidth="1"/>
    <col min="4" max="4" width="8.7265625" style="38" bestFit="1" customWidth="1"/>
    <col min="5" max="5" width="9.54296875" style="38" bestFit="1" customWidth="1"/>
    <col min="6" max="6" width="10.1796875" style="38" bestFit="1" customWidth="1"/>
    <col min="7" max="7" width="8.7265625" style="38" bestFit="1" customWidth="1"/>
    <col min="8" max="8" width="5.54296875" style="38" bestFit="1" customWidth="1"/>
    <col min="9" max="9" width="17.1796875" style="38" bestFit="1" customWidth="1"/>
    <col min="10" max="10" width="16.7265625" style="38" bestFit="1" customWidth="1"/>
    <col min="11" max="11" width="6.7265625" style="38" bestFit="1" customWidth="1"/>
    <col min="12" max="26" width="7.26953125" style="38" bestFit="1" customWidth="1"/>
    <col min="27" max="27" width="11.453125" style="38" bestFit="1" customWidth="1"/>
    <col min="28" max="28" width="8" style="38" bestFit="1" customWidth="1"/>
    <col min="29" max="29" width="8.54296875" style="38" bestFit="1" customWidth="1"/>
    <col min="30" max="30" width="16.453125" style="38" bestFit="1" customWidth="1"/>
    <col min="31" max="16384" width="9.1796875" style="38"/>
  </cols>
  <sheetData>
    <row r="1" spans="1:47" x14ac:dyDescent="0.35">
      <c r="A1" s="31" t="s">
        <v>46</v>
      </c>
      <c r="B1" s="31"/>
      <c r="C1" s="31"/>
      <c r="D1" s="31"/>
      <c r="E1" s="31"/>
      <c r="F1" s="31"/>
      <c r="G1" s="25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47" x14ac:dyDescent="0.35">
      <c r="A2" s="1"/>
      <c r="B2" s="1"/>
      <c r="C2" s="1"/>
      <c r="D2" s="1"/>
      <c r="E2" s="1"/>
      <c r="F2" s="1"/>
      <c r="G2" s="25"/>
      <c r="H2" s="31"/>
      <c r="I2" s="1"/>
      <c r="J2" s="1"/>
      <c r="K2" s="1"/>
      <c r="L2" s="1"/>
      <c r="M2" s="1"/>
      <c r="N2" s="31"/>
      <c r="O2" s="1"/>
      <c r="P2" s="1"/>
      <c r="Q2" s="1"/>
      <c r="R2" s="1"/>
      <c r="S2" s="1"/>
      <c r="T2" s="1"/>
      <c r="U2" s="1"/>
      <c r="V2" s="1"/>
      <c r="W2" s="1"/>
    </row>
    <row r="3" spans="1:47" x14ac:dyDescent="0.35">
      <c r="A3" s="1" t="s">
        <v>8</v>
      </c>
      <c r="B3" s="1"/>
      <c r="C3" s="1"/>
      <c r="D3" s="1"/>
      <c r="E3" s="1"/>
      <c r="F3" s="1"/>
      <c r="G3" s="2"/>
      <c r="H3" s="1"/>
      <c r="I3" s="1"/>
      <c r="J3" s="1"/>
      <c r="K3" s="1"/>
      <c r="L3" s="1"/>
      <c r="M3" s="1"/>
      <c r="N3" s="31"/>
      <c r="O3" s="1"/>
      <c r="P3" s="1"/>
      <c r="Q3" s="1"/>
      <c r="R3" s="1"/>
      <c r="S3" s="1"/>
      <c r="T3" s="1"/>
      <c r="U3" s="1"/>
      <c r="V3" s="1"/>
      <c r="W3" s="1"/>
    </row>
    <row r="4" spans="1:47" s="42" customFormat="1" x14ac:dyDescent="0.35">
      <c r="A4" s="31" t="s">
        <v>165</v>
      </c>
      <c r="B4" s="31"/>
      <c r="C4" s="31"/>
      <c r="D4" s="31"/>
      <c r="E4" s="31"/>
      <c r="F4" s="31"/>
      <c r="G4" s="25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47" s="42" customFormat="1" x14ac:dyDescent="0.35">
      <c r="A5" s="26" t="s">
        <v>358</v>
      </c>
      <c r="B5" s="68"/>
      <c r="C5" s="68"/>
      <c r="D5" s="68"/>
      <c r="E5" s="68"/>
      <c r="F5" s="68"/>
      <c r="G5" s="69"/>
      <c r="H5" s="68"/>
      <c r="I5" s="68"/>
      <c r="J5" s="68"/>
      <c r="K5" s="68"/>
      <c r="L5" s="68"/>
      <c r="M5" s="68"/>
      <c r="N5" s="31"/>
      <c r="O5" s="68"/>
      <c r="P5" s="68"/>
      <c r="Q5" s="68"/>
      <c r="R5" s="68"/>
      <c r="S5" s="68"/>
      <c r="T5" s="68"/>
      <c r="U5" s="68"/>
      <c r="V5" s="68"/>
      <c r="W5" s="68"/>
    </row>
    <row r="6" spans="1:47" s="42" customFormat="1" x14ac:dyDescent="0.35">
      <c r="AQ6" s="101" t="s">
        <v>254</v>
      </c>
      <c r="AR6" s="101"/>
      <c r="AS6" s="101">
        <v>0.57089999999999996</v>
      </c>
      <c r="AT6" s="101" t="s">
        <v>255</v>
      </c>
      <c r="AU6" s="101"/>
    </row>
    <row r="7" spans="1:47" s="71" customFormat="1" x14ac:dyDescent="0.35">
      <c r="A7" s="31" t="s">
        <v>374</v>
      </c>
      <c r="B7" s="31"/>
      <c r="C7" s="31"/>
      <c r="D7" s="31"/>
      <c r="E7" s="31"/>
      <c r="F7" s="31"/>
      <c r="G7" s="25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F7" s="89" t="s">
        <v>170</v>
      </c>
    </row>
    <row r="8" spans="1:47" s="42" customFormat="1" x14ac:dyDescent="0.35">
      <c r="A8" s="68"/>
      <c r="B8" s="68"/>
      <c r="C8" s="68"/>
      <c r="D8" s="68"/>
      <c r="E8" s="68"/>
      <c r="F8" s="68"/>
      <c r="G8" s="69"/>
      <c r="H8" s="68"/>
      <c r="I8" s="68"/>
      <c r="J8" s="68"/>
      <c r="K8" s="68"/>
      <c r="L8" s="68"/>
      <c r="M8" s="68"/>
      <c r="N8" s="31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Q8" s="101"/>
      <c r="AR8" s="101"/>
      <c r="AS8" s="101"/>
      <c r="AT8" s="101"/>
      <c r="AU8" s="101"/>
    </row>
    <row r="9" spans="1:47" s="68" customFormat="1" x14ac:dyDescent="0.35">
      <c r="A9" s="68" t="s">
        <v>9</v>
      </c>
      <c r="B9" s="68" t="s">
        <v>10</v>
      </c>
      <c r="C9" s="68" t="s">
        <v>11</v>
      </c>
      <c r="D9" s="68" t="s">
        <v>7</v>
      </c>
      <c r="E9" s="68" t="s">
        <v>12</v>
      </c>
      <c r="F9" s="69" t="s">
        <v>13</v>
      </c>
      <c r="G9" s="69" t="s">
        <v>81</v>
      </c>
      <c r="H9" s="68" t="s">
        <v>14</v>
      </c>
      <c r="I9" s="68" t="s">
        <v>15</v>
      </c>
      <c r="J9" s="68" t="s">
        <v>16</v>
      </c>
      <c r="K9" s="68" t="s">
        <v>3</v>
      </c>
      <c r="L9" s="68" t="s">
        <v>31</v>
      </c>
      <c r="M9" s="68" t="s">
        <v>30</v>
      </c>
      <c r="N9" s="68" t="s">
        <v>18</v>
      </c>
      <c r="O9" s="68" t="s">
        <v>17</v>
      </c>
      <c r="P9" s="68" t="s">
        <v>20</v>
      </c>
      <c r="Q9" s="68" t="s">
        <v>19</v>
      </c>
      <c r="R9" s="68" t="s">
        <v>21</v>
      </c>
      <c r="S9" s="68" t="s">
        <v>47</v>
      </c>
      <c r="T9" s="68" t="s">
        <v>24</v>
      </c>
      <c r="U9" s="68" t="s">
        <v>48</v>
      </c>
      <c r="V9" s="68" t="s">
        <v>4</v>
      </c>
      <c r="W9" s="68" t="s">
        <v>22</v>
      </c>
      <c r="X9" s="68" t="s">
        <v>23</v>
      </c>
      <c r="Y9" s="68" t="s">
        <v>25</v>
      </c>
      <c r="Z9" s="68" t="s">
        <v>49</v>
      </c>
      <c r="AA9" s="68" t="s">
        <v>26</v>
      </c>
      <c r="AB9" s="68" t="s">
        <v>123</v>
      </c>
      <c r="AC9" s="68" t="s">
        <v>124</v>
      </c>
      <c r="AD9" s="68" t="s">
        <v>27</v>
      </c>
      <c r="AF9" s="99" t="s">
        <v>171</v>
      </c>
      <c r="AG9" s="99" t="s">
        <v>172</v>
      </c>
      <c r="AH9" s="99" t="s">
        <v>173</v>
      </c>
      <c r="AI9" s="99" t="s">
        <v>174</v>
      </c>
      <c r="AJ9" s="99" t="s">
        <v>175</v>
      </c>
      <c r="AK9" s="99" t="s">
        <v>176</v>
      </c>
      <c r="AL9" s="99" t="s">
        <v>177</v>
      </c>
      <c r="AM9" s="99" t="s">
        <v>178</v>
      </c>
      <c r="AN9" s="99" t="s">
        <v>179</v>
      </c>
      <c r="AO9" s="99" t="s">
        <v>180</v>
      </c>
      <c r="AQ9" s="149" t="s">
        <v>247</v>
      </c>
      <c r="AR9" s="149" t="s">
        <v>248</v>
      </c>
      <c r="AS9" s="149" t="s">
        <v>253</v>
      </c>
      <c r="AT9" s="149" t="s">
        <v>251</v>
      </c>
      <c r="AU9" s="149" t="s">
        <v>245</v>
      </c>
    </row>
    <row r="10" spans="1:47" s="68" customFormat="1" x14ac:dyDescent="0.35">
      <c r="D10" s="68" t="s">
        <v>6</v>
      </c>
      <c r="E10" s="68" t="s">
        <v>6</v>
      </c>
      <c r="F10" s="69"/>
      <c r="G10" s="69"/>
      <c r="I10" s="203" t="s">
        <v>357</v>
      </c>
      <c r="J10" s="68" t="s">
        <v>28</v>
      </c>
      <c r="K10" s="27" t="s">
        <v>352</v>
      </c>
      <c r="L10" s="68" t="s">
        <v>5</v>
      </c>
      <c r="M10" s="68" t="s">
        <v>5</v>
      </c>
      <c r="N10" s="68" t="s">
        <v>5</v>
      </c>
      <c r="O10" s="68" t="s">
        <v>5</v>
      </c>
      <c r="P10" s="68" t="s">
        <v>5</v>
      </c>
      <c r="Q10" s="68" t="s">
        <v>5</v>
      </c>
      <c r="R10" s="68" t="s">
        <v>5</v>
      </c>
      <c r="S10" s="68" t="s">
        <v>5</v>
      </c>
      <c r="T10" s="68" t="s">
        <v>5</v>
      </c>
      <c r="U10" s="68" t="s">
        <v>5</v>
      </c>
      <c r="V10" s="68" t="s">
        <v>5</v>
      </c>
      <c r="W10" s="68" t="s">
        <v>5</v>
      </c>
      <c r="X10" s="68" t="s">
        <v>5</v>
      </c>
      <c r="Y10" s="68" t="s">
        <v>5</v>
      </c>
      <c r="Z10" s="68" t="s">
        <v>5</v>
      </c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Q10" s="149" t="s">
        <v>246</v>
      </c>
      <c r="AR10" s="149" t="s">
        <v>249</v>
      </c>
      <c r="AS10" s="149" t="s">
        <v>252</v>
      </c>
      <c r="AT10" s="149" t="s">
        <v>252</v>
      </c>
      <c r="AU10" s="149" t="s">
        <v>250</v>
      </c>
    </row>
    <row r="11" spans="1:47" s="68" customFormat="1" x14ac:dyDescent="0.35">
      <c r="F11" s="69"/>
      <c r="G11" s="69"/>
      <c r="N11" s="31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Q11" s="149"/>
      <c r="AR11" s="149"/>
      <c r="AS11" s="149"/>
      <c r="AT11" s="149"/>
      <c r="AU11" s="149"/>
    </row>
    <row r="12" spans="1:47" s="68" customFormat="1" x14ac:dyDescent="0.35">
      <c r="A12" s="68" t="s">
        <v>54</v>
      </c>
      <c r="F12" s="69"/>
      <c r="G12" s="69"/>
      <c r="H12" s="15">
        <v>7.1</v>
      </c>
      <c r="I12" s="165">
        <f>'Influent Results Master'!D49</f>
        <v>1530.1666666666667</v>
      </c>
      <c r="J12" s="70">
        <f>'Influent Results Master'!F49</f>
        <v>271.75</v>
      </c>
      <c r="K12" s="165">
        <f>'Influent Results Master'!G49</f>
        <v>214.33333333333334</v>
      </c>
      <c r="L12" s="165">
        <f>'Influent Results Master'!H49</f>
        <v>32</v>
      </c>
      <c r="M12" s="165">
        <f>'Influent Results Master'!I49</f>
        <v>25.416666666666668</v>
      </c>
      <c r="N12" s="165">
        <f>'Influent Results Master'!J49</f>
        <v>532.16666666666674</v>
      </c>
      <c r="O12" s="165">
        <f>'Influent Results Master'!K49</f>
        <v>23.083333333333332</v>
      </c>
      <c r="P12" s="165">
        <f>'Influent Results Master'!L49</f>
        <v>118.86666666666667</v>
      </c>
      <c r="Q12" s="165">
        <f>'Influent Results Master'!M49</f>
        <v>44.952500000000001</v>
      </c>
      <c r="R12" s="165">
        <f>'Influent Results Master'!N49</f>
        <v>189.05</v>
      </c>
      <c r="S12" s="165">
        <f>'Influent Results Master'!O49</f>
        <v>23.934999999999999</v>
      </c>
      <c r="T12" s="170">
        <f>'Influent Results Master'!P49</f>
        <v>6.0119999999999996</v>
      </c>
      <c r="U12" s="171">
        <f>'Influent Results Master'!Q49</f>
        <v>0.2</v>
      </c>
      <c r="V12" s="176">
        <f>'Influent Results Master'!R49</f>
        <v>3.2999999999999995E-2</v>
      </c>
      <c r="W12" s="177">
        <f>'Influent Results Master'!S49</f>
        <v>0.02</v>
      </c>
      <c r="X12" s="176">
        <f>'Influent Results Master'!T49</f>
        <v>3.1333333333333338E-2</v>
      </c>
      <c r="Y12" s="177">
        <f>'Influent Results Master'!U49</f>
        <v>0.04</v>
      </c>
      <c r="Z12" s="170">
        <f>'Influent Results Master'!V49</f>
        <v>1.19225</v>
      </c>
      <c r="AB12" s="69">
        <f>((J12/50)+(L12/35.45)+(M12/62)+(N12/48.03))</f>
        <v>17.827506697468376</v>
      </c>
      <c r="AC12" s="69">
        <f>((P12/20.04)+(Q12/12.16)+(R12/22.99)+(T12/39.1))</f>
        <v>18.005122123945686</v>
      </c>
      <c r="AD12" s="69">
        <f>ABS((AB12-AC12)/(AB12+AC12)*100)</f>
        <v>0.49568070308914758</v>
      </c>
      <c r="AF12" s="99">
        <v>7.1</v>
      </c>
      <c r="AG12" s="99">
        <v>-0.55572200000000005</v>
      </c>
      <c r="AH12" s="99">
        <v>-9.5799999999999996E-2</v>
      </c>
      <c r="AI12" s="99">
        <v>-0.92249999999999999</v>
      </c>
      <c r="AJ12" s="99">
        <v>-1.1720999999999999</v>
      </c>
      <c r="AK12" s="99">
        <v>-1.7111000000000001</v>
      </c>
      <c r="AL12" s="99">
        <v>-0.78810000000000002</v>
      </c>
      <c r="AM12" s="99">
        <v>-1.7537</v>
      </c>
      <c r="AN12" s="99">
        <v>-1.7309000000000001</v>
      </c>
      <c r="AO12" s="99">
        <v>-1.2923</v>
      </c>
      <c r="AQ12" s="50">
        <f>K12/1000</f>
        <v>0.21433333333333335</v>
      </c>
      <c r="AR12" s="50">
        <f>(1.47-0.36)</f>
        <v>1.1099999999999999</v>
      </c>
      <c r="AS12" s="50"/>
      <c r="AT12" s="50">
        <f>AS6*AR12</f>
        <v>0.6336989999999999</v>
      </c>
      <c r="AU12" s="50">
        <f>AR12/AQ12</f>
        <v>5.1788491446345244</v>
      </c>
    </row>
    <row r="13" spans="1:47" s="68" customFormat="1" x14ac:dyDescent="0.35">
      <c r="F13" s="69"/>
      <c r="G13" s="69"/>
      <c r="M13" s="65"/>
      <c r="N13" s="27"/>
      <c r="O13" s="65"/>
      <c r="P13" s="65"/>
      <c r="Q13" s="65"/>
      <c r="R13" s="67"/>
      <c r="S13" s="67"/>
      <c r="T13" s="67"/>
      <c r="U13" s="171"/>
      <c r="V13" s="65"/>
      <c r="W13" s="66"/>
      <c r="X13" s="67"/>
      <c r="Y13" s="65"/>
      <c r="AB13" s="69"/>
      <c r="AC13" s="69"/>
      <c r="AD13" s="6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Q13" s="50"/>
      <c r="AR13" s="50"/>
      <c r="AS13" s="50"/>
      <c r="AT13" s="50"/>
      <c r="AU13" s="50"/>
    </row>
    <row r="14" spans="1:47" s="68" customFormat="1" x14ac:dyDescent="0.35">
      <c r="A14" s="68">
        <v>11</v>
      </c>
      <c r="B14" s="10">
        <v>43536</v>
      </c>
      <c r="C14" s="68">
        <v>1</v>
      </c>
      <c r="D14" s="68">
        <v>126.7</v>
      </c>
      <c r="E14" s="68">
        <v>126.7</v>
      </c>
      <c r="F14" s="69">
        <f>D14/126.7</f>
        <v>1</v>
      </c>
      <c r="G14" s="69">
        <v>1</v>
      </c>
      <c r="H14" s="31">
        <v>7.69</v>
      </c>
      <c r="I14" s="31">
        <v>3140</v>
      </c>
      <c r="J14" s="31">
        <v>378</v>
      </c>
      <c r="K14" s="181">
        <v>448</v>
      </c>
      <c r="L14" s="31">
        <v>96</v>
      </c>
      <c r="M14" s="27">
        <v>4.9000000000000004</v>
      </c>
      <c r="N14" s="31">
        <v>1498</v>
      </c>
      <c r="O14" s="31">
        <v>98</v>
      </c>
      <c r="P14" s="21">
        <v>281.8</v>
      </c>
      <c r="Q14" s="21">
        <v>102.3</v>
      </c>
      <c r="R14" s="21">
        <v>461.4</v>
      </c>
      <c r="S14" s="21">
        <v>23.92</v>
      </c>
      <c r="T14" s="21">
        <v>15.52</v>
      </c>
      <c r="U14" s="11">
        <v>0.253</v>
      </c>
      <c r="V14" s="11">
        <v>0.38</v>
      </c>
      <c r="W14" s="81">
        <v>0.02</v>
      </c>
      <c r="X14" s="11">
        <v>0.35099999999999998</v>
      </c>
      <c r="Y14" s="81">
        <v>0.04</v>
      </c>
      <c r="Z14" s="18">
        <v>2.63</v>
      </c>
      <c r="AA14" s="31"/>
      <c r="AB14" s="69">
        <f t="shared" ref="AB14:AB20" si="0">((J14/50)+(L14/35.45)+(M14/62)+(N14/48.03))</f>
        <v>41.535912058447856</v>
      </c>
      <c r="AC14" s="69">
        <f t="shared" ref="AC14:AC60" si="1">((P14/20.04)+(Q14/12.16)+(R14/22.99)+(T14/39.1))</f>
        <v>42.94123161745901</v>
      </c>
      <c r="AD14" s="69">
        <f t="shared" ref="AD14:AD60" si="2">ABS((AB14-AC14)/(AB14+AC14)*100)</f>
        <v>1.6635500418937053</v>
      </c>
      <c r="AF14" s="99">
        <v>7.69</v>
      </c>
      <c r="AG14" s="99">
        <v>4.3226100000000001</v>
      </c>
      <c r="AH14" s="99">
        <v>0.81540000000000001</v>
      </c>
      <c r="AI14" s="99">
        <v>-0.37819999999999998</v>
      </c>
      <c r="AJ14" s="99">
        <v>-0.62749999999999995</v>
      </c>
      <c r="AK14" s="99">
        <v>-2.1972999999999998</v>
      </c>
      <c r="AL14" s="99">
        <v>1.0261</v>
      </c>
      <c r="AM14" s="99">
        <v>-0.1767</v>
      </c>
      <c r="AN14" s="99">
        <v>-0.499</v>
      </c>
      <c r="AO14" s="99">
        <v>-0.38929999999999998</v>
      </c>
      <c r="AQ14" s="50">
        <f>K14/1000</f>
        <v>0.44800000000000001</v>
      </c>
      <c r="AR14" s="50">
        <f>AT14/($AS$6)</f>
        <v>1.0674332924621941</v>
      </c>
      <c r="AS14" s="50">
        <f>(AQ14-$AQ$12)*0.104</f>
        <v>2.4301333333333331E-2</v>
      </c>
      <c r="AT14" s="50">
        <f>AT12-AS14</f>
        <v>0.60939766666666662</v>
      </c>
      <c r="AU14" s="50">
        <f>AR14/AQ14</f>
        <v>2.3826635992459688</v>
      </c>
    </row>
    <row r="15" spans="1:47" s="68" customFormat="1" x14ac:dyDescent="0.35">
      <c r="A15" s="68">
        <v>11</v>
      </c>
      <c r="B15" s="10"/>
      <c r="C15" s="31">
        <v>2</v>
      </c>
      <c r="D15" s="31">
        <v>126.7</v>
      </c>
      <c r="E15" s="31">
        <f>D15+E14</f>
        <v>253.4</v>
      </c>
      <c r="F15" s="69">
        <f t="shared" ref="F15:F60" si="3">D15/126.7</f>
        <v>1</v>
      </c>
      <c r="G15" s="25">
        <f>G14+F15</f>
        <v>2</v>
      </c>
      <c r="H15" s="25">
        <v>7.79</v>
      </c>
      <c r="I15" s="31">
        <v>1635</v>
      </c>
      <c r="J15" s="31">
        <v>286</v>
      </c>
      <c r="K15" s="181">
        <v>282</v>
      </c>
      <c r="L15" s="31">
        <v>32</v>
      </c>
      <c r="M15" s="27">
        <v>13</v>
      </c>
      <c r="N15" s="31">
        <v>521</v>
      </c>
      <c r="O15" s="31">
        <v>13</v>
      </c>
      <c r="P15" s="21">
        <v>88.28</v>
      </c>
      <c r="Q15" s="21">
        <v>33.97</v>
      </c>
      <c r="R15" s="21">
        <v>222.4</v>
      </c>
      <c r="S15" s="21">
        <v>22.22</v>
      </c>
      <c r="T15" s="18">
        <v>9.5129999999999999</v>
      </c>
      <c r="U15" s="169">
        <v>0.2</v>
      </c>
      <c r="V15" s="11">
        <v>0.17</v>
      </c>
      <c r="W15" s="81">
        <v>0.02</v>
      </c>
      <c r="X15" s="11">
        <v>0.14299999999999999</v>
      </c>
      <c r="Y15" s="81">
        <v>0.04</v>
      </c>
      <c r="Z15" s="11">
        <v>0.93200000000000005</v>
      </c>
      <c r="AA15" s="31"/>
      <c r="AB15" s="69">
        <f t="shared" si="0"/>
        <v>17.679744299862936</v>
      </c>
      <c r="AC15" s="69">
        <f t="shared" si="1"/>
        <v>17.115845584682528</v>
      </c>
      <c r="AD15" s="69">
        <f t="shared" si="2"/>
        <v>1.6206039818593914</v>
      </c>
      <c r="AF15" s="99">
        <v>7.79</v>
      </c>
      <c r="AG15" s="99">
        <v>-1.40903</v>
      </c>
      <c r="AH15" s="99">
        <v>0.48170000000000002</v>
      </c>
      <c r="AI15" s="99">
        <v>-1.0398000000000001</v>
      </c>
      <c r="AJ15" s="99">
        <v>-1.2894000000000001</v>
      </c>
      <c r="AK15" s="99">
        <v>-2.3815</v>
      </c>
      <c r="AL15" s="99">
        <v>0.37619999999999998</v>
      </c>
      <c r="AM15" s="99">
        <v>-0.37209999999999999</v>
      </c>
      <c r="AN15" s="99">
        <v>-1.1041000000000001</v>
      </c>
      <c r="AO15" s="99">
        <v>-0.70550000000000002</v>
      </c>
      <c r="AQ15" s="50">
        <f t="shared" ref="AQ15:AQ20" si="4">K15/1000</f>
        <v>0.28199999999999997</v>
      </c>
      <c r="AR15" s="50">
        <f t="shared" ref="AR15:AR20" si="5">AT15/($AS$6)</f>
        <v>1.0551065568984643</v>
      </c>
      <c r="AS15" s="50">
        <f t="shared" ref="AS15:AS20" si="6">(AQ15-$AQ$12)*0.104</f>
        <v>7.0373333333333286E-3</v>
      </c>
      <c r="AT15" s="50">
        <f>AT14-AS15</f>
        <v>0.60236033333333328</v>
      </c>
      <c r="AU15" s="50">
        <f t="shared" ref="AU15:AU20" si="7">AR15/AQ15</f>
        <v>3.741512613115122</v>
      </c>
    </row>
    <row r="16" spans="1:47" s="68" customFormat="1" x14ac:dyDescent="0.35">
      <c r="A16" s="68">
        <v>11</v>
      </c>
      <c r="B16" s="10"/>
      <c r="C16" s="68">
        <v>3</v>
      </c>
      <c r="D16" s="68">
        <v>126.7</v>
      </c>
      <c r="E16" s="31">
        <f t="shared" ref="E16:E20" si="8">D16+E15</f>
        <v>380.1</v>
      </c>
      <c r="F16" s="69">
        <f t="shared" si="3"/>
        <v>1</v>
      </c>
      <c r="G16" s="25">
        <f t="shared" ref="G16:G60" si="9">G15+F16</f>
        <v>3</v>
      </c>
      <c r="H16" s="31">
        <v>7.63</v>
      </c>
      <c r="I16" s="31">
        <v>1531</v>
      </c>
      <c r="J16" s="31">
        <v>290</v>
      </c>
      <c r="K16" s="27">
        <v>256</v>
      </c>
      <c r="L16" s="27">
        <v>32</v>
      </c>
      <c r="M16" s="27">
        <v>17</v>
      </c>
      <c r="N16" s="31">
        <v>497</v>
      </c>
      <c r="O16" s="31">
        <v>27</v>
      </c>
      <c r="P16" s="21">
        <v>100</v>
      </c>
      <c r="Q16" s="21">
        <v>38.56</v>
      </c>
      <c r="R16" s="21">
        <v>179.6</v>
      </c>
      <c r="S16" s="21">
        <v>22.05</v>
      </c>
      <c r="T16" s="18">
        <v>9.5660000000000007</v>
      </c>
      <c r="U16" s="169">
        <v>0.2</v>
      </c>
      <c r="V16" s="33">
        <v>9.5000000000000001E-2</v>
      </c>
      <c r="W16" s="81">
        <v>0.02</v>
      </c>
      <c r="X16" s="11">
        <v>0.193</v>
      </c>
      <c r="Y16" s="81">
        <v>0.04</v>
      </c>
      <c r="Z16" s="18">
        <v>1.121</v>
      </c>
      <c r="AA16" s="31"/>
      <c r="AB16" s="69">
        <f t="shared" si="0"/>
        <v>17.324572733704688</v>
      </c>
      <c r="AC16" s="69">
        <f t="shared" si="1"/>
        <v>16.217819537122679</v>
      </c>
      <c r="AD16" s="69">
        <f t="shared" si="2"/>
        <v>3.2995654801419132</v>
      </c>
      <c r="AF16" s="99">
        <v>7.63</v>
      </c>
      <c r="AG16" s="99">
        <v>-3.5040200000000001</v>
      </c>
      <c r="AH16" s="99">
        <v>0.3921</v>
      </c>
      <c r="AI16" s="99">
        <v>-1.0031000000000001</v>
      </c>
      <c r="AJ16" s="99">
        <v>-1.2527999999999999</v>
      </c>
      <c r="AK16" s="99">
        <v>-2.2138</v>
      </c>
      <c r="AL16" s="99">
        <v>0.19700000000000001</v>
      </c>
      <c r="AM16" s="99">
        <v>-0.38419999999999999</v>
      </c>
      <c r="AN16" s="99">
        <v>-1.2914000000000001</v>
      </c>
      <c r="AO16" s="99">
        <v>-0.79510000000000003</v>
      </c>
      <c r="AQ16" s="50">
        <f t="shared" si="4"/>
        <v>0.25600000000000001</v>
      </c>
      <c r="AR16" s="50">
        <f t="shared" si="5"/>
        <v>1.0475162024873008</v>
      </c>
      <c r="AS16" s="50">
        <f t="shared" si="6"/>
        <v>4.3333333333333323E-3</v>
      </c>
      <c r="AT16" s="50">
        <f t="shared" ref="AT16:AT20" si="10">AT15-AS16</f>
        <v>0.59802699999999998</v>
      </c>
      <c r="AU16" s="50">
        <f t="shared" si="7"/>
        <v>4.0918601659660183</v>
      </c>
    </row>
    <row r="17" spans="1:47" s="68" customFormat="1" x14ac:dyDescent="0.35">
      <c r="A17" s="68">
        <v>11</v>
      </c>
      <c r="B17" s="10"/>
      <c r="C17" s="68">
        <v>4</v>
      </c>
      <c r="D17" s="31">
        <v>126.7</v>
      </c>
      <c r="E17" s="31">
        <f t="shared" si="8"/>
        <v>506.8</v>
      </c>
      <c r="F17" s="69">
        <f t="shared" si="3"/>
        <v>1</v>
      </c>
      <c r="G17" s="25">
        <f t="shared" si="9"/>
        <v>4</v>
      </c>
      <c r="H17" s="31">
        <v>7.68</v>
      </c>
      <c r="I17" s="31">
        <v>1544</v>
      </c>
      <c r="J17" s="31">
        <v>292</v>
      </c>
      <c r="K17" s="27">
        <v>261</v>
      </c>
      <c r="L17" s="27">
        <v>32</v>
      </c>
      <c r="M17" s="27">
        <v>18</v>
      </c>
      <c r="N17" s="31">
        <v>509</v>
      </c>
      <c r="O17" s="31">
        <v>24</v>
      </c>
      <c r="P17" s="21">
        <v>107.1</v>
      </c>
      <c r="Q17" s="21">
        <v>42.6</v>
      </c>
      <c r="R17" s="21">
        <v>168.4</v>
      </c>
      <c r="S17" s="21">
        <v>22.13</v>
      </c>
      <c r="T17" s="18">
        <v>9.9309999999999992</v>
      </c>
      <c r="U17" s="169">
        <v>0.2</v>
      </c>
      <c r="V17" s="33">
        <v>7.8E-2</v>
      </c>
      <c r="W17" s="81">
        <v>0.02</v>
      </c>
      <c r="X17" s="11">
        <v>0.222</v>
      </c>
      <c r="Y17" s="81">
        <v>0.04</v>
      </c>
      <c r="Z17" s="18">
        <v>1.1879999999999999</v>
      </c>
      <c r="AA17" s="31"/>
      <c r="AB17" s="69">
        <f t="shared" si="0"/>
        <v>17.630545613558006</v>
      </c>
      <c r="AC17" s="69">
        <f t="shared" si="1"/>
        <v>16.426514500698495</v>
      </c>
      <c r="AD17" s="69">
        <f t="shared" si="2"/>
        <v>3.5353348434073903</v>
      </c>
      <c r="AF17" s="99">
        <v>7.68</v>
      </c>
      <c r="AG17" s="99">
        <v>-4.1818799999999996</v>
      </c>
      <c r="AH17" s="99">
        <v>0.4698</v>
      </c>
      <c r="AI17" s="99">
        <v>-0.97250000000000003</v>
      </c>
      <c r="AJ17" s="99">
        <v>-1.2222</v>
      </c>
      <c r="AK17" s="99">
        <v>-2.2629999999999999</v>
      </c>
      <c r="AL17" s="99">
        <v>0.36620000000000003</v>
      </c>
      <c r="AM17" s="99">
        <v>-0.27310000000000001</v>
      </c>
      <c r="AN17" s="99">
        <v>-1.3522000000000001</v>
      </c>
      <c r="AO17" s="99">
        <v>-0.7036</v>
      </c>
      <c r="AQ17" s="50">
        <f t="shared" si="4"/>
        <v>0.26100000000000001</v>
      </c>
      <c r="AR17" s="50">
        <f t="shared" si="5"/>
        <v>1.0390150055467975</v>
      </c>
      <c r="AS17" s="50">
        <f t="shared" si="6"/>
        <v>4.8533333333333328E-3</v>
      </c>
      <c r="AT17" s="50">
        <f t="shared" si="10"/>
        <v>0.5931736666666666</v>
      </c>
      <c r="AU17" s="50">
        <f t="shared" si="7"/>
        <v>3.9809004043938598</v>
      </c>
    </row>
    <row r="18" spans="1:47" s="68" customFormat="1" x14ac:dyDescent="0.35">
      <c r="A18" s="68">
        <v>11</v>
      </c>
      <c r="B18" s="10"/>
      <c r="C18" s="68">
        <v>5</v>
      </c>
      <c r="D18" s="68">
        <v>126.7</v>
      </c>
      <c r="E18" s="31">
        <f t="shared" si="8"/>
        <v>633.5</v>
      </c>
      <c r="F18" s="69">
        <f t="shared" si="3"/>
        <v>1</v>
      </c>
      <c r="G18" s="25">
        <f t="shared" si="9"/>
        <v>5</v>
      </c>
      <c r="H18" s="31">
        <v>7.56</v>
      </c>
      <c r="I18" s="31">
        <v>1533</v>
      </c>
      <c r="J18" s="31">
        <v>290</v>
      </c>
      <c r="K18" s="27">
        <v>255</v>
      </c>
      <c r="L18" s="27">
        <v>32</v>
      </c>
      <c r="M18" s="27">
        <v>20</v>
      </c>
      <c r="N18" s="31">
        <v>505</v>
      </c>
      <c r="O18" s="31">
        <v>24</v>
      </c>
      <c r="P18" s="21">
        <v>107.4</v>
      </c>
      <c r="Q18" s="21">
        <v>41.89</v>
      </c>
      <c r="R18" s="21">
        <v>165.2</v>
      </c>
      <c r="S18" s="21">
        <v>22.01</v>
      </c>
      <c r="T18" s="18">
        <v>9.6630000000000003</v>
      </c>
      <c r="U18" s="169">
        <v>0.2</v>
      </c>
      <c r="V18" s="33">
        <v>7.1999999999999995E-2</v>
      </c>
      <c r="W18" s="81">
        <v>0.02</v>
      </c>
      <c r="X18" s="11">
        <v>0.23499999999999999</v>
      </c>
      <c r="Y18" s="81">
        <v>0.04</v>
      </c>
      <c r="Z18" s="18">
        <v>1.208</v>
      </c>
      <c r="AA18" s="31"/>
      <c r="AB18" s="69">
        <f t="shared" si="0"/>
        <v>17.539522395542384</v>
      </c>
      <c r="AC18" s="69">
        <f t="shared" si="1"/>
        <v>16.237051230147067</v>
      </c>
      <c r="AD18" s="69">
        <f t="shared" si="2"/>
        <v>3.8561376290835407</v>
      </c>
      <c r="AF18" s="99">
        <v>7.56</v>
      </c>
      <c r="AG18" s="99">
        <v>-4.6914600000000002</v>
      </c>
      <c r="AH18" s="99">
        <v>0.35160000000000002</v>
      </c>
      <c r="AI18" s="99">
        <v>-0.97240000000000004</v>
      </c>
      <c r="AJ18" s="99">
        <v>-1.222</v>
      </c>
      <c r="AK18" s="99">
        <v>-2.1442000000000001</v>
      </c>
      <c r="AL18" s="99">
        <v>0.121</v>
      </c>
      <c r="AM18" s="99">
        <v>-0.35510000000000003</v>
      </c>
      <c r="AN18" s="99">
        <v>-1.3835</v>
      </c>
      <c r="AO18" s="99">
        <v>-0.83069999999999999</v>
      </c>
      <c r="AQ18" s="50">
        <f t="shared" si="4"/>
        <v>0.255</v>
      </c>
      <c r="AR18" s="50">
        <f t="shared" si="5"/>
        <v>1.0316068196415018</v>
      </c>
      <c r="AS18" s="50">
        <f t="shared" si="6"/>
        <v>4.2293333333333323E-3</v>
      </c>
      <c r="AT18" s="50">
        <f t="shared" si="10"/>
        <v>0.58894433333333329</v>
      </c>
      <c r="AU18" s="50">
        <f t="shared" si="7"/>
        <v>4.0455169397705957</v>
      </c>
    </row>
    <row r="19" spans="1:47" s="68" customFormat="1" x14ac:dyDescent="0.35">
      <c r="A19" s="68">
        <v>11</v>
      </c>
      <c r="B19" s="10"/>
      <c r="C19" s="68">
        <v>6</v>
      </c>
      <c r="D19" s="31">
        <v>126.7</v>
      </c>
      <c r="E19" s="31">
        <f t="shared" si="8"/>
        <v>760.2</v>
      </c>
      <c r="F19" s="69">
        <f t="shared" si="3"/>
        <v>1</v>
      </c>
      <c r="G19" s="25">
        <f t="shared" si="9"/>
        <v>6</v>
      </c>
      <c r="H19" s="25">
        <v>7.53</v>
      </c>
      <c r="I19" s="31">
        <v>1518</v>
      </c>
      <c r="J19" s="31">
        <v>284</v>
      </c>
      <c r="K19" s="27">
        <v>243</v>
      </c>
      <c r="L19" s="27">
        <v>32</v>
      </c>
      <c r="M19" s="27">
        <v>21</v>
      </c>
      <c r="N19" s="31">
        <v>494</v>
      </c>
      <c r="O19" s="31">
        <v>22</v>
      </c>
      <c r="P19" s="21">
        <v>105.4</v>
      </c>
      <c r="Q19" s="21">
        <v>40.92</v>
      </c>
      <c r="R19" s="21">
        <v>159.19999999999999</v>
      </c>
      <c r="S19" s="21">
        <v>21.27</v>
      </c>
      <c r="T19" s="18">
        <v>9.3989999999999991</v>
      </c>
      <c r="U19" s="169">
        <v>0.2</v>
      </c>
      <c r="V19" s="33">
        <v>6.6000000000000003E-2</v>
      </c>
      <c r="W19" s="81">
        <v>0.02</v>
      </c>
      <c r="X19" s="11">
        <v>0.23699999999999999</v>
      </c>
      <c r="Y19" s="81">
        <v>0.04</v>
      </c>
      <c r="Z19" s="18">
        <v>1.204</v>
      </c>
      <c r="AA19" s="31"/>
      <c r="AB19" s="69">
        <f t="shared" si="0"/>
        <v>17.206627900838132</v>
      </c>
      <c r="AC19" s="69">
        <f t="shared" si="1"/>
        <v>15.789746139842144</v>
      </c>
      <c r="AD19" s="69">
        <f t="shared" si="2"/>
        <v>4.2940529139630774</v>
      </c>
      <c r="AF19" s="99">
        <v>7.53</v>
      </c>
      <c r="AG19" s="99">
        <v>-5.2118099999999998</v>
      </c>
      <c r="AH19" s="99">
        <v>0.309</v>
      </c>
      <c r="AI19" s="99">
        <v>-0.98360000000000003</v>
      </c>
      <c r="AJ19" s="99">
        <v>-1.2333000000000001</v>
      </c>
      <c r="AK19" s="99">
        <v>-2.1221000000000001</v>
      </c>
      <c r="AL19" s="99">
        <v>3.3300000000000003E-2</v>
      </c>
      <c r="AM19" s="99">
        <v>-0.38919999999999999</v>
      </c>
      <c r="AN19" s="99">
        <v>-1.2434000000000001</v>
      </c>
      <c r="AO19" s="99">
        <v>-0.87560000000000004</v>
      </c>
      <c r="AQ19" s="50">
        <f t="shared" si="4"/>
        <v>0.24299999999999999</v>
      </c>
      <c r="AR19" s="50">
        <f t="shared" si="5"/>
        <v>1.0263846558066212</v>
      </c>
      <c r="AS19" s="50">
        <f t="shared" si="6"/>
        <v>2.9813333333333311E-3</v>
      </c>
      <c r="AT19" s="50">
        <f t="shared" si="10"/>
        <v>0.58596300000000001</v>
      </c>
      <c r="AU19" s="50">
        <f t="shared" si="7"/>
        <v>4.2238051679284823</v>
      </c>
    </row>
    <row r="20" spans="1:47" s="68" customFormat="1" x14ac:dyDescent="0.35">
      <c r="A20" s="68">
        <v>11</v>
      </c>
      <c r="B20" s="10">
        <v>43537</v>
      </c>
      <c r="C20" s="68">
        <v>7</v>
      </c>
      <c r="D20" s="68">
        <v>126.7</v>
      </c>
      <c r="E20" s="31">
        <f t="shared" si="8"/>
        <v>886.90000000000009</v>
      </c>
      <c r="F20" s="69">
        <f t="shared" si="3"/>
        <v>1</v>
      </c>
      <c r="G20" s="25">
        <f t="shared" si="9"/>
        <v>7</v>
      </c>
      <c r="H20" s="31">
        <v>7.85</v>
      </c>
      <c r="I20" s="31">
        <v>1529</v>
      </c>
      <c r="J20" s="31">
        <v>282</v>
      </c>
      <c r="K20" s="27">
        <v>233</v>
      </c>
      <c r="L20" s="31">
        <v>32</v>
      </c>
      <c r="M20" s="27">
        <v>22</v>
      </c>
      <c r="N20" s="31">
        <v>532</v>
      </c>
      <c r="O20" s="31">
        <v>22</v>
      </c>
      <c r="P20" s="165">
        <v>106</v>
      </c>
      <c r="Q20" s="165">
        <v>41.45</v>
      </c>
      <c r="R20" s="165">
        <v>166.5</v>
      </c>
      <c r="S20" s="165">
        <v>22.34</v>
      </c>
      <c r="T20" s="170">
        <v>9.6479999999999997</v>
      </c>
      <c r="U20" s="169">
        <v>0.2</v>
      </c>
      <c r="V20" s="68">
        <v>6.2E-2</v>
      </c>
      <c r="W20" s="81">
        <v>0.02</v>
      </c>
      <c r="X20" s="163">
        <v>0.24199999999999999</v>
      </c>
      <c r="Y20" s="81">
        <v>0.04</v>
      </c>
      <c r="Z20" s="170">
        <v>1.1930000000000001</v>
      </c>
      <c r="AA20" s="31"/>
      <c r="AB20" s="69">
        <f t="shared" si="0"/>
        <v>17.973929117147833</v>
      </c>
      <c r="AC20" s="69">
        <f t="shared" si="1"/>
        <v>16.187169432954988</v>
      </c>
      <c r="AD20" s="69">
        <f t="shared" si="2"/>
        <v>5.2303929323943441</v>
      </c>
      <c r="AF20" s="99">
        <v>7.85</v>
      </c>
      <c r="AG20" s="99">
        <v>-6.4861899999999997</v>
      </c>
      <c r="AH20" s="99">
        <v>0.61129999999999995</v>
      </c>
      <c r="AI20" s="99">
        <v>-0.96209999999999996</v>
      </c>
      <c r="AJ20" s="99">
        <v>-1.2118</v>
      </c>
      <c r="AK20" s="99">
        <v>-2.4512</v>
      </c>
      <c r="AL20" s="99">
        <v>0.64259999999999995</v>
      </c>
      <c r="AM20" s="99">
        <v>-8.4000000000000005E-2</v>
      </c>
      <c r="AN20" s="99">
        <v>-1.4631000000000001</v>
      </c>
      <c r="AO20" s="99">
        <v>-0.56869999999999998</v>
      </c>
      <c r="AQ20" s="50">
        <f t="shared" si="4"/>
        <v>0.23300000000000001</v>
      </c>
      <c r="AR20" s="50">
        <f t="shared" si="5"/>
        <v>1.0229841770304198</v>
      </c>
      <c r="AS20" s="50">
        <f t="shared" si="6"/>
        <v>1.9413333333333331E-3</v>
      </c>
      <c r="AT20" s="50">
        <f t="shared" si="10"/>
        <v>0.58402166666666666</v>
      </c>
      <c r="AU20" s="50">
        <f t="shared" si="7"/>
        <v>4.3904900301734751</v>
      </c>
    </row>
    <row r="21" spans="1:47" s="68" customFormat="1" x14ac:dyDescent="0.35">
      <c r="B21" s="10"/>
      <c r="E21" s="31"/>
      <c r="F21" s="69"/>
      <c r="G21" s="25"/>
      <c r="K21" s="27"/>
      <c r="L21" s="27"/>
      <c r="N21" s="31"/>
      <c r="R21" s="13"/>
      <c r="S21" s="13"/>
      <c r="T21" s="13"/>
      <c r="U21" s="11"/>
      <c r="V21" s="15"/>
      <c r="W21" s="70"/>
      <c r="X21" s="16"/>
      <c r="Y21" s="176"/>
      <c r="AB21" s="69"/>
      <c r="AC21" s="69"/>
      <c r="AD21" s="6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Q21" s="50"/>
      <c r="AR21" s="50"/>
      <c r="AS21" s="50"/>
      <c r="AT21" s="50"/>
      <c r="AU21" s="50"/>
    </row>
    <row r="22" spans="1:47" s="68" customFormat="1" x14ac:dyDescent="0.35">
      <c r="A22" s="68" t="s">
        <v>164</v>
      </c>
      <c r="F22" s="69"/>
      <c r="G22" s="25"/>
      <c r="H22" s="15">
        <v>7.9</v>
      </c>
      <c r="I22" s="165">
        <f>'Influent Results Master'!D53</f>
        <v>959</v>
      </c>
      <c r="J22" s="165">
        <f>'Influent Results Master'!F53</f>
        <v>160.66666666666666</v>
      </c>
      <c r="K22" s="170">
        <f>'Influent Results Master'!G53</f>
        <v>7.3999999999999995</v>
      </c>
      <c r="L22" s="165">
        <f>'Influent Results Master'!H53</f>
        <v>15</v>
      </c>
      <c r="M22" s="125">
        <f>'Influent Results Master'!I53</f>
        <v>0.5</v>
      </c>
      <c r="N22" s="165">
        <f>'Influent Results Master'!J53</f>
        <v>355.33333333333331</v>
      </c>
      <c r="O22" s="165">
        <f>'Influent Results Master'!K53</f>
        <v>15</v>
      </c>
      <c r="P22" s="165">
        <f>'Influent Results Master'!L53</f>
        <v>102.33333333333333</v>
      </c>
      <c r="Q22" s="165">
        <f>'Influent Results Master'!M53</f>
        <v>39</v>
      </c>
      <c r="R22" s="165">
        <f>'Influent Results Master'!N53</f>
        <v>72.333333333333329</v>
      </c>
      <c r="S22" s="165">
        <f>'Influent Results Master'!O53</f>
        <v>12</v>
      </c>
      <c r="T22" s="170">
        <f>'Influent Results Master'!P53</f>
        <v>4.1333333333333329</v>
      </c>
      <c r="U22" s="171">
        <f>'Influent Results Master'!Q53</f>
        <v>0.20000000000000004</v>
      </c>
      <c r="V22" s="177">
        <f>'Influent Results Master'!R53</f>
        <v>0.02</v>
      </c>
      <c r="W22" s="177">
        <f>'Influent Results Master'!S53</f>
        <v>0.02</v>
      </c>
      <c r="X22" s="176">
        <f>'Influent Results Master'!T53</f>
        <v>5.1333333333333335E-2</v>
      </c>
      <c r="Y22" s="177">
        <f>'Influent Results Master'!U53</f>
        <v>0.04</v>
      </c>
      <c r="Z22" s="170">
        <f>'Influent Results Master'!V53</f>
        <v>1.0303333333333333</v>
      </c>
      <c r="AB22" s="69">
        <f>((J22/50)+(L22/35.45)+(M22/62)+(N22/48.03))</f>
        <v>11.042682951695816</v>
      </c>
      <c r="AC22" s="69">
        <f t="shared" si="1"/>
        <v>11.565697942004107</v>
      </c>
      <c r="AD22" s="69">
        <f t="shared" si="2"/>
        <v>2.3133677407833937</v>
      </c>
      <c r="AF22" s="99">
        <v>7.9</v>
      </c>
      <c r="AG22" s="99">
        <v>5.5189399999999997</v>
      </c>
      <c r="AH22" s="99">
        <v>0.47560000000000002</v>
      </c>
      <c r="AI22" s="99">
        <v>-1.0613999999999999</v>
      </c>
      <c r="AJ22" s="99">
        <v>-1.3111999999999999</v>
      </c>
      <c r="AK22" s="99">
        <v>-2.7382</v>
      </c>
      <c r="AL22" s="99">
        <v>0.35410000000000003</v>
      </c>
      <c r="AM22" s="99">
        <v>-0.87319999999999998</v>
      </c>
      <c r="AN22" s="99">
        <v>-1.8671</v>
      </c>
      <c r="AO22" s="99">
        <v>-0.72150000000000003</v>
      </c>
      <c r="AQ22" s="50">
        <f>K22/1000</f>
        <v>7.3999999999999995E-3</v>
      </c>
      <c r="AR22" s="50"/>
      <c r="AS22" s="50"/>
      <c r="AT22" s="50"/>
      <c r="AU22" s="50"/>
    </row>
    <row r="23" spans="1:47" s="68" customFormat="1" x14ac:dyDescent="0.35">
      <c r="F23" s="69"/>
      <c r="G23" s="25"/>
      <c r="M23" s="65"/>
      <c r="N23" s="27"/>
      <c r="O23" s="65"/>
      <c r="P23" s="65"/>
      <c r="Q23" s="65"/>
      <c r="R23" s="67"/>
      <c r="S23" s="67"/>
      <c r="T23" s="67"/>
      <c r="U23" s="171"/>
      <c r="V23" s="65"/>
      <c r="W23" s="66"/>
      <c r="X23" s="67"/>
      <c r="Y23" s="30"/>
      <c r="AB23" s="69"/>
      <c r="AC23" s="69"/>
      <c r="AD23" s="6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Q23" s="50"/>
      <c r="AR23" s="50"/>
      <c r="AS23" s="50"/>
      <c r="AT23" s="50"/>
      <c r="AU23" s="50"/>
    </row>
    <row r="24" spans="1:47" s="68" customFormat="1" x14ac:dyDescent="0.35">
      <c r="A24" s="68">
        <v>11</v>
      </c>
      <c r="B24" s="10">
        <v>43537</v>
      </c>
      <c r="C24" s="68">
        <v>8</v>
      </c>
      <c r="D24" s="68">
        <v>126.7</v>
      </c>
      <c r="E24" s="68">
        <f>D24+E20</f>
        <v>1013.6000000000001</v>
      </c>
      <c r="F24" s="69">
        <f t="shared" si="3"/>
        <v>1</v>
      </c>
      <c r="G24" s="25">
        <f>G20+F24</f>
        <v>8</v>
      </c>
      <c r="H24" s="31">
        <v>7.9</v>
      </c>
      <c r="I24" s="31">
        <v>1235</v>
      </c>
      <c r="J24" s="31">
        <v>238</v>
      </c>
      <c r="K24" s="31">
        <v>152</v>
      </c>
      <c r="L24" s="27">
        <v>20</v>
      </c>
      <c r="M24" s="18">
        <v>6.5</v>
      </c>
      <c r="N24" s="31">
        <v>418</v>
      </c>
      <c r="O24" s="31">
        <v>20</v>
      </c>
      <c r="P24" s="165">
        <v>78.59</v>
      </c>
      <c r="Q24" s="165">
        <v>29.94</v>
      </c>
      <c r="R24" s="165">
        <v>138.80000000000001</v>
      </c>
      <c r="S24" s="165">
        <v>21.18</v>
      </c>
      <c r="T24" s="170">
        <v>8.3070000000000004</v>
      </c>
      <c r="U24" s="169">
        <v>0.2</v>
      </c>
      <c r="V24" s="68">
        <v>6.3E-2</v>
      </c>
      <c r="W24" s="81">
        <v>0.02</v>
      </c>
      <c r="X24" s="163">
        <v>0.17799999999999999</v>
      </c>
      <c r="Y24" s="81">
        <v>0.04</v>
      </c>
      <c r="Z24" s="163">
        <v>0.879</v>
      </c>
      <c r="AA24" s="31"/>
      <c r="AB24" s="69">
        <f t="shared" ref="AB24:AB38" si="11">((J24/50)+(L24/35.45)+(M24/62)+(N24/48.03))</f>
        <v>14.131907628462605</v>
      </c>
      <c r="AC24" s="69">
        <f t="shared" si="1"/>
        <v>12.633690550733126</v>
      </c>
      <c r="AD24" s="69">
        <f t="shared" si="2"/>
        <v>5.5975475223789584</v>
      </c>
      <c r="AF24" s="99">
        <v>7.9</v>
      </c>
      <c r="AG24" s="99">
        <v>-5.7547600000000001</v>
      </c>
      <c r="AH24" s="99">
        <v>0.50109999999999999</v>
      </c>
      <c r="AI24" s="99">
        <v>-1.1249</v>
      </c>
      <c r="AJ24" s="99">
        <v>-1.3747</v>
      </c>
      <c r="AK24" s="99">
        <v>-2.5667</v>
      </c>
      <c r="AL24" s="99">
        <v>0.40839999999999999</v>
      </c>
      <c r="AM24" s="99">
        <v>-0.19139999999999999</v>
      </c>
      <c r="AN24" s="99">
        <v>-1.5275000000000001</v>
      </c>
      <c r="AO24" s="99">
        <v>-0.69269999999999998</v>
      </c>
      <c r="AQ24" s="50">
        <f t="shared" ref="AQ24:AQ38" si="12">K24/1000</f>
        <v>0.152</v>
      </c>
      <c r="AR24" s="50">
        <f>AT24/$AS$6</f>
        <v>0.99664261108191743</v>
      </c>
      <c r="AS24" s="50">
        <f>(AQ24-$AQ$22)*0.104</f>
        <v>1.50384E-2</v>
      </c>
      <c r="AT24" s="50">
        <f>AT20-AS24</f>
        <v>0.56898326666666665</v>
      </c>
      <c r="AU24" s="50">
        <f t="shared" ref="AU24:AU38" si="13">AR24/AQ24</f>
        <v>6.5568592834336679</v>
      </c>
    </row>
    <row r="25" spans="1:47" s="68" customFormat="1" x14ac:dyDescent="0.35">
      <c r="A25" s="68">
        <v>11</v>
      </c>
      <c r="B25" s="10"/>
      <c r="C25" s="68">
        <v>9</v>
      </c>
      <c r="D25" s="68">
        <v>126.7</v>
      </c>
      <c r="E25" s="31">
        <f>D25+E24</f>
        <v>1140.3000000000002</v>
      </c>
      <c r="F25" s="69">
        <f t="shared" si="3"/>
        <v>1</v>
      </c>
      <c r="G25" s="25">
        <f>G24+F25</f>
        <v>9</v>
      </c>
      <c r="H25" s="31">
        <v>7.87</v>
      </c>
      <c r="I25" s="31">
        <v>1059</v>
      </c>
      <c r="J25" s="31">
        <v>188</v>
      </c>
      <c r="K25" s="27">
        <v>97</v>
      </c>
      <c r="L25" s="27">
        <v>15</v>
      </c>
      <c r="M25" s="18">
        <v>1.9</v>
      </c>
      <c r="N25" s="31">
        <v>364</v>
      </c>
      <c r="O25" s="31">
        <v>17</v>
      </c>
      <c r="P25" s="21">
        <v>60.82</v>
      </c>
      <c r="Q25" s="21">
        <v>23.63</v>
      </c>
      <c r="R25" s="21">
        <v>118.9</v>
      </c>
      <c r="S25" s="21">
        <v>19.440000000000001</v>
      </c>
      <c r="T25" s="18">
        <v>7.266</v>
      </c>
      <c r="U25" s="169">
        <v>0.2</v>
      </c>
      <c r="V25" s="33">
        <v>3.2000000000000001E-2</v>
      </c>
      <c r="W25" s="81">
        <v>0.02</v>
      </c>
      <c r="X25" s="11">
        <v>0.14399999999999999</v>
      </c>
      <c r="Y25" s="81">
        <v>0.04</v>
      </c>
      <c r="Z25" s="11">
        <v>0.69699999999999995</v>
      </c>
      <c r="AA25" s="31"/>
      <c r="AB25" s="69">
        <f t="shared" si="11"/>
        <v>11.792373042342568</v>
      </c>
      <c r="AC25" s="69">
        <f t="shared" si="1"/>
        <v>10.335831752814876</v>
      </c>
      <c r="AD25" s="69">
        <f t="shared" si="2"/>
        <v>6.5822840262507105</v>
      </c>
      <c r="AF25" s="99">
        <v>7.87</v>
      </c>
      <c r="AG25" s="99">
        <v>-3.9570599999999998</v>
      </c>
      <c r="AH25" s="99">
        <v>0.2893</v>
      </c>
      <c r="AI25" s="99">
        <v>-1.244</v>
      </c>
      <c r="AJ25" s="99">
        <v>-1.4938</v>
      </c>
      <c r="AK25" s="99">
        <v>-2.6316000000000002</v>
      </c>
      <c r="AL25" s="99">
        <v>-8.8000000000000005E-3</v>
      </c>
      <c r="AM25" s="99">
        <v>-0.39179999999999998</v>
      </c>
      <c r="AN25" s="99">
        <v>-1.8908</v>
      </c>
      <c r="AO25" s="99">
        <v>-0.89810000000000001</v>
      </c>
      <c r="AQ25" s="50">
        <f t="shared" si="12"/>
        <v>9.7000000000000003E-2</v>
      </c>
      <c r="AR25" s="50">
        <f t="shared" ref="AR25:AR38" si="14">AT25/$AS$6</f>
        <v>0.98032031295615119</v>
      </c>
      <c r="AS25" s="50">
        <f t="shared" ref="AS25:AS38" si="15">(AQ25-$AQ$22)*0.104</f>
        <v>9.3183999999999993E-3</v>
      </c>
      <c r="AT25" s="50">
        <f>AT24-AS25</f>
        <v>0.5596648666666667</v>
      </c>
      <c r="AU25" s="50">
        <f t="shared" si="13"/>
        <v>10.106394978929393</v>
      </c>
    </row>
    <row r="26" spans="1:47" s="68" customFormat="1" x14ac:dyDescent="0.35">
      <c r="A26" s="68">
        <v>11</v>
      </c>
      <c r="B26" s="10"/>
      <c r="C26" s="68">
        <v>10</v>
      </c>
      <c r="D26" s="68">
        <v>126.7</v>
      </c>
      <c r="E26" s="31">
        <f t="shared" ref="E26:E38" si="16">D26+E25</f>
        <v>1267.0000000000002</v>
      </c>
      <c r="F26" s="69">
        <f t="shared" si="3"/>
        <v>1</v>
      </c>
      <c r="G26" s="25">
        <f t="shared" ref="G26:G38" si="17">G25+F26</f>
        <v>10</v>
      </c>
      <c r="H26" s="31">
        <v>7.81</v>
      </c>
      <c r="I26" s="31">
        <v>1015</v>
      </c>
      <c r="J26" s="31">
        <v>178</v>
      </c>
      <c r="K26" s="27">
        <v>88</v>
      </c>
      <c r="L26" s="27">
        <v>15</v>
      </c>
      <c r="M26" s="18">
        <v>2.2000000000000002</v>
      </c>
      <c r="N26" s="31">
        <v>366</v>
      </c>
      <c r="O26" s="31">
        <v>15</v>
      </c>
      <c r="P26" s="21">
        <v>70.19</v>
      </c>
      <c r="Q26" s="21">
        <v>27.43</v>
      </c>
      <c r="R26" s="21">
        <v>100.2</v>
      </c>
      <c r="S26" s="21">
        <v>19.649999999999999</v>
      </c>
      <c r="T26" s="18">
        <v>7.2069999999999999</v>
      </c>
      <c r="U26" s="169">
        <v>0.2</v>
      </c>
      <c r="V26" s="81">
        <v>0.02</v>
      </c>
      <c r="W26" s="81">
        <v>0.02</v>
      </c>
      <c r="X26" s="11">
        <v>0.16500000000000001</v>
      </c>
      <c r="Y26" s="81">
        <v>0.04</v>
      </c>
      <c r="Z26" s="11">
        <v>0.78700000000000003</v>
      </c>
      <c r="AA26" s="31"/>
      <c r="AB26" s="69">
        <f t="shared" si="11"/>
        <v>11.638852393285863</v>
      </c>
      <c r="AC26" s="69">
        <f t="shared" si="1"/>
        <v>10.300990542481106</v>
      </c>
      <c r="AD26" s="69">
        <f t="shared" si="2"/>
        <v>6.0978643043234158</v>
      </c>
      <c r="AF26" s="99">
        <v>7.81</v>
      </c>
      <c r="AG26" s="99">
        <v>-3.56318</v>
      </c>
      <c r="AH26" s="99">
        <v>0.26939999999999997</v>
      </c>
      <c r="AI26" s="99">
        <v>-1.1856</v>
      </c>
      <c r="AJ26" s="99">
        <v>-1.4354</v>
      </c>
      <c r="AK26" s="99">
        <v>-2.5958999999999999</v>
      </c>
      <c r="AL26" s="99">
        <v>-4.6899999999999997E-2</v>
      </c>
      <c r="AM26" s="99">
        <v>-0.39050000000000001</v>
      </c>
      <c r="AN26" s="99">
        <v>-2.0308999999999999</v>
      </c>
      <c r="AO26" s="99">
        <v>-0.91620000000000001</v>
      </c>
      <c r="AQ26" s="50">
        <f t="shared" si="12"/>
        <v>8.7999999999999995E-2</v>
      </c>
      <c r="AR26" s="50">
        <f t="shared" si="14"/>
        <v>0.96563753138319619</v>
      </c>
      <c r="AS26" s="50">
        <f t="shared" si="15"/>
        <v>8.3823999999999982E-3</v>
      </c>
      <c r="AT26" s="50">
        <f t="shared" ref="AT26:AT38" si="18">AT25-AS26</f>
        <v>0.55128246666666669</v>
      </c>
      <c r="AU26" s="50">
        <f t="shared" si="13"/>
        <v>10.973153765718139</v>
      </c>
    </row>
    <row r="27" spans="1:47" s="68" customFormat="1" x14ac:dyDescent="0.35">
      <c r="A27" s="68">
        <v>11</v>
      </c>
      <c r="B27" s="10"/>
      <c r="C27" s="68">
        <v>11</v>
      </c>
      <c r="D27" s="68">
        <v>126.7</v>
      </c>
      <c r="E27" s="31">
        <f t="shared" si="16"/>
        <v>1393.7000000000003</v>
      </c>
      <c r="F27" s="69">
        <f t="shared" si="3"/>
        <v>1</v>
      </c>
      <c r="G27" s="25">
        <f t="shared" si="17"/>
        <v>11</v>
      </c>
      <c r="H27" s="68">
        <v>8.08</v>
      </c>
      <c r="I27" s="68">
        <v>983</v>
      </c>
      <c r="J27" s="68">
        <v>175</v>
      </c>
      <c r="K27" s="27">
        <v>94</v>
      </c>
      <c r="L27" s="27">
        <v>15</v>
      </c>
      <c r="M27" s="18">
        <v>2.8</v>
      </c>
      <c r="N27" s="31">
        <v>372</v>
      </c>
      <c r="O27" s="31">
        <v>15</v>
      </c>
      <c r="P27" s="21">
        <v>83.5</v>
      </c>
      <c r="Q27" s="21">
        <v>33.409999999999997</v>
      </c>
      <c r="R27" s="21">
        <v>70.77</v>
      </c>
      <c r="S27" s="21">
        <v>20.39</v>
      </c>
      <c r="T27" s="18">
        <v>7.1749999999999998</v>
      </c>
      <c r="U27" s="169">
        <v>0.2</v>
      </c>
      <c r="V27" s="81">
        <v>0.02</v>
      </c>
      <c r="W27" s="81">
        <v>0.02</v>
      </c>
      <c r="X27" s="11">
        <v>0.20599999999999999</v>
      </c>
      <c r="Y27" s="81">
        <v>0.04</v>
      </c>
      <c r="Z27" s="11">
        <v>0.95599999999999996</v>
      </c>
      <c r="AA27" s="31"/>
      <c r="AB27" s="69">
        <f t="shared" si="11"/>
        <v>11.713451736438328</v>
      </c>
      <c r="AC27" s="69">
        <f t="shared" si="1"/>
        <v>10.175998308551442</v>
      </c>
      <c r="AD27" s="69">
        <f t="shared" si="2"/>
        <v>7.0237188450460426</v>
      </c>
      <c r="AF27" s="99">
        <v>8.08</v>
      </c>
      <c r="AG27" s="99">
        <v>-7.7870499999999998</v>
      </c>
      <c r="AH27" s="99">
        <v>0.59430000000000005</v>
      </c>
      <c r="AI27" s="99">
        <v>-1.1193</v>
      </c>
      <c r="AJ27" s="99">
        <v>-1.3691</v>
      </c>
      <c r="AK27" s="99">
        <v>-2.8835999999999999</v>
      </c>
      <c r="AL27" s="99">
        <v>0.61380000000000001</v>
      </c>
      <c r="AM27" s="99">
        <v>-4.8899999999999999E-2</v>
      </c>
      <c r="AN27" s="99">
        <v>-1.9613</v>
      </c>
      <c r="AO27" s="99">
        <v>-0.58040000000000003</v>
      </c>
      <c r="AQ27" s="50">
        <f t="shared" si="12"/>
        <v>9.4E-2</v>
      </c>
      <c r="AR27" s="50">
        <f t="shared" si="14"/>
        <v>0.94986173877503377</v>
      </c>
      <c r="AS27" s="50">
        <f t="shared" si="15"/>
        <v>9.0063999999999995E-3</v>
      </c>
      <c r="AT27" s="50">
        <f t="shared" si="18"/>
        <v>0.54227606666666672</v>
      </c>
      <c r="AU27" s="50">
        <f t="shared" si="13"/>
        <v>10.10491211462802</v>
      </c>
    </row>
    <row r="28" spans="1:47" s="68" customFormat="1" x14ac:dyDescent="0.35">
      <c r="A28" s="68">
        <v>11</v>
      </c>
      <c r="B28" s="28"/>
      <c r="C28" s="68">
        <v>12</v>
      </c>
      <c r="D28" s="68">
        <v>126.7</v>
      </c>
      <c r="E28" s="31">
        <f t="shared" si="16"/>
        <v>1520.4000000000003</v>
      </c>
      <c r="F28" s="69">
        <f t="shared" si="3"/>
        <v>1</v>
      </c>
      <c r="G28" s="25">
        <f t="shared" si="17"/>
        <v>12</v>
      </c>
      <c r="H28" s="31">
        <v>7.94</v>
      </c>
      <c r="I28" s="31">
        <v>976</v>
      </c>
      <c r="J28" s="31">
        <v>170</v>
      </c>
      <c r="K28" s="27">
        <v>92</v>
      </c>
      <c r="L28" s="27">
        <v>15</v>
      </c>
      <c r="M28" s="18">
        <v>3.3</v>
      </c>
      <c r="N28" s="31">
        <v>370</v>
      </c>
      <c r="O28" s="31">
        <v>15</v>
      </c>
      <c r="P28" s="21">
        <v>90.61</v>
      </c>
      <c r="Q28" s="21">
        <v>34.299999999999997</v>
      </c>
      <c r="R28" s="21">
        <v>64.67</v>
      </c>
      <c r="S28" s="21">
        <v>20.11</v>
      </c>
      <c r="T28" s="18">
        <v>7.01</v>
      </c>
      <c r="U28" s="169">
        <v>0.2</v>
      </c>
      <c r="V28" s="81">
        <v>0.02</v>
      </c>
      <c r="W28" s="81">
        <v>0.02</v>
      </c>
      <c r="X28" s="11">
        <v>0.216</v>
      </c>
      <c r="Y28" s="81">
        <v>0.04</v>
      </c>
      <c r="Z28" s="11">
        <v>0.98299999999999998</v>
      </c>
      <c r="AA28" s="31"/>
      <c r="AB28" s="69">
        <f t="shared" si="11"/>
        <v>11.579875611301484</v>
      </c>
      <c r="AC28" s="69">
        <f t="shared" si="1"/>
        <v>10.334426814966665</v>
      </c>
      <c r="AD28" s="69">
        <f t="shared" si="2"/>
        <v>5.6832691824218342</v>
      </c>
      <c r="AF28" s="99">
        <v>7.94</v>
      </c>
      <c r="AG28" s="99">
        <v>-6.3171999999999997</v>
      </c>
      <c r="AH28" s="99">
        <v>0.48280000000000001</v>
      </c>
      <c r="AI28" s="99">
        <v>-1.0889</v>
      </c>
      <c r="AJ28" s="99">
        <v>-1.3387</v>
      </c>
      <c r="AK28" s="99">
        <v>-2.7530999999999999</v>
      </c>
      <c r="AL28" s="99">
        <v>0.36599999999999999</v>
      </c>
      <c r="AM28" s="99">
        <v>-0.1852</v>
      </c>
      <c r="AN28" s="99">
        <v>-1.9238</v>
      </c>
      <c r="AO28" s="99">
        <v>-0.71679999999999999</v>
      </c>
      <c r="AQ28" s="50">
        <f t="shared" si="12"/>
        <v>9.1999999999999998E-2</v>
      </c>
      <c r="AR28" s="50">
        <f t="shared" si="14"/>
        <v>0.93445028317860701</v>
      </c>
      <c r="AS28" s="50">
        <f t="shared" si="15"/>
        <v>8.7983999999999996E-3</v>
      </c>
      <c r="AT28" s="50">
        <f t="shared" si="18"/>
        <v>0.53347766666666674</v>
      </c>
      <c r="AU28" s="50">
        <f t="shared" si="13"/>
        <v>10.157068295419641</v>
      </c>
    </row>
    <row r="29" spans="1:47" s="68" customFormat="1" x14ac:dyDescent="0.35">
      <c r="A29" s="68">
        <v>11</v>
      </c>
      <c r="B29" s="28"/>
      <c r="C29" s="68">
        <v>13</v>
      </c>
      <c r="D29" s="68">
        <v>126.7</v>
      </c>
      <c r="E29" s="31">
        <f t="shared" si="16"/>
        <v>1647.1000000000004</v>
      </c>
      <c r="F29" s="69">
        <f t="shared" si="3"/>
        <v>1</v>
      </c>
      <c r="G29" s="25">
        <f t="shared" si="17"/>
        <v>13</v>
      </c>
      <c r="H29" s="31">
        <v>7.9</v>
      </c>
      <c r="I29" s="31">
        <v>974</v>
      </c>
      <c r="J29" s="31">
        <v>170</v>
      </c>
      <c r="K29" s="27">
        <v>90</v>
      </c>
      <c r="L29" s="27">
        <v>15</v>
      </c>
      <c r="M29" s="18">
        <v>3.8</v>
      </c>
      <c r="N29" s="31">
        <v>372</v>
      </c>
      <c r="O29" s="31">
        <v>15</v>
      </c>
      <c r="P29" s="21">
        <v>89.09</v>
      </c>
      <c r="Q29" s="21">
        <v>34.96</v>
      </c>
      <c r="R29" s="21">
        <v>62.39</v>
      </c>
      <c r="S29" s="21">
        <v>19.829999999999998</v>
      </c>
      <c r="T29" s="18">
        <v>6.9939999999999998</v>
      </c>
      <c r="U29" s="169">
        <v>0.2</v>
      </c>
      <c r="V29" s="81">
        <v>0.02</v>
      </c>
      <c r="W29" s="81">
        <v>0.02</v>
      </c>
      <c r="X29" s="11">
        <v>0.20200000000000001</v>
      </c>
      <c r="Y29" s="81">
        <v>0.04</v>
      </c>
      <c r="Z29" s="11">
        <v>0.95</v>
      </c>
      <c r="AA29" s="31"/>
      <c r="AB29" s="69">
        <f t="shared" si="11"/>
        <v>11.629580768696393</v>
      </c>
      <c r="AC29" s="69">
        <f t="shared" si="1"/>
        <v>10.213272066482791</v>
      </c>
      <c r="AD29" s="69">
        <f t="shared" si="2"/>
        <v>6.4840829762518677</v>
      </c>
      <c r="AF29" s="99">
        <v>7.9</v>
      </c>
      <c r="AG29" s="99">
        <v>-7.5643799999999999</v>
      </c>
      <c r="AH29" s="99">
        <v>0.43630000000000002</v>
      </c>
      <c r="AI29" s="99">
        <v>-1.0936999999999999</v>
      </c>
      <c r="AJ29" s="99">
        <v>-1.3434999999999999</v>
      </c>
      <c r="AK29" s="99">
        <v>-2.7119</v>
      </c>
      <c r="AL29" s="99">
        <v>0.28870000000000001</v>
      </c>
      <c r="AM29" s="99">
        <v>-0.2535</v>
      </c>
      <c r="AN29" s="99">
        <v>-1.9315</v>
      </c>
      <c r="AO29" s="99">
        <v>-0.74770000000000003</v>
      </c>
      <c r="AQ29" s="50">
        <f t="shared" si="12"/>
        <v>0.09</v>
      </c>
      <c r="AR29" s="50">
        <f t="shared" si="14"/>
        <v>0.91940316459391624</v>
      </c>
      <c r="AS29" s="50">
        <f t="shared" si="15"/>
        <v>8.590399999999998E-3</v>
      </c>
      <c r="AT29" s="50">
        <f t="shared" si="18"/>
        <v>0.52488726666666674</v>
      </c>
      <c r="AU29" s="50">
        <f t="shared" si="13"/>
        <v>10.215590717710182</v>
      </c>
    </row>
    <row r="30" spans="1:47" s="68" customFormat="1" x14ac:dyDescent="0.35">
      <c r="A30" s="68">
        <v>11</v>
      </c>
      <c r="B30" s="28"/>
      <c r="C30" s="68">
        <v>14</v>
      </c>
      <c r="D30" s="68">
        <v>126.7</v>
      </c>
      <c r="E30" s="31">
        <f t="shared" si="16"/>
        <v>1773.8000000000004</v>
      </c>
      <c r="F30" s="69">
        <f t="shared" si="3"/>
        <v>1</v>
      </c>
      <c r="G30" s="25">
        <f t="shared" si="17"/>
        <v>14</v>
      </c>
      <c r="H30" s="25">
        <v>7.89</v>
      </c>
      <c r="I30" s="31">
        <v>971</v>
      </c>
      <c r="J30" s="31">
        <v>166</v>
      </c>
      <c r="K30" s="27">
        <v>88</v>
      </c>
      <c r="L30" s="27">
        <v>15</v>
      </c>
      <c r="M30" s="18">
        <v>3.5</v>
      </c>
      <c r="N30" s="31">
        <v>363</v>
      </c>
      <c r="O30" s="31">
        <v>15</v>
      </c>
      <c r="P30" s="21">
        <v>88.46</v>
      </c>
      <c r="Q30" s="21">
        <v>34.57</v>
      </c>
      <c r="R30" s="21">
        <v>62.41</v>
      </c>
      <c r="S30" s="21">
        <v>19.46</v>
      </c>
      <c r="T30" s="18">
        <v>6.9560000000000004</v>
      </c>
      <c r="U30" s="169">
        <v>0.2</v>
      </c>
      <c r="V30" s="81">
        <v>0.02</v>
      </c>
      <c r="W30" s="81">
        <v>0.02</v>
      </c>
      <c r="X30" s="11">
        <v>0.19600000000000001</v>
      </c>
      <c r="Y30" s="81">
        <v>0.04</v>
      </c>
      <c r="Z30" s="11">
        <v>0.92900000000000005</v>
      </c>
      <c r="AA30" s="31"/>
      <c r="AB30" s="69">
        <f t="shared" si="11"/>
        <v>11.357359173322532</v>
      </c>
      <c r="AC30" s="69">
        <f t="shared" si="1"/>
        <v>10.149660648759237</v>
      </c>
      <c r="AD30" s="69">
        <f t="shared" si="2"/>
        <v>5.6153690030234769</v>
      </c>
      <c r="AF30" s="99">
        <v>7.89</v>
      </c>
      <c r="AG30" s="99">
        <v>-6.6386399999999997</v>
      </c>
      <c r="AH30" s="99">
        <v>0.41689999999999999</v>
      </c>
      <c r="AI30" s="99">
        <v>-1.1029</v>
      </c>
      <c r="AJ30" s="99">
        <v>-1.3527</v>
      </c>
      <c r="AK30" s="99">
        <v>-2.7117</v>
      </c>
      <c r="AL30" s="99">
        <v>0.24740000000000001</v>
      </c>
      <c r="AM30" s="99">
        <v>-0.2833</v>
      </c>
      <c r="AN30" s="99">
        <v>-1.93</v>
      </c>
      <c r="AO30" s="99">
        <v>-0.76949999999999996</v>
      </c>
      <c r="AQ30" s="50">
        <f t="shared" si="12"/>
        <v>8.7999999999999995E-2</v>
      </c>
      <c r="AR30" s="50">
        <f t="shared" si="14"/>
        <v>0.90472038302096125</v>
      </c>
      <c r="AS30" s="50">
        <f t="shared" si="15"/>
        <v>8.3823999999999982E-3</v>
      </c>
      <c r="AT30" s="50">
        <f t="shared" si="18"/>
        <v>0.51650486666666673</v>
      </c>
      <c r="AU30" s="50">
        <f t="shared" si="13"/>
        <v>10.280913443420015</v>
      </c>
    </row>
    <row r="31" spans="1:47" s="68" customFormat="1" x14ac:dyDescent="0.35">
      <c r="A31" s="68">
        <v>11</v>
      </c>
      <c r="B31" s="28"/>
      <c r="C31" s="68">
        <v>15</v>
      </c>
      <c r="D31" s="68">
        <v>126.7</v>
      </c>
      <c r="E31" s="31">
        <f t="shared" si="16"/>
        <v>1900.5000000000005</v>
      </c>
      <c r="F31" s="69">
        <f t="shared" si="3"/>
        <v>1</v>
      </c>
      <c r="G31" s="25">
        <f t="shared" si="17"/>
        <v>15</v>
      </c>
      <c r="H31" s="25">
        <v>7.99</v>
      </c>
      <c r="I31" s="31">
        <v>963</v>
      </c>
      <c r="J31" s="31">
        <v>164</v>
      </c>
      <c r="K31" s="27">
        <v>86</v>
      </c>
      <c r="L31" s="27">
        <v>15</v>
      </c>
      <c r="M31" s="18">
        <v>3.8</v>
      </c>
      <c r="N31" s="31">
        <v>365</v>
      </c>
      <c r="O31" s="31">
        <v>15</v>
      </c>
      <c r="P31" s="21">
        <v>86.49</v>
      </c>
      <c r="Q31" s="21">
        <v>33.369999999999997</v>
      </c>
      <c r="R31" s="21">
        <v>61.32</v>
      </c>
      <c r="S31" s="21">
        <v>18.91</v>
      </c>
      <c r="T31" s="18">
        <v>6.734</v>
      </c>
      <c r="U31" s="169">
        <v>0.2</v>
      </c>
      <c r="V31" s="81">
        <v>0.02</v>
      </c>
      <c r="W31" s="81">
        <v>0.02</v>
      </c>
      <c r="X31" s="11">
        <v>0.192</v>
      </c>
      <c r="Y31" s="81">
        <v>0.04</v>
      </c>
      <c r="Z31" s="11">
        <v>0.90200000000000002</v>
      </c>
      <c r="AA31" s="31"/>
      <c r="AB31" s="69">
        <f t="shared" si="11"/>
        <v>11.363838524265828</v>
      </c>
      <c r="AC31" s="69">
        <f t="shared" si="1"/>
        <v>9.8995833774334212</v>
      </c>
      <c r="AD31" s="69">
        <f t="shared" si="2"/>
        <v>6.8862629618207993</v>
      </c>
      <c r="AF31" s="99">
        <v>7.99</v>
      </c>
      <c r="AG31" s="99">
        <v>-8.1379800000000007</v>
      </c>
      <c r="AH31" s="99">
        <v>0.49880000000000002</v>
      </c>
      <c r="AI31" s="99">
        <v>-1.1083000000000001</v>
      </c>
      <c r="AJ31" s="99">
        <v>-1.3581000000000001</v>
      </c>
      <c r="AK31" s="99">
        <v>-2.8189000000000002</v>
      </c>
      <c r="AL31" s="99">
        <v>0.40620000000000001</v>
      </c>
      <c r="AM31" s="99">
        <v>-0.19919999999999999</v>
      </c>
      <c r="AN31" s="99">
        <v>-1.9398</v>
      </c>
      <c r="AO31" s="99">
        <v>-0.69259999999999999</v>
      </c>
      <c r="AQ31" s="50">
        <f t="shared" si="12"/>
        <v>8.5999999999999993E-2</v>
      </c>
      <c r="AR31" s="50">
        <f t="shared" si="14"/>
        <v>0.89040193845974203</v>
      </c>
      <c r="AS31" s="50">
        <f t="shared" si="15"/>
        <v>8.1743999999999983E-3</v>
      </c>
      <c r="AT31" s="50">
        <f t="shared" si="18"/>
        <v>0.5083304666666667</v>
      </c>
      <c r="AU31" s="50">
        <f t="shared" si="13"/>
        <v>10.353510912322582</v>
      </c>
    </row>
    <row r="32" spans="1:47" s="68" customFormat="1" x14ac:dyDescent="0.35">
      <c r="A32" s="68">
        <v>11</v>
      </c>
      <c r="B32" s="28"/>
      <c r="C32" s="68">
        <v>16</v>
      </c>
      <c r="D32" s="68">
        <v>126.7</v>
      </c>
      <c r="E32" s="31">
        <f t="shared" si="16"/>
        <v>2027.2000000000005</v>
      </c>
      <c r="F32" s="69">
        <f t="shared" si="3"/>
        <v>1</v>
      </c>
      <c r="G32" s="25">
        <f t="shared" si="17"/>
        <v>16</v>
      </c>
      <c r="H32" s="31">
        <v>8.0399999999999991</v>
      </c>
      <c r="I32" s="31">
        <v>969</v>
      </c>
      <c r="J32" s="31">
        <v>162</v>
      </c>
      <c r="K32" s="27">
        <v>86</v>
      </c>
      <c r="L32" s="27">
        <v>15</v>
      </c>
      <c r="M32" s="18">
        <v>3.6</v>
      </c>
      <c r="N32" s="31">
        <v>371</v>
      </c>
      <c r="O32" s="31">
        <v>15</v>
      </c>
      <c r="P32" s="21">
        <v>88.93</v>
      </c>
      <c r="Q32" s="21">
        <v>34.69</v>
      </c>
      <c r="R32" s="21">
        <v>62.24</v>
      </c>
      <c r="S32" s="21">
        <v>18.8</v>
      </c>
      <c r="T32" s="18">
        <v>6.5830000000000002</v>
      </c>
      <c r="U32" s="169">
        <v>0.2</v>
      </c>
      <c r="V32" s="81">
        <v>0.02</v>
      </c>
      <c r="W32" s="81">
        <v>0.02</v>
      </c>
      <c r="X32" s="11">
        <v>0.193</v>
      </c>
      <c r="Y32" s="81">
        <v>0.04</v>
      </c>
      <c r="Z32" s="11">
        <v>0.92</v>
      </c>
      <c r="AA32" s="31"/>
      <c r="AB32" s="69">
        <f t="shared" si="11"/>
        <v>11.445534641611843</v>
      </c>
      <c r="AC32" s="69">
        <f t="shared" si="1"/>
        <v>10.166048002324271</v>
      </c>
      <c r="AD32" s="69">
        <f t="shared" si="2"/>
        <v>5.9203745527011531</v>
      </c>
      <c r="AF32" s="99">
        <v>8.0399999999999991</v>
      </c>
      <c r="AG32" s="99">
        <v>-7.1014600000000003</v>
      </c>
      <c r="AH32" s="99">
        <v>0.55079999999999996</v>
      </c>
      <c r="AI32" s="99">
        <v>-1.0947</v>
      </c>
      <c r="AJ32" s="99">
        <v>-1.3445</v>
      </c>
      <c r="AK32" s="99">
        <v>-2.8767</v>
      </c>
      <c r="AL32" s="99">
        <v>0.51529999999999998</v>
      </c>
      <c r="AM32" s="99">
        <v>-0.15690000000000001</v>
      </c>
      <c r="AN32" s="99">
        <v>-1.9315</v>
      </c>
      <c r="AO32" s="99">
        <v>-0.63549999999999995</v>
      </c>
      <c r="AQ32" s="50">
        <f t="shared" si="12"/>
        <v>8.5999999999999993E-2</v>
      </c>
      <c r="AR32" s="50">
        <f t="shared" si="14"/>
        <v>0.87608349389852291</v>
      </c>
      <c r="AS32" s="50">
        <f t="shared" si="15"/>
        <v>8.1743999999999983E-3</v>
      </c>
      <c r="AT32" s="50">
        <f t="shared" si="18"/>
        <v>0.50015606666666668</v>
      </c>
      <c r="AU32" s="50">
        <f t="shared" si="13"/>
        <v>10.187017370913058</v>
      </c>
    </row>
    <row r="33" spans="1:47" s="68" customFormat="1" x14ac:dyDescent="0.35">
      <c r="A33" s="68">
        <v>11</v>
      </c>
      <c r="B33" s="28"/>
      <c r="C33" s="68">
        <v>17</v>
      </c>
      <c r="D33" s="68">
        <v>126.7</v>
      </c>
      <c r="E33" s="31">
        <f t="shared" si="16"/>
        <v>2153.9000000000005</v>
      </c>
      <c r="F33" s="69">
        <f t="shared" si="3"/>
        <v>1</v>
      </c>
      <c r="G33" s="25">
        <f t="shared" si="17"/>
        <v>17</v>
      </c>
      <c r="H33" s="31">
        <v>7.96</v>
      </c>
      <c r="I33" s="31">
        <v>967</v>
      </c>
      <c r="J33" s="31">
        <v>168</v>
      </c>
      <c r="K33" s="27">
        <v>84</v>
      </c>
      <c r="L33" s="27">
        <v>15</v>
      </c>
      <c r="M33" s="18">
        <v>3.8</v>
      </c>
      <c r="N33" s="31">
        <v>375</v>
      </c>
      <c r="O33" s="31">
        <v>14</v>
      </c>
      <c r="P33" s="21">
        <v>90.59</v>
      </c>
      <c r="Q33" s="21">
        <v>34.75</v>
      </c>
      <c r="R33" s="21">
        <v>63.43</v>
      </c>
      <c r="S33" s="21">
        <v>18.420000000000002</v>
      </c>
      <c r="T33" s="18">
        <v>6.8920000000000003</v>
      </c>
      <c r="U33" s="169">
        <v>0.2</v>
      </c>
      <c r="V33" s="81">
        <v>0.02</v>
      </c>
      <c r="W33" s="81">
        <v>0.02</v>
      </c>
      <c r="X33" s="11">
        <v>0.19600000000000001</v>
      </c>
      <c r="Y33" s="81">
        <v>0.04</v>
      </c>
      <c r="Z33" s="11">
        <v>0.91100000000000003</v>
      </c>
      <c r="AA33" s="31"/>
      <c r="AB33" s="69">
        <f t="shared" si="11"/>
        <v>11.652041730595204</v>
      </c>
      <c r="AC33" s="69">
        <f t="shared" si="1"/>
        <v>10.313480992980837</v>
      </c>
      <c r="AD33" s="69">
        <f t="shared" si="2"/>
        <v>6.0939170647537679</v>
      </c>
      <c r="AF33" s="99">
        <v>7.96</v>
      </c>
      <c r="AG33" s="99">
        <v>-7.16357</v>
      </c>
      <c r="AH33" s="99">
        <v>0.4955</v>
      </c>
      <c r="AI33" s="99">
        <v>-1.085</v>
      </c>
      <c r="AJ33" s="99">
        <v>-1.3348</v>
      </c>
      <c r="AK33" s="99">
        <v>-2.7789000000000001</v>
      </c>
      <c r="AL33" s="99">
        <v>0.3972</v>
      </c>
      <c r="AM33" s="99">
        <v>-0.2145</v>
      </c>
      <c r="AN33" s="99">
        <v>-1.9258999999999999</v>
      </c>
      <c r="AO33" s="99">
        <v>-0.69830000000000003</v>
      </c>
      <c r="AQ33" s="50">
        <f t="shared" si="12"/>
        <v>8.4000000000000005E-2</v>
      </c>
      <c r="AR33" s="50">
        <f t="shared" si="14"/>
        <v>0.86212938634903968</v>
      </c>
      <c r="AS33" s="50">
        <f t="shared" si="15"/>
        <v>7.9664000000000002E-3</v>
      </c>
      <c r="AT33" s="50">
        <f t="shared" si="18"/>
        <v>0.49218966666666669</v>
      </c>
      <c r="AU33" s="50">
        <f t="shared" si="13"/>
        <v>10.263445075583805</v>
      </c>
    </row>
    <row r="34" spans="1:47" s="68" customFormat="1" x14ac:dyDescent="0.35">
      <c r="A34" s="68">
        <v>11</v>
      </c>
      <c r="B34" s="28"/>
      <c r="C34" s="68">
        <v>18</v>
      </c>
      <c r="D34" s="68">
        <v>126.7</v>
      </c>
      <c r="E34" s="31">
        <f t="shared" si="16"/>
        <v>2280.6000000000004</v>
      </c>
      <c r="F34" s="69">
        <f t="shared" si="3"/>
        <v>1</v>
      </c>
      <c r="G34" s="25">
        <f t="shared" si="17"/>
        <v>18</v>
      </c>
      <c r="H34" s="31">
        <v>7.9</v>
      </c>
      <c r="I34" s="31">
        <v>966</v>
      </c>
      <c r="J34" s="31">
        <v>162</v>
      </c>
      <c r="K34" s="27">
        <v>83</v>
      </c>
      <c r="L34" s="27">
        <v>15</v>
      </c>
      <c r="M34" s="18">
        <v>3.7</v>
      </c>
      <c r="N34" s="31">
        <v>368</v>
      </c>
      <c r="O34" s="31">
        <v>14</v>
      </c>
      <c r="P34" s="21">
        <v>90.91</v>
      </c>
      <c r="Q34" s="21">
        <v>35.229999999999997</v>
      </c>
      <c r="R34" s="21">
        <v>64.650000000000006</v>
      </c>
      <c r="S34" s="21">
        <v>18.21</v>
      </c>
      <c r="T34" s="18">
        <v>6.883</v>
      </c>
      <c r="U34" s="169">
        <v>0.2</v>
      </c>
      <c r="V34" s="81">
        <v>0.02</v>
      </c>
      <c r="W34" s="81">
        <v>0.02</v>
      </c>
      <c r="X34" s="11">
        <v>0.2</v>
      </c>
      <c r="Y34" s="81">
        <v>0.04</v>
      </c>
      <c r="Z34" s="11">
        <v>0.91400000000000003</v>
      </c>
      <c r="AA34" s="31"/>
      <c r="AB34" s="69">
        <f t="shared" si="11"/>
        <v>11.384686582938835</v>
      </c>
      <c r="AC34" s="69">
        <f t="shared" si="1"/>
        <v>10.421759112709692</v>
      </c>
      <c r="AD34" s="69">
        <f t="shared" si="2"/>
        <v>4.4157928516580549</v>
      </c>
      <c r="AF34" s="99">
        <v>7.9</v>
      </c>
      <c r="AG34" s="99">
        <v>-5.3313899999999999</v>
      </c>
      <c r="AH34" s="99">
        <v>0.42559999999999998</v>
      </c>
      <c r="AI34" s="99">
        <v>-1.0894999999999999</v>
      </c>
      <c r="AJ34" s="99">
        <v>-1.3392999999999999</v>
      </c>
      <c r="AK34" s="99">
        <v>-2.7332000000000001</v>
      </c>
      <c r="AL34" s="99">
        <v>0.26140000000000002</v>
      </c>
      <c r="AM34" s="99">
        <v>-0.2777</v>
      </c>
      <c r="AN34" s="99">
        <v>-1.921</v>
      </c>
      <c r="AO34" s="99">
        <v>-0.76419999999999999</v>
      </c>
      <c r="AQ34" s="50">
        <f t="shared" si="12"/>
        <v>8.3000000000000004E-2</v>
      </c>
      <c r="AR34" s="50">
        <f t="shared" si="14"/>
        <v>0.84835744730542428</v>
      </c>
      <c r="AS34" s="50">
        <f t="shared" si="15"/>
        <v>7.8624000000000003E-3</v>
      </c>
      <c r="AT34" s="50">
        <f t="shared" si="18"/>
        <v>0.4843272666666667</v>
      </c>
      <c r="AU34" s="50">
        <f t="shared" si="13"/>
        <v>10.221174063920774</v>
      </c>
    </row>
    <row r="35" spans="1:47" s="68" customFormat="1" x14ac:dyDescent="0.35">
      <c r="A35" s="68">
        <v>11</v>
      </c>
      <c r="B35" s="28"/>
      <c r="C35" s="68">
        <v>19</v>
      </c>
      <c r="D35" s="68">
        <v>126.7</v>
      </c>
      <c r="E35" s="31">
        <f t="shared" si="16"/>
        <v>2407.3000000000002</v>
      </c>
      <c r="F35" s="69">
        <f t="shared" si="3"/>
        <v>1</v>
      </c>
      <c r="G35" s="25">
        <f t="shared" si="17"/>
        <v>19</v>
      </c>
      <c r="H35" s="31">
        <v>7.87</v>
      </c>
      <c r="I35" s="31">
        <v>965</v>
      </c>
      <c r="J35" s="31">
        <v>164</v>
      </c>
      <c r="K35" s="27">
        <v>83</v>
      </c>
      <c r="L35" s="27">
        <v>15</v>
      </c>
      <c r="M35" s="18">
        <v>3.6</v>
      </c>
      <c r="N35" s="31">
        <v>368</v>
      </c>
      <c r="O35" s="31">
        <v>14</v>
      </c>
      <c r="P35" s="12">
        <v>90.25</v>
      </c>
      <c r="Q35" s="12">
        <v>35.909999999999997</v>
      </c>
      <c r="R35" s="21">
        <v>65.37</v>
      </c>
      <c r="S35" s="21">
        <v>17.600000000000001</v>
      </c>
      <c r="T35" s="18">
        <v>6.7220000000000004</v>
      </c>
      <c r="U35" s="169">
        <v>0.2</v>
      </c>
      <c r="V35" s="81">
        <v>0.02</v>
      </c>
      <c r="W35" s="81">
        <v>0.02</v>
      </c>
      <c r="X35" s="11">
        <v>0.20100000000000001</v>
      </c>
      <c r="Y35" s="81">
        <v>0.04</v>
      </c>
      <c r="Z35" s="11">
        <v>0.91700000000000004</v>
      </c>
      <c r="AA35" s="31"/>
      <c r="AB35" s="69">
        <f t="shared" si="11"/>
        <v>11.423073679713028</v>
      </c>
      <c r="AC35" s="69">
        <f t="shared" si="1"/>
        <v>10.471946350878239</v>
      </c>
      <c r="AD35" s="69">
        <f t="shared" si="2"/>
        <v>4.344034979213963</v>
      </c>
      <c r="AF35" s="99">
        <v>7.87</v>
      </c>
      <c r="AG35" s="99">
        <v>-5.1985200000000003</v>
      </c>
      <c r="AH35" s="99">
        <v>0.39860000000000001</v>
      </c>
      <c r="AI35" s="99">
        <v>-1.093</v>
      </c>
      <c r="AJ35" s="99">
        <v>-1.3428</v>
      </c>
      <c r="AK35" s="99">
        <v>-2.6972</v>
      </c>
      <c r="AL35" s="99">
        <v>0.2185</v>
      </c>
      <c r="AM35" s="99">
        <v>-0.2999</v>
      </c>
      <c r="AN35" s="99">
        <v>-1.9242999999999999</v>
      </c>
      <c r="AO35" s="99">
        <v>-0.78010000000000002</v>
      </c>
      <c r="AQ35" s="50">
        <f t="shared" si="12"/>
        <v>8.3000000000000004E-2</v>
      </c>
      <c r="AR35" s="50">
        <f t="shared" si="14"/>
        <v>0.83458550826180899</v>
      </c>
      <c r="AS35" s="50">
        <f t="shared" si="15"/>
        <v>7.8624000000000003E-3</v>
      </c>
      <c r="AT35" s="50">
        <f t="shared" si="18"/>
        <v>0.47646486666666671</v>
      </c>
      <c r="AU35" s="50">
        <f t="shared" si="13"/>
        <v>10.055247087491674</v>
      </c>
    </row>
    <row r="36" spans="1:47" s="68" customFormat="1" x14ac:dyDescent="0.35">
      <c r="A36" s="68">
        <v>11</v>
      </c>
      <c r="B36" s="28"/>
      <c r="C36" s="68">
        <v>20</v>
      </c>
      <c r="D36" s="68">
        <v>126.7</v>
      </c>
      <c r="E36" s="31">
        <f t="shared" si="16"/>
        <v>2534</v>
      </c>
      <c r="F36" s="69">
        <f t="shared" si="3"/>
        <v>1</v>
      </c>
      <c r="G36" s="25">
        <f t="shared" si="17"/>
        <v>20</v>
      </c>
      <c r="H36" s="31">
        <v>7.87</v>
      </c>
      <c r="I36" s="31">
        <v>963</v>
      </c>
      <c r="J36" s="31">
        <v>162</v>
      </c>
      <c r="K36" s="27">
        <v>79</v>
      </c>
      <c r="L36" s="27">
        <v>15</v>
      </c>
      <c r="M36" s="18">
        <v>3.9</v>
      </c>
      <c r="N36" s="31">
        <v>365</v>
      </c>
      <c r="O36" s="31">
        <v>15</v>
      </c>
      <c r="P36" s="12">
        <v>91.67</v>
      </c>
      <c r="Q36" s="12">
        <v>35.83</v>
      </c>
      <c r="R36" s="21">
        <v>65.39</v>
      </c>
      <c r="S36" s="21">
        <v>17.36</v>
      </c>
      <c r="T36" s="18">
        <v>6.694</v>
      </c>
      <c r="U36" s="169">
        <v>0.2</v>
      </c>
      <c r="V36" s="81">
        <v>0.02</v>
      </c>
      <c r="W36" s="81">
        <v>0.02</v>
      </c>
      <c r="X36" s="11">
        <v>0.20100000000000001</v>
      </c>
      <c r="Y36" s="81">
        <v>0.04</v>
      </c>
      <c r="Z36" s="11">
        <v>0.90800000000000003</v>
      </c>
      <c r="AA36" s="31"/>
      <c r="AB36" s="69">
        <f t="shared" si="11"/>
        <v>11.325451427491636</v>
      </c>
      <c r="AC36" s="69">
        <f t="shared" si="1"/>
        <v>10.536379517864658</v>
      </c>
      <c r="AD36" s="69">
        <f t="shared" si="2"/>
        <v>3.6093587568180605</v>
      </c>
      <c r="AF36" s="99">
        <v>7.87</v>
      </c>
      <c r="AG36" s="99">
        <v>-4.3679199999999998</v>
      </c>
      <c r="AH36" s="99">
        <v>0.40089999999999998</v>
      </c>
      <c r="AI36" s="99">
        <v>-1.0894999999999999</v>
      </c>
      <c r="AJ36" s="99">
        <v>-1.3392999999999999</v>
      </c>
      <c r="AK36" s="99">
        <v>-2.7027000000000001</v>
      </c>
      <c r="AL36" s="99">
        <v>0.2152</v>
      </c>
      <c r="AM36" s="99">
        <v>-0.30449999999999999</v>
      </c>
      <c r="AN36" s="99">
        <v>-1.9164000000000001</v>
      </c>
      <c r="AO36" s="99">
        <v>-0.78569999999999995</v>
      </c>
      <c r="AQ36" s="50">
        <f t="shared" si="12"/>
        <v>7.9000000000000001E-2</v>
      </c>
      <c r="AR36" s="50">
        <f t="shared" si="14"/>
        <v>0.82154224324166525</v>
      </c>
      <c r="AS36" s="50">
        <f t="shared" si="15"/>
        <v>7.4463999999999997E-3</v>
      </c>
      <c r="AT36" s="50">
        <f t="shared" si="18"/>
        <v>0.46901846666666669</v>
      </c>
      <c r="AU36" s="50">
        <f t="shared" si="13"/>
        <v>10.399268901793231</v>
      </c>
    </row>
    <row r="37" spans="1:47" s="68" customFormat="1" x14ac:dyDescent="0.35">
      <c r="A37" s="68">
        <v>11</v>
      </c>
      <c r="B37" s="28"/>
      <c r="C37" s="68">
        <v>21</v>
      </c>
      <c r="D37" s="68">
        <v>126.7</v>
      </c>
      <c r="E37" s="31">
        <f t="shared" si="16"/>
        <v>2660.7</v>
      </c>
      <c r="F37" s="69">
        <f t="shared" si="3"/>
        <v>1</v>
      </c>
      <c r="G37" s="25">
        <f t="shared" si="17"/>
        <v>21</v>
      </c>
      <c r="H37" s="31">
        <v>7.82</v>
      </c>
      <c r="I37" s="31">
        <v>964</v>
      </c>
      <c r="J37" s="31">
        <v>162</v>
      </c>
      <c r="K37" s="27">
        <v>77</v>
      </c>
      <c r="L37" s="27">
        <v>15</v>
      </c>
      <c r="M37" s="18">
        <v>3.6</v>
      </c>
      <c r="N37" s="31">
        <v>359</v>
      </c>
      <c r="O37" s="31">
        <v>15</v>
      </c>
      <c r="P37" s="21">
        <v>91.05</v>
      </c>
      <c r="Q37" s="21">
        <v>35.450000000000003</v>
      </c>
      <c r="R37" s="21">
        <v>64.73</v>
      </c>
      <c r="S37" s="21">
        <v>16.91</v>
      </c>
      <c r="T37" s="18">
        <v>6.5339999999999998</v>
      </c>
      <c r="U37" s="169">
        <v>0.2</v>
      </c>
      <c r="V37" s="81">
        <v>0.02</v>
      </c>
      <c r="W37" s="81">
        <v>0.02</v>
      </c>
      <c r="X37" s="11">
        <v>0.20599999999999999</v>
      </c>
      <c r="Y37" s="81">
        <v>0.04</v>
      </c>
      <c r="Z37" s="11">
        <v>0.91300000000000003</v>
      </c>
      <c r="AA37" s="31"/>
      <c r="AB37" s="69">
        <f t="shared" si="11"/>
        <v>11.195690794016588</v>
      </c>
      <c r="AC37" s="69">
        <f t="shared" si="1"/>
        <v>10.441391188529618</v>
      </c>
      <c r="AD37" s="69">
        <f t="shared" si="2"/>
        <v>3.4861429378297615</v>
      </c>
      <c r="AF37" s="99">
        <v>7.82</v>
      </c>
      <c r="AG37" s="99">
        <v>-4.2384399999999998</v>
      </c>
      <c r="AH37" s="99">
        <v>0.35160000000000002</v>
      </c>
      <c r="AI37" s="99">
        <v>-1.0965</v>
      </c>
      <c r="AJ37" s="99">
        <v>-1.3463000000000001</v>
      </c>
      <c r="AK37" s="99">
        <v>-2.6513</v>
      </c>
      <c r="AL37" s="99">
        <v>0.11459999999999999</v>
      </c>
      <c r="AM37" s="99">
        <v>-0.34050000000000002</v>
      </c>
      <c r="AN37" s="99">
        <v>-1.9161999999999999</v>
      </c>
      <c r="AO37" s="99">
        <v>-0.83699999999999997</v>
      </c>
      <c r="AQ37" s="50">
        <f t="shared" si="12"/>
        <v>7.6999999999999999E-2</v>
      </c>
      <c r="AR37" s="50">
        <f t="shared" si="14"/>
        <v>0.80886331523325761</v>
      </c>
      <c r="AS37" s="50">
        <f t="shared" si="15"/>
        <v>7.238399999999999E-3</v>
      </c>
      <c r="AT37" s="50">
        <f t="shared" si="18"/>
        <v>0.46178006666666671</v>
      </c>
      <c r="AU37" s="50">
        <f t="shared" si="13"/>
        <v>10.504718379652696</v>
      </c>
    </row>
    <row r="38" spans="1:47" s="68" customFormat="1" x14ac:dyDescent="0.35">
      <c r="A38" s="68">
        <v>11</v>
      </c>
      <c r="B38" s="28">
        <v>43539</v>
      </c>
      <c r="C38" s="68">
        <v>22</v>
      </c>
      <c r="D38" s="68">
        <v>126.7</v>
      </c>
      <c r="E38" s="31">
        <f t="shared" si="16"/>
        <v>2787.3999999999996</v>
      </c>
      <c r="F38" s="69">
        <f t="shared" si="3"/>
        <v>1</v>
      </c>
      <c r="G38" s="25">
        <f t="shared" si="17"/>
        <v>22</v>
      </c>
      <c r="H38" s="25">
        <v>8.0399999999999991</v>
      </c>
      <c r="I38" s="31">
        <v>976</v>
      </c>
      <c r="J38" s="31">
        <v>164</v>
      </c>
      <c r="K38" s="27">
        <v>76</v>
      </c>
      <c r="L38" s="27">
        <v>15</v>
      </c>
      <c r="M38" s="18">
        <v>4</v>
      </c>
      <c r="N38" s="31">
        <v>379</v>
      </c>
      <c r="O38" s="31">
        <v>15</v>
      </c>
      <c r="P38" s="165">
        <v>90.79</v>
      </c>
      <c r="Q38" s="165">
        <v>35.4</v>
      </c>
      <c r="R38" s="165">
        <v>64.56</v>
      </c>
      <c r="S38" s="165">
        <v>16.98</v>
      </c>
      <c r="T38" s="170">
        <v>6.3949999999999996</v>
      </c>
      <c r="U38" s="169">
        <v>0.2</v>
      </c>
      <c r="V38" s="81">
        <v>0.02</v>
      </c>
      <c r="W38" s="81">
        <v>0.02</v>
      </c>
      <c r="X38" s="163">
        <v>0.20200000000000001</v>
      </c>
      <c r="Y38" s="81">
        <v>0.04</v>
      </c>
      <c r="Z38" s="163">
        <v>0.91</v>
      </c>
      <c r="AA38" s="31"/>
      <c r="AB38" s="69">
        <f t="shared" si="11"/>
        <v>11.65854881957857</v>
      </c>
      <c r="AC38" s="69">
        <f t="shared" si="1"/>
        <v>10.413355787959629</v>
      </c>
      <c r="AD38" s="69">
        <f t="shared" si="2"/>
        <v>5.6415295995510553</v>
      </c>
      <c r="AF38" s="99">
        <v>8.0399999999999991</v>
      </c>
      <c r="AG38" s="99">
        <v>-6.7069400000000003</v>
      </c>
      <c r="AH38" s="99">
        <v>0.56179999999999997</v>
      </c>
      <c r="AI38" s="99">
        <v>-1.0817000000000001</v>
      </c>
      <c r="AJ38" s="99">
        <v>-1.3314999999999999</v>
      </c>
      <c r="AK38" s="99">
        <v>-2.8721000000000001</v>
      </c>
      <c r="AL38" s="99">
        <v>0.53720000000000001</v>
      </c>
      <c r="AM38" s="99">
        <v>-0.1356</v>
      </c>
      <c r="AN38" s="99">
        <v>-1.9268000000000001</v>
      </c>
      <c r="AO38" s="99">
        <v>-0.62460000000000004</v>
      </c>
      <c r="AQ38" s="50">
        <f t="shared" si="12"/>
        <v>7.5999999999999998E-2</v>
      </c>
      <c r="AR38" s="50">
        <f t="shared" si="14"/>
        <v>0.79636655573071768</v>
      </c>
      <c r="AS38" s="50">
        <f t="shared" si="15"/>
        <v>7.1343999999999991E-3</v>
      </c>
      <c r="AT38" s="50">
        <f t="shared" si="18"/>
        <v>0.45464566666666673</v>
      </c>
      <c r="AU38" s="50">
        <f t="shared" si="13"/>
        <v>10.478507312246286</v>
      </c>
    </row>
    <row r="39" spans="1:47" s="68" customFormat="1" x14ac:dyDescent="0.35">
      <c r="B39" s="28"/>
      <c r="E39" s="31"/>
      <c r="F39" s="69"/>
      <c r="G39" s="25"/>
      <c r="K39" s="65"/>
      <c r="L39" s="65"/>
      <c r="N39" s="31"/>
      <c r="P39" s="15"/>
      <c r="R39" s="16"/>
      <c r="S39" s="16"/>
      <c r="T39" s="16"/>
      <c r="U39" s="67"/>
      <c r="AB39" s="69"/>
      <c r="AC39" s="69"/>
      <c r="AD39" s="6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Q39" s="149"/>
      <c r="AR39" s="149"/>
      <c r="AS39" s="149"/>
      <c r="AT39" s="149"/>
      <c r="AU39" s="149"/>
    </row>
    <row r="40" spans="1:47" s="68" customFormat="1" x14ac:dyDescent="0.35">
      <c r="A40" s="68" t="s">
        <v>54</v>
      </c>
      <c r="B40" s="28"/>
      <c r="E40" s="31"/>
      <c r="F40" s="69"/>
      <c r="G40" s="25"/>
      <c r="H40" s="15">
        <v>7.1</v>
      </c>
      <c r="I40" s="165">
        <f>'Influent Results Master'!D49</f>
        <v>1530.1666666666667</v>
      </c>
      <c r="J40" s="165">
        <f>'Influent Results Master'!F49</f>
        <v>271.75</v>
      </c>
      <c r="K40" s="165">
        <f>'Influent Results Master'!G49</f>
        <v>214.33333333333334</v>
      </c>
      <c r="L40" s="165">
        <f>'Influent Results Master'!H49</f>
        <v>32</v>
      </c>
      <c r="M40" s="165">
        <f>'Influent Results Master'!I49</f>
        <v>25.416666666666668</v>
      </c>
      <c r="N40" s="165">
        <f>'Influent Results Master'!J49</f>
        <v>532.16666666666674</v>
      </c>
      <c r="O40" s="165">
        <f>'Influent Results Master'!K49</f>
        <v>23.083333333333332</v>
      </c>
      <c r="P40" s="165">
        <f>'Influent Results Master'!L49</f>
        <v>118.86666666666667</v>
      </c>
      <c r="Q40" s="165">
        <f>'Influent Results Master'!M49</f>
        <v>44.952500000000001</v>
      </c>
      <c r="R40" s="165">
        <f>'Influent Results Master'!N49</f>
        <v>189.05</v>
      </c>
      <c r="S40" s="165">
        <f>'Influent Results Master'!O49</f>
        <v>23.934999999999999</v>
      </c>
      <c r="T40" s="170">
        <f>'Influent Results Master'!P49</f>
        <v>6.0119999999999996</v>
      </c>
      <c r="U40" s="171">
        <f>'Influent Results Master'!Q49</f>
        <v>0.2</v>
      </c>
      <c r="V40" s="176">
        <f>'Influent Results Master'!R49</f>
        <v>3.2999999999999995E-2</v>
      </c>
      <c r="W40" s="177">
        <f>'Influent Results Master'!S49</f>
        <v>0.02</v>
      </c>
      <c r="X40" s="176">
        <f>'Influent Results Master'!T49</f>
        <v>3.1333333333333338E-2</v>
      </c>
      <c r="Y40" s="177">
        <f>'Influent Results Master'!U49</f>
        <v>0.04</v>
      </c>
      <c r="Z40" s="170">
        <f>'Influent Results Master'!V49</f>
        <v>1.19225</v>
      </c>
      <c r="AB40" s="69">
        <f>((J40/50)+(L40/35.45)+(M40/62)+(N40/48.03))</f>
        <v>17.827506697468376</v>
      </c>
      <c r="AC40" s="69">
        <f t="shared" si="1"/>
        <v>18.005122123945686</v>
      </c>
      <c r="AD40" s="69">
        <f t="shared" si="2"/>
        <v>0.49568070308914758</v>
      </c>
      <c r="AF40" s="99">
        <v>7.1</v>
      </c>
      <c r="AG40" s="99">
        <v>-0.645505</v>
      </c>
      <c r="AH40" s="99">
        <v>-9.5899999999999999E-2</v>
      </c>
      <c r="AI40" s="99">
        <v>-0.92259999999999998</v>
      </c>
      <c r="AJ40" s="99">
        <v>-1.1721999999999999</v>
      </c>
      <c r="AK40" s="99">
        <v>-1.7111000000000001</v>
      </c>
      <c r="AL40" s="99">
        <v>-0.78820000000000001</v>
      </c>
      <c r="AM40" s="99">
        <v>-1.7538</v>
      </c>
      <c r="AN40" s="99">
        <v>-1.7310000000000001</v>
      </c>
      <c r="AO40" s="99">
        <v>-1.2923</v>
      </c>
      <c r="AQ40" s="50">
        <f>K40/1000</f>
        <v>0.21433333333333335</v>
      </c>
      <c r="AR40" s="149"/>
      <c r="AS40" s="149"/>
      <c r="AT40" s="149"/>
      <c r="AU40" s="149"/>
    </row>
    <row r="41" spans="1:47" s="68" customFormat="1" x14ac:dyDescent="0.35">
      <c r="B41" s="28"/>
      <c r="E41" s="31"/>
      <c r="F41" s="69"/>
      <c r="G41" s="25"/>
      <c r="K41" s="65"/>
      <c r="L41" s="65"/>
      <c r="N41" s="31"/>
      <c r="P41" s="15"/>
      <c r="R41" s="16"/>
      <c r="S41" s="16"/>
      <c r="T41" s="16"/>
      <c r="U41" s="67"/>
      <c r="AB41" s="69"/>
      <c r="AC41" s="69"/>
      <c r="AD41" s="6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Q41" s="149"/>
      <c r="AR41" s="149"/>
      <c r="AS41" s="149"/>
      <c r="AT41" s="149"/>
      <c r="AU41" s="149"/>
    </row>
    <row r="42" spans="1:47" s="68" customFormat="1" x14ac:dyDescent="0.35">
      <c r="A42" s="68">
        <v>11</v>
      </c>
      <c r="B42" s="28">
        <v>43539</v>
      </c>
      <c r="C42" s="68">
        <v>23</v>
      </c>
      <c r="D42" s="68">
        <v>126.7</v>
      </c>
      <c r="E42" s="31">
        <f>D42+E38</f>
        <v>2914.0999999999995</v>
      </c>
      <c r="F42" s="69">
        <f t="shared" si="3"/>
        <v>1</v>
      </c>
      <c r="G42" s="25">
        <f>G38+F42</f>
        <v>23</v>
      </c>
      <c r="H42" s="31">
        <v>8.0399999999999991</v>
      </c>
      <c r="I42" s="31">
        <v>1299</v>
      </c>
      <c r="J42" s="31">
        <v>226</v>
      </c>
      <c r="K42" s="27">
        <v>160</v>
      </c>
      <c r="L42" s="27">
        <v>29</v>
      </c>
      <c r="M42" s="27">
        <v>22</v>
      </c>
      <c r="N42" s="31">
        <v>502</v>
      </c>
      <c r="O42" s="31">
        <v>18</v>
      </c>
      <c r="P42" s="165">
        <v>134.80000000000001</v>
      </c>
      <c r="Q42" s="165">
        <v>52.11</v>
      </c>
      <c r="R42" s="165">
        <v>78.78</v>
      </c>
      <c r="S42" s="165">
        <v>17.52</v>
      </c>
      <c r="T42" s="170">
        <v>7.4139999999999997</v>
      </c>
      <c r="U42" s="169">
        <v>0.2</v>
      </c>
      <c r="V42" s="81">
        <v>0.02</v>
      </c>
      <c r="W42" s="81">
        <v>0.02</v>
      </c>
      <c r="X42" s="163">
        <v>0.29899999999999999</v>
      </c>
      <c r="Y42" s="81">
        <v>0.04</v>
      </c>
      <c r="Z42" s="170">
        <v>1.3120000000000001</v>
      </c>
      <c r="AA42" s="31"/>
      <c r="AB42" s="69">
        <f t="shared" ref="AB42:AB49" si="19">((J42/50)+(L42/35.45)+(M42/62)+(N42/48.03))</f>
        <v>16.144693264027119</v>
      </c>
      <c r="AC42" s="69">
        <f t="shared" si="1"/>
        <v>14.628232380607173</v>
      </c>
      <c r="AD42" s="69">
        <f t="shared" si="2"/>
        <v>4.9279061111446927</v>
      </c>
      <c r="AF42" s="99">
        <v>8.0399999999999991</v>
      </c>
      <c r="AG42" s="99">
        <v>-7.1716699999999998</v>
      </c>
      <c r="AH42" s="99">
        <v>0.81630000000000003</v>
      </c>
      <c r="AI42" s="99">
        <v>-0.88060000000000005</v>
      </c>
      <c r="AJ42" s="99">
        <v>-1.1304000000000001</v>
      </c>
      <c r="AK42" s="99">
        <v>-2.7467000000000001</v>
      </c>
      <c r="AL42" s="99">
        <v>1.0457000000000001</v>
      </c>
      <c r="AM42" s="99">
        <v>0.1101</v>
      </c>
      <c r="AN42" s="99">
        <v>-1.8274999999999999</v>
      </c>
      <c r="AO42" s="99">
        <v>-0.37059999999999998</v>
      </c>
      <c r="AQ42" s="50">
        <f t="shared" ref="AQ42:AQ49" si="20">K42/1000</f>
        <v>0.16</v>
      </c>
      <c r="AR42" s="50">
        <f>AT42/$AS$6</f>
        <v>0.80626437788287519</v>
      </c>
      <c r="AS42" s="50">
        <f>(AQ42-$AQ$40)*0.104</f>
        <v>-5.6506666666666676E-3</v>
      </c>
      <c r="AT42" s="50">
        <f>AT38-AS42</f>
        <v>0.46029633333333342</v>
      </c>
      <c r="AU42" s="50">
        <f t="shared" ref="AU42:AU49" si="21">AR42/AQ42</f>
        <v>5.0391523617679699</v>
      </c>
    </row>
    <row r="43" spans="1:47" s="68" customFormat="1" x14ac:dyDescent="0.35">
      <c r="A43" s="68">
        <v>11</v>
      </c>
      <c r="B43" s="28"/>
      <c r="C43" s="68">
        <v>24</v>
      </c>
      <c r="D43" s="68">
        <v>126.7</v>
      </c>
      <c r="E43" s="31">
        <f>D43+E42</f>
        <v>3040.7999999999993</v>
      </c>
      <c r="F43" s="69">
        <f t="shared" si="3"/>
        <v>1</v>
      </c>
      <c r="G43" s="25">
        <f t="shared" si="9"/>
        <v>24</v>
      </c>
      <c r="H43" s="31">
        <v>8.02</v>
      </c>
      <c r="I43" s="31">
        <v>1445</v>
      </c>
      <c r="J43" s="31">
        <v>272</v>
      </c>
      <c r="K43" s="27">
        <v>223</v>
      </c>
      <c r="L43" s="27">
        <v>33</v>
      </c>
      <c r="M43" s="27">
        <v>26</v>
      </c>
      <c r="N43" s="31">
        <v>533</v>
      </c>
      <c r="O43" s="31">
        <v>20</v>
      </c>
      <c r="P43" s="21">
        <v>145.4</v>
      </c>
      <c r="Q43" s="21">
        <v>56.42</v>
      </c>
      <c r="R43" s="21">
        <v>99.97</v>
      </c>
      <c r="S43" s="21">
        <v>17.45</v>
      </c>
      <c r="T43" s="18">
        <v>7.8159999999999998</v>
      </c>
      <c r="U43" s="169">
        <v>0.2</v>
      </c>
      <c r="V43" s="81">
        <v>0.02</v>
      </c>
      <c r="W43" s="81">
        <v>0.02</v>
      </c>
      <c r="X43" s="11">
        <v>0.32500000000000001</v>
      </c>
      <c r="Y43" s="81">
        <v>0.04</v>
      </c>
      <c r="Z43" s="18">
        <v>1.42</v>
      </c>
      <c r="AA43" s="31"/>
      <c r="AB43" s="69">
        <f t="shared" si="19"/>
        <v>17.887474311523889</v>
      </c>
      <c r="AC43" s="69">
        <f t="shared" si="1"/>
        <v>16.443601704941795</v>
      </c>
      <c r="AD43" s="69">
        <f t="shared" si="2"/>
        <v>4.2057307084974305</v>
      </c>
      <c r="AF43" s="99">
        <v>8.02</v>
      </c>
      <c r="AG43" s="99">
        <v>-6.3334200000000003</v>
      </c>
      <c r="AH43" s="99">
        <v>0.89380000000000004</v>
      </c>
      <c r="AI43" s="99">
        <v>-0.84750000000000003</v>
      </c>
      <c r="AJ43" s="99">
        <v>-1.0972</v>
      </c>
      <c r="AK43" s="99">
        <v>-2.649</v>
      </c>
      <c r="AL43" s="99">
        <v>1.2037</v>
      </c>
      <c r="AM43" s="99">
        <v>0.18779999999999999</v>
      </c>
      <c r="AN43" s="99">
        <v>-1.8169999999999999</v>
      </c>
      <c r="AO43" s="99">
        <v>-0.29010000000000002</v>
      </c>
      <c r="AQ43" s="50">
        <f t="shared" si="20"/>
        <v>0.223</v>
      </c>
      <c r="AR43" s="50">
        <f t="shared" ref="AR43:AR49" si="22">AT43/$AS$6</f>
        <v>0.80468558416535318</v>
      </c>
      <c r="AS43" s="50">
        <f t="shared" ref="AS43:AS49" si="23">(AQ43-$AQ$40)*0.104</f>
        <v>9.0133333333333222E-4</v>
      </c>
      <c r="AT43" s="50">
        <f>AT42-AS43</f>
        <v>0.45939500000000011</v>
      </c>
      <c r="AU43" s="50">
        <f t="shared" si="21"/>
        <v>3.608455534373781</v>
      </c>
    </row>
    <row r="44" spans="1:47" s="68" customFormat="1" x14ac:dyDescent="0.35">
      <c r="A44" s="68">
        <v>11</v>
      </c>
      <c r="B44" s="28"/>
      <c r="C44" s="68">
        <v>25</v>
      </c>
      <c r="D44" s="68">
        <v>126.7</v>
      </c>
      <c r="E44" s="31">
        <f t="shared" ref="E44:E49" si="24">D44+E43</f>
        <v>3167.4999999999991</v>
      </c>
      <c r="F44" s="69">
        <f t="shared" si="3"/>
        <v>1</v>
      </c>
      <c r="G44" s="25">
        <f t="shared" si="9"/>
        <v>25</v>
      </c>
      <c r="H44" s="31">
        <v>8.02</v>
      </c>
      <c r="I44" s="31">
        <v>1501</v>
      </c>
      <c r="J44" s="31">
        <v>280</v>
      </c>
      <c r="K44" s="27">
        <v>194</v>
      </c>
      <c r="L44" s="27">
        <v>33</v>
      </c>
      <c r="M44" s="27">
        <v>26</v>
      </c>
      <c r="N44" s="31">
        <v>544</v>
      </c>
      <c r="O44" s="31">
        <v>21</v>
      </c>
      <c r="P44" s="21">
        <v>116.2</v>
      </c>
      <c r="Q44" s="21">
        <v>44.96</v>
      </c>
      <c r="R44" s="21">
        <v>148.5</v>
      </c>
      <c r="S44" s="21">
        <v>16.07</v>
      </c>
      <c r="T44" s="18">
        <v>7.52</v>
      </c>
      <c r="U44" s="169">
        <v>0.2</v>
      </c>
      <c r="V44" s="27">
        <v>2.9000000000000001E-2</v>
      </c>
      <c r="W44" s="81">
        <v>0.02</v>
      </c>
      <c r="X44" s="11">
        <v>0.25800000000000001</v>
      </c>
      <c r="Y44" s="81">
        <v>0.04</v>
      </c>
      <c r="Z44" s="18">
        <v>1.171</v>
      </c>
      <c r="AA44" s="31"/>
      <c r="AB44" s="69">
        <f t="shared" si="19"/>
        <v>18.276497838486204</v>
      </c>
      <c r="AC44" s="69">
        <f t="shared" si="1"/>
        <v>16.147429123934977</v>
      </c>
      <c r="AD44" s="69">
        <f t="shared" si="2"/>
        <v>6.1848513589847594</v>
      </c>
      <c r="AF44" s="99">
        <v>8.02</v>
      </c>
      <c r="AG44" s="99">
        <v>-8.36463</v>
      </c>
      <c r="AH44" s="99">
        <v>0.80810000000000004</v>
      </c>
      <c r="AI44" s="99">
        <v>-0.92259999999999998</v>
      </c>
      <c r="AJ44" s="99">
        <v>-1.1722999999999999</v>
      </c>
      <c r="AK44" s="99">
        <v>-2.6309999999999998</v>
      </c>
      <c r="AL44" s="99">
        <v>1.0323</v>
      </c>
      <c r="AM44" s="99">
        <v>0.1016</v>
      </c>
      <c r="AN44" s="99">
        <v>-1.7583</v>
      </c>
      <c r="AO44" s="99">
        <v>-0.37580000000000002</v>
      </c>
      <c r="AQ44" s="50">
        <f t="shared" si="20"/>
        <v>0.19400000000000001</v>
      </c>
      <c r="AR44" s="50">
        <f t="shared" si="22"/>
        <v>0.80838967711800103</v>
      </c>
      <c r="AS44" s="50">
        <f t="shared" si="23"/>
        <v>-2.1146666666666675E-3</v>
      </c>
      <c r="AT44" s="50">
        <f t="shared" ref="AT44:AT49" si="25">AT43-AS44</f>
        <v>0.46150966666666676</v>
      </c>
      <c r="AU44" s="50">
        <f t="shared" si="21"/>
        <v>4.1669570985463968</v>
      </c>
    </row>
    <row r="45" spans="1:47" s="68" customFormat="1" x14ac:dyDescent="0.35">
      <c r="A45" s="68">
        <v>11</v>
      </c>
      <c r="B45" s="28"/>
      <c r="C45" s="68">
        <v>26</v>
      </c>
      <c r="D45" s="68">
        <v>126.7</v>
      </c>
      <c r="E45" s="31">
        <f t="shared" si="24"/>
        <v>3294.1999999999989</v>
      </c>
      <c r="F45" s="69">
        <f t="shared" si="3"/>
        <v>1</v>
      </c>
      <c r="G45" s="25">
        <f t="shared" si="9"/>
        <v>26</v>
      </c>
      <c r="H45" s="31">
        <v>7.96</v>
      </c>
      <c r="I45" s="31">
        <v>1515</v>
      </c>
      <c r="J45" s="31">
        <v>278</v>
      </c>
      <c r="K45" s="27">
        <v>198</v>
      </c>
      <c r="L45" s="27">
        <v>33</v>
      </c>
      <c r="M45" s="27">
        <v>26</v>
      </c>
      <c r="N45" s="31">
        <v>546</v>
      </c>
      <c r="O45" s="31">
        <v>21</v>
      </c>
      <c r="P45" s="21">
        <v>110.9</v>
      </c>
      <c r="Q45" s="21">
        <v>43.23</v>
      </c>
      <c r="R45" s="21">
        <v>162.9</v>
      </c>
      <c r="S45" s="21">
        <v>15.76</v>
      </c>
      <c r="T45" s="18">
        <v>7.6740000000000004</v>
      </c>
      <c r="U45" s="169">
        <v>0.2</v>
      </c>
      <c r="V45" s="27">
        <v>3.2000000000000001E-2</v>
      </c>
      <c r="W45" s="81">
        <v>0.02</v>
      </c>
      <c r="X45" s="11">
        <v>0.24299999999999999</v>
      </c>
      <c r="Y45" s="81">
        <v>0.04</v>
      </c>
      <c r="Z45" s="18">
        <v>1.1200000000000001</v>
      </c>
      <c r="AA45" s="31"/>
      <c r="AB45" s="69">
        <f t="shared" si="19"/>
        <v>18.27813847975208</v>
      </c>
      <c r="AC45" s="69">
        <f t="shared" si="1"/>
        <v>16.37098623478084</v>
      </c>
      <c r="AD45" s="69">
        <f t="shared" si="2"/>
        <v>5.5041859229746164</v>
      </c>
      <c r="AF45" s="99">
        <v>7.96</v>
      </c>
      <c r="AG45" s="99">
        <v>-7.5562100000000001</v>
      </c>
      <c r="AH45" s="99">
        <v>0.7268</v>
      </c>
      <c r="AI45" s="99">
        <v>-0.93930000000000002</v>
      </c>
      <c r="AJ45" s="99">
        <v>-1.1889000000000001</v>
      </c>
      <c r="AK45" s="99">
        <v>-2.5714000000000001</v>
      </c>
      <c r="AL45" s="99">
        <v>0.87270000000000003</v>
      </c>
      <c r="AM45" s="99">
        <v>1.4E-2</v>
      </c>
      <c r="AN45" s="99">
        <v>-1.7367999999999999</v>
      </c>
      <c r="AO45" s="99">
        <v>-0.45400000000000001</v>
      </c>
      <c r="AQ45" s="50">
        <f t="shared" si="20"/>
        <v>0.19800000000000001</v>
      </c>
      <c r="AR45" s="50">
        <f t="shared" si="22"/>
        <v>0.81136509604717721</v>
      </c>
      <c r="AS45" s="50">
        <f t="shared" si="23"/>
        <v>-1.6986666666666671E-3</v>
      </c>
      <c r="AT45" s="50">
        <f t="shared" si="25"/>
        <v>0.46320833333333344</v>
      </c>
      <c r="AU45" s="50">
        <f t="shared" si="21"/>
        <v>4.097803515389784</v>
      </c>
    </row>
    <row r="46" spans="1:47" s="68" customFormat="1" x14ac:dyDescent="0.35">
      <c r="A46" s="68">
        <v>11</v>
      </c>
      <c r="B46" s="28"/>
      <c r="C46" s="68">
        <v>27</v>
      </c>
      <c r="D46" s="68">
        <v>126.7</v>
      </c>
      <c r="E46" s="31">
        <f t="shared" si="24"/>
        <v>3420.8999999999987</v>
      </c>
      <c r="F46" s="69">
        <f t="shared" si="3"/>
        <v>1</v>
      </c>
      <c r="G46" s="25">
        <f t="shared" si="9"/>
        <v>27</v>
      </c>
      <c r="H46" s="31">
        <v>7.96</v>
      </c>
      <c r="I46" s="31">
        <v>1518</v>
      </c>
      <c r="J46" s="31">
        <v>276</v>
      </c>
      <c r="K46" s="27">
        <v>207</v>
      </c>
      <c r="L46" s="27">
        <v>33</v>
      </c>
      <c r="M46" s="27">
        <v>26</v>
      </c>
      <c r="N46" s="31">
        <v>526</v>
      </c>
      <c r="O46" s="31">
        <v>22</v>
      </c>
      <c r="P46" s="21">
        <v>107.8</v>
      </c>
      <c r="Q46" s="21">
        <v>41.99</v>
      </c>
      <c r="R46" s="21">
        <v>164.3</v>
      </c>
      <c r="S46" s="21">
        <v>15.4</v>
      </c>
      <c r="T46" s="18">
        <v>7.41</v>
      </c>
      <c r="U46" s="169">
        <v>0.2</v>
      </c>
      <c r="V46" s="27">
        <v>3.1E-2</v>
      </c>
      <c r="W46" s="81">
        <v>0.02</v>
      </c>
      <c r="X46" s="11">
        <v>0.23100000000000001</v>
      </c>
      <c r="Y46" s="81">
        <v>0.04</v>
      </c>
      <c r="Z46" s="18">
        <v>1.079</v>
      </c>
      <c r="AA46" s="31"/>
      <c r="AB46" s="69">
        <f t="shared" si="19"/>
        <v>17.821732067093322</v>
      </c>
      <c r="AC46" s="69">
        <f t="shared" si="1"/>
        <v>16.168466055406554</v>
      </c>
      <c r="AD46" s="69">
        <f t="shared" si="2"/>
        <v>4.8639493236504112</v>
      </c>
      <c r="AF46" s="99">
        <v>7.96</v>
      </c>
      <c r="AG46" s="99">
        <v>-6.8514299999999997</v>
      </c>
      <c r="AH46" s="99">
        <v>0.7167</v>
      </c>
      <c r="AI46" s="99">
        <v>-0.96020000000000005</v>
      </c>
      <c r="AJ46" s="99">
        <v>-1.2098</v>
      </c>
      <c r="AK46" s="99">
        <v>-2.5737999999999999</v>
      </c>
      <c r="AL46" s="99">
        <v>0.85199999999999998</v>
      </c>
      <c r="AM46" s="99">
        <v>-5.5999999999999999E-3</v>
      </c>
      <c r="AN46" s="99">
        <v>-1.7562</v>
      </c>
      <c r="AO46" s="99">
        <v>-0.4647</v>
      </c>
      <c r="AQ46" s="50">
        <f t="shared" si="20"/>
        <v>0.20699999999999999</v>
      </c>
      <c r="AR46" s="50">
        <f t="shared" si="22"/>
        <v>0.81270099842354204</v>
      </c>
      <c r="AS46" s="50">
        <f t="shared" si="23"/>
        <v>-7.6266666666666919E-4</v>
      </c>
      <c r="AT46" s="50">
        <f t="shared" si="25"/>
        <v>0.46397100000000013</v>
      </c>
      <c r="AU46" s="50">
        <f t="shared" si="21"/>
        <v>3.9260917798238748</v>
      </c>
    </row>
    <row r="47" spans="1:47" s="68" customFormat="1" x14ac:dyDescent="0.35">
      <c r="A47" s="68">
        <v>11</v>
      </c>
      <c r="B47" s="28"/>
      <c r="C47" s="68">
        <v>28</v>
      </c>
      <c r="D47" s="68">
        <v>126.7</v>
      </c>
      <c r="E47" s="31">
        <f t="shared" si="24"/>
        <v>3547.5999999999985</v>
      </c>
      <c r="F47" s="69">
        <f t="shared" si="3"/>
        <v>1</v>
      </c>
      <c r="G47" s="25">
        <f t="shared" si="9"/>
        <v>28</v>
      </c>
      <c r="H47" s="31">
        <v>7.86</v>
      </c>
      <c r="I47" s="31">
        <v>1519</v>
      </c>
      <c r="J47" s="31">
        <v>280</v>
      </c>
      <c r="K47" s="27">
        <v>217</v>
      </c>
      <c r="L47" s="27">
        <v>32</v>
      </c>
      <c r="M47" s="27">
        <v>25</v>
      </c>
      <c r="N47" s="31">
        <v>529</v>
      </c>
      <c r="O47" s="31">
        <v>22</v>
      </c>
      <c r="P47" s="21">
        <v>104.6</v>
      </c>
      <c r="Q47" s="21">
        <v>40.6</v>
      </c>
      <c r="R47" s="21">
        <v>160.9</v>
      </c>
      <c r="S47" s="21">
        <v>15.29</v>
      </c>
      <c r="T47" s="18">
        <v>7.24</v>
      </c>
      <c r="U47" s="169">
        <v>0.2</v>
      </c>
      <c r="V47" s="33">
        <v>0.03</v>
      </c>
      <c r="W47" s="81">
        <v>0.02</v>
      </c>
      <c r="X47" s="11">
        <v>0.218</v>
      </c>
      <c r="Y47" s="81">
        <v>0.04</v>
      </c>
      <c r="Z47" s="18">
        <v>1.109</v>
      </c>
      <c r="AA47" s="31"/>
      <c r="AB47" s="69">
        <f t="shared" si="19"/>
        <v>17.919855252023211</v>
      </c>
      <c r="AC47" s="69">
        <f t="shared" si="1"/>
        <v>15.742237992945894</v>
      </c>
      <c r="AD47" s="69">
        <f t="shared" si="2"/>
        <v>6.4690488592915072</v>
      </c>
      <c r="AF47" s="99">
        <v>7.86</v>
      </c>
      <c r="AG47" s="99">
        <v>-8.4474699999999991</v>
      </c>
      <c r="AH47" s="99">
        <v>0.61329999999999996</v>
      </c>
      <c r="AI47" s="99">
        <v>-0.96760000000000002</v>
      </c>
      <c r="AJ47" s="99">
        <v>-1.2172000000000001</v>
      </c>
      <c r="AK47" s="99">
        <v>-2.464</v>
      </c>
      <c r="AL47" s="99">
        <v>0.64359999999999995</v>
      </c>
      <c r="AM47" s="99">
        <v>-0.121</v>
      </c>
      <c r="AN47" s="99">
        <v>-1.7827</v>
      </c>
      <c r="AO47" s="99">
        <v>-0.56969999999999998</v>
      </c>
      <c r="AQ47" s="50">
        <f t="shared" si="20"/>
        <v>0.217</v>
      </c>
      <c r="AR47" s="50">
        <f t="shared" si="22"/>
        <v>0.81221521574122757</v>
      </c>
      <c r="AS47" s="50">
        <f t="shared" si="23"/>
        <v>2.7733333333333164E-4</v>
      </c>
      <c r="AT47" s="50">
        <f t="shared" si="25"/>
        <v>0.46369366666666678</v>
      </c>
      <c r="AU47" s="50">
        <f t="shared" si="21"/>
        <v>3.7429272614803115</v>
      </c>
    </row>
    <row r="48" spans="1:47" s="68" customFormat="1" x14ac:dyDescent="0.35">
      <c r="A48" s="68">
        <v>11</v>
      </c>
      <c r="B48" s="28"/>
      <c r="C48" s="68">
        <v>29</v>
      </c>
      <c r="D48" s="68">
        <v>126.7</v>
      </c>
      <c r="E48" s="31">
        <f t="shared" si="24"/>
        <v>3674.2999999999984</v>
      </c>
      <c r="F48" s="69">
        <f t="shared" si="3"/>
        <v>1</v>
      </c>
      <c r="G48" s="25">
        <f t="shared" si="9"/>
        <v>29</v>
      </c>
      <c r="H48" s="25">
        <v>7.81</v>
      </c>
      <c r="I48" s="31">
        <v>1515</v>
      </c>
      <c r="J48" s="31">
        <v>278</v>
      </c>
      <c r="K48" s="27">
        <v>227</v>
      </c>
      <c r="L48" s="27">
        <v>32</v>
      </c>
      <c r="M48" s="27">
        <v>25</v>
      </c>
      <c r="N48" s="31">
        <v>540</v>
      </c>
      <c r="O48" s="31">
        <v>22</v>
      </c>
      <c r="P48" s="21">
        <v>107</v>
      </c>
      <c r="Q48" s="21">
        <v>40.299999999999997</v>
      </c>
      <c r="R48" s="21">
        <v>163.30000000000001</v>
      </c>
      <c r="S48" s="21">
        <v>15.62</v>
      </c>
      <c r="T48" s="18">
        <v>6.9610000000000003</v>
      </c>
      <c r="U48" s="169">
        <v>0.2</v>
      </c>
      <c r="V48" s="27">
        <v>2.8000000000000001E-2</v>
      </c>
      <c r="W48" s="81">
        <v>0.02</v>
      </c>
      <c r="X48" s="11">
        <v>0.21</v>
      </c>
      <c r="Y48" s="81">
        <v>0.04</v>
      </c>
      <c r="Z48" s="18">
        <v>1.085</v>
      </c>
      <c r="AA48" s="31"/>
      <c r="AB48" s="69">
        <f t="shared" si="19"/>
        <v>18.108878778985527</v>
      </c>
      <c r="AC48" s="69">
        <f t="shared" si="1"/>
        <v>15.934585083925167</v>
      </c>
      <c r="AD48" s="69">
        <f t="shared" si="2"/>
        <v>6.3868168756739996</v>
      </c>
      <c r="AF48" s="99">
        <v>7.81</v>
      </c>
      <c r="AG48" s="99">
        <v>-8.3780999999999999</v>
      </c>
      <c r="AH48" s="99">
        <v>0.56859999999999999</v>
      </c>
      <c r="AI48" s="99">
        <v>-0.95250000000000001</v>
      </c>
      <c r="AJ48" s="99">
        <v>-1.2020999999999999</v>
      </c>
      <c r="AK48" s="99">
        <v>-2.4165000000000001</v>
      </c>
      <c r="AL48" s="99">
        <v>0.54110000000000003</v>
      </c>
      <c r="AM48" s="99">
        <v>-0.1923</v>
      </c>
      <c r="AN48" s="99">
        <v>-1.8061</v>
      </c>
      <c r="AO48" s="99">
        <v>-0.62749999999999995</v>
      </c>
      <c r="AQ48" s="50">
        <f t="shared" si="20"/>
        <v>0.22700000000000001</v>
      </c>
      <c r="AR48" s="50">
        <f t="shared" si="22"/>
        <v>0.8099077480002338</v>
      </c>
      <c r="AS48" s="50">
        <f t="shared" si="23"/>
        <v>1.3173333333333325E-3</v>
      </c>
      <c r="AT48" s="50">
        <f t="shared" si="25"/>
        <v>0.46237633333333344</v>
      </c>
      <c r="AU48" s="50">
        <f t="shared" si="21"/>
        <v>3.56787554185125</v>
      </c>
    </row>
    <row r="49" spans="1:47" s="68" customFormat="1" x14ac:dyDescent="0.35">
      <c r="A49" s="68">
        <v>11</v>
      </c>
      <c r="B49" s="28">
        <v>43540</v>
      </c>
      <c r="C49" s="68">
        <v>30</v>
      </c>
      <c r="D49" s="68">
        <v>126.7</v>
      </c>
      <c r="E49" s="31">
        <f t="shared" si="24"/>
        <v>3800.9999999999982</v>
      </c>
      <c r="F49" s="69">
        <f t="shared" si="3"/>
        <v>1</v>
      </c>
      <c r="G49" s="25">
        <f t="shared" si="9"/>
        <v>30</v>
      </c>
      <c r="H49" s="31">
        <v>8.15</v>
      </c>
      <c r="I49" s="31">
        <v>1524</v>
      </c>
      <c r="J49" s="31">
        <v>282</v>
      </c>
      <c r="K49" s="27">
        <v>211</v>
      </c>
      <c r="L49" s="27">
        <v>33</v>
      </c>
      <c r="M49" s="27">
        <v>26</v>
      </c>
      <c r="N49" s="31">
        <v>548</v>
      </c>
      <c r="O49" s="31">
        <v>21</v>
      </c>
      <c r="P49" s="165">
        <v>107.8</v>
      </c>
      <c r="Q49" s="165">
        <v>41.48</v>
      </c>
      <c r="R49" s="165">
        <v>167.9</v>
      </c>
      <c r="S49" s="165">
        <v>17.11</v>
      </c>
      <c r="T49" s="170">
        <v>7.0289999999999999</v>
      </c>
      <c r="U49" s="169">
        <v>0.2</v>
      </c>
      <c r="V49" s="68">
        <v>3.2000000000000001E-2</v>
      </c>
      <c r="W49" s="81">
        <v>0.02</v>
      </c>
      <c r="X49" s="163">
        <v>0.20899999999999999</v>
      </c>
      <c r="Y49" s="81">
        <v>0.04</v>
      </c>
      <c r="Z49" s="170">
        <v>1.119</v>
      </c>
      <c r="AA49" s="31"/>
      <c r="AB49" s="69">
        <f t="shared" si="19"/>
        <v>18.399779121017954</v>
      </c>
      <c r="AC49" s="69">
        <f t="shared" si="1"/>
        <v>16.273370842070168</v>
      </c>
      <c r="AD49" s="69">
        <f t="shared" si="2"/>
        <v>6.1327231047986377</v>
      </c>
      <c r="AF49" s="99">
        <v>8.15</v>
      </c>
      <c r="AG49" s="99">
        <v>-8.2194199999999995</v>
      </c>
      <c r="AH49" s="99">
        <v>0.90090000000000003</v>
      </c>
      <c r="AI49" s="99">
        <v>-0.95030000000000003</v>
      </c>
      <c r="AJ49" s="99">
        <v>-1.2</v>
      </c>
      <c r="AK49" s="99">
        <v>-2.7616000000000001</v>
      </c>
      <c r="AL49" s="99">
        <v>1.2166999999999999</v>
      </c>
      <c r="AM49" s="99">
        <v>0.13750000000000001</v>
      </c>
      <c r="AN49" s="99">
        <v>-1.7522</v>
      </c>
      <c r="AO49" s="99">
        <v>-0.2843</v>
      </c>
      <c r="AQ49" s="50">
        <f t="shared" si="20"/>
        <v>0.21099999999999999</v>
      </c>
      <c r="AR49" s="50">
        <f t="shared" si="22"/>
        <v>0.81051497635312686</v>
      </c>
      <c r="AS49" s="50">
        <f t="shared" si="23"/>
        <v>-3.466666666666689E-4</v>
      </c>
      <c r="AT49" s="50">
        <f t="shared" si="25"/>
        <v>0.46272300000000011</v>
      </c>
      <c r="AU49" s="50">
        <f t="shared" si="21"/>
        <v>3.8413032054650564</v>
      </c>
    </row>
    <row r="50" spans="1:47" s="68" customFormat="1" x14ac:dyDescent="0.35">
      <c r="B50" s="28"/>
      <c r="E50" s="31"/>
      <c r="F50" s="69"/>
      <c r="G50" s="25"/>
      <c r="K50" s="65"/>
      <c r="L50" s="65"/>
      <c r="N50" s="31"/>
      <c r="P50" s="66"/>
      <c r="Q50" s="65"/>
      <c r="R50" s="32"/>
      <c r="S50" s="32"/>
      <c r="T50" s="32"/>
      <c r="U50" s="171"/>
      <c r="X50" s="163"/>
      <c r="Y50" s="176"/>
      <c r="Z50" s="170"/>
      <c r="AB50" s="69"/>
      <c r="AC50" s="69"/>
      <c r="AD50" s="6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Q50" s="149"/>
      <c r="AR50" s="149"/>
      <c r="AS50" s="149"/>
      <c r="AT50" s="149"/>
      <c r="AU50" s="149"/>
    </row>
    <row r="51" spans="1:47" s="68" customFormat="1" x14ac:dyDescent="0.35">
      <c r="A51" s="68" t="s">
        <v>76</v>
      </c>
      <c r="B51" s="28"/>
      <c r="E51" s="31"/>
      <c r="F51" s="69"/>
      <c r="G51" s="25"/>
      <c r="H51" s="15">
        <v>7.5</v>
      </c>
      <c r="I51" s="165">
        <f>'Influent Results Master'!D54</f>
        <v>2312</v>
      </c>
      <c r="J51" s="165">
        <f>'Influent Results Master'!F54</f>
        <v>245.88888888888889</v>
      </c>
      <c r="K51" s="165">
        <f>'Influent Results Master'!G54</f>
        <v>86.777777777777786</v>
      </c>
      <c r="L51" s="165">
        <f>'Influent Results Master'!H54</f>
        <v>90</v>
      </c>
      <c r="M51" s="165">
        <f>'Influent Results Master'!I54</f>
        <v>16.888888888888889</v>
      </c>
      <c r="N51" s="165">
        <f>'Influent Results Master'!J54</f>
        <v>981.77777777777783</v>
      </c>
      <c r="O51" s="165">
        <f>'Influent Results Master'!K54</f>
        <v>19</v>
      </c>
      <c r="P51" s="165">
        <f>'Influent Results Master'!L54</f>
        <v>155.97777777777779</v>
      </c>
      <c r="Q51" s="165">
        <f>'Influent Results Master'!M54</f>
        <v>44.49</v>
      </c>
      <c r="R51" s="165">
        <f>'Influent Results Master'!N54</f>
        <v>409.65555555555557</v>
      </c>
      <c r="S51" s="165">
        <f>'Influent Results Master'!O54</f>
        <v>22.975555555555559</v>
      </c>
      <c r="T51" s="170">
        <f>'Influent Results Master'!P54</f>
        <v>8.5394444444444453</v>
      </c>
      <c r="U51" s="171">
        <f>'Influent Results Master'!Q54</f>
        <v>0.20000000000000004</v>
      </c>
      <c r="V51" s="177">
        <f>'Influent Results Master'!R54</f>
        <v>0.02</v>
      </c>
      <c r="W51" s="177">
        <f>'Influent Results Master'!S54</f>
        <v>0.02</v>
      </c>
      <c r="X51" s="163">
        <f>'Influent Results Master'!T54</f>
        <v>0.40411111111111114</v>
      </c>
      <c r="Y51" s="177">
        <f>'Influent Results Master'!U54</f>
        <v>0.04</v>
      </c>
      <c r="Z51" s="170">
        <f>'Influent Results Master'!V54</f>
        <v>1.8005555555555555</v>
      </c>
      <c r="AB51" s="69">
        <f>((J51/50)+(L51/35.45)+(M51/62)+(N51/48.03))</f>
        <v>28.169894359073403</v>
      </c>
      <c r="AC51" s="69">
        <f t="shared" si="1"/>
        <v>29.479297904199917</v>
      </c>
      <c r="AD51" s="69">
        <f t="shared" si="2"/>
        <v>2.2713302541112936</v>
      </c>
      <c r="AF51" s="99">
        <v>7.5</v>
      </c>
      <c r="AG51" s="99">
        <v>-0.38564999999999999</v>
      </c>
      <c r="AH51" s="99">
        <v>0.26729999999999998</v>
      </c>
      <c r="AI51" s="99">
        <v>-0.67900000000000005</v>
      </c>
      <c r="AJ51" s="99">
        <v>-0.9284</v>
      </c>
      <c r="AK51" s="99">
        <v>-2.1724000000000001</v>
      </c>
      <c r="AL51" s="99">
        <v>-0.1832</v>
      </c>
      <c r="AM51" s="99">
        <v>-0.39489999999999997</v>
      </c>
      <c r="AN51" s="99">
        <v>-1.9327000000000001</v>
      </c>
      <c r="AO51" s="99">
        <v>-1.0505</v>
      </c>
      <c r="AQ51" s="50">
        <f>K51/1000</f>
        <v>8.6777777777777787E-2</v>
      </c>
      <c r="AR51" s="149"/>
      <c r="AS51" s="149"/>
      <c r="AT51" s="149"/>
      <c r="AU51" s="149"/>
    </row>
    <row r="52" spans="1:47" s="68" customFormat="1" x14ac:dyDescent="0.35">
      <c r="B52" s="28"/>
      <c r="E52" s="31"/>
      <c r="F52" s="69"/>
      <c r="G52" s="25"/>
      <c r="K52" s="65"/>
      <c r="L52" s="65"/>
      <c r="N52" s="31"/>
      <c r="P52" s="66"/>
      <c r="Q52" s="65"/>
      <c r="R52" s="32"/>
      <c r="S52" s="32"/>
      <c r="T52" s="32"/>
      <c r="U52" s="171"/>
      <c r="X52" s="163"/>
      <c r="Y52" s="176"/>
      <c r="Z52" s="170"/>
      <c r="AB52" s="69"/>
      <c r="AC52" s="69"/>
      <c r="AD52" s="6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Q52" s="149"/>
      <c r="AR52" s="149"/>
      <c r="AS52" s="149"/>
      <c r="AT52" s="149"/>
      <c r="AU52" s="149"/>
    </row>
    <row r="53" spans="1:47" s="68" customFormat="1" x14ac:dyDescent="0.35">
      <c r="A53" s="68">
        <v>11</v>
      </c>
      <c r="B53" s="28">
        <v>43540</v>
      </c>
      <c r="C53" s="68">
        <v>31</v>
      </c>
      <c r="D53" s="68">
        <v>126.7</v>
      </c>
      <c r="E53" s="31">
        <f>D53+E49</f>
        <v>3927.699999999998</v>
      </c>
      <c r="F53" s="69">
        <f t="shared" si="3"/>
        <v>1</v>
      </c>
      <c r="G53" s="25">
        <f>G49+F53</f>
        <v>31</v>
      </c>
      <c r="H53" s="31">
        <v>8.16</v>
      </c>
      <c r="I53" s="31">
        <v>2040</v>
      </c>
      <c r="J53" s="31">
        <v>264</v>
      </c>
      <c r="K53" s="27">
        <v>217</v>
      </c>
      <c r="L53" s="27">
        <v>74</v>
      </c>
      <c r="M53" s="186">
        <v>18</v>
      </c>
      <c r="N53" s="31">
        <v>912</v>
      </c>
      <c r="O53" s="31">
        <v>21</v>
      </c>
      <c r="P53" s="165">
        <v>174.3</v>
      </c>
      <c r="Q53" s="165">
        <v>64.95</v>
      </c>
      <c r="R53" s="165">
        <v>201</v>
      </c>
      <c r="S53" s="165">
        <v>17.47</v>
      </c>
      <c r="T53" s="170">
        <v>8.1660000000000004</v>
      </c>
      <c r="U53" s="169">
        <v>0.2</v>
      </c>
      <c r="V53" s="81">
        <v>0.02</v>
      </c>
      <c r="W53" s="81">
        <v>0.02</v>
      </c>
      <c r="X53" s="163">
        <v>0.33100000000000002</v>
      </c>
      <c r="Y53" s="81">
        <v>0.04</v>
      </c>
      <c r="Z53" s="170">
        <v>1.774</v>
      </c>
      <c r="AA53" s="27"/>
      <c r="AB53" s="69">
        <f t="shared" ref="AB53:AB60" si="26">((J53/50)+(L53/35.45)+(M53/62)+(N53/48.03))</f>
        <v>26.645902106488052</v>
      </c>
      <c r="AC53" s="69">
        <f t="shared" si="1"/>
        <v>22.990668499454227</v>
      </c>
      <c r="AD53" s="69">
        <f t="shared" si="2"/>
        <v>7.3639930446690354</v>
      </c>
      <c r="AE53" s="31"/>
      <c r="AF53" s="99">
        <v>8.16</v>
      </c>
      <c r="AG53" s="99">
        <v>-9.2061899999999994</v>
      </c>
      <c r="AH53" s="99">
        <v>1.0059</v>
      </c>
      <c r="AI53" s="99">
        <v>-0.64449999999999996</v>
      </c>
      <c r="AJ53" s="99">
        <v>-0.89400000000000002</v>
      </c>
      <c r="AK53" s="99">
        <v>-2.8180999999999998</v>
      </c>
      <c r="AL53" s="99">
        <v>1.4157999999999999</v>
      </c>
      <c r="AM53" s="99">
        <v>0.22420000000000001</v>
      </c>
      <c r="AN53" s="99">
        <v>-1.9226000000000001</v>
      </c>
      <c r="AO53" s="99">
        <v>-0.19009999999999999</v>
      </c>
      <c r="AQ53" s="50">
        <f t="shared" ref="AQ53:AQ60" si="27">K53/1000</f>
        <v>0.217</v>
      </c>
      <c r="AR53" s="50">
        <f>AT53/$AS$6</f>
        <v>0.78679258870010338</v>
      </c>
      <c r="AS53" s="50">
        <f>(AQ53-$AQ$51)*0.104</f>
        <v>1.354311111111111E-2</v>
      </c>
      <c r="AT53" s="50">
        <f>AT49-AS53</f>
        <v>0.44917988888888899</v>
      </c>
      <c r="AU53" s="50">
        <f t="shared" ref="AU53:AU60" si="28">AR53/AQ53</f>
        <v>3.6257722981571585</v>
      </c>
    </row>
    <row r="54" spans="1:47" s="68" customFormat="1" x14ac:dyDescent="0.35">
      <c r="A54" s="68">
        <v>11</v>
      </c>
      <c r="B54" s="28"/>
      <c r="C54" s="68">
        <v>32</v>
      </c>
      <c r="D54" s="68">
        <v>126.7</v>
      </c>
      <c r="E54" s="31">
        <f>D54+E53</f>
        <v>4054.3999999999978</v>
      </c>
      <c r="F54" s="69">
        <f t="shared" si="3"/>
        <v>1</v>
      </c>
      <c r="G54" s="25">
        <f t="shared" si="9"/>
        <v>32</v>
      </c>
      <c r="H54" s="31">
        <v>8.15</v>
      </c>
      <c r="I54" s="31">
        <v>2280</v>
      </c>
      <c r="J54" s="31">
        <v>248</v>
      </c>
      <c r="K54" s="27">
        <v>202</v>
      </c>
      <c r="L54" s="27">
        <v>88</v>
      </c>
      <c r="M54" s="186">
        <v>16</v>
      </c>
      <c r="N54" s="31">
        <v>1057</v>
      </c>
      <c r="O54" s="31">
        <v>20</v>
      </c>
      <c r="P54" s="165">
        <v>182</v>
      </c>
      <c r="Q54" s="165">
        <v>68.41</v>
      </c>
      <c r="R54" s="165">
        <v>240.6</v>
      </c>
      <c r="S54" s="165">
        <v>17.62</v>
      </c>
      <c r="T54" s="170">
        <v>8.173</v>
      </c>
      <c r="U54" s="169">
        <v>0.2</v>
      </c>
      <c r="V54" s="81">
        <v>0.02</v>
      </c>
      <c r="W54" s="81">
        <v>0.02</v>
      </c>
      <c r="X54" s="11">
        <v>0.33300000000000002</v>
      </c>
      <c r="Y54" s="81">
        <v>0.04</v>
      </c>
      <c r="Z54" s="18">
        <v>1.847</v>
      </c>
      <c r="AA54" s="27"/>
      <c r="AB54" s="69">
        <f t="shared" si="26"/>
        <v>29.707512959699944</v>
      </c>
      <c r="AC54" s="69">
        <f t="shared" si="1"/>
        <v>25.382106576475088</v>
      </c>
      <c r="AD54" s="25">
        <f t="shared" si="2"/>
        <v>7.8515815132550388</v>
      </c>
      <c r="AE54" s="31"/>
      <c r="AF54" s="99">
        <v>8.15</v>
      </c>
      <c r="AG54" s="99">
        <v>-9.6830999999999996</v>
      </c>
      <c r="AH54" s="99">
        <v>0.96240000000000003</v>
      </c>
      <c r="AI54" s="99">
        <v>-0.59430000000000005</v>
      </c>
      <c r="AJ54" s="99">
        <v>-0.84379999999999999</v>
      </c>
      <c r="AK54" s="99">
        <v>-2.8376000000000001</v>
      </c>
      <c r="AL54" s="99">
        <v>1.3335999999999999</v>
      </c>
      <c r="AM54" s="99">
        <v>0.16159999999999999</v>
      </c>
      <c r="AN54" s="99">
        <v>-1.8673999999999999</v>
      </c>
      <c r="AO54" s="99">
        <v>-0.2288</v>
      </c>
      <c r="AQ54" s="50">
        <f t="shared" si="27"/>
        <v>0.20200000000000001</v>
      </c>
      <c r="AR54" s="50">
        <f t="shared" ref="AR54:AR60" si="29">AT54/$AS$6</f>
        <v>0.76580272863509879</v>
      </c>
      <c r="AS54" s="50">
        <f>(AQ54-$AQ$51)*0.104</f>
        <v>1.1983111111111111E-2</v>
      </c>
      <c r="AT54" s="50">
        <f>AT53-AS54</f>
        <v>0.43719677777777788</v>
      </c>
      <c r="AU54" s="50">
        <f t="shared" si="28"/>
        <v>3.7911026170054392</v>
      </c>
    </row>
    <row r="55" spans="1:47" s="68" customFormat="1" x14ac:dyDescent="0.35">
      <c r="A55" s="68">
        <v>11</v>
      </c>
      <c r="B55" s="28"/>
      <c r="C55" s="68">
        <v>33</v>
      </c>
      <c r="D55" s="68">
        <v>126.7</v>
      </c>
      <c r="E55" s="31">
        <f t="shared" ref="E55:E60" si="30">D55+E54</f>
        <v>4181.0999999999976</v>
      </c>
      <c r="F55" s="69">
        <f t="shared" si="3"/>
        <v>1</v>
      </c>
      <c r="G55" s="25">
        <f t="shared" si="9"/>
        <v>33</v>
      </c>
      <c r="H55" s="31">
        <v>8.14</v>
      </c>
      <c r="I55" s="31">
        <v>2330</v>
      </c>
      <c r="J55" s="31">
        <v>244</v>
      </c>
      <c r="K55" s="27">
        <v>170</v>
      </c>
      <c r="L55" s="27">
        <v>88</v>
      </c>
      <c r="M55" s="186">
        <v>15</v>
      </c>
      <c r="N55" s="31">
        <v>1054</v>
      </c>
      <c r="O55" s="31">
        <v>19</v>
      </c>
      <c r="P55" s="12">
        <v>147.5</v>
      </c>
      <c r="Q55" s="12">
        <v>53.35</v>
      </c>
      <c r="R55" s="12">
        <v>306.3</v>
      </c>
      <c r="S55" s="12">
        <v>17.21</v>
      </c>
      <c r="T55" s="6">
        <v>7.976</v>
      </c>
      <c r="U55" s="169">
        <v>0.2</v>
      </c>
      <c r="V55" s="81">
        <v>0.02</v>
      </c>
      <c r="W55" s="81">
        <v>0.02</v>
      </c>
      <c r="X55" s="11">
        <v>0.27100000000000002</v>
      </c>
      <c r="Y55" s="81">
        <v>0.04</v>
      </c>
      <c r="Z55" s="18">
        <v>1.474</v>
      </c>
      <c r="AA55" s="27"/>
      <c r="AB55" s="69">
        <f t="shared" si="26"/>
        <v>29.548922965543063</v>
      </c>
      <c r="AC55" s="69">
        <f t="shared" si="1"/>
        <v>25.274788730294979</v>
      </c>
      <c r="AD55" s="25">
        <f t="shared" si="2"/>
        <v>7.7961416749033372</v>
      </c>
      <c r="AE55" s="31"/>
      <c r="AF55" s="99">
        <v>8.14</v>
      </c>
      <c r="AG55" s="99">
        <v>-9.3937500000000007</v>
      </c>
      <c r="AH55" s="99">
        <v>0.85560000000000003</v>
      </c>
      <c r="AI55" s="99">
        <v>-0.67510000000000003</v>
      </c>
      <c r="AJ55" s="99">
        <v>-0.92459999999999998</v>
      </c>
      <c r="AK55" s="99">
        <v>-2.8287</v>
      </c>
      <c r="AL55" s="99">
        <v>1.1039000000000001</v>
      </c>
      <c r="AM55" s="99">
        <v>5.79E-2</v>
      </c>
      <c r="AN55" s="99">
        <v>-1.9628000000000001</v>
      </c>
      <c r="AO55" s="99">
        <v>-0.35170000000000001</v>
      </c>
      <c r="AQ55" s="50">
        <f t="shared" si="27"/>
        <v>0.17</v>
      </c>
      <c r="AR55" s="50">
        <f t="shared" si="29"/>
        <v>0.75064226075786789</v>
      </c>
      <c r="AS55" s="50">
        <f t="shared" ref="AS55:AS60" si="31">(AQ55-$AQ$51)*0.104</f>
        <v>8.6551111111111117E-3</v>
      </c>
      <c r="AT55" s="50">
        <f t="shared" ref="AT55:AT60" si="32">AT54-AS55</f>
        <v>0.42854166666666677</v>
      </c>
      <c r="AU55" s="50">
        <f t="shared" si="28"/>
        <v>4.4155427103403992</v>
      </c>
    </row>
    <row r="56" spans="1:47" s="68" customFormat="1" x14ac:dyDescent="0.35">
      <c r="A56" s="68">
        <v>11</v>
      </c>
      <c r="B56" s="28"/>
      <c r="C56" s="68">
        <v>34</v>
      </c>
      <c r="D56" s="68">
        <v>126.7</v>
      </c>
      <c r="E56" s="31">
        <f t="shared" si="30"/>
        <v>4307.7999999999975</v>
      </c>
      <c r="F56" s="69">
        <f t="shared" si="3"/>
        <v>1</v>
      </c>
      <c r="G56" s="25">
        <f t="shared" si="9"/>
        <v>34</v>
      </c>
      <c r="H56" s="31">
        <v>8.1199999999999992</v>
      </c>
      <c r="I56" s="31">
        <v>2390</v>
      </c>
      <c r="J56" s="31">
        <v>244</v>
      </c>
      <c r="K56" s="27">
        <v>151</v>
      </c>
      <c r="L56" s="27">
        <v>89</v>
      </c>
      <c r="M56" s="186">
        <v>15</v>
      </c>
      <c r="N56" s="31">
        <v>1070</v>
      </c>
      <c r="O56" s="31">
        <v>19</v>
      </c>
      <c r="P56" s="21">
        <v>132.19999999999999</v>
      </c>
      <c r="Q56" s="21">
        <v>49.64</v>
      </c>
      <c r="R56" s="21">
        <v>383.3</v>
      </c>
      <c r="S56" s="21">
        <v>17.47</v>
      </c>
      <c r="T56" s="18">
        <v>7.4359999999999999</v>
      </c>
      <c r="U56" s="169">
        <v>0.2</v>
      </c>
      <c r="V56" s="81">
        <v>0.02</v>
      </c>
      <c r="W56" s="81">
        <v>0.02</v>
      </c>
      <c r="X56" s="11">
        <v>0.246</v>
      </c>
      <c r="Y56" s="81">
        <v>0.04</v>
      </c>
      <c r="Z56" s="18">
        <v>1.4259999999999999</v>
      </c>
      <c r="AA56" s="27"/>
      <c r="AB56" s="69">
        <f t="shared" si="26"/>
        <v>29.910256840380931</v>
      </c>
      <c r="AC56" s="69">
        <f t="shared" si="1"/>
        <v>27.541688547154976</v>
      </c>
      <c r="AD56" s="69">
        <f t="shared" si="2"/>
        <v>4.1226946750872111</v>
      </c>
      <c r="AE56" s="31"/>
      <c r="AF56" s="99">
        <v>8.1199999999999992</v>
      </c>
      <c r="AG56" s="99">
        <v>-4.9839099999999998</v>
      </c>
      <c r="AH56" s="99">
        <v>0.78449999999999998</v>
      </c>
      <c r="AI56" s="99">
        <v>-0.72060000000000002</v>
      </c>
      <c r="AJ56" s="99">
        <v>-0.97</v>
      </c>
      <c r="AK56" s="99">
        <v>-2.8071000000000002</v>
      </c>
      <c r="AL56" s="99">
        <v>0.97789999999999999</v>
      </c>
      <c r="AM56" s="99">
        <v>-0.01</v>
      </c>
      <c r="AN56" s="99">
        <v>-2.0198999999999998</v>
      </c>
      <c r="AO56" s="99">
        <v>-0.40660000000000002</v>
      </c>
      <c r="AQ56" s="50">
        <f t="shared" si="27"/>
        <v>0.151</v>
      </c>
      <c r="AR56" s="50">
        <f t="shared" si="29"/>
        <v>0.73894299449212764</v>
      </c>
      <c r="AS56" s="50">
        <f t="shared" si="31"/>
        <v>6.6791111111111096E-3</v>
      </c>
      <c r="AT56" s="50">
        <f t="shared" si="32"/>
        <v>0.42186255555555563</v>
      </c>
      <c r="AU56" s="50">
        <f t="shared" si="28"/>
        <v>4.8936622151796536</v>
      </c>
    </row>
    <row r="57" spans="1:47" s="68" customFormat="1" x14ac:dyDescent="0.35">
      <c r="A57" s="68">
        <v>11</v>
      </c>
      <c r="B57" s="28"/>
      <c r="C57" s="68">
        <v>35</v>
      </c>
      <c r="D57" s="68">
        <v>126.7</v>
      </c>
      <c r="E57" s="31">
        <f t="shared" si="30"/>
        <v>4434.4999999999973</v>
      </c>
      <c r="F57" s="69">
        <f t="shared" si="3"/>
        <v>1</v>
      </c>
      <c r="G57" s="25">
        <f t="shared" si="9"/>
        <v>35</v>
      </c>
      <c r="H57" s="31">
        <v>8.07</v>
      </c>
      <c r="I57" s="31">
        <v>2380</v>
      </c>
      <c r="J57" s="31">
        <v>240</v>
      </c>
      <c r="K57" s="27">
        <v>144</v>
      </c>
      <c r="L57" s="27">
        <v>88</v>
      </c>
      <c r="M57" s="186">
        <v>15</v>
      </c>
      <c r="N57" s="31">
        <v>1046</v>
      </c>
      <c r="O57" s="31">
        <v>19</v>
      </c>
      <c r="P57" s="21">
        <v>125.7</v>
      </c>
      <c r="Q57" s="21">
        <v>47.75</v>
      </c>
      <c r="R57" s="21">
        <v>383.5</v>
      </c>
      <c r="S57" s="21">
        <v>17.52</v>
      </c>
      <c r="T57" s="18">
        <v>7.5069999999999997</v>
      </c>
      <c r="U57" s="169">
        <v>0.2</v>
      </c>
      <c r="V57" s="81">
        <v>0.02</v>
      </c>
      <c r="W57" s="81">
        <v>0.02</v>
      </c>
      <c r="X57" s="11">
        <v>0.22600000000000001</v>
      </c>
      <c r="Y57" s="81">
        <v>0.04</v>
      </c>
      <c r="Z57" s="18">
        <v>1.3480000000000001</v>
      </c>
      <c r="AA57" s="27"/>
      <c r="AB57" s="69">
        <f t="shared" si="26"/>
        <v>29.302360400479564</v>
      </c>
      <c r="AC57" s="69">
        <f t="shared" si="1"/>
        <v>27.07242490948509</v>
      </c>
      <c r="AD57" s="69">
        <f t="shared" si="2"/>
        <v>3.9555547373416204</v>
      </c>
      <c r="AE57" s="31"/>
      <c r="AF57" s="99">
        <v>8.07</v>
      </c>
      <c r="AG57" s="99">
        <v>-4.8067399999999996</v>
      </c>
      <c r="AH57" s="99">
        <v>0.71250000000000002</v>
      </c>
      <c r="AI57" s="99">
        <v>-0.74450000000000005</v>
      </c>
      <c r="AJ57" s="99">
        <v>-0.99399999999999999</v>
      </c>
      <c r="AK57" s="99">
        <v>-2.7608999999999999</v>
      </c>
      <c r="AL57" s="99">
        <v>0.83860000000000001</v>
      </c>
      <c r="AM57" s="99">
        <v>-9.6600000000000005E-2</v>
      </c>
      <c r="AN57" s="99">
        <v>-2.036</v>
      </c>
      <c r="AO57" s="99">
        <v>-0.47389999999999999</v>
      </c>
      <c r="AQ57" s="50">
        <f t="shared" si="27"/>
        <v>0.14399999999999999</v>
      </c>
      <c r="AR57" s="50">
        <f t="shared" si="29"/>
        <v>0.72851890776746286</v>
      </c>
      <c r="AS57" s="50">
        <f t="shared" si="31"/>
        <v>5.9511111111111084E-3</v>
      </c>
      <c r="AT57" s="50">
        <f t="shared" si="32"/>
        <v>0.4159114444444445</v>
      </c>
      <c r="AU57" s="50">
        <f t="shared" si="28"/>
        <v>5.0591590817184926</v>
      </c>
    </row>
    <row r="58" spans="1:47" s="68" customFormat="1" x14ac:dyDescent="0.35">
      <c r="A58" s="68">
        <v>11</v>
      </c>
      <c r="B58" s="28"/>
      <c r="C58" s="68">
        <v>36</v>
      </c>
      <c r="D58" s="68">
        <v>126.7</v>
      </c>
      <c r="E58" s="31">
        <f t="shared" si="30"/>
        <v>4561.1999999999971</v>
      </c>
      <c r="F58" s="69">
        <f t="shared" si="3"/>
        <v>1</v>
      </c>
      <c r="G58" s="25">
        <f t="shared" si="9"/>
        <v>36</v>
      </c>
      <c r="H58" s="31">
        <v>8.01</v>
      </c>
      <c r="I58" s="31">
        <v>2370</v>
      </c>
      <c r="J58" s="31">
        <v>240</v>
      </c>
      <c r="K58" s="27">
        <v>132</v>
      </c>
      <c r="L58" s="27">
        <v>88</v>
      </c>
      <c r="M58" s="186">
        <v>15</v>
      </c>
      <c r="N58" s="31">
        <v>1068</v>
      </c>
      <c r="O58" s="31">
        <v>19</v>
      </c>
      <c r="P58" s="21">
        <v>126.9</v>
      </c>
      <c r="Q58" s="21">
        <v>46.37</v>
      </c>
      <c r="R58" s="21">
        <v>385.9</v>
      </c>
      <c r="S58" s="21">
        <v>17.8</v>
      </c>
      <c r="T58" s="18">
        <v>7.5720000000000001</v>
      </c>
      <c r="U58" s="169">
        <v>0.2</v>
      </c>
      <c r="V58" s="81">
        <v>0.02</v>
      </c>
      <c r="W58" s="81">
        <v>0.02</v>
      </c>
      <c r="X58" s="11">
        <v>0.214</v>
      </c>
      <c r="Y58" s="81">
        <v>0.04</v>
      </c>
      <c r="Z58" s="18">
        <v>1.3240000000000001</v>
      </c>
      <c r="AA58" s="27"/>
      <c r="AB58" s="69">
        <f t="shared" si="26"/>
        <v>29.760407454404195</v>
      </c>
      <c r="AC58" s="69">
        <f t="shared" si="1"/>
        <v>27.124873925433917</v>
      </c>
      <c r="AD58" s="69">
        <f t="shared" si="2"/>
        <v>4.6330675792427245</v>
      </c>
      <c r="AE58" s="31"/>
      <c r="AF58" s="99">
        <v>8.01</v>
      </c>
      <c r="AG58" s="99">
        <v>-5.5826200000000004</v>
      </c>
      <c r="AH58" s="99">
        <v>0.65549999999999997</v>
      </c>
      <c r="AI58" s="99">
        <v>-0.7349</v>
      </c>
      <c r="AJ58" s="99">
        <v>-0.98440000000000005</v>
      </c>
      <c r="AK58" s="99">
        <v>-2.6989000000000001</v>
      </c>
      <c r="AL58" s="99">
        <v>0.70799999999999996</v>
      </c>
      <c r="AM58" s="99">
        <v>-0.1817</v>
      </c>
      <c r="AN58" s="99">
        <v>-2.0363000000000002</v>
      </c>
      <c r="AO58" s="99">
        <v>-0.54759999999999998</v>
      </c>
      <c r="AQ58" s="50">
        <f t="shared" si="27"/>
        <v>0.13200000000000001</v>
      </c>
      <c r="AR58" s="50">
        <f t="shared" si="29"/>
        <v>0.72028084311321317</v>
      </c>
      <c r="AS58" s="50">
        <f t="shared" si="31"/>
        <v>4.7031111111111102E-3</v>
      </c>
      <c r="AT58" s="50">
        <f t="shared" si="32"/>
        <v>0.4112083333333334</v>
      </c>
      <c r="AU58" s="50">
        <f t="shared" si="28"/>
        <v>5.456673053887978</v>
      </c>
    </row>
    <row r="59" spans="1:47" s="68" customFormat="1" x14ac:dyDescent="0.35">
      <c r="A59" s="68">
        <v>11</v>
      </c>
      <c r="B59" s="28"/>
      <c r="C59" s="68">
        <v>37</v>
      </c>
      <c r="D59" s="68">
        <v>126.7</v>
      </c>
      <c r="E59" s="31">
        <f t="shared" si="30"/>
        <v>4687.8999999999969</v>
      </c>
      <c r="F59" s="69">
        <f t="shared" si="3"/>
        <v>1</v>
      </c>
      <c r="G59" s="25">
        <f t="shared" si="9"/>
        <v>37</v>
      </c>
      <c r="H59" s="31">
        <v>7.96</v>
      </c>
      <c r="I59" s="31">
        <v>2380</v>
      </c>
      <c r="J59" s="31">
        <v>248</v>
      </c>
      <c r="K59" s="27">
        <v>132</v>
      </c>
      <c r="L59" s="27">
        <v>88</v>
      </c>
      <c r="M59" s="186">
        <v>15</v>
      </c>
      <c r="N59" s="31">
        <v>1058</v>
      </c>
      <c r="O59" s="31">
        <v>19</v>
      </c>
      <c r="P59" s="21">
        <v>126.3</v>
      </c>
      <c r="Q59" s="21">
        <v>46.65</v>
      </c>
      <c r="R59" s="21">
        <v>380.1</v>
      </c>
      <c r="S59" s="21">
        <v>18.23</v>
      </c>
      <c r="T59" s="18">
        <v>7.3920000000000003</v>
      </c>
      <c r="U59" s="169">
        <v>0.2</v>
      </c>
      <c r="V59" s="81">
        <v>0.02</v>
      </c>
      <c r="W59" s="81">
        <v>0.02</v>
      </c>
      <c r="X59" s="11">
        <v>0.21199999999999999</v>
      </c>
      <c r="Y59" s="81">
        <v>0.04</v>
      </c>
      <c r="Z59" s="18">
        <v>1.2669999999999999</v>
      </c>
      <c r="AA59" s="27"/>
      <c r="AB59" s="69">
        <f t="shared" si="26"/>
        <v>29.712204248074816</v>
      </c>
      <c r="AC59" s="69">
        <f t="shared" si="1"/>
        <v>26.861072939334353</v>
      </c>
      <c r="AD59" s="69">
        <f t="shared" si="2"/>
        <v>5.0397138905274605</v>
      </c>
      <c r="AE59" s="31"/>
      <c r="AF59" s="99">
        <v>7.96</v>
      </c>
      <c r="AG59" s="99">
        <v>-5.9963800000000003</v>
      </c>
      <c r="AH59" s="99">
        <v>0.621</v>
      </c>
      <c r="AI59" s="99">
        <v>-0.7389</v>
      </c>
      <c r="AJ59" s="99">
        <v>-0.98839999999999995</v>
      </c>
      <c r="AK59" s="99">
        <v>-2.6328</v>
      </c>
      <c r="AL59" s="99">
        <v>0.64359999999999995</v>
      </c>
      <c r="AM59" s="99">
        <v>-0.21840000000000001</v>
      </c>
      <c r="AN59" s="99">
        <v>-2.0362</v>
      </c>
      <c r="AO59" s="99">
        <v>-0.57750000000000001</v>
      </c>
      <c r="AQ59" s="50">
        <f t="shared" si="27"/>
        <v>0.13200000000000001</v>
      </c>
      <c r="AR59" s="50">
        <f t="shared" si="29"/>
        <v>0.71204277845896358</v>
      </c>
      <c r="AS59" s="50">
        <f t="shared" si="31"/>
        <v>4.7031111111111102E-3</v>
      </c>
      <c r="AT59" s="50">
        <f t="shared" si="32"/>
        <v>0.4065052222222223</v>
      </c>
      <c r="AU59" s="50">
        <f t="shared" si="28"/>
        <v>5.3942634731739663</v>
      </c>
    </row>
    <row r="60" spans="1:47" s="68" customFormat="1" x14ac:dyDescent="0.35">
      <c r="A60" s="68">
        <v>11</v>
      </c>
      <c r="B60" s="28">
        <v>43541</v>
      </c>
      <c r="C60" s="68">
        <v>38</v>
      </c>
      <c r="D60" s="68">
        <v>126.7</v>
      </c>
      <c r="E60" s="31">
        <f t="shared" si="30"/>
        <v>4814.5999999999967</v>
      </c>
      <c r="F60" s="69">
        <f t="shared" si="3"/>
        <v>1</v>
      </c>
      <c r="G60" s="25">
        <f t="shared" si="9"/>
        <v>38</v>
      </c>
      <c r="H60" s="31">
        <v>7.9</v>
      </c>
      <c r="I60" s="31">
        <v>2370</v>
      </c>
      <c r="J60" s="31">
        <v>244</v>
      </c>
      <c r="K60" s="27">
        <v>125</v>
      </c>
      <c r="L60" s="27">
        <v>88</v>
      </c>
      <c r="M60" s="186">
        <v>18</v>
      </c>
      <c r="N60" s="68">
        <v>1031</v>
      </c>
      <c r="O60" s="31">
        <v>19</v>
      </c>
      <c r="P60" s="21">
        <v>123.6</v>
      </c>
      <c r="Q60" s="21">
        <v>45.5</v>
      </c>
      <c r="R60" s="21">
        <v>385.5</v>
      </c>
      <c r="S60" s="21">
        <v>18.27</v>
      </c>
      <c r="T60" s="18">
        <v>7.306</v>
      </c>
      <c r="U60" s="169">
        <v>0.2</v>
      </c>
      <c r="V60" s="81">
        <v>0.02</v>
      </c>
      <c r="W60" s="81">
        <v>0.02</v>
      </c>
      <c r="X60" s="11">
        <v>0.217</v>
      </c>
      <c r="Y60" s="81">
        <v>0.04</v>
      </c>
      <c r="Z60" s="18">
        <v>1.2849999999999999</v>
      </c>
      <c r="AA60" s="27"/>
      <c r="AB60" s="69">
        <f t="shared" si="26"/>
        <v>29.118442687759689</v>
      </c>
      <c r="AC60" s="69">
        <f t="shared" si="1"/>
        <v>26.864455275992484</v>
      </c>
      <c r="AD60" s="69">
        <f t="shared" si="2"/>
        <v>4.0262070985082232</v>
      </c>
      <c r="AE60" s="31"/>
      <c r="AF60" s="99">
        <v>7.9</v>
      </c>
      <c r="AG60" s="99">
        <v>-4.7524199999999999</v>
      </c>
      <c r="AH60" s="99">
        <v>0.5514</v>
      </c>
      <c r="AI60" s="99">
        <v>-0.75319999999999998</v>
      </c>
      <c r="AJ60" s="99">
        <v>-1.0026999999999999</v>
      </c>
      <c r="AK60" s="99">
        <v>-2.5775999999999999</v>
      </c>
      <c r="AL60" s="99">
        <v>0.50219999999999998</v>
      </c>
      <c r="AM60" s="99">
        <v>-0.26879999999999998</v>
      </c>
      <c r="AN60" s="99">
        <v>-2.0396000000000001</v>
      </c>
      <c r="AO60" s="99">
        <v>-0.64910000000000001</v>
      </c>
      <c r="AQ60" s="50">
        <f t="shared" si="27"/>
        <v>0.125</v>
      </c>
      <c r="AR60" s="50">
        <f t="shared" si="29"/>
        <v>0.70507989334578947</v>
      </c>
      <c r="AS60" s="50">
        <f t="shared" si="31"/>
        <v>3.9751111111111098E-3</v>
      </c>
      <c r="AT60" s="50">
        <f t="shared" si="32"/>
        <v>0.4025301111111112</v>
      </c>
      <c r="AU60" s="50">
        <f t="shared" si="28"/>
        <v>5.6406391467663157</v>
      </c>
    </row>
    <row r="61" spans="1:47" s="42" customFormat="1" x14ac:dyDescent="0.35">
      <c r="L61" s="27"/>
      <c r="U61" s="87"/>
      <c r="V61" s="87"/>
      <c r="W61" s="87"/>
      <c r="X61" s="87"/>
      <c r="Y61" s="87"/>
      <c r="Z61" s="87"/>
      <c r="AA61" s="87"/>
      <c r="AF61" s="68"/>
      <c r="AG61" s="68"/>
      <c r="AH61" s="68"/>
      <c r="AI61" s="68"/>
      <c r="AJ61" s="68"/>
      <c r="AK61" s="68"/>
      <c r="AL61" s="68"/>
      <c r="AM61" s="68"/>
      <c r="AN61" s="68"/>
      <c r="AO61" s="68"/>
    </row>
    <row r="62" spans="1:47" s="42" customFormat="1" x14ac:dyDescent="0.35"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7" s="31" customFormat="1" x14ac:dyDescent="0.35">
      <c r="A63" s="31">
        <v>11</v>
      </c>
      <c r="C63" s="31" t="s">
        <v>167</v>
      </c>
      <c r="F63" s="25"/>
      <c r="G63" s="25"/>
      <c r="P63" s="21">
        <v>111.5</v>
      </c>
      <c r="Q63" s="21">
        <v>43.32</v>
      </c>
      <c r="R63" s="21">
        <v>174.9</v>
      </c>
      <c r="S63" s="21">
        <v>22.47</v>
      </c>
      <c r="T63" s="21">
        <v>10.02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/>
    </row>
    <row r="64" spans="1:47" s="68" customFormat="1" x14ac:dyDescent="0.35">
      <c r="A64" s="31">
        <v>11</v>
      </c>
      <c r="B64" s="31"/>
      <c r="C64" s="31" t="s">
        <v>168</v>
      </c>
      <c r="D64" s="31"/>
      <c r="E64" s="31"/>
      <c r="F64" s="31"/>
      <c r="G64" s="31"/>
      <c r="P64" s="175">
        <v>96.14</v>
      </c>
      <c r="Q64" s="175">
        <v>38.64</v>
      </c>
      <c r="R64" s="175">
        <v>70.61</v>
      </c>
      <c r="S64" s="175">
        <v>17.64</v>
      </c>
      <c r="T64" s="172">
        <v>6.6859999999999999</v>
      </c>
    </row>
    <row r="65" spans="1:41" s="68" customFormat="1" x14ac:dyDescent="0.35">
      <c r="A65" s="31">
        <v>11</v>
      </c>
      <c r="B65" s="31"/>
      <c r="C65" s="31" t="s">
        <v>169</v>
      </c>
      <c r="D65" s="31"/>
      <c r="E65" s="31"/>
      <c r="F65" s="31"/>
      <c r="G65" s="31"/>
      <c r="P65" s="175">
        <v>114.2</v>
      </c>
      <c r="Q65" s="175">
        <v>45.53</v>
      </c>
      <c r="R65" s="175">
        <v>184</v>
      </c>
      <c r="S65" s="175">
        <v>17.329999999999998</v>
      </c>
      <c r="T65" s="172">
        <v>7.024</v>
      </c>
    </row>
    <row r="66" spans="1:41" s="68" customFormat="1" x14ac:dyDescent="0.35">
      <c r="A66" s="31"/>
      <c r="B66" s="31"/>
      <c r="C66" s="31"/>
      <c r="D66" s="31"/>
      <c r="E66" s="31"/>
      <c r="F66" s="31"/>
      <c r="G66" s="31"/>
      <c r="P66" s="65"/>
      <c r="Q66" s="65"/>
      <c r="R66" s="65"/>
      <c r="S66" s="65"/>
      <c r="T66" s="65"/>
    </row>
    <row r="67" spans="1:41" s="68" customFormat="1" x14ac:dyDescent="0.35">
      <c r="A67" s="31"/>
      <c r="B67" s="31"/>
      <c r="C67" s="31"/>
      <c r="D67" s="31"/>
      <c r="E67" s="31"/>
      <c r="P67" s="65"/>
      <c r="Q67" s="65"/>
      <c r="R67" s="65"/>
      <c r="S67" s="65"/>
      <c r="T67" s="65"/>
    </row>
    <row r="68" spans="1:41" x14ac:dyDescent="0.35">
      <c r="AF68" s="68"/>
      <c r="AG68" s="68"/>
      <c r="AH68" s="68"/>
      <c r="AI68" s="68"/>
      <c r="AJ68" s="68"/>
      <c r="AK68" s="68"/>
      <c r="AL68" s="68"/>
      <c r="AM68" s="68"/>
      <c r="AN68" s="68"/>
      <c r="AO68" s="68"/>
    </row>
    <row r="69" spans="1:41" x14ac:dyDescent="0.35">
      <c r="AF69" s="68"/>
      <c r="AG69" s="68"/>
      <c r="AH69" s="68"/>
      <c r="AI69" s="68"/>
      <c r="AJ69" s="68"/>
      <c r="AK69" s="68"/>
      <c r="AL69" s="68"/>
      <c r="AM69" s="68"/>
      <c r="AN69" s="68"/>
      <c r="AO69" s="68"/>
    </row>
    <row r="70" spans="1:41" x14ac:dyDescent="0.35">
      <c r="AF70" s="42"/>
      <c r="AG70" s="42"/>
      <c r="AH70" s="42"/>
      <c r="AI70" s="42"/>
      <c r="AJ70" s="42"/>
      <c r="AK70" s="42"/>
      <c r="AL70" s="42"/>
      <c r="AM70" s="42"/>
      <c r="AN70" s="42"/>
      <c r="AO70" s="42"/>
    </row>
    <row r="71" spans="1:41" x14ac:dyDescent="0.35">
      <c r="AF71" s="42"/>
      <c r="AG71" s="42"/>
      <c r="AH71" s="42"/>
      <c r="AI71" s="42"/>
      <c r="AJ71" s="42"/>
      <c r="AK71" s="42"/>
      <c r="AL71" s="42"/>
      <c r="AM71" s="42"/>
      <c r="AN71" s="42"/>
      <c r="AO71" s="42"/>
    </row>
    <row r="72" spans="1:41" x14ac:dyDescent="0.35">
      <c r="AF72" s="31"/>
      <c r="AG72" s="31"/>
      <c r="AH72" s="31"/>
      <c r="AI72" s="31"/>
      <c r="AJ72" s="31"/>
      <c r="AK72" s="31"/>
      <c r="AL72" s="31"/>
      <c r="AM72" s="31"/>
      <c r="AN72" s="31"/>
      <c r="AO72" s="31"/>
    </row>
    <row r="73" spans="1:41" x14ac:dyDescent="0.35">
      <c r="AF73" s="68"/>
      <c r="AG73" s="68"/>
      <c r="AH73" s="68"/>
      <c r="AI73" s="68"/>
      <c r="AJ73" s="68"/>
      <c r="AK73" s="68"/>
      <c r="AL73" s="68"/>
      <c r="AM73" s="68"/>
      <c r="AN73" s="68"/>
      <c r="AO73" s="68"/>
    </row>
    <row r="74" spans="1:41" x14ac:dyDescent="0.35">
      <c r="AF74" s="68"/>
      <c r="AG74" s="68"/>
      <c r="AH74" s="68"/>
      <c r="AI74" s="68"/>
      <c r="AJ74" s="68"/>
      <c r="AK74" s="68"/>
      <c r="AL74" s="68"/>
      <c r="AM74" s="68"/>
      <c r="AN74" s="68"/>
      <c r="AO74" s="68"/>
    </row>
    <row r="75" spans="1:41" x14ac:dyDescent="0.35">
      <c r="AF75" s="68"/>
      <c r="AG75" s="68"/>
      <c r="AH75" s="68"/>
      <c r="AI75" s="68"/>
      <c r="AJ75" s="68"/>
      <c r="AK75" s="68"/>
      <c r="AL75" s="68"/>
      <c r="AM75" s="68"/>
      <c r="AN75" s="68"/>
      <c r="AO75" s="68"/>
    </row>
    <row r="76" spans="1:41" x14ac:dyDescent="0.35">
      <c r="AF76" s="68"/>
      <c r="AG76" s="68"/>
      <c r="AH76" s="68"/>
      <c r="AI76" s="68"/>
      <c r="AJ76" s="68"/>
      <c r="AK76" s="68"/>
      <c r="AL76" s="68"/>
      <c r="AM76" s="68"/>
      <c r="AN76" s="68"/>
      <c r="AO76" s="68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U76"/>
  <sheetViews>
    <sheetView zoomScaleNormal="100" workbookViewId="0">
      <selection activeCell="A8" sqref="A8"/>
    </sheetView>
  </sheetViews>
  <sheetFormatPr defaultColWidth="9.1796875" defaultRowHeight="14.5" x14ac:dyDescent="0.35"/>
  <cols>
    <col min="1" max="1" width="9.1796875" style="38"/>
    <col min="2" max="2" width="9.7265625" style="38" bestFit="1" customWidth="1"/>
    <col min="3" max="3" width="9.26953125" style="38" bestFit="1" customWidth="1"/>
    <col min="4" max="4" width="8" style="38" bestFit="1" customWidth="1"/>
    <col min="5" max="5" width="9" style="38" bestFit="1" customWidth="1"/>
    <col min="6" max="6" width="9.453125" style="38" bestFit="1" customWidth="1"/>
    <col min="7" max="7" width="8.453125" style="38" bestFit="1" customWidth="1"/>
    <col min="8" max="8" width="5" style="38" bestFit="1" customWidth="1"/>
    <col min="9" max="9" width="15.7265625" style="38" bestFit="1" customWidth="1"/>
    <col min="10" max="10" width="15.453125" style="38" bestFit="1" customWidth="1"/>
    <col min="11" max="11" width="6.26953125" style="38" bestFit="1" customWidth="1"/>
    <col min="12" max="26" width="6.81640625" style="38" bestFit="1" customWidth="1"/>
    <col min="27" max="27" width="10.54296875" style="38" bestFit="1" customWidth="1"/>
    <col min="28" max="28" width="7.1796875" style="38" bestFit="1" customWidth="1"/>
    <col min="29" max="29" width="7.54296875" style="38" bestFit="1" customWidth="1"/>
    <col min="30" max="30" width="14.54296875" style="38" bestFit="1" customWidth="1"/>
    <col min="31" max="16384" width="9.1796875" style="38"/>
  </cols>
  <sheetData>
    <row r="1" spans="1:47" x14ac:dyDescent="0.35">
      <c r="A1" s="31" t="s">
        <v>46</v>
      </c>
      <c r="B1" s="31"/>
      <c r="C1" s="31"/>
      <c r="D1" s="31"/>
      <c r="E1" s="31"/>
      <c r="F1" s="31"/>
      <c r="G1" s="25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47" x14ac:dyDescent="0.35">
      <c r="A2" s="1"/>
      <c r="B2" s="1"/>
      <c r="C2" s="1"/>
      <c r="D2" s="1"/>
      <c r="E2" s="1"/>
      <c r="F2" s="1"/>
      <c r="G2" s="25"/>
      <c r="H2" s="31"/>
      <c r="I2" s="1"/>
      <c r="J2" s="1"/>
      <c r="K2" s="1"/>
      <c r="L2" s="1"/>
      <c r="M2" s="1"/>
      <c r="N2" s="31"/>
      <c r="O2" s="1"/>
      <c r="P2" s="1"/>
      <c r="Q2" s="1"/>
      <c r="R2" s="1"/>
      <c r="S2" s="1"/>
      <c r="T2" s="1"/>
      <c r="U2" s="1"/>
      <c r="V2" s="1"/>
      <c r="W2" s="1"/>
    </row>
    <row r="3" spans="1:47" x14ac:dyDescent="0.35">
      <c r="A3" s="1" t="s">
        <v>8</v>
      </c>
      <c r="B3" s="1"/>
      <c r="C3" s="1"/>
      <c r="D3" s="1"/>
      <c r="E3" s="1"/>
      <c r="F3" s="1"/>
      <c r="G3" s="2"/>
      <c r="H3" s="1"/>
      <c r="I3" s="1"/>
      <c r="J3" s="1"/>
      <c r="K3" s="1"/>
      <c r="L3" s="1"/>
      <c r="M3" s="1"/>
      <c r="N3" s="31"/>
      <c r="O3" s="1"/>
      <c r="P3" s="1"/>
      <c r="Q3" s="1"/>
      <c r="R3" s="1"/>
      <c r="S3" s="1"/>
      <c r="T3" s="1"/>
      <c r="U3" s="1"/>
      <c r="V3" s="1"/>
      <c r="W3" s="1"/>
    </row>
    <row r="4" spans="1:47" s="42" customFormat="1" x14ac:dyDescent="0.35">
      <c r="A4" s="31" t="s">
        <v>166</v>
      </c>
      <c r="B4" s="31"/>
      <c r="C4" s="31"/>
      <c r="D4" s="31"/>
      <c r="E4" s="31"/>
      <c r="F4" s="31"/>
      <c r="G4" s="25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47" s="42" customFormat="1" x14ac:dyDescent="0.35">
      <c r="A5" s="26" t="s">
        <v>358</v>
      </c>
      <c r="B5" s="68"/>
      <c r="C5" s="68"/>
      <c r="D5" s="68"/>
      <c r="E5" s="68"/>
      <c r="F5" s="68"/>
      <c r="G5" s="69"/>
      <c r="H5" s="68"/>
      <c r="I5" s="68"/>
      <c r="J5" s="68"/>
      <c r="K5" s="68"/>
      <c r="L5" s="68"/>
      <c r="M5" s="68"/>
      <c r="N5" s="31"/>
      <c r="O5" s="68"/>
      <c r="P5" s="68"/>
      <c r="Q5" s="68"/>
      <c r="R5" s="68"/>
      <c r="S5" s="68"/>
      <c r="T5" s="68"/>
      <c r="U5" s="68"/>
      <c r="V5" s="68"/>
      <c r="W5" s="68"/>
    </row>
    <row r="6" spans="1:47" s="42" customFormat="1" x14ac:dyDescent="0.35">
      <c r="AQ6" s="101" t="s">
        <v>254</v>
      </c>
      <c r="AR6" s="101"/>
      <c r="AS6" s="101">
        <v>0.57089999999999996</v>
      </c>
      <c r="AT6" s="101" t="s">
        <v>255</v>
      </c>
      <c r="AU6" s="101"/>
    </row>
    <row r="7" spans="1:47" s="71" customFormat="1" x14ac:dyDescent="0.35">
      <c r="A7" s="31" t="s">
        <v>375</v>
      </c>
      <c r="B7" s="31"/>
      <c r="C7" s="31"/>
      <c r="D7" s="31"/>
      <c r="E7" s="31"/>
      <c r="F7" s="31"/>
      <c r="G7" s="25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F7" s="89" t="s">
        <v>170</v>
      </c>
    </row>
    <row r="8" spans="1:47" s="42" customFormat="1" x14ac:dyDescent="0.35">
      <c r="A8" s="68"/>
      <c r="B8" s="68"/>
      <c r="C8" s="68"/>
      <c r="D8" s="68"/>
      <c r="E8" s="68"/>
      <c r="F8" s="68"/>
      <c r="G8" s="69"/>
      <c r="H8" s="68"/>
      <c r="I8" s="68"/>
      <c r="J8" s="68"/>
      <c r="K8" s="68"/>
      <c r="L8" s="68"/>
      <c r="M8" s="68"/>
      <c r="N8" s="31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Q8" s="101"/>
      <c r="AR8" s="101"/>
      <c r="AS8" s="101"/>
      <c r="AT8" s="101"/>
      <c r="AU8" s="101"/>
    </row>
    <row r="9" spans="1:47" s="68" customFormat="1" x14ac:dyDescent="0.35">
      <c r="A9" s="68" t="s">
        <v>9</v>
      </c>
      <c r="B9" s="68" t="s">
        <v>10</v>
      </c>
      <c r="C9" s="68" t="s">
        <v>11</v>
      </c>
      <c r="D9" s="68" t="s">
        <v>7</v>
      </c>
      <c r="E9" s="68" t="s">
        <v>12</v>
      </c>
      <c r="F9" s="69" t="s">
        <v>13</v>
      </c>
      <c r="G9" s="69" t="s">
        <v>81</v>
      </c>
      <c r="H9" s="68" t="s">
        <v>14</v>
      </c>
      <c r="I9" s="68" t="s">
        <v>15</v>
      </c>
      <c r="J9" s="68" t="s">
        <v>16</v>
      </c>
      <c r="K9" s="68" t="s">
        <v>3</v>
      </c>
      <c r="L9" s="68" t="s">
        <v>31</v>
      </c>
      <c r="M9" s="68" t="s">
        <v>30</v>
      </c>
      <c r="N9" s="68" t="s">
        <v>18</v>
      </c>
      <c r="O9" s="68" t="s">
        <v>17</v>
      </c>
      <c r="P9" s="68" t="s">
        <v>20</v>
      </c>
      <c r="Q9" s="68" t="s">
        <v>19</v>
      </c>
      <c r="R9" s="68" t="s">
        <v>21</v>
      </c>
      <c r="S9" s="68" t="s">
        <v>47</v>
      </c>
      <c r="T9" s="68" t="s">
        <v>24</v>
      </c>
      <c r="U9" s="68" t="s">
        <v>48</v>
      </c>
      <c r="V9" s="68" t="s">
        <v>4</v>
      </c>
      <c r="W9" s="68" t="s">
        <v>22</v>
      </c>
      <c r="X9" s="68" t="s">
        <v>23</v>
      </c>
      <c r="Y9" s="68" t="s">
        <v>25</v>
      </c>
      <c r="Z9" s="68" t="s">
        <v>49</v>
      </c>
      <c r="AA9" s="68" t="s">
        <v>26</v>
      </c>
      <c r="AB9" s="68" t="s">
        <v>123</v>
      </c>
      <c r="AC9" s="68" t="s">
        <v>124</v>
      </c>
      <c r="AD9" s="68" t="s">
        <v>27</v>
      </c>
      <c r="AF9" s="100" t="s">
        <v>171</v>
      </c>
      <c r="AG9" s="100" t="s">
        <v>172</v>
      </c>
      <c r="AH9" s="100" t="s">
        <v>173</v>
      </c>
      <c r="AI9" s="100" t="s">
        <v>174</v>
      </c>
      <c r="AJ9" s="100" t="s">
        <v>175</v>
      </c>
      <c r="AK9" s="100" t="s">
        <v>176</v>
      </c>
      <c r="AL9" s="100" t="s">
        <v>177</v>
      </c>
      <c r="AM9" s="100" t="s">
        <v>178</v>
      </c>
      <c r="AN9" s="100" t="s">
        <v>179</v>
      </c>
      <c r="AO9" s="100" t="s">
        <v>180</v>
      </c>
      <c r="AQ9" s="149" t="s">
        <v>247</v>
      </c>
      <c r="AR9" s="149" t="s">
        <v>248</v>
      </c>
      <c r="AS9" s="149" t="s">
        <v>253</v>
      </c>
      <c r="AT9" s="149" t="s">
        <v>251</v>
      </c>
      <c r="AU9" s="149" t="s">
        <v>245</v>
      </c>
    </row>
    <row r="10" spans="1:47" s="68" customFormat="1" x14ac:dyDescent="0.35">
      <c r="D10" s="68" t="s">
        <v>6</v>
      </c>
      <c r="E10" s="68" t="s">
        <v>6</v>
      </c>
      <c r="F10" s="69"/>
      <c r="G10" s="69"/>
      <c r="I10" s="203" t="s">
        <v>357</v>
      </c>
      <c r="J10" s="68" t="s">
        <v>28</v>
      </c>
      <c r="K10" s="27" t="s">
        <v>352</v>
      </c>
      <c r="L10" s="68" t="s">
        <v>5</v>
      </c>
      <c r="M10" s="68" t="s">
        <v>5</v>
      </c>
      <c r="N10" s="68" t="s">
        <v>5</v>
      </c>
      <c r="O10" s="68" t="s">
        <v>5</v>
      </c>
      <c r="P10" s="68" t="s">
        <v>5</v>
      </c>
      <c r="Q10" s="68" t="s">
        <v>5</v>
      </c>
      <c r="R10" s="68" t="s">
        <v>5</v>
      </c>
      <c r="S10" s="68" t="s">
        <v>5</v>
      </c>
      <c r="T10" s="68" t="s">
        <v>5</v>
      </c>
      <c r="U10" s="68" t="s">
        <v>5</v>
      </c>
      <c r="V10" s="68" t="s">
        <v>5</v>
      </c>
      <c r="W10" s="68" t="s">
        <v>5</v>
      </c>
      <c r="X10" s="68" t="s">
        <v>5</v>
      </c>
      <c r="Y10" s="68" t="s">
        <v>5</v>
      </c>
      <c r="Z10" s="68" t="s">
        <v>5</v>
      </c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Q10" s="149" t="s">
        <v>246</v>
      </c>
      <c r="AR10" s="149" t="s">
        <v>249</v>
      </c>
      <c r="AS10" s="149" t="s">
        <v>252</v>
      </c>
      <c r="AT10" s="149" t="s">
        <v>252</v>
      </c>
      <c r="AU10" s="149" t="s">
        <v>250</v>
      </c>
    </row>
    <row r="11" spans="1:47" s="68" customFormat="1" x14ac:dyDescent="0.35">
      <c r="F11" s="69"/>
      <c r="G11" s="69"/>
      <c r="N11" s="31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Q11" s="149"/>
      <c r="AR11" s="149"/>
      <c r="AS11" s="149"/>
      <c r="AT11" s="149"/>
      <c r="AU11" s="149"/>
    </row>
    <row r="12" spans="1:47" s="68" customFormat="1" x14ac:dyDescent="0.35">
      <c r="A12" s="68" t="s">
        <v>56</v>
      </c>
      <c r="F12" s="69"/>
      <c r="G12" s="69"/>
      <c r="H12" s="15">
        <v>7.4</v>
      </c>
      <c r="I12" s="165">
        <f>'Influent Results Master'!D50</f>
        <v>1649.1666666666665</v>
      </c>
      <c r="J12" s="70">
        <f>'Influent Results Master'!F50</f>
        <v>321.75</v>
      </c>
      <c r="K12" s="165">
        <f>'Influent Results Master'!G50</f>
        <v>287.41666666666669</v>
      </c>
      <c r="L12" s="165">
        <f>'Influent Results Master'!H50</f>
        <v>46.75</v>
      </c>
      <c r="M12" s="165">
        <f>'Influent Results Master'!I50</f>
        <v>22.083333333333332</v>
      </c>
      <c r="N12" s="165">
        <f>'Influent Results Master'!J50</f>
        <v>613.41666666666663</v>
      </c>
      <c r="O12" s="165">
        <f>'Influent Results Master'!K50</f>
        <v>26.833333333333336</v>
      </c>
      <c r="P12" s="165">
        <f>'Influent Results Master'!L50</f>
        <v>151.75833333333333</v>
      </c>
      <c r="Q12" s="165">
        <f>'Influent Results Master'!M50</f>
        <v>61.764166666666668</v>
      </c>
      <c r="R12" s="165">
        <f>'Influent Results Master'!N50</f>
        <v>203.15</v>
      </c>
      <c r="S12" s="165">
        <f>'Influent Results Master'!O50</f>
        <v>23.238333333333333</v>
      </c>
      <c r="T12" s="170">
        <f>'Influent Results Master'!P50</f>
        <v>6.3825000000000003</v>
      </c>
      <c r="U12" s="171">
        <f>'Influent Results Master'!Q50</f>
        <v>0.2</v>
      </c>
      <c r="V12" s="176">
        <f>'Influent Results Master'!R50</f>
        <v>4.3250000000000004E-2</v>
      </c>
      <c r="W12" s="177">
        <f>'Influent Results Master'!S50</f>
        <v>0.02</v>
      </c>
      <c r="X12" s="176">
        <f>'Influent Results Master'!T50</f>
        <v>3.9333333333333338E-2</v>
      </c>
      <c r="Y12" s="177">
        <f>'Influent Results Master'!U50</f>
        <v>0.04</v>
      </c>
      <c r="Z12" s="170">
        <f>'Influent Results Master'!V50</f>
        <v>1.3765833333333335</v>
      </c>
      <c r="AB12" s="69">
        <f>((J12/50)+(L12/35.45)+(M12/62)+(N12/48.03))</f>
        <v>20.881473292519541</v>
      </c>
      <c r="AC12" s="69">
        <f>((P12/20.04)+(Q12/12.16)+(R12/22.99)+(T12/39.1))</f>
        <v>21.651747071174306</v>
      </c>
      <c r="AD12" s="69">
        <f>ABS((AB12-AC12)/(AB12+AC12)*100)</f>
        <v>1.8109933178543591</v>
      </c>
      <c r="AF12" s="100">
        <v>7.4</v>
      </c>
      <c r="AG12" s="100">
        <v>2.1685300000000001</v>
      </c>
      <c r="AH12" s="100">
        <v>0.35139999999999999</v>
      </c>
      <c r="AI12" s="100">
        <v>-0.80889999999999995</v>
      </c>
      <c r="AJ12" s="100">
        <v>-1.0584</v>
      </c>
      <c r="AK12" s="100">
        <v>-1.9487000000000001</v>
      </c>
      <c r="AL12" s="100">
        <v>0.14050000000000001</v>
      </c>
      <c r="AM12" s="100">
        <v>-1.2937000000000001</v>
      </c>
      <c r="AN12" s="100">
        <v>-1.5371999999999999</v>
      </c>
      <c r="AO12" s="100">
        <v>-0.81089999999999995</v>
      </c>
      <c r="AQ12" s="50">
        <f>K12/1000</f>
        <v>0.28741666666666671</v>
      </c>
      <c r="AR12" s="50">
        <f>(0.59-0.36)</f>
        <v>0.22999999999999998</v>
      </c>
      <c r="AS12" s="50"/>
      <c r="AT12" s="50">
        <f>AS6*AR12</f>
        <v>0.13130699999999998</v>
      </c>
      <c r="AU12" s="50">
        <f>AR12/AQ12</f>
        <v>0.80023195129022884</v>
      </c>
    </row>
    <row r="13" spans="1:47" s="68" customFormat="1" x14ac:dyDescent="0.35">
      <c r="F13" s="69"/>
      <c r="G13" s="69"/>
      <c r="M13" s="65"/>
      <c r="N13" s="27"/>
      <c r="O13" s="65"/>
      <c r="P13" s="65"/>
      <c r="Q13" s="65"/>
      <c r="R13" s="67"/>
      <c r="S13" s="67"/>
      <c r="T13" s="67"/>
      <c r="U13" s="67"/>
      <c r="V13" s="65"/>
      <c r="W13" s="66"/>
      <c r="X13" s="67"/>
      <c r="Y13" s="65"/>
      <c r="AB13" s="69"/>
      <c r="AC13" s="69"/>
      <c r="AD13" s="69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Q13" s="50"/>
      <c r="AR13" s="50"/>
      <c r="AS13" s="50"/>
      <c r="AT13" s="50"/>
      <c r="AU13" s="50"/>
    </row>
    <row r="14" spans="1:47" s="68" customFormat="1" x14ac:dyDescent="0.35">
      <c r="A14" s="68">
        <v>12</v>
      </c>
      <c r="B14" s="10">
        <v>43536</v>
      </c>
      <c r="C14" s="68">
        <v>1</v>
      </c>
      <c r="D14" s="68">
        <v>106.4</v>
      </c>
      <c r="E14" s="68">
        <v>106.4</v>
      </c>
      <c r="F14" s="69">
        <f>D14/106.4</f>
        <v>1</v>
      </c>
      <c r="G14" s="69">
        <v>1</v>
      </c>
      <c r="H14" s="31">
        <v>7.72</v>
      </c>
      <c r="I14" s="31">
        <v>3790</v>
      </c>
      <c r="J14" s="31">
        <v>348</v>
      </c>
      <c r="K14" s="31">
        <v>477</v>
      </c>
      <c r="L14" s="31">
        <v>120</v>
      </c>
      <c r="M14" s="27">
        <v>28</v>
      </c>
      <c r="N14" s="31">
        <v>2050</v>
      </c>
      <c r="O14" s="31">
        <v>81</v>
      </c>
      <c r="P14" s="21">
        <v>366.8</v>
      </c>
      <c r="Q14" s="21">
        <v>127</v>
      </c>
      <c r="R14" s="21">
        <v>586.6</v>
      </c>
      <c r="S14" s="21">
        <v>23.53</v>
      </c>
      <c r="T14" s="21">
        <v>21.06</v>
      </c>
      <c r="U14" s="169">
        <v>0.2</v>
      </c>
      <c r="V14" s="11">
        <v>0.52900000000000003</v>
      </c>
      <c r="W14" s="81">
        <v>0.02</v>
      </c>
      <c r="X14" s="11">
        <v>0.314</v>
      </c>
      <c r="Y14" s="26">
        <v>0.04</v>
      </c>
      <c r="Z14" s="27">
        <v>2.9670000000000001</v>
      </c>
      <c r="AA14" s="31"/>
      <c r="AB14" s="69">
        <f t="shared" ref="AB14:AB20" si="0">((J14/50)+(L14/35.45)+(M14/62)+(N14/48.03))</f>
        <v>53.478319566051425</v>
      </c>
      <c r="AC14" s="69">
        <f t="shared" ref="AC14:AC60" si="1">((P14/20.04)+(Q14/12.16)+(R14/22.99)+(T14/39.1))</f>
        <v>54.801532583075222</v>
      </c>
      <c r="AD14" s="69">
        <f t="shared" ref="AD14:AD60" si="2">ABS((AB14-AC14)/(AB14+AC14)*100)</f>
        <v>1.2220306832349783</v>
      </c>
      <c r="AF14" s="100">
        <v>7.72</v>
      </c>
      <c r="AG14" s="100">
        <v>1.30183</v>
      </c>
      <c r="AH14" s="100">
        <v>0.85850000000000004</v>
      </c>
      <c r="AI14" s="100">
        <v>-0.21970000000000001</v>
      </c>
      <c r="AJ14" s="100">
        <v>-0.46870000000000001</v>
      </c>
      <c r="AK14" s="100">
        <v>-2.2759</v>
      </c>
      <c r="AL14" s="100">
        <v>1.0947</v>
      </c>
      <c r="AM14" s="100">
        <v>-0.312</v>
      </c>
      <c r="AN14" s="100">
        <v>-0.32440000000000002</v>
      </c>
      <c r="AO14" s="100">
        <v>-0.36380000000000001</v>
      </c>
      <c r="AQ14" s="50">
        <f>K14/1000</f>
        <v>0.47699999999999998</v>
      </c>
      <c r="AR14" s="50">
        <f>AT14/($AS$6)</f>
        <v>0.19466690021603317</v>
      </c>
      <c r="AS14" s="50">
        <f>(AQ14-$AQ$12)*0.1064</f>
        <v>2.0171666666666661E-2</v>
      </c>
      <c r="AT14" s="50">
        <f>AT12-AS14</f>
        <v>0.11113533333333332</v>
      </c>
      <c r="AU14" s="50">
        <f>AR14/AQ14</f>
        <v>0.40810670904828755</v>
      </c>
    </row>
    <row r="15" spans="1:47" s="68" customFormat="1" x14ac:dyDescent="0.35">
      <c r="A15" s="68">
        <v>12</v>
      </c>
      <c r="B15" s="10"/>
      <c r="C15" s="31">
        <v>2</v>
      </c>
      <c r="D15" s="31">
        <v>106.4</v>
      </c>
      <c r="E15" s="31">
        <f>D15+E14</f>
        <v>212.8</v>
      </c>
      <c r="F15" s="69">
        <f t="shared" ref="F15:F60" si="3">D15/106.4</f>
        <v>1</v>
      </c>
      <c r="G15" s="25">
        <f>G14+F15</f>
        <v>2</v>
      </c>
      <c r="H15" s="25">
        <v>7.92</v>
      </c>
      <c r="I15" s="31">
        <v>1898</v>
      </c>
      <c r="J15" s="31">
        <v>330</v>
      </c>
      <c r="K15" s="31">
        <v>391</v>
      </c>
      <c r="L15" s="31">
        <v>47</v>
      </c>
      <c r="M15" s="27">
        <v>22</v>
      </c>
      <c r="N15" s="31">
        <v>700</v>
      </c>
      <c r="O15" s="31">
        <v>27</v>
      </c>
      <c r="P15" s="21">
        <v>149.5</v>
      </c>
      <c r="Q15" s="21">
        <v>49.9</v>
      </c>
      <c r="R15" s="21">
        <v>202.4</v>
      </c>
      <c r="S15" s="21">
        <v>21.03</v>
      </c>
      <c r="T15" s="21">
        <v>12.96</v>
      </c>
      <c r="U15" s="169">
        <v>0.2</v>
      </c>
      <c r="V15" s="11">
        <v>0.223</v>
      </c>
      <c r="W15" s="81">
        <v>0.02</v>
      </c>
      <c r="X15" s="11">
        <v>0.187</v>
      </c>
      <c r="Y15" s="26">
        <v>0.04</v>
      </c>
      <c r="Z15" s="27">
        <v>1.732</v>
      </c>
      <c r="AA15" s="31"/>
      <c r="AB15" s="69">
        <f t="shared" si="0"/>
        <v>22.854874154144277</v>
      </c>
      <c r="AC15" s="69">
        <f t="shared" si="1"/>
        <v>20.698983813079675</v>
      </c>
      <c r="AD15" s="69">
        <f t="shared" si="2"/>
        <v>4.9499411571920842</v>
      </c>
      <c r="AF15" s="100">
        <v>7.92</v>
      </c>
      <c r="AG15" s="100">
        <v>-5.7443400000000002</v>
      </c>
      <c r="AH15" s="100">
        <v>0.84670000000000001</v>
      </c>
      <c r="AI15" s="100">
        <v>-0.77010000000000001</v>
      </c>
      <c r="AJ15" s="100">
        <v>-1.0197000000000001</v>
      </c>
      <c r="AK15" s="100">
        <v>-2.4649000000000001</v>
      </c>
      <c r="AL15" s="100">
        <v>1.0476000000000001</v>
      </c>
      <c r="AM15" s="100">
        <v>-0.1086</v>
      </c>
      <c r="AN15" s="100">
        <v>-0.8216</v>
      </c>
      <c r="AO15" s="100">
        <v>-0.39910000000000001</v>
      </c>
      <c r="AQ15" s="50">
        <f t="shared" ref="AQ15:AQ20" si="4">K15/1000</f>
        <v>0.39100000000000001</v>
      </c>
      <c r="AR15" s="50">
        <f t="shared" ref="AR15:AR20" si="5">AT15/($AS$6)</f>
        <v>0.175361826356046</v>
      </c>
      <c r="AS15" s="50">
        <f t="shared" ref="AS15:AS20" si="6">(AQ15-$AQ$12)*0.1064</f>
        <v>1.1021266666666663E-2</v>
      </c>
      <c r="AT15" s="50">
        <f>AT14-AS15</f>
        <v>0.10011406666666665</v>
      </c>
      <c r="AU15" s="50">
        <f t="shared" ref="AU15:AU20" si="7">AR15/AQ15</f>
        <v>0.4484957195806803</v>
      </c>
    </row>
    <row r="16" spans="1:47" s="68" customFormat="1" x14ac:dyDescent="0.35">
      <c r="A16" s="68">
        <v>12</v>
      </c>
      <c r="B16" s="10"/>
      <c r="C16" s="68">
        <v>3</v>
      </c>
      <c r="D16" s="31">
        <v>106.4</v>
      </c>
      <c r="E16" s="31">
        <f t="shared" ref="E16:E20" si="8">D16+E15</f>
        <v>319.20000000000005</v>
      </c>
      <c r="F16" s="69">
        <f t="shared" si="3"/>
        <v>1</v>
      </c>
      <c r="G16" s="25">
        <f t="shared" ref="G16:G20" si="9">G15+F16</f>
        <v>3</v>
      </c>
      <c r="H16" s="31">
        <v>7.9</v>
      </c>
      <c r="I16" s="31">
        <v>1745</v>
      </c>
      <c r="J16" s="31">
        <v>325</v>
      </c>
      <c r="K16" s="27">
        <v>323</v>
      </c>
      <c r="L16" s="27">
        <v>45</v>
      </c>
      <c r="M16" s="27">
        <v>23</v>
      </c>
      <c r="N16" s="31">
        <v>611</v>
      </c>
      <c r="O16" s="31">
        <v>24</v>
      </c>
      <c r="P16" s="21">
        <v>143.19999999999999</v>
      </c>
      <c r="Q16" s="21">
        <v>49.19</v>
      </c>
      <c r="R16" s="21">
        <v>177.6</v>
      </c>
      <c r="S16" s="21">
        <v>21.2</v>
      </c>
      <c r="T16" s="21">
        <v>12.3</v>
      </c>
      <c r="U16" s="169">
        <v>0.2</v>
      </c>
      <c r="V16" s="11">
        <v>0.112</v>
      </c>
      <c r="W16" s="81">
        <v>0.02</v>
      </c>
      <c r="X16" s="11">
        <v>0.20200000000000001</v>
      </c>
      <c r="Y16" s="26">
        <v>0.04</v>
      </c>
      <c r="Z16" s="27">
        <v>1.6859999999999999</v>
      </c>
      <c r="AA16" s="31"/>
      <c r="AB16" s="69">
        <f t="shared" si="0"/>
        <v>20.861577160649162</v>
      </c>
      <c r="AC16" s="69">
        <f t="shared" si="1"/>
        <v>19.230614719745851</v>
      </c>
      <c r="AD16" s="69">
        <f t="shared" si="2"/>
        <v>4.0680301186048329</v>
      </c>
      <c r="AF16" s="100">
        <v>7.9</v>
      </c>
      <c r="AG16" s="100">
        <v>-4.8826499999999999</v>
      </c>
      <c r="AH16" s="100">
        <v>0.82330000000000003</v>
      </c>
      <c r="AI16" s="100">
        <v>-0.82189999999999996</v>
      </c>
      <c r="AJ16" s="100">
        <v>-1.0714999999999999</v>
      </c>
      <c r="AK16" s="100">
        <v>-2.4487999999999999</v>
      </c>
      <c r="AL16" s="100">
        <v>1.0118</v>
      </c>
      <c r="AM16" s="100">
        <v>-9.0200000000000002E-2</v>
      </c>
      <c r="AN16" s="100">
        <v>-1.1117999999999999</v>
      </c>
      <c r="AO16" s="100">
        <v>-0.41149999999999998</v>
      </c>
      <c r="AQ16" s="50">
        <f t="shared" si="4"/>
        <v>0.32300000000000001</v>
      </c>
      <c r="AR16" s="50">
        <f t="shared" si="5"/>
        <v>0.16873007531967071</v>
      </c>
      <c r="AS16" s="50">
        <f t="shared" si="6"/>
        <v>3.7860666666666631E-3</v>
      </c>
      <c r="AT16" s="50">
        <f t="shared" ref="AT16:AT20" si="10">AT15-AS16</f>
        <v>9.6327999999999997E-2</v>
      </c>
      <c r="AU16" s="50">
        <f t="shared" si="7"/>
        <v>0.52238413411662754</v>
      </c>
    </row>
    <row r="17" spans="1:47" s="68" customFormat="1" x14ac:dyDescent="0.35">
      <c r="A17" s="68">
        <v>12</v>
      </c>
      <c r="B17" s="10"/>
      <c r="C17" s="68">
        <v>4</v>
      </c>
      <c r="D17" s="31">
        <v>106.4</v>
      </c>
      <c r="E17" s="31">
        <f t="shared" si="8"/>
        <v>425.6</v>
      </c>
      <c r="F17" s="69">
        <f t="shared" si="3"/>
        <v>1</v>
      </c>
      <c r="G17" s="25">
        <f t="shared" si="9"/>
        <v>4</v>
      </c>
      <c r="H17" s="31">
        <v>7.8</v>
      </c>
      <c r="I17" s="31">
        <v>1735</v>
      </c>
      <c r="J17" s="31">
        <v>328</v>
      </c>
      <c r="K17" s="27">
        <v>320</v>
      </c>
      <c r="L17" s="27">
        <v>45</v>
      </c>
      <c r="M17" s="27">
        <v>23</v>
      </c>
      <c r="N17" s="31">
        <v>605</v>
      </c>
      <c r="O17" s="31">
        <v>23</v>
      </c>
      <c r="P17" s="21">
        <v>138.4</v>
      </c>
      <c r="Q17" s="21">
        <v>48.65</v>
      </c>
      <c r="R17" s="21">
        <v>170.7</v>
      </c>
      <c r="S17" s="21">
        <v>20.8</v>
      </c>
      <c r="T17" s="21">
        <v>11.98</v>
      </c>
      <c r="U17" s="169">
        <v>0.2</v>
      </c>
      <c r="V17" s="33">
        <v>9.4E-2</v>
      </c>
      <c r="W17" s="81">
        <v>0.02</v>
      </c>
      <c r="X17" s="11">
        <v>0.21</v>
      </c>
      <c r="Y17" s="26">
        <v>0.04</v>
      </c>
      <c r="Z17" s="27">
        <v>1.6970000000000001</v>
      </c>
      <c r="AA17" s="31"/>
      <c r="AB17" s="69">
        <f t="shared" si="0"/>
        <v>20.796655236851535</v>
      </c>
      <c r="AC17" s="69">
        <f t="shared" si="1"/>
        <v>18.638371232184625</v>
      </c>
      <c r="AD17" s="69">
        <f t="shared" si="2"/>
        <v>5.4730126943405644</v>
      </c>
      <c r="AF17" s="100">
        <v>7.8</v>
      </c>
      <c r="AG17" s="100">
        <v>-6.4752700000000001</v>
      </c>
      <c r="AH17" s="100">
        <v>0.71789999999999998</v>
      </c>
      <c r="AI17" s="100">
        <v>-0.8357</v>
      </c>
      <c r="AJ17" s="100">
        <v>-1.0852999999999999</v>
      </c>
      <c r="AK17" s="100">
        <v>-2.3412999999999999</v>
      </c>
      <c r="AL17" s="100">
        <v>0.81089999999999995</v>
      </c>
      <c r="AM17" s="100">
        <v>-0.15959999999999999</v>
      </c>
      <c r="AN17" s="100">
        <v>-1.1993</v>
      </c>
      <c r="AO17" s="100">
        <v>-0.5071</v>
      </c>
      <c r="AQ17" s="50">
        <f t="shared" si="4"/>
        <v>0.32</v>
      </c>
      <c r="AR17" s="50">
        <f t="shared" si="5"/>
        <v>0.16265744146669003</v>
      </c>
      <c r="AS17" s="50">
        <f t="shared" si="6"/>
        <v>3.4668666666666627E-3</v>
      </c>
      <c r="AT17" s="50">
        <f t="shared" si="10"/>
        <v>9.2861133333333332E-2</v>
      </c>
      <c r="AU17" s="50">
        <f t="shared" si="7"/>
        <v>0.50830450458340637</v>
      </c>
    </row>
    <row r="18" spans="1:47" s="68" customFormat="1" x14ac:dyDescent="0.35">
      <c r="A18" s="68">
        <v>12</v>
      </c>
      <c r="B18" s="10"/>
      <c r="C18" s="68">
        <v>5</v>
      </c>
      <c r="D18" s="31">
        <v>106.4</v>
      </c>
      <c r="E18" s="31">
        <f t="shared" si="8"/>
        <v>532</v>
      </c>
      <c r="F18" s="69">
        <f t="shared" si="3"/>
        <v>1</v>
      </c>
      <c r="G18" s="25">
        <f t="shared" si="9"/>
        <v>5</v>
      </c>
      <c r="H18" s="31">
        <v>7.73</v>
      </c>
      <c r="I18" s="31">
        <v>1721</v>
      </c>
      <c r="J18" s="31">
        <v>330</v>
      </c>
      <c r="K18" s="27">
        <v>306</v>
      </c>
      <c r="L18" s="27">
        <v>46</v>
      </c>
      <c r="M18" s="27">
        <v>23</v>
      </c>
      <c r="N18" s="31">
        <v>609</v>
      </c>
      <c r="O18" s="31">
        <v>23</v>
      </c>
      <c r="P18" s="21">
        <v>139.1</v>
      </c>
      <c r="Q18" s="21">
        <v>49.72</v>
      </c>
      <c r="R18" s="21">
        <v>172.1</v>
      </c>
      <c r="S18" s="21">
        <v>20.94</v>
      </c>
      <c r="T18" s="21">
        <v>12.3</v>
      </c>
      <c r="U18" s="169">
        <v>0.2</v>
      </c>
      <c r="V18" s="33">
        <v>8.3000000000000004E-2</v>
      </c>
      <c r="W18" s="81">
        <v>0.02</v>
      </c>
      <c r="X18" s="11">
        <v>0.20899999999999999</v>
      </c>
      <c r="Y18" s="26">
        <v>0.04</v>
      </c>
      <c r="Z18" s="27">
        <v>1.706</v>
      </c>
      <c r="AA18" s="31"/>
      <c r="AB18" s="69">
        <f t="shared" si="0"/>
        <v>20.948145264094148</v>
      </c>
      <c r="AC18" s="69">
        <f t="shared" si="1"/>
        <v>18.830374977937602</v>
      </c>
      <c r="AD18" s="69">
        <f t="shared" si="2"/>
        <v>5.3239041404029299</v>
      </c>
      <c r="AF18" s="100">
        <v>7.73</v>
      </c>
      <c r="AG18" s="100">
        <v>-6.2800500000000001</v>
      </c>
      <c r="AH18" s="100">
        <v>0.65339999999999998</v>
      </c>
      <c r="AI18" s="100">
        <v>-0.8327</v>
      </c>
      <c r="AJ18" s="100">
        <v>-1.0824</v>
      </c>
      <c r="AK18" s="100">
        <v>-2.2673999999999999</v>
      </c>
      <c r="AL18" s="100">
        <v>0.68879999999999997</v>
      </c>
      <c r="AM18" s="100">
        <v>-0.22720000000000001</v>
      </c>
      <c r="AN18" s="100">
        <v>-1.2526999999999999</v>
      </c>
      <c r="AO18" s="100">
        <v>-0.5645</v>
      </c>
      <c r="AQ18" s="50">
        <f t="shared" si="4"/>
        <v>0.30599999999999999</v>
      </c>
      <c r="AR18" s="50">
        <f t="shared" si="5"/>
        <v>0.15919402113621769</v>
      </c>
      <c r="AS18" s="50">
        <f t="shared" si="6"/>
        <v>1.9772666666666616E-3</v>
      </c>
      <c r="AT18" s="50">
        <f t="shared" si="10"/>
        <v>9.0883866666666674E-2</v>
      </c>
      <c r="AU18" s="50">
        <f t="shared" si="7"/>
        <v>0.52024189913796637</v>
      </c>
    </row>
    <row r="19" spans="1:47" s="68" customFormat="1" x14ac:dyDescent="0.35">
      <c r="A19" s="68">
        <v>12</v>
      </c>
      <c r="B19" s="10"/>
      <c r="C19" s="68">
        <v>6</v>
      </c>
      <c r="D19" s="31">
        <v>106.4</v>
      </c>
      <c r="E19" s="31">
        <f t="shared" si="8"/>
        <v>638.4</v>
      </c>
      <c r="F19" s="69">
        <f t="shared" si="3"/>
        <v>1</v>
      </c>
      <c r="G19" s="25">
        <f t="shared" si="9"/>
        <v>6</v>
      </c>
      <c r="H19" s="25">
        <v>7.68</v>
      </c>
      <c r="I19" s="31">
        <v>1713</v>
      </c>
      <c r="J19" s="31">
        <v>330</v>
      </c>
      <c r="K19" s="27">
        <v>310</v>
      </c>
      <c r="L19" s="27">
        <v>46</v>
      </c>
      <c r="M19" s="27">
        <v>23</v>
      </c>
      <c r="N19" s="31">
        <v>598</v>
      </c>
      <c r="O19" s="31">
        <v>22</v>
      </c>
      <c r="P19" s="21">
        <v>138.30000000000001</v>
      </c>
      <c r="Q19" s="21">
        <v>49.4</v>
      </c>
      <c r="R19" s="21">
        <v>174</v>
      </c>
      <c r="S19" s="21">
        <v>20.32</v>
      </c>
      <c r="T19" s="21">
        <v>12.02</v>
      </c>
      <c r="U19" s="169">
        <v>0.2</v>
      </c>
      <c r="V19" s="33">
        <v>7.9000000000000001E-2</v>
      </c>
      <c r="W19" s="81">
        <v>0.02</v>
      </c>
      <c r="X19" s="11">
        <v>0.21</v>
      </c>
      <c r="Y19" s="26">
        <v>0.04</v>
      </c>
      <c r="Z19" s="27">
        <v>1.7130000000000001</v>
      </c>
      <c r="AA19" s="31"/>
      <c r="AB19" s="69">
        <f t="shared" si="0"/>
        <v>20.719121737131832</v>
      </c>
      <c r="AC19" s="69">
        <f t="shared" si="1"/>
        <v>18.839622531562764</v>
      </c>
      <c r="AD19" s="69">
        <f t="shared" si="2"/>
        <v>4.751159927633088</v>
      </c>
      <c r="AF19" s="100">
        <v>7.68</v>
      </c>
      <c r="AG19" s="100">
        <v>-5.6027399999999998</v>
      </c>
      <c r="AH19" s="100">
        <v>0.60440000000000005</v>
      </c>
      <c r="AI19" s="100">
        <v>-0.84019999999999995</v>
      </c>
      <c r="AJ19" s="100">
        <v>-1.0898000000000001</v>
      </c>
      <c r="AK19" s="100">
        <v>-2.2162999999999999</v>
      </c>
      <c r="AL19" s="100">
        <v>0.59040000000000004</v>
      </c>
      <c r="AM19" s="100">
        <v>-0.27400000000000002</v>
      </c>
      <c r="AN19" s="100">
        <v>-1.1711</v>
      </c>
      <c r="AO19" s="100">
        <v>-0.61409999999999998</v>
      </c>
      <c r="AQ19" s="50">
        <f t="shared" si="4"/>
        <v>0.31</v>
      </c>
      <c r="AR19" s="50">
        <f t="shared" si="5"/>
        <v>0.15498511122788583</v>
      </c>
      <c r="AS19" s="50">
        <f t="shared" si="6"/>
        <v>2.4028666666666616E-3</v>
      </c>
      <c r="AT19" s="50">
        <f t="shared" si="10"/>
        <v>8.8481000000000018E-2</v>
      </c>
      <c r="AU19" s="50">
        <f t="shared" si="7"/>
        <v>0.49995197170285754</v>
      </c>
    </row>
    <row r="20" spans="1:47" s="68" customFormat="1" x14ac:dyDescent="0.35">
      <c r="A20" s="68">
        <v>12</v>
      </c>
      <c r="B20" s="10">
        <v>43537</v>
      </c>
      <c r="C20" s="68">
        <v>7</v>
      </c>
      <c r="D20" s="31">
        <v>106.4</v>
      </c>
      <c r="E20" s="31">
        <f t="shared" si="8"/>
        <v>744.8</v>
      </c>
      <c r="F20" s="69">
        <f t="shared" si="3"/>
        <v>1</v>
      </c>
      <c r="G20" s="25">
        <f t="shared" si="9"/>
        <v>7</v>
      </c>
      <c r="H20" s="31">
        <v>8.0500000000000007</v>
      </c>
      <c r="I20" s="31">
        <v>1734</v>
      </c>
      <c r="J20" s="31">
        <v>329</v>
      </c>
      <c r="K20" s="27">
        <v>299</v>
      </c>
      <c r="L20" s="31">
        <v>46</v>
      </c>
      <c r="M20" s="27">
        <v>23</v>
      </c>
      <c r="N20" s="31">
        <v>624</v>
      </c>
      <c r="O20" s="31">
        <v>22</v>
      </c>
      <c r="P20" s="165">
        <v>134.19999999999999</v>
      </c>
      <c r="Q20" s="165">
        <v>48.93</v>
      </c>
      <c r="R20" s="165">
        <v>176.4</v>
      </c>
      <c r="S20" s="165">
        <v>21.29</v>
      </c>
      <c r="T20" s="165">
        <v>12.05</v>
      </c>
      <c r="U20" s="169">
        <v>0.2</v>
      </c>
      <c r="V20" s="68">
        <v>7.5999999999999998E-2</v>
      </c>
      <c r="W20" s="81">
        <v>0.02</v>
      </c>
      <c r="X20" s="163">
        <v>0.18099999999999999</v>
      </c>
      <c r="Y20" s="26">
        <v>0.04</v>
      </c>
      <c r="Z20" s="68">
        <v>1.69</v>
      </c>
      <c r="AA20" s="31"/>
      <c r="AB20" s="69">
        <f t="shared" si="0"/>
        <v>21.240450073588214</v>
      </c>
      <c r="AC20" s="69">
        <f t="shared" si="1"/>
        <v>18.701540875278184</v>
      </c>
      <c r="AD20" s="69">
        <f t="shared" si="2"/>
        <v>6.356491346563903</v>
      </c>
      <c r="AF20" s="100">
        <v>8.0500000000000007</v>
      </c>
      <c r="AG20" s="100">
        <v>-7.5039300000000004</v>
      </c>
      <c r="AH20" s="100">
        <v>0.94179999999999997</v>
      </c>
      <c r="AI20" s="100">
        <v>-0.84079999999999999</v>
      </c>
      <c r="AJ20" s="100">
        <v>-1.0904</v>
      </c>
      <c r="AK20" s="100">
        <v>-2.5972</v>
      </c>
      <c r="AL20" s="100">
        <v>1.2759</v>
      </c>
      <c r="AM20" s="100">
        <v>1.5800000000000002E-2</v>
      </c>
      <c r="AN20" s="100">
        <v>-1.3129999999999999</v>
      </c>
      <c r="AO20" s="100">
        <v>-0.26590000000000003</v>
      </c>
      <c r="AQ20" s="50">
        <f t="shared" si="4"/>
        <v>0.29899999999999999</v>
      </c>
      <c r="AR20" s="50">
        <f t="shared" si="5"/>
        <v>0.15282629765866765</v>
      </c>
      <c r="AS20" s="50">
        <f t="shared" si="6"/>
        <v>1.2324666666666609E-3</v>
      </c>
      <c r="AT20" s="50">
        <f t="shared" si="10"/>
        <v>8.724853333333335E-2</v>
      </c>
      <c r="AU20" s="50">
        <f t="shared" si="7"/>
        <v>0.51112474133333663</v>
      </c>
    </row>
    <row r="21" spans="1:47" s="68" customFormat="1" x14ac:dyDescent="0.35">
      <c r="B21" s="10"/>
      <c r="E21" s="31"/>
      <c r="F21" s="69"/>
      <c r="G21" s="25"/>
      <c r="K21" s="27"/>
      <c r="L21" s="27"/>
      <c r="N21" s="31"/>
      <c r="P21" s="165"/>
      <c r="Q21" s="165"/>
      <c r="R21" s="192"/>
      <c r="S21" s="192"/>
      <c r="T21" s="13"/>
      <c r="U21" s="11"/>
      <c r="V21" s="15"/>
      <c r="W21" s="70"/>
      <c r="X21" s="16"/>
      <c r="AB21" s="69"/>
      <c r="AC21" s="69"/>
      <c r="AD21" s="69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Q21" s="50"/>
      <c r="AR21" s="50"/>
      <c r="AS21" s="50"/>
      <c r="AT21" s="50"/>
      <c r="AU21" s="50"/>
    </row>
    <row r="22" spans="1:47" s="68" customFormat="1" x14ac:dyDescent="0.35">
      <c r="A22" s="68" t="s">
        <v>164</v>
      </c>
      <c r="F22" s="69"/>
      <c r="G22" s="69"/>
      <c r="H22" s="15">
        <v>8.1999999999999993</v>
      </c>
      <c r="I22" s="165">
        <f>'Influent Results Master'!D53</f>
        <v>959</v>
      </c>
      <c r="J22" s="70">
        <f>'Influent Results Master'!F53</f>
        <v>160.66666666666666</v>
      </c>
      <c r="K22" s="170">
        <f>'Influent Results Master'!G53</f>
        <v>7.3999999999999995</v>
      </c>
      <c r="L22" s="165">
        <f>'Influent Results Master'!H53</f>
        <v>15</v>
      </c>
      <c r="M22" s="169">
        <f>'Influent Results Master'!I53</f>
        <v>0.5</v>
      </c>
      <c r="N22" s="165">
        <f>'Influent Results Master'!J53</f>
        <v>355.33333333333331</v>
      </c>
      <c r="O22" s="165">
        <f>'Influent Results Master'!K53</f>
        <v>15</v>
      </c>
      <c r="P22" s="165">
        <f>'Influent Results Master'!L53</f>
        <v>102.33333333333333</v>
      </c>
      <c r="Q22" s="165">
        <f>'Influent Results Master'!M53</f>
        <v>39</v>
      </c>
      <c r="R22" s="165">
        <f>'Influent Results Master'!N53</f>
        <v>72.333333333333329</v>
      </c>
      <c r="S22" s="165">
        <f>'Influent Results Master'!O53</f>
        <v>12</v>
      </c>
      <c r="T22" s="170">
        <f>'Influent Results Master'!P53</f>
        <v>4.1333333333333329</v>
      </c>
      <c r="U22" s="171">
        <f>'Influent Results Master'!Q53</f>
        <v>0.20000000000000004</v>
      </c>
      <c r="V22" s="177">
        <f>'Influent Results Master'!R53</f>
        <v>0.02</v>
      </c>
      <c r="W22" s="177">
        <f>'Influent Results Master'!S53</f>
        <v>0.02</v>
      </c>
      <c r="X22" s="176">
        <f>'Influent Results Master'!T53</f>
        <v>5.1333333333333335E-2</v>
      </c>
      <c r="Y22" s="177">
        <f>'Influent Results Master'!U53</f>
        <v>0.04</v>
      </c>
      <c r="Z22" s="170">
        <f>'Influent Results Master'!V53</f>
        <v>1.0303333333333333</v>
      </c>
      <c r="AB22" s="69">
        <f>((J22/50)+(L22/35.45)+(M22/62)+(N22/48.03))</f>
        <v>11.042682951695816</v>
      </c>
      <c r="AC22" s="69">
        <f t="shared" si="1"/>
        <v>11.565697942004107</v>
      </c>
      <c r="AD22" s="69">
        <f t="shared" si="2"/>
        <v>2.3133677407833937</v>
      </c>
      <c r="AF22" s="100">
        <v>8.1999999999999993</v>
      </c>
      <c r="AG22" s="100">
        <v>5.5386199999999999</v>
      </c>
      <c r="AH22" s="100">
        <v>0.76190000000000002</v>
      </c>
      <c r="AI22" s="100">
        <v>-1.0630999999999999</v>
      </c>
      <c r="AJ22" s="100">
        <v>-1.3129</v>
      </c>
      <c r="AK22" s="100">
        <v>-3.0495999999999999</v>
      </c>
      <c r="AL22" s="100">
        <v>0.92769999999999997</v>
      </c>
      <c r="AM22" s="100">
        <v>-0.5847</v>
      </c>
      <c r="AN22" s="100">
        <v>-1.8691</v>
      </c>
      <c r="AO22" s="100">
        <v>-0.43419999999999997</v>
      </c>
      <c r="AQ22" s="50">
        <f>K22/1000</f>
        <v>7.3999999999999995E-3</v>
      </c>
      <c r="AR22" s="50"/>
      <c r="AS22" s="50"/>
      <c r="AT22" s="50"/>
      <c r="AU22" s="50"/>
    </row>
    <row r="23" spans="1:47" s="68" customFormat="1" x14ac:dyDescent="0.35">
      <c r="F23" s="69"/>
      <c r="G23" s="69"/>
      <c r="M23" s="27"/>
      <c r="N23" s="27"/>
      <c r="O23" s="65"/>
      <c r="P23" s="175"/>
      <c r="Q23" s="175"/>
      <c r="R23" s="193"/>
      <c r="S23" s="193"/>
      <c r="T23" s="67"/>
      <c r="U23" s="171"/>
      <c r="V23" s="65"/>
      <c r="W23" s="66"/>
      <c r="X23" s="67"/>
      <c r="Y23" s="65"/>
      <c r="AB23" s="69"/>
      <c r="AC23" s="69"/>
      <c r="AD23" s="69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Q23" s="50"/>
      <c r="AR23" s="50"/>
      <c r="AS23" s="50"/>
      <c r="AT23" s="50"/>
      <c r="AU23" s="50"/>
    </row>
    <row r="24" spans="1:47" s="68" customFormat="1" x14ac:dyDescent="0.35">
      <c r="A24" s="68">
        <v>12</v>
      </c>
      <c r="B24" s="10">
        <v>43537</v>
      </c>
      <c r="C24" s="68">
        <v>8</v>
      </c>
      <c r="D24" s="31">
        <v>106.4</v>
      </c>
      <c r="E24" s="68">
        <f>D24+E20</f>
        <v>851.19999999999993</v>
      </c>
      <c r="F24" s="69">
        <f t="shared" si="3"/>
        <v>1</v>
      </c>
      <c r="G24" s="69">
        <f>G20+F24</f>
        <v>8</v>
      </c>
      <c r="H24" s="31">
        <v>8.09</v>
      </c>
      <c r="I24" s="31">
        <v>1328</v>
      </c>
      <c r="J24" s="31">
        <v>243</v>
      </c>
      <c r="K24" s="31">
        <v>179</v>
      </c>
      <c r="L24" s="27">
        <v>25</v>
      </c>
      <c r="M24" s="27">
        <v>9.6</v>
      </c>
      <c r="N24" s="31">
        <v>457</v>
      </c>
      <c r="O24" s="31">
        <v>18</v>
      </c>
      <c r="P24" s="165">
        <v>86.02</v>
      </c>
      <c r="Q24" s="165">
        <v>31.83</v>
      </c>
      <c r="R24" s="165">
        <v>136.30000000000001</v>
      </c>
      <c r="S24" s="165">
        <v>19.7</v>
      </c>
      <c r="T24" s="6">
        <v>9.8209999999999997</v>
      </c>
      <c r="U24" s="169">
        <v>0.2</v>
      </c>
      <c r="V24" s="176">
        <v>0.05</v>
      </c>
      <c r="W24" s="81">
        <v>0.02</v>
      </c>
      <c r="X24" s="163">
        <v>0.122</v>
      </c>
      <c r="Y24" s="81">
        <v>0.04</v>
      </c>
      <c r="Z24" s="170">
        <v>1.133</v>
      </c>
      <c r="AA24" s="31"/>
      <c r="AB24" s="69">
        <f t="shared" ref="AB24:AB38" si="11">((J24/50)+(L24/35.45)+(M24/62)+(N24/48.03))</f>
        <v>15.234943856701479</v>
      </c>
      <c r="AC24" s="69">
        <f t="shared" si="1"/>
        <v>13.08985496125805</v>
      </c>
      <c r="AD24" s="25">
        <f t="shared" si="2"/>
        <v>7.5731831644407697</v>
      </c>
      <c r="AF24" s="100">
        <v>8.09</v>
      </c>
      <c r="AG24" s="100">
        <v>-8.35351</v>
      </c>
      <c r="AH24" s="100">
        <v>0.71840000000000004</v>
      </c>
      <c r="AI24" s="100">
        <v>-1.0682</v>
      </c>
      <c r="AJ24" s="100">
        <v>-1.3179000000000001</v>
      </c>
      <c r="AK24" s="100">
        <v>-2.7555000000000001</v>
      </c>
      <c r="AL24" s="100">
        <v>0.83209999999999995</v>
      </c>
      <c r="AM24" s="100">
        <v>-0.17630000000000001</v>
      </c>
      <c r="AN24" s="100">
        <v>-1.6073999999999999</v>
      </c>
      <c r="AO24" s="100">
        <v>-0.48630000000000001</v>
      </c>
      <c r="AQ24" s="50">
        <f t="shared" ref="AQ24:AQ38" si="12">K24/1000</f>
        <v>0.17899999999999999</v>
      </c>
      <c r="AR24" s="50">
        <f>AT24/$AS$6</f>
        <v>0.1213738121095347</v>
      </c>
      <c r="AS24" s="50">
        <f>(AQ24-$AQ$22)*0.10464</f>
        <v>1.7956224E-2</v>
      </c>
      <c r="AT24" s="50">
        <f>AT20-AS24</f>
        <v>6.9292309333333357E-2</v>
      </c>
      <c r="AU24" s="50">
        <f t="shared" ref="AU24:AU38" si="13">AR24/AQ24</f>
        <v>0.67806598943874141</v>
      </c>
    </row>
    <row r="25" spans="1:47" s="68" customFormat="1" x14ac:dyDescent="0.35">
      <c r="A25" s="68">
        <v>12</v>
      </c>
      <c r="B25" s="10"/>
      <c r="C25" s="68">
        <v>9</v>
      </c>
      <c r="D25" s="31">
        <v>106.4</v>
      </c>
      <c r="E25" s="31">
        <f>D25+E24</f>
        <v>957.59999999999991</v>
      </c>
      <c r="F25" s="69">
        <f t="shared" si="3"/>
        <v>1</v>
      </c>
      <c r="G25" s="25">
        <f>G24+F25</f>
        <v>9</v>
      </c>
      <c r="H25" s="31">
        <v>8.08</v>
      </c>
      <c r="I25" s="31">
        <v>1068</v>
      </c>
      <c r="J25" s="31">
        <v>184</v>
      </c>
      <c r="K25" s="27">
        <v>112</v>
      </c>
      <c r="L25" s="27">
        <v>16</v>
      </c>
      <c r="M25" s="27">
        <v>4.2</v>
      </c>
      <c r="N25" s="31">
        <v>382</v>
      </c>
      <c r="O25" s="31">
        <v>14</v>
      </c>
      <c r="P25" s="21">
        <v>65.89</v>
      </c>
      <c r="Q25" s="21">
        <v>24.26</v>
      </c>
      <c r="R25" s="21">
        <v>106</v>
      </c>
      <c r="S25" s="21">
        <v>19.07</v>
      </c>
      <c r="T25" s="18">
        <v>8.2100000000000009</v>
      </c>
      <c r="U25" s="169">
        <v>0.2</v>
      </c>
      <c r="V25" s="81">
        <v>0.02</v>
      </c>
      <c r="W25" s="81">
        <v>0.02</v>
      </c>
      <c r="X25" s="33">
        <v>8.8999999999999996E-2</v>
      </c>
      <c r="Y25" s="81">
        <v>0.04</v>
      </c>
      <c r="Z25" s="27">
        <v>0.89</v>
      </c>
      <c r="AA25" s="31"/>
      <c r="AB25" s="69">
        <f t="shared" si="11"/>
        <v>12.152444332639856</v>
      </c>
      <c r="AC25" s="69">
        <f t="shared" si="1"/>
        <v>10.10366467020293</v>
      </c>
      <c r="AD25" s="25">
        <f t="shared" si="2"/>
        <v>9.2054710110165008</v>
      </c>
      <c r="AF25" s="100">
        <v>8.08</v>
      </c>
      <c r="AG25" s="100">
        <v>-10.1327</v>
      </c>
      <c r="AH25" s="100">
        <v>0.51049999999999995</v>
      </c>
      <c r="AI25" s="100">
        <v>-1.2005999999999999</v>
      </c>
      <c r="AJ25" s="100">
        <v>-1.4503999999999999</v>
      </c>
      <c r="AK25" s="100">
        <v>-2.8576000000000001</v>
      </c>
      <c r="AL25" s="100">
        <v>0.41139999999999999</v>
      </c>
      <c r="AM25" s="100">
        <v>-0.39610000000000001</v>
      </c>
      <c r="AN25" s="100">
        <v>-2.0710000000000002</v>
      </c>
      <c r="AO25" s="100">
        <v>-0.69899999999999995</v>
      </c>
      <c r="AQ25" s="50">
        <f t="shared" si="12"/>
        <v>0.112</v>
      </c>
      <c r="AR25" s="50">
        <f t="shared" ref="AR25:AR38" si="14">AT25/$AS$6</f>
        <v>0.10220172592981847</v>
      </c>
      <c r="AS25" s="50">
        <f t="shared" ref="AS25:AS38" si="15">(AQ25-$AQ$22)*0.10464</f>
        <v>1.0945343999999999E-2</v>
      </c>
      <c r="AT25" s="50">
        <f>AT24-AS25</f>
        <v>5.8346965333333362E-2</v>
      </c>
      <c r="AU25" s="50">
        <f t="shared" si="13"/>
        <v>0.9125154100876649</v>
      </c>
    </row>
    <row r="26" spans="1:47" s="68" customFormat="1" x14ac:dyDescent="0.35">
      <c r="A26" s="68">
        <v>12</v>
      </c>
      <c r="B26" s="10"/>
      <c r="C26" s="68">
        <v>10</v>
      </c>
      <c r="D26" s="31">
        <v>106.4</v>
      </c>
      <c r="E26" s="31">
        <f t="shared" ref="E26:E38" si="16">D26+E25</f>
        <v>1064</v>
      </c>
      <c r="F26" s="69">
        <f t="shared" si="3"/>
        <v>1</v>
      </c>
      <c r="G26" s="25">
        <f t="shared" ref="G26:G38" si="17">G25+F26</f>
        <v>10</v>
      </c>
      <c r="H26" s="31">
        <v>7.98</v>
      </c>
      <c r="I26" s="31">
        <v>1003</v>
      </c>
      <c r="J26" s="31">
        <v>178</v>
      </c>
      <c r="K26" s="27">
        <v>96</v>
      </c>
      <c r="L26" s="27">
        <v>15</v>
      </c>
      <c r="M26" s="27">
        <v>3.6</v>
      </c>
      <c r="N26" s="31">
        <v>371</v>
      </c>
      <c r="O26" s="31">
        <v>13</v>
      </c>
      <c r="P26" s="21">
        <v>79.58</v>
      </c>
      <c r="Q26" s="21">
        <v>29.05</v>
      </c>
      <c r="R26" s="21">
        <v>74.709999999999994</v>
      </c>
      <c r="S26" s="21">
        <v>19.34</v>
      </c>
      <c r="T26" s="18">
        <v>8.2089999999999996</v>
      </c>
      <c r="U26" s="169">
        <v>0.2</v>
      </c>
      <c r="V26" s="81">
        <v>0.02</v>
      </c>
      <c r="W26" s="81">
        <v>0.02</v>
      </c>
      <c r="X26" s="11">
        <v>0.108</v>
      </c>
      <c r="Y26" s="81">
        <v>0.04</v>
      </c>
      <c r="Z26" s="18">
        <v>1.07</v>
      </c>
      <c r="AA26" s="31"/>
      <c r="AB26" s="69">
        <f t="shared" si="11"/>
        <v>11.765534641611842</v>
      </c>
      <c r="AC26" s="69">
        <f t="shared" si="1"/>
        <v>9.8196607676991636</v>
      </c>
      <c r="AD26" s="25">
        <f t="shared" si="2"/>
        <v>9.014854102610089</v>
      </c>
      <c r="AF26" s="100">
        <v>7.98</v>
      </c>
      <c r="AG26" s="100">
        <v>-10.241099999999999</v>
      </c>
      <c r="AH26" s="100">
        <v>0.4859</v>
      </c>
      <c r="AI26" s="100">
        <v>-1.1344000000000001</v>
      </c>
      <c r="AJ26" s="100">
        <v>-1.3842000000000001</v>
      </c>
      <c r="AK26" s="100">
        <v>-2.7713999999999999</v>
      </c>
      <c r="AL26" s="100">
        <v>0.35730000000000001</v>
      </c>
      <c r="AM26" s="100">
        <v>-0.41710000000000003</v>
      </c>
      <c r="AN26" s="100">
        <v>-1.9804999999999999</v>
      </c>
      <c r="AO26" s="100">
        <v>-0.72860000000000003</v>
      </c>
      <c r="AQ26" s="50">
        <f t="shared" si="12"/>
        <v>9.6000000000000002E-2</v>
      </c>
      <c r="AR26" s="50">
        <f t="shared" si="14"/>
        <v>8.5962272435336065E-2</v>
      </c>
      <c r="AS26" s="50">
        <f t="shared" si="15"/>
        <v>9.2711039999999988E-3</v>
      </c>
      <c r="AT26" s="50">
        <f t="shared" ref="AT26:AT38" si="18">AT25-AS26</f>
        <v>4.9075861333333359E-2</v>
      </c>
      <c r="AU26" s="50">
        <f t="shared" si="13"/>
        <v>0.89544033786808397</v>
      </c>
    </row>
    <row r="27" spans="1:47" s="68" customFormat="1" x14ac:dyDescent="0.35">
      <c r="A27" s="68">
        <v>12</v>
      </c>
      <c r="B27" s="10"/>
      <c r="C27" s="68">
        <v>11</v>
      </c>
      <c r="D27" s="31">
        <v>106.4</v>
      </c>
      <c r="E27" s="31">
        <f t="shared" si="16"/>
        <v>1170.4000000000001</v>
      </c>
      <c r="F27" s="69">
        <f t="shared" si="3"/>
        <v>1</v>
      </c>
      <c r="G27" s="25">
        <f t="shared" si="17"/>
        <v>11</v>
      </c>
      <c r="H27" s="31">
        <v>7.93</v>
      </c>
      <c r="I27" s="31">
        <v>986</v>
      </c>
      <c r="J27" s="31">
        <v>176</v>
      </c>
      <c r="K27" s="27">
        <v>78</v>
      </c>
      <c r="L27" s="27">
        <v>15</v>
      </c>
      <c r="M27" s="27">
        <v>3.4</v>
      </c>
      <c r="N27" s="31">
        <v>370</v>
      </c>
      <c r="O27" s="31">
        <v>13</v>
      </c>
      <c r="P27" s="21">
        <v>86.02</v>
      </c>
      <c r="Q27" s="21">
        <v>31.34</v>
      </c>
      <c r="R27" s="21">
        <v>65.02</v>
      </c>
      <c r="S27" s="21">
        <v>18.97</v>
      </c>
      <c r="T27" s="18">
        <v>8.0500000000000007</v>
      </c>
      <c r="U27" s="169">
        <v>0.2</v>
      </c>
      <c r="V27" s="81">
        <v>0.02</v>
      </c>
      <c r="W27" s="81">
        <v>0.02</v>
      </c>
      <c r="X27" s="11">
        <v>0.115</v>
      </c>
      <c r="Y27" s="81">
        <v>0.04</v>
      </c>
      <c r="Z27" s="18">
        <v>1.121</v>
      </c>
      <c r="AA27" s="31"/>
      <c r="AB27" s="69">
        <f t="shared" si="11"/>
        <v>11.701488514527291</v>
      </c>
      <c r="AC27" s="69">
        <f t="shared" si="1"/>
        <v>9.9037863220798883</v>
      </c>
      <c r="AD27" s="25">
        <f t="shared" si="2"/>
        <v>8.3206633844872115</v>
      </c>
      <c r="AF27" s="100">
        <v>7.93</v>
      </c>
      <c r="AG27" s="100">
        <v>-9.5662000000000003</v>
      </c>
      <c r="AH27" s="100">
        <v>0.46639999999999998</v>
      </c>
      <c r="AI27" s="100">
        <v>-1.1060000000000001</v>
      </c>
      <c r="AJ27" s="100">
        <v>-1.3557999999999999</v>
      </c>
      <c r="AK27" s="100">
        <v>-2.7263000000000002</v>
      </c>
      <c r="AL27" s="100">
        <v>0.31690000000000002</v>
      </c>
      <c r="AM27" s="100">
        <v>-0.4335</v>
      </c>
      <c r="AN27" s="100">
        <v>-1.9457</v>
      </c>
      <c r="AO27" s="100">
        <v>-0.74939999999999996</v>
      </c>
      <c r="AQ27" s="50">
        <f t="shared" si="12"/>
        <v>7.8E-2</v>
      </c>
      <c r="AR27" s="50">
        <f t="shared" si="14"/>
        <v>7.3022030711741737E-2</v>
      </c>
      <c r="AS27" s="50">
        <f t="shared" si="15"/>
        <v>7.3875839999999991E-3</v>
      </c>
      <c r="AT27" s="50">
        <f t="shared" si="18"/>
        <v>4.1688277333333357E-2</v>
      </c>
      <c r="AU27" s="50">
        <f t="shared" si="13"/>
        <v>0.93617988091976589</v>
      </c>
    </row>
    <row r="28" spans="1:47" s="68" customFormat="1" x14ac:dyDescent="0.35">
      <c r="A28" s="68">
        <v>12</v>
      </c>
      <c r="B28" s="28"/>
      <c r="C28" s="68">
        <v>12</v>
      </c>
      <c r="D28" s="31">
        <v>106.4</v>
      </c>
      <c r="E28" s="31">
        <f t="shared" si="16"/>
        <v>1276.8000000000002</v>
      </c>
      <c r="F28" s="69">
        <f t="shared" si="3"/>
        <v>1</v>
      </c>
      <c r="G28" s="25">
        <f t="shared" si="17"/>
        <v>12</v>
      </c>
      <c r="H28" s="31">
        <v>7.92</v>
      </c>
      <c r="I28" s="31">
        <v>973</v>
      </c>
      <c r="J28" s="31">
        <v>174</v>
      </c>
      <c r="K28" s="27">
        <v>62</v>
      </c>
      <c r="L28" s="27">
        <v>15</v>
      </c>
      <c r="M28" s="27">
        <v>3.4</v>
      </c>
      <c r="N28" s="31">
        <v>364</v>
      </c>
      <c r="O28" s="31">
        <v>14</v>
      </c>
      <c r="P28" s="21">
        <v>86.63</v>
      </c>
      <c r="Q28" s="21">
        <v>31.75</v>
      </c>
      <c r="R28" s="21">
        <v>61.37</v>
      </c>
      <c r="S28" s="21">
        <v>18.05</v>
      </c>
      <c r="T28" s="18">
        <v>7.6970000000000001</v>
      </c>
      <c r="U28" s="169">
        <v>0.2</v>
      </c>
      <c r="V28" s="81">
        <v>0.02</v>
      </c>
      <c r="W28" s="81">
        <v>0.02</v>
      </c>
      <c r="X28" s="11">
        <v>0.11700000000000001</v>
      </c>
      <c r="Y28" s="81">
        <v>0.04</v>
      </c>
      <c r="Z28" s="18">
        <v>1.125</v>
      </c>
      <c r="AA28" s="31"/>
      <c r="AB28" s="69">
        <f t="shared" si="11"/>
        <v>11.536566590729663</v>
      </c>
      <c r="AC28" s="69">
        <f t="shared" si="1"/>
        <v>9.8001497358114253</v>
      </c>
      <c r="AD28" s="25">
        <f t="shared" si="2"/>
        <v>8.1381634753154621</v>
      </c>
      <c r="AF28" s="100">
        <v>7.92</v>
      </c>
      <c r="AG28" s="100">
        <v>-9.0599399999999992</v>
      </c>
      <c r="AH28" s="100">
        <v>0.45729999999999998</v>
      </c>
      <c r="AI28" s="100">
        <v>-1.1075999999999999</v>
      </c>
      <c r="AJ28" s="100">
        <v>-1.3573999999999999</v>
      </c>
      <c r="AK28" s="100">
        <v>-2.7208999999999999</v>
      </c>
      <c r="AL28" s="100">
        <v>0.30109999999999998</v>
      </c>
      <c r="AM28" s="100">
        <v>-0.45650000000000002</v>
      </c>
      <c r="AN28" s="100">
        <v>-1.9391</v>
      </c>
      <c r="AO28" s="100">
        <v>-0.75609999999999999</v>
      </c>
      <c r="AQ28" s="50">
        <f t="shared" si="12"/>
        <v>6.2E-2</v>
      </c>
      <c r="AR28" s="50">
        <f t="shared" si="14"/>
        <v>6.3014421673381255E-2</v>
      </c>
      <c r="AS28" s="50">
        <f t="shared" si="15"/>
        <v>5.7133440000000004E-3</v>
      </c>
      <c r="AT28" s="50">
        <f t="shared" si="18"/>
        <v>3.5974933333333355E-2</v>
      </c>
      <c r="AU28" s="50">
        <f t="shared" si="13"/>
        <v>1.016361639893246</v>
      </c>
    </row>
    <row r="29" spans="1:47" s="68" customFormat="1" x14ac:dyDescent="0.35">
      <c r="A29" s="68">
        <v>12</v>
      </c>
      <c r="B29" s="28"/>
      <c r="C29" s="68">
        <v>13</v>
      </c>
      <c r="D29" s="31">
        <v>106.4</v>
      </c>
      <c r="E29" s="31">
        <f t="shared" si="16"/>
        <v>1383.2000000000003</v>
      </c>
      <c r="F29" s="69">
        <f t="shared" si="3"/>
        <v>1</v>
      </c>
      <c r="G29" s="25">
        <f t="shared" si="17"/>
        <v>13</v>
      </c>
      <c r="H29" s="31">
        <v>7.88</v>
      </c>
      <c r="I29" s="31">
        <v>971</v>
      </c>
      <c r="J29" s="31">
        <v>172</v>
      </c>
      <c r="K29" s="27">
        <v>48</v>
      </c>
      <c r="L29" s="27">
        <v>15</v>
      </c>
      <c r="M29" s="27">
        <v>3.5</v>
      </c>
      <c r="N29" s="31">
        <v>366</v>
      </c>
      <c r="O29" s="31">
        <v>13</v>
      </c>
      <c r="P29" s="21">
        <v>86.24</v>
      </c>
      <c r="Q29" s="21">
        <v>32.049999999999997</v>
      </c>
      <c r="R29" s="21">
        <v>60.69</v>
      </c>
      <c r="S29" s="21">
        <v>17.47</v>
      </c>
      <c r="T29" s="18">
        <v>7.8259999999999996</v>
      </c>
      <c r="U29" s="169">
        <v>0.2</v>
      </c>
      <c r="V29" s="81">
        <v>0.02</v>
      </c>
      <c r="W29" s="81">
        <v>0.02</v>
      </c>
      <c r="X29" s="11">
        <v>0.115</v>
      </c>
      <c r="Y29" s="81">
        <v>0.04</v>
      </c>
      <c r="Z29" s="18">
        <v>1.1339999999999999</v>
      </c>
      <c r="AA29" s="31"/>
      <c r="AB29" s="69">
        <f t="shared" si="11"/>
        <v>11.539820135221348</v>
      </c>
      <c r="AC29" s="69">
        <f t="shared" si="1"/>
        <v>9.7790808659102986</v>
      </c>
      <c r="AD29" s="25">
        <f t="shared" si="2"/>
        <v>8.2590527026584795</v>
      </c>
      <c r="AF29" s="100">
        <v>7.88</v>
      </c>
      <c r="AG29" s="100">
        <v>-9.2336399999999994</v>
      </c>
      <c r="AH29" s="100">
        <v>0.41110000000000002</v>
      </c>
      <c r="AI29" s="100">
        <v>-1.1073999999999999</v>
      </c>
      <c r="AJ29" s="100">
        <v>-1.3572</v>
      </c>
      <c r="AK29" s="100">
        <v>-2.6848000000000001</v>
      </c>
      <c r="AL29" s="100">
        <v>0.21490000000000001</v>
      </c>
      <c r="AM29" s="100">
        <v>-0.50829999999999997</v>
      </c>
      <c r="AN29" s="100">
        <v>-1.9414</v>
      </c>
      <c r="AO29" s="100">
        <v>-0.79620000000000002</v>
      </c>
      <c r="AQ29" s="50">
        <f t="shared" si="12"/>
        <v>4.8000000000000001E-2</v>
      </c>
      <c r="AR29" s="50">
        <f t="shared" si="14"/>
        <v>5.5572866234600379E-2</v>
      </c>
      <c r="AS29" s="50">
        <f t="shared" si="15"/>
        <v>4.248384E-3</v>
      </c>
      <c r="AT29" s="50">
        <f t="shared" si="18"/>
        <v>3.1726549333333354E-2</v>
      </c>
      <c r="AU29" s="50">
        <f t="shared" si="13"/>
        <v>1.1577680465541746</v>
      </c>
    </row>
    <row r="30" spans="1:47" s="68" customFormat="1" x14ac:dyDescent="0.35">
      <c r="A30" s="68">
        <v>12</v>
      </c>
      <c r="B30" s="28"/>
      <c r="C30" s="68">
        <v>14</v>
      </c>
      <c r="D30" s="31">
        <v>106.4</v>
      </c>
      <c r="E30" s="31">
        <f t="shared" si="16"/>
        <v>1489.6000000000004</v>
      </c>
      <c r="F30" s="69">
        <f t="shared" si="3"/>
        <v>1</v>
      </c>
      <c r="G30" s="25">
        <f t="shared" si="17"/>
        <v>14</v>
      </c>
      <c r="H30" s="25">
        <v>8.1</v>
      </c>
      <c r="I30" s="31">
        <v>960</v>
      </c>
      <c r="J30" s="31">
        <v>174</v>
      </c>
      <c r="K30" s="27">
        <v>34</v>
      </c>
      <c r="L30" s="27">
        <v>15</v>
      </c>
      <c r="M30" s="18">
        <v>3.4</v>
      </c>
      <c r="N30" s="181">
        <v>373</v>
      </c>
      <c r="O30" s="181">
        <v>15</v>
      </c>
      <c r="P30" s="21">
        <v>98.33</v>
      </c>
      <c r="Q30" s="21">
        <v>39.29</v>
      </c>
      <c r="R30" s="21">
        <v>72.53</v>
      </c>
      <c r="S30" s="21">
        <v>16.22</v>
      </c>
      <c r="T30" s="18">
        <v>8.7050000000000001</v>
      </c>
      <c r="U30" s="169">
        <v>0.2</v>
      </c>
      <c r="V30" s="81">
        <v>0.02</v>
      </c>
      <c r="W30" s="81">
        <v>0.02</v>
      </c>
      <c r="X30" s="11">
        <v>0.11</v>
      </c>
      <c r="Y30" s="81">
        <v>0.04</v>
      </c>
      <c r="Z30" s="18">
        <v>1.1279999999999999</v>
      </c>
      <c r="AA30" s="31"/>
      <c r="AB30" s="69">
        <f t="shared" si="11"/>
        <v>11.723949476426103</v>
      </c>
      <c r="AC30" s="69">
        <f t="shared" si="1"/>
        <v>11.515256358916282</v>
      </c>
      <c r="AD30" s="25">
        <f t="shared" si="2"/>
        <v>0.89802172668240876</v>
      </c>
      <c r="AF30" s="100">
        <v>8.1</v>
      </c>
      <c r="AG30" s="100">
        <v>-0.69216599999999995</v>
      </c>
      <c r="AH30" s="100">
        <v>0.67669999999999997</v>
      </c>
      <c r="AI30" s="100">
        <v>-1.0650999999999999</v>
      </c>
      <c r="AJ30" s="100">
        <v>-1.3149</v>
      </c>
      <c r="AK30" s="100">
        <v>-2.9112</v>
      </c>
      <c r="AL30" s="100">
        <v>0.77759999999999996</v>
      </c>
      <c r="AM30" s="100">
        <v>-0.32079999999999997</v>
      </c>
      <c r="AN30" s="100">
        <v>-1.8964000000000001</v>
      </c>
      <c r="AO30" s="100">
        <v>-0.49919999999999998</v>
      </c>
      <c r="AQ30" s="50">
        <f t="shared" si="12"/>
        <v>3.4000000000000002E-2</v>
      </c>
      <c r="AR30" s="50">
        <f t="shared" si="14"/>
        <v>5.0697364395399118E-2</v>
      </c>
      <c r="AS30" s="50">
        <f t="shared" si="15"/>
        <v>2.7834240000000001E-3</v>
      </c>
      <c r="AT30" s="50">
        <f t="shared" si="18"/>
        <v>2.8943125333333354E-2</v>
      </c>
      <c r="AU30" s="50">
        <f t="shared" si="13"/>
        <v>1.4910989528058562</v>
      </c>
    </row>
    <row r="31" spans="1:47" s="68" customFormat="1" x14ac:dyDescent="0.35">
      <c r="A31" s="68">
        <v>12</v>
      </c>
      <c r="B31" s="28"/>
      <c r="C31" s="68">
        <v>15</v>
      </c>
      <c r="D31" s="31">
        <v>106.4</v>
      </c>
      <c r="E31" s="31">
        <f t="shared" si="16"/>
        <v>1596.0000000000005</v>
      </c>
      <c r="F31" s="69">
        <f t="shared" si="3"/>
        <v>1</v>
      </c>
      <c r="G31" s="25">
        <f t="shared" si="17"/>
        <v>15</v>
      </c>
      <c r="H31" s="25">
        <v>8.0500000000000007</v>
      </c>
      <c r="I31" s="31">
        <v>971</v>
      </c>
      <c r="J31" s="31">
        <v>174</v>
      </c>
      <c r="K31" s="27">
        <v>36</v>
      </c>
      <c r="L31" s="27">
        <v>15</v>
      </c>
      <c r="M31" s="27">
        <v>3.4</v>
      </c>
      <c r="N31" s="31">
        <v>375</v>
      </c>
      <c r="O31" s="31">
        <v>14</v>
      </c>
      <c r="P31" s="21">
        <v>94.68</v>
      </c>
      <c r="Q31" s="21">
        <v>36.549999999999997</v>
      </c>
      <c r="R31" s="21">
        <v>69.319999999999993</v>
      </c>
      <c r="S31" s="21">
        <v>18</v>
      </c>
      <c r="T31" s="18">
        <v>8.23</v>
      </c>
      <c r="U31" s="169">
        <v>0.2</v>
      </c>
      <c r="V31" s="81">
        <v>0.02</v>
      </c>
      <c r="W31" s="81">
        <v>0.02</v>
      </c>
      <c r="X31" s="11">
        <v>0.112</v>
      </c>
      <c r="Y31" s="81">
        <v>0.04</v>
      </c>
      <c r="Z31" s="18">
        <v>1.139</v>
      </c>
      <c r="AA31" s="31"/>
      <c r="AB31" s="69">
        <f t="shared" si="11"/>
        <v>11.765590117691978</v>
      </c>
      <c r="AC31" s="69">
        <f t="shared" si="1"/>
        <v>10.956017421094119</v>
      </c>
      <c r="AD31" s="69">
        <f t="shared" si="2"/>
        <v>3.5630080099566364</v>
      </c>
      <c r="AF31" s="100">
        <v>8.0500000000000007</v>
      </c>
      <c r="AG31" s="100">
        <v>-4.1359599999999999</v>
      </c>
      <c r="AH31" s="100">
        <v>0.6139</v>
      </c>
      <c r="AI31" s="100">
        <v>-1.0733999999999999</v>
      </c>
      <c r="AJ31" s="100">
        <v>-1.3231999999999999</v>
      </c>
      <c r="AK31" s="100">
        <v>-2.8578000000000001</v>
      </c>
      <c r="AL31" s="100">
        <v>0.63700000000000001</v>
      </c>
      <c r="AM31" s="100">
        <v>-0.3589</v>
      </c>
      <c r="AN31" s="100">
        <v>-1.911</v>
      </c>
      <c r="AO31" s="100">
        <v>-0.57699999999999996</v>
      </c>
      <c r="AQ31" s="50">
        <f t="shared" si="12"/>
        <v>3.5999999999999997E-2</v>
      </c>
      <c r="AR31" s="50">
        <f t="shared" si="14"/>
        <v>4.5455283470543631E-2</v>
      </c>
      <c r="AS31" s="50">
        <f t="shared" si="15"/>
        <v>2.9927039999999997E-3</v>
      </c>
      <c r="AT31" s="50">
        <f t="shared" si="18"/>
        <v>2.5950421333333355E-2</v>
      </c>
      <c r="AU31" s="50">
        <f t="shared" si="13"/>
        <v>1.2626467630706566</v>
      </c>
    </row>
    <row r="32" spans="1:47" s="68" customFormat="1" x14ac:dyDescent="0.35">
      <c r="A32" s="68">
        <v>12</v>
      </c>
      <c r="B32" s="28"/>
      <c r="C32" s="68">
        <v>16</v>
      </c>
      <c r="D32" s="31">
        <v>106.4</v>
      </c>
      <c r="E32" s="31">
        <f t="shared" si="16"/>
        <v>1702.4000000000005</v>
      </c>
      <c r="F32" s="69">
        <f t="shared" si="3"/>
        <v>1</v>
      </c>
      <c r="G32" s="25">
        <f t="shared" si="17"/>
        <v>16</v>
      </c>
      <c r="H32" s="31">
        <v>8.1</v>
      </c>
      <c r="I32" s="31">
        <v>972</v>
      </c>
      <c r="J32" s="31">
        <v>172</v>
      </c>
      <c r="K32" s="27">
        <v>36</v>
      </c>
      <c r="L32" s="27">
        <v>15</v>
      </c>
      <c r="M32" s="27">
        <v>3.2</v>
      </c>
      <c r="N32" s="31">
        <v>376</v>
      </c>
      <c r="O32" s="31">
        <v>13</v>
      </c>
      <c r="P32" s="21">
        <v>94.25</v>
      </c>
      <c r="Q32" s="21">
        <v>35.799999999999997</v>
      </c>
      <c r="R32" s="21">
        <v>67.739999999999995</v>
      </c>
      <c r="S32" s="21">
        <v>17.7</v>
      </c>
      <c r="T32" s="18">
        <v>8.2230000000000008</v>
      </c>
      <c r="U32" s="169">
        <v>0.2</v>
      </c>
      <c r="V32" s="81">
        <v>0.02</v>
      </c>
      <c r="W32" s="81">
        <v>0.02</v>
      </c>
      <c r="X32" s="11">
        <v>0.111</v>
      </c>
      <c r="Y32" s="81">
        <v>0.04</v>
      </c>
      <c r="Z32" s="18">
        <v>1.145</v>
      </c>
      <c r="AA32" s="31"/>
      <c r="AB32" s="69">
        <f t="shared" si="11"/>
        <v>11.743184631873305</v>
      </c>
      <c r="AC32" s="69">
        <f t="shared" si="1"/>
        <v>10.80397814271347</v>
      </c>
      <c r="AD32" s="69">
        <f t="shared" si="2"/>
        <v>4.1655196201378732</v>
      </c>
      <c r="AF32" s="100">
        <v>8.1</v>
      </c>
      <c r="AG32" s="100">
        <v>-4.8852099999999998</v>
      </c>
      <c r="AH32" s="100">
        <v>0.6552</v>
      </c>
      <c r="AI32" s="100">
        <v>-1.073</v>
      </c>
      <c r="AJ32" s="100">
        <v>-1.3228</v>
      </c>
      <c r="AK32" s="100">
        <v>-2.9144000000000001</v>
      </c>
      <c r="AL32" s="100">
        <v>0.71250000000000002</v>
      </c>
      <c r="AM32" s="100">
        <v>-0.31900000000000001</v>
      </c>
      <c r="AN32" s="100">
        <v>-1.9126000000000001</v>
      </c>
      <c r="AO32" s="100">
        <v>-0.54269999999999996</v>
      </c>
      <c r="AQ32" s="50">
        <f t="shared" si="12"/>
        <v>3.5999999999999997E-2</v>
      </c>
      <c r="AR32" s="50">
        <f t="shared" si="14"/>
        <v>4.0213202545688137E-2</v>
      </c>
      <c r="AS32" s="50">
        <f t="shared" si="15"/>
        <v>2.9927039999999997E-3</v>
      </c>
      <c r="AT32" s="50">
        <f t="shared" si="18"/>
        <v>2.2957717333333356E-2</v>
      </c>
      <c r="AU32" s="50">
        <f t="shared" si="13"/>
        <v>1.1170334040468928</v>
      </c>
    </row>
    <row r="33" spans="1:47" s="68" customFormat="1" x14ac:dyDescent="0.35">
      <c r="A33" s="68">
        <v>12</v>
      </c>
      <c r="B33" s="28"/>
      <c r="C33" s="68">
        <v>17</v>
      </c>
      <c r="D33" s="31">
        <v>106.4</v>
      </c>
      <c r="E33" s="31">
        <f t="shared" si="16"/>
        <v>1808.8000000000006</v>
      </c>
      <c r="F33" s="69">
        <f t="shared" si="3"/>
        <v>1</v>
      </c>
      <c r="G33" s="25">
        <f t="shared" si="17"/>
        <v>17</v>
      </c>
      <c r="H33" s="31">
        <v>8.08</v>
      </c>
      <c r="I33" s="31">
        <v>972</v>
      </c>
      <c r="J33" s="31">
        <v>172</v>
      </c>
      <c r="K33" s="27">
        <v>35</v>
      </c>
      <c r="L33" s="27">
        <v>15</v>
      </c>
      <c r="M33" s="27">
        <v>3.3</v>
      </c>
      <c r="N33" s="31">
        <v>372</v>
      </c>
      <c r="O33" s="31">
        <v>13</v>
      </c>
      <c r="P33" s="21">
        <v>93.62</v>
      </c>
      <c r="Q33" s="21">
        <v>36.020000000000003</v>
      </c>
      <c r="R33" s="21">
        <v>67.42</v>
      </c>
      <c r="S33" s="21">
        <v>17.829999999999998</v>
      </c>
      <c r="T33" s="18">
        <v>8.2420000000000009</v>
      </c>
      <c r="U33" s="169">
        <v>0.2</v>
      </c>
      <c r="V33" s="81">
        <v>0.02</v>
      </c>
      <c r="W33" s="81">
        <v>0.02</v>
      </c>
      <c r="X33" s="11">
        <v>0.111</v>
      </c>
      <c r="Y33" s="81">
        <v>0.04</v>
      </c>
      <c r="Z33" s="18">
        <v>1.153</v>
      </c>
      <c r="AA33" s="31"/>
      <c r="AB33" s="69">
        <f t="shared" si="11"/>
        <v>11.66151625256736</v>
      </c>
      <c r="AC33" s="69">
        <f t="shared" si="1"/>
        <v>10.777199960473153</v>
      </c>
      <c r="AD33" s="69">
        <f t="shared" si="2"/>
        <v>3.9410289060132428</v>
      </c>
      <c r="AF33" s="100">
        <v>8.08</v>
      </c>
      <c r="AG33" s="100">
        <v>-4.6291599999999997</v>
      </c>
      <c r="AH33" s="100">
        <v>0.63419999999999999</v>
      </c>
      <c r="AI33" s="100">
        <v>-1.0791999999999999</v>
      </c>
      <c r="AJ33" s="100">
        <v>-1.329</v>
      </c>
      <c r="AK33" s="100">
        <v>-2.8935</v>
      </c>
      <c r="AL33" s="100">
        <v>0.67630000000000001</v>
      </c>
      <c r="AM33" s="100">
        <v>-0.33689999999999998</v>
      </c>
      <c r="AN33" s="100">
        <v>-1.9139999999999999</v>
      </c>
      <c r="AO33" s="100">
        <v>-0.55789999999999995</v>
      </c>
      <c r="AQ33" s="50">
        <f t="shared" si="12"/>
        <v>3.5000000000000003E-2</v>
      </c>
      <c r="AR33" s="50">
        <f t="shared" si="14"/>
        <v>3.5154411163659763E-2</v>
      </c>
      <c r="AS33" s="50">
        <f t="shared" si="15"/>
        <v>2.8880640000000001E-3</v>
      </c>
      <c r="AT33" s="50">
        <f t="shared" si="18"/>
        <v>2.0069653333333357E-2</v>
      </c>
      <c r="AU33" s="50">
        <f t="shared" si="13"/>
        <v>1.004411747533136</v>
      </c>
    </row>
    <row r="34" spans="1:47" s="68" customFormat="1" x14ac:dyDescent="0.35">
      <c r="A34" s="68">
        <v>12</v>
      </c>
      <c r="B34" s="28"/>
      <c r="C34" s="68">
        <v>18</v>
      </c>
      <c r="D34" s="31">
        <v>106.4</v>
      </c>
      <c r="E34" s="31">
        <f t="shared" si="16"/>
        <v>1915.2000000000007</v>
      </c>
      <c r="F34" s="69">
        <f t="shared" si="3"/>
        <v>1</v>
      </c>
      <c r="G34" s="25">
        <f t="shared" si="17"/>
        <v>18</v>
      </c>
      <c r="H34" s="31">
        <v>8.0299999999999994</v>
      </c>
      <c r="I34" s="31">
        <v>954</v>
      </c>
      <c r="J34" s="31">
        <v>168</v>
      </c>
      <c r="K34" s="27">
        <v>26</v>
      </c>
      <c r="L34" s="27">
        <v>15</v>
      </c>
      <c r="M34" s="27">
        <v>3.3</v>
      </c>
      <c r="N34" s="31">
        <v>366</v>
      </c>
      <c r="O34" s="31">
        <v>13</v>
      </c>
      <c r="P34" s="21">
        <v>90.82</v>
      </c>
      <c r="Q34" s="21">
        <v>35.39</v>
      </c>
      <c r="R34" s="21">
        <v>65.150000000000006</v>
      </c>
      <c r="S34" s="21">
        <v>16.45</v>
      </c>
      <c r="T34" s="18">
        <v>7.4960000000000004</v>
      </c>
      <c r="U34" s="169">
        <v>0.2</v>
      </c>
      <c r="V34" s="81">
        <v>0.02</v>
      </c>
      <c r="W34" s="81">
        <v>0.02</v>
      </c>
      <c r="X34" s="11">
        <v>0.108</v>
      </c>
      <c r="Y34" s="81">
        <v>0.04</v>
      </c>
      <c r="Z34" s="18">
        <v>1.087</v>
      </c>
      <c r="AA34" s="31"/>
      <c r="AB34" s="69">
        <f t="shared" si="11"/>
        <v>11.456594328769734</v>
      </c>
      <c r="AC34" s="69">
        <f t="shared" si="1"/>
        <v>10.467852325184964</v>
      </c>
      <c r="AD34" s="69">
        <f t="shared" si="2"/>
        <v>4.5097694787495239</v>
      </c>
      <c r="AF34" s="100">
        <v>8.0299999999999994</v>
      </c>
      <c r="AG34" s="100">
        <v>-5.3632600000000004</v>
      </c>
      <c r="AH34" s="100">
        <v>0.56640000000000001</v>
      </c>
      <c r="AI34" s="100">
        <v>-1.0933999999999999</v>
      </c>
      <c r="AJ34" s="100">
        <v>-1.3431999999999999</v>
      </c>
      <c r="AK34" s="100">
        <v>-2.851</v>
      </c>
      <c r="AL34" s="100">
        <v>0.54579999999999995</v>
      </c>
      <c r="AM34" s="100">
        <v>-0.40339999999999998</v>
      </c>
      <c r="AN34" s="100">
        <v>-1.9225000000000001</v>
      </c>
      <c r="AO34" s="100">
        <v>-0.62060000000000004</v>
      </c>
      <c r="AQ34" s="50">
        <f t="shared" si="12"/>
        <v>2.5999999999999999E-2</v>
      </c>
      <c r="AR34" s="50">
        <f t="shared" si="14"/>
        <v>3.1745225667075425E-2</v>
      </c>
      <c r="AS34" s="50">
        <f t="shared" si="15"/>
        <v>1.9463039999999998E-3</v>
      </c>
      <c r="AT34" s="50">
        <f t="shared" si="18"/>
        <v>1.8123349333333358E-2</v>
      </c>
      <c r="AU34" s="50">
        <f t="shared" si="13"/>
        <v>1.2209702179644395</v>
      </c>
    </row>
    <row r="35" spans="1:47" s="68" customFormat="1" x14ac:dyDescent="0.35">
      <c r="A35" s="68">
        <v>12</v>
      </c>
      <c r="B35" s="28"/>
      <c r="C35" s="68">
        <v>19</v>
      </c>
      <c r="D35" s="31">
        <v>106.4</v>
      </c>
      <c r="E35" s="31">
        <f t="shared" si="16"/>
        <v>2021.6000000000008</v>
      </c>
      <c r="F35" s="69">
        <f t="shared" si="3"/>
        <v>1</v>
      </c>
      <c r="G35" s="25">
        <f t="shared" si="17"/>
        <v>19</v>
      </c>
      <c r="H35" s="31">
        <v>8.01</v>
      </c>
      <c r="I35" s="31">
        <v>966</v>
      </c>
      <c r="J35" s="31">
        <v>172</v>
      </c>
      <c r="K35" s="27">
        <v>24</v>
      </c>
      <c r="L35" s="27">
        <v>15</v>
      </c>
      <c r="M35" s="27">
        <v>3.4</v>
      </c>
      <c r="N35" s="31">
        <v>367</v>
      </c>
      <c r="O35" s="31">
        <v>13</v>
      </c>
      <c r="P35" s="12">
        <v>92.28</v>
      </c>
      <c r="Q35" s="12">
        <v>37.06</v>
      </c>
      <c r="R35" s="21">
        <v>67.13</v>
      </c>
      <c r="S35" s="21">
        <v>16.739999999999998</v>
      </c>
      <c r="T35" s="18">
        <v>7.4809999999999999</v>
      </c>
      <c r="U35" s="169">
        <v>0.2</v>
      </c>
      <c r="V35" s="81">
        <v>0.02</v>
      </c>
      <c r="W35" s="81">
        <v>0.02</v>
      </c>
      <c r="X35" s="11">
        <v>0.105</v>
      </c>
      <c r="Y35" s="81">
        <v>0.04</v>
      </c>
      <c r="Z35" s="18">
        <v>1.115</v>
      </c>
      <c r="AA35" s="31"/>
      <c r="AB35" s="69">
        <f t="shared" si="11"/>
        <v>11.559027552628478</v>
      </c>
      <c r="AC35" s="69">
        <f t="shared" si="1"/>
        <v>10.763782913118241</v>
      </c>
      <c r="AD35" s="69">
        <f t="shared" si="2"/>
        <v>3.5624754361934028</v>
      </c>
      <c r="AF35" s="100">
        <v>8.01</v>
      </c>
      <c r="AG35" s="100">
        <v>-4.1704800000000004</v>
      </c>
      <c r="AH35" s="100">
        <v>0.56269999999999998</v>
      </c>
      <c r="AI35" s="100">
        <v>-1.0891999999999999</v>
      </c>
      <c r="AJ35" s="100">
        <v>-1.339</v>
      </c>
      <c r="AK35" s="100">
        <v>-2.8209</v>
      </c>
      <c r="AL35" s="100">
        <v>0.5514</v>
      </c>
      <c r="AM35" s="100">
        <v>-0.42709999999999998</v>
      </c>
      <c r="AN35" s="100">
        <v>-1.9177</v>
      </c>
      <c r="AO35" s="100">
        <v>-0.61140000000000005</v>
      </c>
      <c r="AQ35" s="50">
        <f t="shared" si="12"/>
        <v>2.4E-2</v>
      </c>
      <c r="AR35" s="50">
        <f t="shared" si="14"/>
        <v>2.8702619256145312E-2</v>
      </c>
      <c r="AS35" s="50">
        <f t="shared" si="15"/>
        <v>1.737024E-3</v>
      </c>
      <c r="AT35" s="50">
        <f t="shared" si="18"/>
        <v>1.6386325333333358E-2</v>
      </c>
      <c r="AU35" s="50">
        <f t="shared" si="13"/>
        <v>1.1959424690060547</v>
      </c>
    </row>
    <row r="36" spans="1:47" s="68" customFormat="1" x14ac:dyDescent="0.35">
      <c r="A36" s="68">
        <v>12</v>
      </c>
      <c r="B36" s="28"/>
      <c r="C36" s="68">
        <v>20</v>
      </c>
      <c r="D36" s="31">
        <v>106.4</v>
      </c>
      <c r="E36" s="31">
        <f t="shared" si="16"/>
        <v>2128.0000000000009</v>
      </c>
      <c r="F36" s="69">
        <f t="shared" si="3"/>
        <v>1</v>
      </c>
      <c r="G36" s="25">
        <f t="shared" si="17"/>
        <v>20</v>
      </c>
      <c r="H36" s="31">
        <v>7.98</v>
      </c>
      <c r="I36" s="31">
        <v>961</v>
      </c>
      <c r="J36" s="31">
        <v>174</v>
      </c>
      <c r="K36" s="27">
        <v>23</v>
      </c>
      <c r="L36" s="27">
        <v>15</v>
      </c>
      <c r="M36" s="27">
        <v>3.7</v>
      </c>
      <c r="N36" s="31">
        <v>363</v>
      </c>
      <c r="O36" s="31">
        <v>13</v>
      </c>
      <c r="P36" s="12">
        <v>91.37</v>
      </c>
      <c r="Q36" s="12">
        <v>36.46</v>
      </c>
      <c r="R36" s="21">
        <v>65.45</v>
      </c>
      <c r="S36" s="21">
        <v>16.11</v>
      </c>
      <c r="T36" s="18">
        <v>7.2009999999999996</v>
      </c>
      <c r="U36" s="169">
        <v>0.2</v>
      </c>
      <c r="V36" s="81">
        <v>0.02</v>
      </c>
      <c r="W36" s="81">
        <v>0.02</v>
      </c>
      <c r="X36" s="11">
        <v>0.10100000000000001</v>
      </c>
      <c r="Y36" s="81">
        <v>0.04</v>
      </c>
      <c r="Z36" s="18">
        <v>1.034</v>
      </c>
      <c r="AA36" s="31"/>
      <c r="AB36" s="69">
        <f t="shared" si="11"/>
        <v>11.520584979774146</v>
      </c>
      <c r="AC36" s="69">
        <f t="shared" si="1"/>
        <v>10.58879525078992</v>
      </c>
      <c r="AD36" s="69">
        <f t="shared" si="2"/>
        <v>4.2144543142648452</v>
      </c>
      <c r="AF36" s="100">
        <v>7.98</v>
      </c>
      <c r="AG36" s="100">
        <v>-4.8703200000000004</v>
      </c>
      <c r="AH36" s="100">
        <v>0.53620000000000001</v>
      </c>
      <c r="AI36" s="100">
        <v>-1.0952999999999999</v>
      </c>
      <c r="AJ36" s="100">
        <v>-1.3451</v>
      </c>
      <c r="AK36" s="100">
        <v>-2.7845</v>
      </c>
      <c r="AL36" s="100">
        <v>0.49540000000000001</v>
      </c>
      <c r="AM36" s="100">
        <v>-0.4662</v>
      </c>
      <c r="AN36" s="100">
        <v>-1.9197</v>
      </c>
      <c r="AO36" s="100">
        <v>-0.64080000000000004</v>
      </c>
      <c r="AQ36" s="50">
        <f t="shared" si="12"/>
        <v>2.3E-2</v>
      </c>
      <c r="AR36" s="50">
        <f t="shared" si="14"/>
        <v>2.5843302388042316E-2</v>
      </c>
      <c r="AS36" s="50">
        <f t="shared" si="15"/>
        <v>1.632384E-3</v>
      </c>
      <c r="AT36" s="50">
        <f t="shared" si="18"/>
        <v>1.4753941333333357E-2</v>
      </c>
      <c r="AU36" s="50">
        <f t="shared" si="13"/>
        <v>1.1236218429583615</v>
      </c>
    </row>
    <row r="37" spans="1:47" s="68" customFormat="1" x14ac:dyDescent="0.35">
      <c r="A37" s="68">
        <v>12</v>
      </c>
      <c r="B37" s="28"/>
      <c r="C37" s="68">
        <v>21</v>
      </c>
      <c r="D37" s="31">
        <v>106.4</v>
      </c>
      <c r="E37" s="31">
        <f t="shared" si="16"/>
        <v>2234.400000000001</v>
      </c>
      <c r="F37" s="69">
        <f t="shared" si="3"/>
        <v>1</v>
      </c>
      <c r="G37" s="25">
        <f t="shared" si="17"/>
        <v>21</v>
      </c>
      <c r="H37" s="31">
        <v>7.86</v>
      </c>
      <c r="I37" s="31">
        <v>964</v>
      </c>
      <c r="J37" s="31">
        <v>173</v>
      </c>
      <c r="K37" s="27">
        <v>54</v>
      </c>
      <c r="L37" s="27">
        <v>15</v>
      </c>
      <c r="M37" s="27">
        <v>10</v>
      </c>
      <c r="N37" s="31">
        <v>363</v>
      </c>
      <c r="O37" s="31">
        <v>19</v>
      </c>
      <c r="P37" s="21">
        <v>125.2</v>
      </c>
      <c r="Q37" s="21">
        <v>47.25</v>
      </c>
      <c r="R37" s="21">
        <v>228.5</v>
      </c>
      <c r="S37" s="21">
        <v>21.26</v>
      </c>
      <c r="T37" s="18">
        <v>8.0139999999999993</v>
      </c>
      <c r="U37" s="169">
        <v>0.2</v>
      </c>
      <c r="V37" s="81">
        <v>0.02</v>
      </c>
      <c r="W37" s="81">
        <v>0.02</v>
      </c>
      <c r="X37" s="11">
        <v>0.10299999999999999</v>
      </c>
      <c r="Y37" s="81">
        <v>0.04</v>
      </c>
      <c r="Z37" s="18">
        <v>1.44</v>
      </c>
      <c r="AA37" s="31"/>
      <c r="AB37" s="69">
        <f t="shared" si="11"/>
        <v>11.602197882999953</v>
      </c>
      <c r="AC37" s="69">
        <f t="shared" si="1"/>
        <v>20.277261374565004</v>
      </c>
      <c r="AD37" s="25">
        <f t="shared" si="2"/>
        <v>27.212078540844352</v>
      </c>
      <c r="AF37" s="100">
        <v>7.86</v>
      </c>
      <c r="AG37" s="100">
        <v>31.261600000000001</v>
      </c>
      <c r="AH37" s="100">
        <v>0.52800000000000002</v>
      </c>
      <c r="AI37" s="100">
        <v>-1.024</v>
      </c>
      <c r="AJ37" s="100">
        <v>-1.2736000000000001</v>
      </c>
      <c r="AK37" s="100">
        <v>-2.6775000000000002</v>
      </c>
      <c r="AL37" s="100">
        <v>0.45150000000000001</v>
      </c>
      <c r="AM37" s="100">
        <v>-0.61799999999999999</v>
      </c>
      <c r="AN37" s="100">
        <v>-1.8240000000000001</v>
      </c>
      <c r="AO37" s="100">
        <v>-0.6764</v>
      </c>
      <c r="AQ37" s="50">
        <f t="shared" si="12"/>
        <v>5.3999999999999999E-2</v>
      </c>
      <c r="AR37" s="50">
        <f t="shared" si="14"/>
        <v>1.7302009692298753E-2</v>
      </c>
      <c r="AS37" s="50">
        <f t="shared" si="15"/>
        <v>4.8762240000000002E-3</v>
      </c>
      <c r="AT37" s="50">
        <f t="shared" si="18"/>
        <v>9.8777173333333568E-3</v>
      </c>
      <c r="AU37" s="50">
        <f t="shared" si="13"/>
        <v>0.32040758689442134</v>
      </c>
    </row>
    <row r="38" spans="1:47" s="68" customFormat="1" x14ac:dyDescent="0.35">
      <c r="A38" s="68">
        <v>12</v>
      </c>
      <c r="B38" s="28">
        <v>43538</v>
      </c>
      <c r="C38" s="68">
        <v>22</v>
      </c>
      <c r="D38" s="31">
        <v>106.4</v>
      </c>
      <c r="E38" s="31">
        <f t="shared" si="16"/>
        <v>2340.8000000000011</v>
      </c>
      <c r="F38" s="69">
        <f t="shared" si="3"/>
        <v>1</v>
      </c>
      <c r="G38" s="25">
        <f t="shared" si="17"/>
        <v>22</v>
      </c>
      <c r="H38" s="25">
        <v>8.02</v>
      </c>
      <c r="I38" s="31">
        <v>968</v>
      </c>
      <c r="J38" s="31">
        <v>171</v>
      </c>
      <c r="K38" s="27">
        <v>23</v>
      </c>
      <c r="L38" s="27">
        <v>15</v>
      </c>
      <c r="M38" s="27">
        <v>3.5</v>
      </c>
      <c r="N38" s="31">
        <v>362</v>
      </c>
      <c r="O38" s="31">
        <v>14</v>
      </c>
      <c r="P38" s="12">
        <v>91.32</v>
      </c>
      <c r="Q38" s="12">
        <v>36.58</v>
      </c>
      <c r="R38" s="12">
        <v>66.66</v>
      </c>
      <c r="S38" s="12">
        <v>16.41</v>
      </c>
      <c r="T38" s="6">
        <v>6.7089999999999996</v>
      </c>
      <c r="U38" s="169">
        <v>0.2</v>
      </c>
      <c r="V38" s="81">
        <v>0.02</v>
      </c>
      <c r="W38" s="81">
        <v>0.02</v>
      </c>
      <c r="X38" s="25">
        <v>0.1</v>
      </c>
      <c r="Y38" s="81">
        <v>0.04</v>
      </c>
      <c r="Z38" s="170">
        <v>1.034</v>
      </c>
      <c r="AA38" s="31"/>
      <c r="AB38" s="69">
        <f t="shared" si="11"/>
        <v>11.436538852689596</v>
      </c>
      <c r="AC38" s="69">
        <f t="shared" si="1"/>
        <v>10.636217120605277</v>
      </c>
      <c r="AD38" s="69">
        <f t="shared" si="2"/>
        <v>3.6258350930559033</v>
      </c>
      <c r="AF38" s="100">
        <v>8.02</v>
      </c>
      <c r="AG38" s="100">
        <v>-4.2668400000000002</v>
      </c>
      <c r="AH38" s="100">
        <v>0.56730000000000003</v>
      </c>
      <c r="AI38" s="100">
        <v>-1.0967</v>
      </c>
      <c r="AJ38" s="100">
        <v>-1.3465</v>
      </c>
      <c r="AK38" s="100">
        <v>-2.8334000000000001</v>
      </c>
      <c r="AL38" s="100">
        <v>0.55930000000000002</v>
      </c>
      <c r="AM38" s="100">
        <v>-0.43890000000000001</v>
      </c>
      <c r="AN38" s="100">
        <v>-1.9197</v>
      </c>
      <c r="AO38" s="100">
        <v>-0.6079</v>
      </c>
      <c r="AQ38" s="50">
        <f t="shared" si="12"/>
        <v>2.3E-2</v>
      </c>
      <c r="AR38" s="50">
        <f t="shared" si="14"/>
        <v>1.4442692824195755E-2</v>
      </c>
      <c r="AS38" s="50">
        <f t="shared" si="15"/>
        <v>1.632384E-3</v>
      </c>
      <c r="AT38" s="50">
        <f t="shared" si="18"/>
        <v>8.2453333333333562E-3</v>
      </c>
      <c r="AU38" s="50">
        <f t="shared" si="13"/>
        <v>0.62794316626938063</v>
      </c>
    </row>
    <row r="39" spans="1:47" s="68" customFormat="1" x14ac:dyDescent="0.35">
      <c r="B39" s="28"/>
      <c r="E39" s="31"/>
      <c r="F39" s="69"/>
      <c r="G39" s="25"/>
      <c r="K39" s="65"/>
      <c r="L39" s="65"/>
      <c r="N39" s="31"/>
      <c r="P39" s="6"/>
      <c r="Q39" s="186"/>
      <c r="R39" s="169"/>
      <c r="S39" s="169"/>
      <c r="T39" s="169"/>
      <c r="U39" s="26"/>
      <c r="V39" s="186"/>
      <c r="W39" s="186"/>
      <c r="X39" s="186"/>
      <c r="AB39" s="69"/>
      <c r="AC39" s="69"/>
      <c r="AD39" s="69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Q39" s="149"/>
      <c r="AR39" s="149"/>
      <c r="AS39" s="149"/>
      <c r="AT39" s="149"/>
      <c r="AU39" s="149"/>
    </row>
    <row r="40" spans="1:47" s="68" customFormat="1" x14ac:dyDescent="0.35">
      <c r="A40" s="68" t="s">
        <v>56</v>
      </c>
      <c r="B40" s="28"/>
      <c r="E40" s="31"/>
      <c r="F40" s="69"/>
      <c r="G40" s="25"/>
      <c r="H40" s="15">
        <v>7.4</v>
      </c>
      <c r="I40" s="165">
        <f>'Influent Results Master'!D50</f>
        <v>1649.1666666666665</v>
      </c>
      <c r="J40" s="165">
        <f>'Influent Results Master'!F50</f>
        <v>321.75</v>
      </c>
      <c r="K40" s="165">
        <f>'Influent Results Master'!G50</f>
        <v>287.41666666666669</v>
      </c>
      <c r="L40" s="165">
        <f>'Influent Results Master'!H50</f>
        <v>46.75</v>
      </c>
      <c r="M40" s="165">
        <f>'Influent Results Master'!I50</f>
        <v>22.083333333333332</v>
      </c>
      <c r="N40" s="165">
        <f>'Influent Results Master'!J50</f>
        <v>613.41666666666663</v>
      </c>
      <c r="O40" s="165">
        <f>'Influent Results Master'!K50</f>
        <v>26.833333333333336</v>
      </c>
      <c r="P40" s="165">
        <f>'Influent Results Master'!L50</f>
        <v>151.75833333333333</v>
      </c>
      <c r="Q40" s="165">
        <f>'Influent Results Master'!M50</f>
        <v>61.764166666666668</v>
      </c>
      <c r="R40" s="165">
        <f>'Influent Results Master'!N50</f>
        <v>203.15</v>
      </c>
      <c r="S40" s="165">
        <f>'Influent Results Master'!O50</f>
        <v>23.238333333333333</v>
      </c>
      <c r="T40" s="170">
        <f>'Influent Results Master'!P50</f>
        <v>6.3825000000000003</v>
      </c>
      <c r="U40" s="171">
        <f>'Influent Results Master'!Q50</f>
        <v>0.2</v>
      </c>
      <c r="V40" s="176">
        <f>'Influent Results Master'!R50</f>
        <v>4.3250000000000004E-2</v>
      </c>
      <c r="W40" s="177">
        <f>'Influent Results Master'!S50</f>
        <v>0.02</v>
      </c>
      <c r="X40" s="176">
        <f>'Influent Results Master'!T50</f>
        <v>3.9333333333333338E-2</v>
      </c>
      <c r="Y40" s="177">
        <f>'Influent Results Master'!U50</f>
        <v>0.04</v>
      </c>
      <c r="Z40" s="170">
        <f>'Influent Results Master'!V50</f>
        <v>1.3765833333333335</v>
      </c>
      <c r="AB40" s="69">
        <f>((J40/50)+(L40/35.45)+(M40/62)+(N40/48.03))</f>
        <v>20.881473292519541</v>
      </c>
      <c r="AC40" s="69">
        <f t="shared" si="1"/>
        <v>21.651747071174306</v>
      </c>
      <c r="AD40" s="69">
        <f t="shared" si="2"/>
        <v>1.8109933178543591</v>
      </c>
      <c r="AF40" s="100">
        <v>7.4</v>
      </c>
      <c r="AG40" s="100">
        <v>2.1685300000000001</v>
      </c>
      <c r="AH40" s="100">
        <v>0.35139999999999999</v>
      </c>
      <c r="AI40" s="100">
        <v>-0.80889999999999995</v>
      </c>
      <c r="AJ40" s="100">
        <v>-1.0584</v>
      </c>
      <c r="AK40" s="100">
        <v>-1.9487000000000001</v>
      </c>
      <c r="AL40" s="100">
        <v>0.14050000000000001</v>
      </c>
      <c r="AM40" s="100">
        <v>-1.2937000000000001</v>
      </c>
      <c r="AN40" s="100">
        <v>-1.5371999999999999</v>
      </c>
      <c r="AO40" s="100">
        <v>-0.81089999999999995</v>
      </c>
      <c r="AQ40" s="50">
        <f>K40/1000</f>
        <v>0.28741666666666671</v>
      </c>
      <c r="AR40" s="149"/>
      <c r="AS40" s="149"/>
      <c r="AT40" s="149"/>
      <c r="AU40" s="149"/>
    </row>
    <row r="41" spans="1:47" s="68" customFormat="1" x14ac:dyDescent="0.35">
      <c r="B41" s="28"/>
      <c r="E41" s="31"/>
      <c r="F41" s="69"/>
      <c r="G41" s="25"/>
      <c r="K41" s="65"/>
      <c r="L41" s="65"/>
      <c r="N41" s="31"/>
      <c r="P41" s="6"/>
      <c r="Q41" s="186"/>
      <c r="R41" s="169"/>
      <c r="S41" s="169"/>
      <c r="T41" s="169"/>
      <c r="U41" s="26"/>
      <c r="V41" s="186"/>
      <c r="W41" s="186"/>
      <c r="X41" s="186"/>
      <c r="AB41" s="69"/>
      <c r="AC41" s="69"/>
      <c r="AD41" s="69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Q41" s="149"/>
      <c r="AR41" s="149"/>
      <c r="AS41" s="149"/>
      <c r="AT41" s="149"/>
      <c r="AU41" s="149"/>
    </row>
    <row r="42" spans="1:47" s="68" customFormat="1" x14ac:dyDescent="0.35">
      <c r="A42" s="68">
        <v>12</v>
      </c>
      <c r="B42" s="28">
        <v>43538</v>
      </c>
      <c r="C42" s="68">
        <v>23</v>
      </c>
      <c r="D42" s="31">
        <v>106.4</v>
      </c>
      <c r="E42" s="31">
        <f>D42+E38</f>
        <v>2447.2000000000012</v>
      </c>
      <c r="F42" s="69">
        <f t="shared" si="3"/>
        <v>1</v>
      </c>
      <c r="G42" s="25">
        <f>G38+F42</f>
        <v>23</v>
      </c>
      <c r="H42" s="31">
        <v>8.08</v>
      </c>
      <c r="I42" s="31">
        <v>1280</v>
      </c>
      <c r="J42" s="31">
        <v>226</v>
      </c>
      <c r="K42" s="27">
        <v>38</v>
      </c>
      <c r="L42" s="27">
        <v>31</v>
      </c>
      <c r="M42" s="27">
        <v>13</v>
      </c>
      <c r="N42" s="31">
        <v>483</v>
      </c>
      <c r="O42" s="31">
        <v>18</v>
      </c>
      <c r="P42" s="12">
        <v>134.4</v>
      </c>
      <c r="Q42" s="12">
        <v>53.63</v>
      </c>
      <c r="R42" s="12">
        <v>78.13</v>
      </c>
      <c r="S42" s="12">
        <v>16.37</v>
      </c>
      <c r="T42" s="6">
        <v>7.859</v>
      </c>
      <c r="U42" s="81">
        <v>0.2</v>
      </c>
      <c r="V42" s="81">
        <v>0.02</v>
      </c>
      <c r="W42" s="81">
        <v>0.02</v>
      </c>
      <c r="X42" s="25">
        <v>0.13400000000000001</v>
      </c>
      <c r="Y42" s="81">
        <v>0.04</v>
      </c>
      <c r="Z42" s="170">
        <v>1.504</v>
      </c>
      <c r="AA42" s="31"/>
      <c r="AB42" s="69">
        <f t="shared" ref="AB42:AB49" si="19">((J42/50)+(L42/35.45)+(M42/62)+(N42/48.03))</f>
        <v>15.660363371100441</v>
      </c>
      <c r="AC42" s="69">
        <f t="shared" si="1"/>
        <v>14.716380212691195</v>
      </c>
      <c r="AD42" s="69">
        <f t="shared" si="2"/>
        <v>3.1075851030751522</v>
      </c>
      <c r="AF42" s="100">
        <v>8.08</v>
      </c>
      <c r="AG42" s="100">
        <v>-4.2622900000000001</v>
      </c>
      <c r="AH42" s="100">
        <v>0.85850000000000004</v>
      </c>
      <c r="AI42" s="100">
        <v>-0.89429999999999998</v>
      </c>
      <c r="AJ42" s="100">
        <v>-1.1439999999999999</v>
      </c>
      <c r="AK42" s="100">
        <v>-2.7881</v>
      </c>
      <c r="AL42" s="100">
        <v>1.1433</v>
      </c>
      <c r="AM42" s="100">
        <v>-0.19489999999999999</v>
      </c>
      <c r="AN42" s="100">
        <v>-1.8221000000000001</v>
      </c>
      <c r="AO42" s="100">
        <v>-0.31519999999999998</v>
      </c>
      <c r="AQ42" s="50">
        <f t="shared" ref="AQ42:AQ49" si="20">K42/1000</f>
        <v>3.7999999999999999E-2</v>
      </c>
      <c r="AR42" s="50">
        <f>AT42/$AS$6</f>
        <v>6.0927074210311259E-2</v>
      </c>
      <c r="AS42" s="50">
        <f>(AQ42-$AQ$40)*0.1064</f>
        <v>-2.6537933333333336E-2</v>
      </c>
      <c r="AT42" s="50">
        <f>AT38-AS42</f>
        <v>3.4783266666666694E-2</v>
      </c>
      <c r="AU42" s="50">
        <f t="shared" ref="AU42:AU49" si="21">AR42/AQ42</f>
        <v>1.6033440581660858</v>
      </c>
    </row>
    <row r="43" spans="1:47" s="68" customFormat="1" x14ac:dyDescent="0.35">
      <c r="A43" s="68">
        <v>12</v>
      </c>
      <c r="B43" s="28"/>
      <c r="C43" s="68">
        <v>24</v>
      </c>
      <c r="D43" s="31">
        <v>106.4</v>
      </c>
      <c r="E43" s="31">
        <f>D43+E42</f>
        <v>2553.6000000000013</v>
      </c>
      <c r="F43" s="69">
        <f t="shared" si="3"/>
        <v>1</v>
      </c>
      <c r="G43" s="25">
        <f>G42+F43</f>
        <v>24</v>
      </c>
      <c r="H43" s="31">
        <v>8.11</v>
      </c>
      <c r="I43" s="31">
        <v>1642</v>
      </c>
      <c r="J43" s="31">
        <v>326</v>
      </c>
      <c r="K43" s="27">
        <v>143</v>
      </c>
      <c r="L43" s="27">
        <v>46</v>
      </c>
      <c r="M43" s="27">
        <v>23</v>
      </c>
      <c r="N43" s="31">
        <v>627</v>
      </c>
      <c r="O43" s="31">
        <v>23</v>
      </c>
      <c r="P43" s="21">
        <v>169</v>
      </c>
      <c r="Q43" s="21">
        <v>66.53</v>
      </c>
      <c r="R43" s="21">
        <v>133</v>
      </c>
      <c r="S43" s="21">
        <v>16.86</v>
      </c>
      <c r="T43" s="18">
        <v>8.8989999999999991</v>
      </c>
      <c r="U43" s="81">
        <v>0.2</v>
      </c>
      <c r="V43" s="27">
        <v>2.7E-2</v>
      </c>
      <c r="W43" s="81">
        <v>0.02</v>
      </c>
      <c r="X43" s="11">
        <v>0.17</v>
      </c>
      <c r="Y43" s="81">
        <v>0.04</v>
      </c>
      <c r="Z43" s="18">
        <v>1.867</v>
      </c>
      <c r="AA43" s="31"/>
      <c r="AB43" s="69">
        <f t="shared" si="19"/>
        <v>21.242911035487026</v>
      </c>
      <c r="AC43" s="69">
        <f t="shared" si="1"/>
        <v>19.917070712668625</v>
      </c>
      <c r="AD43" s="69">
        <f t="shared" si="2"/>
        <v>3.2211878297973513</v>
      </c>
      <c r="AF43" s="100">
        <v>8.11</v>
      </c>
      <c r="AG43" s="100">
        <v>-3.9871099999999999</v>
      </c>
      <c r="AH43" s="100">
        <v>1.0905</v>
      </c>
      <c r="AI43" s="100">
        <v>-0.76139999999999997</v>
      </c>
      <c r="AJ43" s="100">
        <v>-1.0109999999999999</v>
      </c>
      <c r="AK43" s="100">
        <v>-2.6709999999999998</v>
      </c>
      <c r="AL43" s="100">
        <v>1.6056999999999999</v>
      </c>
      <c r="AM43" s="100">
        <v>3.4200000000000001E-2</v>
      </c>
      <c r="AN43" s="100">
        <v>-1.6638999999999999</v>
      </c>
      <c r="AO43" s="100">
        <v>-8.48E-2</v>
      </c>
      <c r="AQ43" s="50">
        <f t="shared" si="20"/>
        <v>0.14299999999999999</v>
      </c>
      <c r="AR43" s="50">
        <f t="shared" ref="AR43:AR49" si="22">AT43/$AS$6</f>
        <v>8.7842354177614351E-2</v>
      </c>
      <c r="AS43" s="50">
        <f t="shared" ref="AS43:AS49" si="23">(AQ43-$AQ$40)*0.1064</f>
        <v>-1.5365933333333338E-2</v>
      </c>
      <c r="AT43" s="50">
        <f>AT42-AS43</f>
        <v>5.0149200000000033E-2</v>
      </c>
      <c r="AU43" s="50">
        <f t="shared" si="21"/>
        <v>0.61428219704625431</v>
      </c>
    </row>
    <row r="44" spans="1:47" s="68" customFormat="1" x14ac:dyDescent="0.35">
      <c r="A44" s="68">
        <v>12</v>
      </c>
      <c r="B44" s="28"/>
      <c r="C44" s="68">
        <v>25</v>
      </c>
      <c r="D44" s="31">
        <v>106.4</v>
      </c>
      <c r="E44" s="31">
        <f t="shared" ref="E44:E49" si="24">D44+E43</f>
        <v>2660.0000000000014</v>
      </c>
      <c r="F44" s="69">
        <f t="shared" si="3"/>
        <v>1</v>
      </c>
      <c r="G44" s="25">
        <f t="shared" ref="G44:G49" si="25">G43+F44</f>
        <v>25</v>
      </c>
      <c r="H44" s="31">
        <v>8.15</v>
      </c>
      <c r="I44" s="31">
        <v>1688</v>
      </c>
      <c r="J44" s="31">
        <v>327</v>
      </c>
      <c r="K44" s="27">
        <v>239</v>
      </c>
      <c r="L44" s="27">
        <v>46</v>
      </c>
      <c r="M44" s="27">
        <v>23</v>
      </c>
      <c r="N44" s="31">
        <v>615</v>
      </c>
      <c r="O44" s="31">
        <v>23</v>
      </c>
      <c r="P44" s="21">
        <v>144.19999999999999</v>
      </c>
      <c r="Q44" s="21">
        <v>57.56</v>
      </c>
      <c r="R44" s="21">
        <v>173.9</v>
      </c>
      <c r="S44" s="21">
        <v>16.559999999999999</v>
      </c>
      <c r="T44" s="18">
        <v>9.1310000000000002</v>
      </c>
      <c r="U44" s="81">
        <v>0.2</v>
      </c>
      <c r="V44" s="27">
        <v>3.5000000000000003E-2</v>
      </c>
      <c r="W44" s="81">
        <v>0.02</v>
      </c>
      <c r="X44" s="11">
        <v>0.14299999999999999</v>
      </c>
      <c r="Y44" s="81">
        <v>0.04</v>
      </c>
      <c r="Z44" s="18">
        <v>1.635</v>
      </c>
      <c r="AA44" s="31"/>
      <c r="AB44" s="69">
        <f t="shared" si="19"/>
        <v>21.013067187891775</v>
      </c>
      <c r="AC44" s="69">
        <f t="shared" si="1"/>
        <v>19.726849155487354</v>
      </c>
      <c r="AD44" s="69">
        <f t="shared" si="2"/>
        <v>3.1571445104684188</v>
      </c>
      <c r="AF44" s="100">
        <v>8.15</v>
      </c>
      <c r="AG44" s="100">
        <v>-3.8362500000000002</v>
      </c>
      <c r="AH44" s="100">
        <v>1.0644</v>
      </c>
      <c r="AI44" s="100">
        <v>-0.82489999999999997</v>
      </c>
      <c r="AJ44" s="100">
        <v>-1.0745</v>
      </c>
      <c r="AK44" s="100">
        <v>-2.7073</v>
      </c>
      <c r="AL44" s="100">
        <v>1.5603</v>
      </c>
      <c r="AM44" s="100">
        <v>4.1000000000000003E-3</v>
      </c>
      <c r="AN44" s="100">
        <v>-1.6189</v>
      </c>
      <c r="AO44" s="100">
        <v>-0.1041</v>
      </c>
      <c r="AQ44" s="50">
        <f t="shared" si="20"/>
        <v>0.23899999999999999</v>
      </c>
      <c r="AR44" s="50">
        <f t="shared" si="22"/>
        <v>9.6865884276288977E-2</v>
      </c>
      <c r="AS44" s="50">
        <f t="shared" si="23"/>
        <v>-5.151533333333339E-3</v>
      </c>
      <c r="AT44" s="50">
        <f t="shared" ref="AT44:AT49" si="26">AT43-AS44</f>
        <v>5.5300733333333373E-2</v>
      </c>
      <c r="AU44" s="50">
        <f t="shared" si="21"/>
        <v>0.40529658693007942</v>
      </c>
    </row>
    <row r="45" spans="1:47" s="68" customFormat="1" x14ac:dyDescent="0.35">
      <c r="A45" s="68">
        <v>12</v>
      </c>
      <c r="B45" s="28"/>
      <c r="C45" s="68">
        <v>26</v>
      </c>
      <c r="D45" s="31">
        <v>106.4</v>
      </c>
      <c r="E45" s="31">
        <f t="shared" si="24"/>
        <v>2766.4000000000015</v>
      </c>
      <c r="F45" s="69">
        <f t="shared" si="3"/>
        <v>1</v>
      </c>
      <c r="G45" s="25">
        <f t="shared" si="25"/>
        <v>26</v>
      </c>
      <c r="H45" s="31">
        <v>8.14</v>
      </c>
      <c r="I45" s="31">
        <v>1698</v>
      </c>
      <c r="J45" s="31">
        <v>326</v>
      </c>
      <c r="K45" s="27">
        <v>268</v>
      </c>
      <c r="L45" s="27">
        <v>46</v>
      </c>
      <c r="M45" s="27">
        <v>23</v>
      </c>
      <c r="N45" s="31">
        <v>621</v>
      </c>
      <c r="O45" s="31">
        <v>23</v>
      </c>
      <c r="P45" s="21">
        <v>142.1</v>
      </c>
      <c r="Q45" s="21">
        <v>55.35</v>
      </c>
      <c r="R45" s="21">
        <v>178.2</v>
      </c>
      <c r="S45" s="21">
        <v>16.64</v>
      </c>
      <c r="T45" s="18">
        <v>8.7010000000000005</v>
      </c>
      <c r="U45" s="81">
        <v>0.2</v>
      </c>
      <c r="V45" s="27">
        <v>3.6999999999999998E-2</v>
      </c>
      <c r="W45" s="81">
        <v>0.02</v>
      </c>
      <c r="X45" s="11">
        <v>0.13600000000000001</v>
      </c>
      <c r="Y45" s="81">
        <v>0.04</v>
      </c>
      <c r="Z45" s="18">
        <v>1.6240000000000001</v>
      </c>
      <c r="AA45" s="31"/>
      <c r="AB45" s="69">
        <f t="shared" si="19"/>
        <v>21.117989111689401</v>
      </c>
      <c r="AC45" s="69">
        <f t="shared" si="1"/>
        <v>19.616355715358033</v>
      </c>
      <c r="AD45" s="69">
        <f t="shared" si="2"/>
        <v>3.6864061585060512</v>
      </c>
      <c r="AF45" s="100">
        <v>8.14</v>
      </c>
      <c r="AG45" s="100">
        <v>-4.4603999999999999</v>
      </c>
      <c r="AH45" s="100">
        <v>1.0465</v>
      </c>
      <c r="AI45" s="100">
        <v>-0.82609999999999995</v>
      </c>
      <c r="AJ45" s="100">
        <v>-1.0757000000000001</v>
      </c>
      <c r="AK45" s="100">
        <v>-2.6976</v>
      </c>
      <c r="AL45" s="100">
        <v>1.514</v>
      </c>
      <c r="AM45" s="100">
        <v>-2.9000000000000001E-2</v>
      </c>
      <c r="AN45" s="100">
        <v>-1.6024</v>
      </c>
      <c r="AO45" s="100">
        <v>-0.13250000000000001</v>
      </c>
      <c r="AQ45" s="50">
        <f t="shared" si="20"/>
        <v>0.26800000000000002</v>
      </c>
      <c r="AR45" s="50">
        <f t="shared" si="22"/>
        <v>0.10048461493548207</v>
      </c>
      <c r="AS45" s="50">
        <f t="shared" si="23"/>
        <v>-2.065933333333336E-3</v>
      </c>
      <c r="AT45" s="50">
        <f t="shared" si="26"/>
        <v>5.7366666666666712E-2</v>
      </c>
      <c r="AU45" s="50">
        <f t="shared" si="21"/>
        <v>0.3749425930428435</v>
      </c>
    </row>
    <row r="46" spans="1:47" s="68" customFormat="1" x14ac:dyDescent="0.35">
      <c r="A46" s="68">
        <v>12</v>
      </c>
      <c r="B46" s="28"/>
      <c r="C46" s="68">
        <v>27</v>
      </c>
      <c r="D46" s="31">
        <v>106.4</v>
      </c>
      <c r="E46" s="31">
        <f t="shared" si="24"/>
        <v>2872.8000000000015</v>
      </c>
      <c r="F46" s="69">
        <f t="shared" si="3"/>
        <v>1</v>
      </c>
      <c r="G46" s="25">
        <f t="shared" si="25"/>
        <v>27</v>
      </c>
      <c r="H46" s="31">
        <v>8.14</v>
      </c>
      <c r="I46" s="31">
        <v>1704</v>
      </c>
      <c r="J46" s="31">
        <v>327</v>
      </c>
      <c r="K46" s="27">
        <v>266</v>
      </c>
      <c r="L46" s="27">
        <v>46</v>
      </c>
      <c r="M46" s="27">
        <v>23</v>
      </c>
      <c r="N46" s="31">
        <v>618</v>
      </c>
      <c r="O46" s="31">
        <v>23</v>
      </c>
      <c r="P46" s="21">
        <v>142.80000000000001</v>
      </c>
      <c r="Q46" s="21">
        <v>56.31</v>
      </c>
      <c r="R46" s="21">
        <v>180</v>
      </c>
      <c r="S46" s="21">
        <v>17.440000000000001</v>
      </c>
      <c r="T46" s="18">
        <v>8.5299999999999994</v>
      </c>
      <c r="U46" s="81">
        <v>0.2</v>
      </c>
      <c r="V46" s="33">
        <v>0.04</v>
      </c>
      <c r="W46" s="81">
        <v>0.02</v>
      </c>
      <c r="X46" s="11">
        <v>0.13100000000000001</v>
      </c>
      <c r="Y46" s="81">
        <v>0.04</v>
      </c>
      <c r="Z46" s="18">
        <v>1.6180000000000001</v>
      </c>
      <c r="AA46" s="31"/>
      <c r="AB46" s="69">
        <f t="shared" si="19"/>
        <v>21.075528149790586</v>
      </c>
      <c r="AC46" s="69">
        <f t="shared" si="1"/>
        <v>19.804154732795915</v>
      </c>
      <c r="AD46" s="69">
        <f t="shared" si="2"/>
        <v>3.1100373763815004</v>
      </c>
      <c r="AF46" s="100">
        <v>8.14</v>
      </c>
      <c r="AG46" s="100">
        <v>-3.7746</v>
      </c>
      <c r="AH46" s="100">
        <v>1.0502</v>
      </c>
      <c r="AI46" s="100">
        <v>-0.82679999999999998</v>
      </c>
      <c r="AJ46" s="100">
        <v>-1.0764</v>
      </c>
      <c r="AK46" s="100">
        <v>-2.6966000000000001</v>
      </c>
      <c r="AL46" s="100">
        <v>1.5265</v>
      </c>
      <c r="AM46" s="100">
        <v>-4.41E-2</v>
      </c>
      <c r="AN46" s="100">
        <v>-1.5662</v>
      </c>
      <c r="AO46" s="100">
        <v>-0.1237</v>
      </c>
      <c r="AQ46" s="50">
        <f t="shared" si="20"/>
        <v>0.26600000000000001</v>
      </c>
      <c r="AR46" s="50">
        <f t="shared" si="22"/>
        <v>0.10447609038360493</v>
      </c>
      <c r="AS46" s="50">
        <f t="shared" si="23"/>
        <v>-2.2787333333333364E-3</v>
      </c>
      <c r="AT46" s="50">
        <f t="shared" si="26"/>
        <v>5.964540000000005E-2</v>
      </c>
      <c r="AU46" s="50">
        <f t="shared" si="21"/>
        <v>0.39276725708122151</v>
      </c>
    </row>
    <row r="47" spans="1:47" s="68" customFormat="1" x14ac:dyDescent="0.35">
      <c r="A47" s="68">
        <v>12</v>
      </c>
      <c r="B47" s="28"/>
      <c r="C47" s="68">
        <v>28</v>
      </c>
      <c r="D47" s="31">
        <v>106.4</v>
      </c>
      <c r="E47" s="31">
        <f t="shared" si="24"/>
        <v>2979.2000000000016</v>
      </c>
      <c r="F47" s="69">
        <f t="shared" si="3"/>
        <v>1</v>
      </c>
      <c r="G47" s="25">
        <f t="shared" si="25"/>
        <v>28</v>
      </c>
      <c r="H47" s="31">
        <v>8.11</v>
      </c>
      <c r="I47" s="31">
        <v>1705</v>
      </c>
      <c r="J47" s="31">
        <v>326</v>
      </c>
      <c r="K47" s="27">
        <v>269</v>
      </c>
      <c r="L47" s="27">
        <v>46</v>
      </c>
      <c r="M47" s="27">
        <v>23</v>
      </c>
      <c r="N47" s="31">
        <v>621</v>
      </c>
      <c r="O47" s="31">
        <v>23</v>
      </c>
      <c r="P47" s="21">
        <v>142</v>
      </c>
      <c r="Q47" s="21">
        <v>53.17</v>
      </c>
      <c r="R47" s="21">
        <v>177.8</v>
      </c>
      <c r="S47" s="21">
        <v>17.89</v>
      </c>
      <c r="T47" s="18">
        <v>8.1440000000000001</v>
      </c>
      <c r="U47" s="81">
        <v>0.2</v>
      </c>
      <c r="V47" s="27">
        <v>3.6999999999999998E-2</v>
      </c>
      <c r="W47" s="81">
        <v>0.02</v>
      </c>
      <c r="X47" s="11">
        <v>0.122</v>
      </c>
      <c r="Y47" s="81">
        <v>0.04</v>
      </c>
      <c r="Z47" s="18">
        <v>1.6020000000000001</v>
      </c>
      <c r="AA47" s="31"/>
      <c r="AB47" s="69">
        <f t="shared" si="19"/>
        <v>21.117989111689401</v>
      </c>
      <c r="AC47" s="69">
        <f t="shared" si="1"/>
        <v>19.400444986238298</v>
      </c>
      <c r="AD47" s="69">
        <f t="shared" si="2"/>
        <v>4.2389202931683512</v>
      </c>
      <c r="AF47" s="100">
        <v>8.11</v>
      </c>
      <c r="AG47" s="100">
        <v>-5.1063900000000002</v>
      </c>
      <c r="AH47" s="100">
        <v>1.0185</v>
      </c>
      <c r="AI47" s="100">
        <v>-0.82440000000000002</v>
      </c>
      <c r="AJ47" s="100">
        <v>-1.0740000000000001</v>
      </c>
      <c r="AK47" s="100">
        <v>-2.6657000000000002</v>
      </c>
      <c r="AL47" s="100">
        <v>1.4407000000000001</v>
      </c>
      <c r="AM47" s="100">
        <v>-0.104</v>
      </c>
      <c r="AN47" s="100">
        <v>-1.6017999999999999</v>
      </c>
      <c r="AO47" s="100">
        <v>-0.17780000000000001</v>
      </c>
      <c r="AQ47" s="50">
        <f t="shared" si="20"/>
        <v>0.26900000000000002</v>
      </c>
      <c r="AR47" s="50">
        <f t="shared" si="22"/>
        <v>0.10790844864833314</v>
      </c>
      <c r="AS47" s="50">
        <f t="shared" si="23"/>
        <v>-1.959533333333336E-3</v>
      </c>
      <c r="AT47" s="50">
        <f t="shared" si="26"/>
        <v>6.1604933333333389E-2</v>
      </c>
      <c r="AU47" s="50">
        <f t="shared" si="21"/>
        <v>0.40114664925030907</v>
      </c>
    </row>
    <row r="48" spans="1:47" s="68" customFormat="1" x14ac:dyDescent="0.35">
      <c r="A48" s="68">
        <v>12</v>
      </c>
      <c r="B48" s="28"/>
      <c r="C48" s="68">
        <v>29</v>
      </c>
      <c r="D48" s="31">
        <v>106.4</v>
      </c>
      <c r="E48" s="31">
        <f t="shared" si="24"/>
        <v>3085.6000000000017</v>
      </c>
      <c r="F48" s="69">
        <f t="shared" si="3"/>
        <v>1</v>
      </c>
      <c r="G48" s="25">
        <f t="shared" si="25"/>
        <v>29</v>
      </c>
      <c r="H48" s="25">
        <v>8.24</v>
      </c>
      <c r="I48" s="31">
        <v>1644</v>
      </c>
      <c r="J48" s="31">
        <v>328</v>
      </c>
      <c r="K48" s="27">
        <v>272</v>
      </c>
      <c r="L48" s="27">
        <v>46</v>
      </c>
      <c r="M48" s="27">
        <v>23</v>
      </c>
      <c r="N48" s="31">
        <v>616</v>
      </c>
      <c r="O48" s="31">
        <v>23</v>
      </c>
      <c r="P48" s="21">
        <v>143.1</v>
      </c>
      <c r="Q48" s="21">
        <v>54.12</v>
      </c>
      <c r="R48" s="21">
        <v>181.8</v>
      </c>
      <c r="S48" s="21">
        <v>18.55</v>
      </c>
      <c r="T48" s="18">
        <v>8.1180000000000003</v>
      </c>
      <c r="U48" s="81">
        <v>0.2</v>
      </c>
      <c r="V48" s="27">
        <v>3.9E-2</v>
      </c>
      <c r="W48" s="81">
        <v>0.02</v>
      </c>
      <c r="X48" s="11">
        <v>0.12</v>
      </c>
      <c r="Y48" s="81">
        <v>0.04</v>
      </c>
      <c r="Z48" s="18">
        <v>1.613</v>
      </c>
      <c r="AA48" s="31"/>
      <c r="AB48" s="69">
        <f t="shared" si="19"/>
        <v>21.05388750852471</v>
      </c>
      <c r="AC48" s="69">
        <f t="shared" si="1"/>
        <v>19.706783934897452</v>
      </c>
      <c r="AD48" s="69">
        <f t="shared" si="2"/>
        <v>3.3049101644390353</v>
      </c>
      <c r="AF48" s="100">
        <v>8.24</v>
      </c>
      <c r="AG48" s="100">
        <v>-3.9969100000000002</v>
      </c>
      <c r="AH48" s="100">
        <v>1.1457999999999999</v>
      </c>
      <c r="AI48" s="100">
        <v>-0.82699999999999996</v>
      </c>
      <c r="AJ48" s="100">
        <v>-1.0766</v>
      </c>
      <c r="AK48" s="100">
        <v>-2.8005</v>
      </c>
      <c r="AL48" s="100">
        <v>1.7003999999999999</v>
      </c>
      <c r="AM48" s="100">
        <v>1.44E-2</v>
      </c>
      <c r="AN48" s="100">
        <v>-1.5770999999999999</v>
      </c>
      <c r="AO48" s="100">
        <v>-4.5400000000000003E-2</v>
      </c>
      <c r="AQ48" s="50">
        <f t="shared" si="20"/>
        <v>0.27200000000000002</v>
      </c>
      <c r="AR48" s="50">
        <f t="shared" si="22"/>
        <v>0.11078168972966673</v>
      </c>
      <c r="AS48" s="50">
        <f t="shared" si="23"/>
        <v>-1.6403333333333357E-3</v>
      </c>
      <c r="AT48" s="50">
        <f t="shared" si="26"/>
        <v>6.324526666666673E-2</v>
      </c>
      <c r="AU48" s="50">
        <f t="shared" si="21"/>
        <v>0.40728562400612767</v>
      </c>
    </row>
    <row r="49" spans="1:47" s="68" customFormat="1" x14ac:dyDescent="0.35">
      <c r="A49" s="68">
        <v>12</v>
      </c>
      <c r="B49" s="28">
        <v>43539</v>
      </c>
      <c r="C49" s="68">
        <v>30</v>
      </c>
      <c r="D49" s="31">
        <v>106.4</v>
      </c>
      <c r="E49" s="31">
        <f t="shared" si="24"/>
        <v>3192.0000000000018</v>
      </c>
      <c r="F49" s="69">
        <f t="shared" si="3"/>
        <v>1</v>
      </c>
      <c r="G49" s="25">
        <f t="shared" si="25"/>
        <v>30</v>
      </c>
      <c r="H49" s="31">
        <v>8.2200000000000006</v>
      </c>
      <c r="I49" s="31">
        <v>2060</v>
      </c>
      <c r="J49" s="31">
        <v>324</v>
      </c>
      <c r="K49" s="27">
        <v>281</v>
      </c>
      <c r="L49" s="27">
        <v>47</v>
      </c>
      <c r="M49" s="27">
        <v>24</v>
      </c>
      <c r="N49" s="31">
        <v>613</v>
      </c>
      <c r="O49" s="31">
        <v>23</v>
      </c>
      <c r="P49" s="165">
        <v>141.30000000000001</v>
      </c>
      <c r="Q49" s="165">
        <v>55.14</v>
      </c>
      <c r="R49" s="165">
        <v>181.9</v>
      </c>
      <c r="S49" s="165">
        <v>19.78</v>
      </c>
      <c r="T49" s="170">
        <v>7.9470000000000001</v>
      </c>
      <c r="U49" s="81">
        <v>0.2</v>
      </c>
      <c r="V49" s="68">
        <v>3.9E-2</v>
      </c>
      <c r="W49" s="81">
        <v>0.02</v>
      </c>
      <c r="X49" s="163">
        <v>0.10299999999999999</v>
      </c>
      <c r="Y49" s="81">
        <v>0.04</v>
      </c>
      <c r="Z49" s="170">
        <v>1.627</v>
      </c>
      <c r="AA49" s="31"/>
      <c r="AB49" s="69">
        <f t="shared" si="19"/>
        <v>20.955764323594828</v>
      </c>
      <c r="AC49" s="69">
        <f t="shared" si="1"/>
        <v>19.700821470297232</v>
      </c>
      <c r="AD49" s="69">
        <f t="shared" si="2"/>
        <v>3.0866902096981517</v>
      </c>
      <c r="AF49" s="100">
        <v>8.2200000000000006</v>
      </c>
      <c r="AG49" s="100">
        <v>-3.9312499999999999</v>
      </c>
      <c r="AH49" s="100">
        <v>1.1173999999999999</v>
      </c>
      <c r="AI49" s="100">
        <v>-0.83350000000000002</v>
      </c>
      <c r="AJ49" s="100">
        <v>-1.0831</v>
      </c>
      <c r="AK49" s="100">
        <v>-2.7846000000000002</v>
      </c>
      <c r="AL49" s="100">
        <v>1.6568000000000001</v>
      </c>
      <c r="AM49" s="100">
        <v>-7.5399999999999995E-2</v>
      </c>
      <c r="AN49" s="100">
        <v>-1.5813999999999999</v>
      </c>
      <c r="AO49" s="100">
        <v>-6.0499999999999998E-2</v>
      </c>
      <c r="AQ49" s="50">
        <f t="shared" si="20"/>
        <v>0.28100000000000003</v>
      </c>
      <c r="AR49" s="50">
        <f t="shared" si="22"/>
        <v>0.11197757926081638</v>
      </c>
      <c r="AS49" s="50">
        <f t="shared" si="23"/>
        <v>-6.8273333333333493E-4</v>
      </c>
      <c r="AT49" s="50">
        <f t="shared" si="26"/>
        <v>6.3928000000000068E-2</v>
      </c>
      <c r="AU49" s="50">
        <f t="shared" si="21"/>
        <v>0.39849672334810093</v>
      </c>
    </row>
    <row r="50" spans="1:47" s="68" customFormat="1" x14ac:dyDescent="0.35">
      <c r="B50" s="28"/>
      <c r="E50" s="31"/>
      <c r="F50" s="69"/>
      <c r="G50" s="25"/>
      <c r="K50" s="65"/>
      <c r="L50" s="65"/>
      <c r="N50" s="31"/>
      <c r="P50" s="175"/>
      <c r="Q50" s="175"/>
      <c r="R50" s="175"/>
      <c r="S50" s="175"/>
      <c r="T50" s="172"/>
      <c r="U50" s="67"/>
      <c r="Y50" s="176"/>
      <c r="Z50" s="170"/>
      <c r="AB50" s="69"/>
      <c r="AC50" s="69"/>
      <c r="AD50" s="69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Q50" s="149"/>
      <c r="AR50" s="149"/>
      <c r="AS50" s="149"/>
      <c r="AT50" s="149"/>
      <c r="AU50" s="149"/>
    </row>
    <row r="51" spans="1:47" s="68" customFormat="1" x14ac:dyDescent="0.35">
      <c r="A51" s="68" t="s">
        <v>76</v>
      </c>
      <c r="B51" s="28"/>
      <c r="E51" s="31"/>
      <c r="F51" s="69"/>
      <c r="G51" s="25"/>
      <c r="H51" s="15">
        <v>7.1</v>
      </c>
      <c r="I51" s="165">
        <f>'Influent Results Master'!D54</f>
        <v>2312</v>
      </c>
      <c r="J51" s="165">
        <f>'Influent Results Master'!F54</f>
        <v>245.88888888888889</v>
      </c>
      <c r="K51" s="165">
        <f>'Influent Results Master'!G54</f>
        <v>86.777777777777786</v>
      </c>
      <c r="L51" s="165">
        <f>'Influent Results Master'!H54</f>
        <v>90</v>
      </c>
      <c r="M51" s="165">
        <f>'Influent Results Master'!I54</f>
        <v>16.888888888888889</v>
      </c>
      <c r="N51" s="165">
        <f>'Influent Results Master'!J54</f>
        <v>981.77777777777783</v>
      </c>
      <c r="O51" s="165">
        <f>'Influent Results Master'!K54</f>
        <v>19</v>
      </c>
      <c r="P51" s="165">
        <f>'Influent Results Master'!L54</f>
        <v>155.97777777777779</v>
      </c>
      <c r="Q51" s="165">
        <f>'Influent Results Master'!M54</f>
        <v>44.49</v>
      </c>
      <c r="R51" s="165">
        <f>'Influent Results Master'!N54</f>
        <v>409.65555555555557</v>
      </c>
      <c r="S51" s="165">
        <f>'Influent Results Master'!O54</f>
        <v>22.975555555555559</v>
      </c>
      <c r="T51" s="170">
        <f>'Influent Results Master'!P54</f>
        <v>8.5394444444444453</v>
      </c>
      <c r="U51" s="177">
        <f>'Influent Results Master'!Q54</f>
        <v>0.20000000000000004</v>
      </c>
      <c r="V51" s="177">
        <f>'Influent Results Master'!R54</f>
        <v>0.02</v>
      </c>
      <c r="W51" s="177">
        <f>'Influent Results Master'!S54</f>
        <v>0.02</v>
      </c>
      <c r="X51" s="163">
        <f>'Influent Results Master'!T54</f>
        <v>0.40411111111111114</v>
      </c>
      <c r="Y51" s="177">
        <f>'Influent Results Master'!U54</f>
        <v>0.04</v>
      </c>
      <c r="Z51" s="170">
        <f>'Influent Results Master'!V54</f>
        <v>1.8005555555555555</v>
      </c>
      <c r="AB51" s="69">
        <f>((J51/50)+(L51/35.45)+(M51/62)+(N51/48.03))</f>
        <v>28.169894359073403</v>
      </c>
      <c r="AC51" s="69">
        <f t="shared" si="1"/>
        <v>29.479297904199917</v>
      </c>
      <c r="AD51" s="69">
        <f t="shared" si="2"/>
        <v>2.2713302541112936</v>
      </c>
      <c r="AF51" s="100">
        <v>7.1</v>
      </c>
      <c r="AG51" s="100">
        <v>-0.38524599999999998</v>
      </c>
      <c r="AH51" s="100">
        <v>-0.12889999999999999</v>
      </c>
      <c r="AI51" s="100">
        <v>-0.67849999999999999</v>
      </c>
      <c r="AJ51" s="100">
        <v>-0.92789999999999995</v>
      </c>
      <c r="AK51" s="100">
        <v>-1.7692000000000001</v>
      </c>
      <c r="AL51" s="100">
        <v>-0.97599999999999998</v>
      </c>
      <c r="AM51" s="100">
        <v>-0.79179999999999995</v>
      </c>
      <c r="AN51" s="100">
        <v>-1.9322999999999999</v>
      </c>
      <c r="AO51" s="100">
        <v>-1.4471000000000001</v>
      </c>
      <c r="AQ51" s="50">
        <f>K51/1000</f>
        <v>8.6777777777777787E-2</v>
      </c>
      <c r="AR51" s="149"/>
      <c r="AS51" s="149"/>
      <c r="AT51" s="149"/>
      <c r="AU51" s="149"/>
    </row>
    <row r="52" spans="1:47" s="68" customFormat="1" x14ac:dyDescent="0.35">
      <c r="B52" s="28"/>
      <c r="E52" s="31"/>
      <c r="F52" s="69"/>
      <c r="G52" s="25"/>
      <c r="K52" s="65"/>
      <c r="L52" s="65"/>
      <c r="N52" s="31"/>
      <c r="P52" s="175"/>
      <c r="Q52" s="175"/>
      <c r="R52" s="175"/>
      <c r="S52" s="175"/>
      <c r="T52" s="172"/>
      <c r="U52" s="67"/>
      <c r="Y52" s="176"/>
      <c r="Z52" s="170"/>
      <c r="AB52" s="69"/>
      <c r="AC52" s="69"/>
      <c r="AD52" s="69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Q52" s="149"/>
      <c r="AR52" s="149"/>
      <c r="AS52" s="149"/>
      <c r="AT52" s="149"/>
      <c r="AU52" s="149"/>
    </row>
    <row r="53" spans="1:47" s="68" customFormat="1" x14ac:dyDescent="0.35">
      <c r="A53" s="68">
        <v>12</v>
      </c>
      <c r="B53" s="28">
        <v>43539</v>
      </c>
      <c r="C53" s="68">
        <v>31</v>
      </c>
      <c r="D53" s="31">
        <v>106.4</v>
      </c>
      <c r="E53" s="31">
        <f>D53+E49</f>
        <v>3298.4000000000019</v>
      </c>
      <c r="F53" s="69">
        <f t="shared" si="3"/>
        <v>1</v>
      </c>
      <c r="G53" s="25">
        <f>G49+F53</f>
        <v>31</v>
      </c>
      <c r="H53" s="31">
        <v>8.2100000000000009</v>
      </c>
      <c r="I53" s="31">
        <v>2350</v>
      </c>
      <c r="J53" s="31">
        <v>329</v>
      </c>
      <c r="K53" s="27">
        <v>302</v>
      </c>
      <c r="L53" s="27">
        <v>73</v>
      </c>
      <c r="M53" s="186">
        <v>19</v>
      </c>
      <c r="N53" s="31">
        <v>889</v>
      </c>
      <c r="O53" s="31">
        <v>21</v>
      </c>
      <c r="P53" s="165">
        <v>194.1</v>
      </c>
      <c r="Q53" s="165">
        <v>74.510000000000005</v>
      </c>
      <c r="R53" s="165">
        <v>214.9</v>
      </c>
      <c r="S53" s="165">
        <v>20.170000000000002</v>
      </c>
      <c r="T53" s="170">
        <v>8.7940000000000005</v>
      </c>
      <c r="U53" s="81">
        <v>0.2</v>
      </c>
      <c r="V53" s="81">
        <v>0.02</v>
      </c>
      <c r="W53" s="81">
        <v>0.02</v>
      </c>
      <c r="X53" s="163">
        <v>0.14599999999999999</v>
      </c>
      <c r="Y53" s="81">
        <v>0.04</v>
      </c>
      <c r="Z53" s="170">
        <v>2.1459999999999999</v>
      </c>
      <c r="AA53" s="31"/>
      <c r="AB53" s="69">
        <f t="shared" ref="AB53:AB60" si="27">((J53/50)+(L53/35.45)+(M53/62)+(N53/48.03))</f>
        <v>27.454955019477691</v>
      </c>
      <c r="AC53" s="69">
        <f t="shared" si="1"/>
        <v>25.385548743455001</v>
      </c>
      <c r="AD53" s="69">
        <f t="shared" si="2"/>
        <v>3.9163257892222565</v>
      </c>
      <c r="AE53" s="31"/>
      <c r="AF53" s="100">
        <v>8.2100000000000009</v>
      </c>
      <c r="AG53" s="100">
        <v>-4.4847099999999998</v>
      </c>
      <c r="AH53" s="100">
        <v>1.1900999999999999</v>
      </c>
      <c r="AI53" s="100">
        <v>-0.62429999999999997</v>
      </c>
      <c r="AJ53" s="100">
        <v>-0.87380000000000002</v>
      </c>
      <c r="AK53" s="100">
        <v>-2.7805</v>
      </c>
      <c r="AL53" s="100">
        <v>1.7974000000000001</v>
      </c>
      <c r="AM53" s="100">
        <v>3.0999999999999999E-3</v>
      </c>
      <c r="AN53" s="100">
        <v>-1.8560000000000001</v>
      </c>
      <c r="AO53" s="100">
        <v>7.4000000000000003E-3</v>
      </c>
      <c r="AQ53" s="50">
        <f t="shared" ref="AQ53:AQ60" si="28">K53/1000</f>
        <v>0.30199999999999999</v>
      </c>
      <c r="AR53" s="50">
        <f>AT53/$AS$6</f>
        <v>7.1866098363208328E-2</v>
      </c>
      <c r="AS53" s="50">
        <f>(AQ53-$AQ$51)*0.1064</f>
        <v>2.289964444444444E-2</v>
      </c>
      <c r="AT53" s="50">
        <f>AT49-AS53</f>
        <v>4.1028355555555632E-2</v>
      </c>
      <c r="AU53" s="50">
        <f t="shared" ref="AU53:AU60" si="29">AR53/AQ53</f>
        <v>0.2379672131232064</v>
      </c>
    </row>
    <row r="54" spans="1:47" s="68" customFormat="1" x14ac:dyDescent="0.35">
      <c r="A54" s="68">
        <v>12</v>
      </c>
      <c r="B54" s="28"/>
      <c r="C54" s="68">
        <v>32</v>
      </c>
      <c r="D54" s="31">
        <v>106.4</v>
      </c>
      <c r="E54" s="31">
        <f>D54+E53</f>
        <v>3404.800000000002</v>
      </c>
      <c r="F54" s="69">
        <f t="shared" si="3"/>
        <v>1</v>
      </c>
      <c r="G54" s="25">
        <f>G53+F54</f>
        <v>32</v>
      </c>
      <c r="H54" s="31">
        <v>8.2200000000000006</v>
      </c>
      <c r="I54" s="31">
        <v>2440</v>
      </c>
      <c r="J54" s="31">
        <v>334</v>
      </c>
      <c r="K54" s="27">
        <v>168</v>
      </c>
      <c r="L54" s="27">
        <v>88</v>
      </c>
      <c r="M54" s="186">
        <v>16</v>
      </c>
      <c r="N54" s="31">
        <v>1043</v>
      </c>
      <c r="O54" s="31">
        <v>22</v>
      </c>
      <c r="P54" s="21">
        <v>186.6</v>
      </c>
      <c r="Q54" s="21">
        <v>71.849999999999994</v>
      </c>
      <c r="R54" s="21">
        <v>323.5</v>
      </c>
      <c r="S54" s="21">
        <v>19.77</v>
      </c>
      <c r="T54" s="18">
        <v>8.9120000000000008</v>
      </c>
      <c r="U54" s="81">
        <v>0.2</v>
      </c>
      <c r="V54" s="81">
        <v>0.02</v>
      </c>
      <c r="W54" s="81">
        <v>0.02</v>
      </c>
      <c r="X54" s="11">
        <v>0.14199999999999999</v>
      </c>
      <c r="Y54" s="81">
        <v>0.04</v>
      </c>
      <c r="Z54" s="18">
        <v>2.2429999999999999</v>
      </c>
      <c r="AA54" s="31"/>
      <c r="AB54" s="69">
        <f t="shared" si="27"/>
        <v>31.136028470838813</v>
      </c>
      <c r="AC54" s="69">
        <f t="shared" si="1"/>
        <v>29.519358102720336</v>
      </c>
      <c r="AD54" s="69">
        <f t="shared" si="2"/>
        <v>2.6653368471370271</v>
      </c>
      <c r="AE54" s="31"/>
      <c r="AF54" s="100">
        <v>8.2200000000000006</v>
      </c>
      <c r="AG54" s="100">
        <v>-2.7282899999999999</v>
      </c>
      <c r="AH54" s="100">
        <v>1.1597</v>
      </c>
      <c r="AI54" s="100">
        <v>-0.60599999999999998</v>
      </c>
      <c r="AJ54" s="100">
        <v>-0.85540000000000005</v>
      </c>
      <c r="AK54" s="100">
        <v>-2.7854000000000001</v>
      </c>
      <c r="AL54" s="100">
        <v>1.7399</v>
      </c>
      <c r="AM54" s="100">
        <v>-2.5999999999999999E-2</v>
      </c>
      <c r="AN54" s="100">
        <v>-1.87</v>
      </c>
      <c r="AO54" s="100">
        <v>-1.9900000000000001E-2</v>
      </c>
      <c r="AQ54" s="50">
        <f t="shared" si="28"/>
        <v>0.16800000000000001</v>
      </c>
      <c r="AR54" s="50">
        <f t="shared" ref="AR54:AR60" si="30">AT54/$AS$6</f>
        <v>5.6728518323894188E-2</v>
      </c>
      <c r="AS54" s="50">
        <f t="shared" ref="AS54:AS60" si="31">(AQ54-$AQ$51)*0.1064</f>
        <v>8.6420444444444446E-3</v>
      </c>
      <c r="AT54" s="50">
        <f>AT53-AS54</f>
        <v>3.2386311111111191E-2</v>
      </c>
      <c r="AU54" s="50">
        <f t="shared" si="29"/>
        <v>0.33766975192794157</v>
      </c>
    </row>
    <row r="55" spans="1:47" s="68" customFormat="1" x14ac:dyDescent="0.35">
      <c r="A55" s="68">
        <v>12</v>
      </c>
      <c r="B55" s="28"/>
      <c r="C55" s="68">
        <v>33</v>
      </c>
      <c r="D55" s="31">
        <v>106.4</v>
      </c>
      <c r="E55" s="31">
        <f t="shared" ref="E55:E60" si="32">D55+E54</f>
        <v>3511.2000000000021</v>
      </c>
      <c r="F55" s="69">
        <f t="shared" si="3"/>
        <v>1</v>
      </c>
      <c r="G55" s="25">
        <f t="shared" ref="G55:G60" si="33">G54+F55</f>
        <v>33</v>
      </c>
      <c r="H55" s="31">
        <v>8.24</v>
      </c>
      <c r="I55" s="31">
        <v>2440</v>
      </c>
      <c r="J55" s="31">
        <v>327</v>
      </c>
      <c r="K55" s="27">
        <v>108</v>
      </c>
      <c r="L55" s="27">
        <v>88</v>
      </c>
      <c r="M55" s="186">
        <v>16</v>
      </c>
      <c r="N55" s="31">
        <v>1031</v>
      </c>
      <c r="O55" s="31">
        <v>23</v>
      </c>
      <c r="P55" s="12">
        <v>158.4</v>
      </c>
      <c r="Q55" s="12">
        <v>60.02</v>
      </c>
      <c r="R55" s="12">
        <v>381.8</v>
      </c>
      <c r="S55" s="12">
        <v>19.89</v>
      </c>
      <c r="T55" s="6">
        <v>8.8079999999999998</v>
      </c>
      <c r="U55" s="81">
        <v>0.2</v>
      </c>
      <c r="V55" s="81">
        <v>0.02</v>
      </c>
      <c r="W55" s="81">
        <v>0.02</v>
      </c>
      <c r="X55" s="11">
        <v>0.11</v>
      </c>
      <c r="Y55" s="81">
        <v>0.04</v>
      </c>
      <c r="Z55" s="18">
        <v>1.841</v>
      </c>
      <c r="AA55" s="31"/>
      <c r="AB55" s="69">
        <f t="shared" si="27"/>
        <v>30.746184623243561</v>
      </c>
      <c r="AC55" s="69">
        <f t="shared" si="1"/>
        <v>29.672535952789357</v>
      </c>
      <c r="AD55" s="69">
        <f t="shared" si="2"/>
        <v>1.7770132505588059</v>
      </c>
      <c r="AE55" s="31"/>
      <c r="AF55" s="100">
        <v>8.24</v>
      </c>
      <c r="AG55" s="100">
        <v>-1.6891700000000001</v>
      </c>
      <c r="AH55" s="100">
        <v>1.1009</v>
      </c>
      <c r="AI55" s="100">
        <v>-0.67179999999999995</v>
      </c>
      <c r="AJ55" s="100">
        <v>-0.92120000000000002</v>
      </c>
      <c r="AK55" s="100">
        <v>-2.8111999999999999</v>
      </c>
      <c r="AL55" s="100">
        <v>1.6155999999999999</v>
      </c>
      <c r="AM55" s="100">
        <v>-0.1234</v>
      </c>
      <c r="AN55" s="100">
        <v>-1.9423999999999999</v>
      </c>
      <c r="AO55" s="100">
        <v>-8.5300000000000001E-2</v>
      </c>
      <c r="AQ55" s="50">
        <f t="shared" si="28"/>
        <v>0.108</v>
      </c>
      <c r="AR55" s="50">
        <f t="shared" si="30"/>
        <v>5.2773281952472849E-2</v>
      </c>
      <c r="AS55" s="50">
        <f t="shared" si="31"/>
        <v>2.2580444444444433E-3</v>
      </c>
      <c r="AT55" s="50">
        <f t="shared" ref="AT55:AT60" si="34">AT54-AS55</f>
        <v>3.0128266666666747E-2</v>
      </c>
      <c r="AU55" s="50">
        <f t="shared" si="29"/>
        <v>0.4886414995599338</v>
      </c>
    </row>
    <row r="56" spans="1:47" s="68" customFormat="1" x14ac:dyDescent="0.35">
      <c r="A56" s="68">
        <v>12</v>
      </c>
      <c r="B56" s="28"/>
      <c r="C56" s="68">
        <v>34</v>
      </c>
      <c r="D56" s="31">
        <v>106.4</v>
      </c>
      <c r="E56" s="31">
        <f t="shared" si="32"/>
        <v>3617.6000000000022</v>
      </c>
      <c r="F56" s="69">
        <f t="shared" si="3"/>
        <v>1</v>
      </c>
      <c r="G56" s="25">
        <f t="shared" si="33"/>
        <v>34</v>
      </c>
      <c r="H56" s="31">
        <v>8.1999999999999993</v>
      </c>
      <c r="I56" s="31">
        <v>2450</v>
      </c>
      <c r="J56" s="31">
        <v>339</v>
      </c>
      <c r="K56" s="27">
        <v>89</v>
      </c>
      <c r="L56" s="27">
        <v>88</v>
      </c>
      <c r="M56" s="186">
        <v>16</v>
      </c>
      <c r="N56" s="31">
        <v>1032</v>
      </c>
      <c r="O56" s="31">
        <v>24</v>
      </c>
      <c r="P56" s="21">
        <v>155.5</v>
      </c>
      <c r="Q56" s="21">
        <v>59.49</v>
      </c>
      <c r="R56" s="21">
        <v>392.9</v>
      </c>
      <c r="S56" s="21">
        <v>21.21</v>
      </c>
      <c r="T56" s="18">
        <v>8.6989999999999998</v>
      </c>
      <c r="U56" s="81">
        <v>0.2</v>
      </c>
      <c r="V56" s="81">
        <v>0.02</v>
      </c>
      <c r="W56" s="81">
        <v>0.02</v>
      </c>
      <c r="X56" s="11">
        <v>0.10100000000000001</v>
      </c>
      <c r="Y56" s="81">
        <v>0.04</v>
      </c>
      <c r="Z56" s="18">
        <v>1.7949999999999999</v>
      </c>
      <c r="AA56" s="31"/>
      <c r="AB56" s="69">
        <f t="shared" si="27"/>
        <v>31.007004943876499</v>
      </c>
      <c r="AC56" s="69">
        <f t="shared" si="1"/>
        <v>29.964270740635992</v>
      </c>
      <c r="AD56" s="69">
        <f t="shared" si="2"/>
        <v>1.7102056526354996</v>
      </c>
      <c r="AE56" s="31"/>
      <c r="AF56" s="100">
        <v>8.1999999999999993</v>
      </c>
      <c r="AG56" s="100">
        <v>-1.52948</v>
      </c>
      <c r="AH56" s="100">
        <v>1.0703</v>
      </c>
      <c r="AI56" s="100">
        <v>-0.68010000000000004</v>
      </c>
      <c r="AJ56" s="100">
        <v>-0.92949999999999999</v>
      </c>
      <c r="AK56" s="100">
        <v>-2.7528999999999999</v>
      </c>
      <c r="AL56" s="100">
        <v>1.5585</v>
      </c>
      <c r="AM56" s="100">
        <v>-0.18390000000000001</v>
      </c>
      <c r="AN56" s="100">
        <v>-1.9520999999999999</v>
      </c>
      <c r="AO56" s="100">
        <v>-0.11169999999999999</v>
      </c>
      <c r="AQ56" s="50">
        <f t="shared" si="28"/>
        <v>8.8999999999999996E-2</v>
      </c>
      <c r="AR56" s="50">
        <f t="shared" si="30"/>
        <v>5.2359121075884231E-2</v>
      </c>
      <c r="AS56" s="50">
        <f t="shared" si="31"/>
        <v>2.3644444444444301E-4</v>
      </c>
      <c r="AT56" s="50">
        <f t="shared" si="34"/>
        <v>2.9891822222222305E-2</v>
      </c>
      <c r="AU56" s="50">
        <f t="shared" si="29"/>
        <v>0.58830473118971049</v>
      </c>
    </row>
    <row r="57" spans="1:47" s="68" customFormat="1" x14ac:dyDescent="0.35">
      <c r="A57" s="68">
        <v>12</v>
      </c>
      <c r="B57" s="28"/>
      <c r="C57" s="68">
        <v>35</v>
      </c>
      <c r="D57" s="31">
        <v>106.4</v>
      </c>
      <c r="E57" s="31">
        <f t="shared" si="32"/>
        <v>3724.0000000000023</v>
      </c>
      <c r="F57" s="69">
        <f t="shared" si="3"/>
        <v>1</v>
      </c>
      <c r="G57" s="25">
        <f t="shared" si="33"/>
        <v>35</v>
      </c>
      <c r="H57" s="31">
        <v>8.17</v>
      </c>
      <c r="I57" s="31">
        <v>2440</v>
      </c>
      <c r="J57" s="31">
        <v>336</v>
      </c>
      <c r="K57" s="27">
        <v>85</v>
      </c>
      <c r="L57" s="27">
        <v>88</v>
      </c>
      <c r="M57" s="186">
        <v>16</v>
      </c>
      <c r="N57" s="31">
        <v>1016</v>
      </c>
      <c r="O57" s="31">
        <v>23</v>
      </c>
      <c r="P57" s="21">
        <v>150.1</v>
      </c>
      <c r="Q57" s="21">
        <v>58.1</v>
      </c>
      <c r="R57" s="21">
        <v>394.1</v>
      </c>
      <c r="S57" s="21">
        <v>22.54</v>
      </c>
      <c r="T57" s="18">
        <v>8.6080000000000005</v>
      </c>
      <c r="U57" s="81">
        <v>0.2</v>
      </c>
      <c r="V57" s="81">
        <v>0.02</v>
      </c>
      <c r="W57" s="81">
        <v>0.02</v>
      </c>
      <c r="X57" s="27">
        <v>9.9000000000000005E-2</v>
      </c>
      <c r="Y57" s="81">
        <v>0.04</v>
      </c>
      <c r="Z57" s="18">
        <v>1.774</v>
      </c>
      <c r="AA57" s="31"/>
      <c r="AB57" s="69">
        <f t="shared" si="27"/>
        <v>30.613879813749495</v>
      </c>
      <c r="AC57" s="69">
        <f t="shared" si="1"/>
        <v>29.630369693757</v>
      </c>
      <c r="AD57" s="69">
        <f t="shared" si="2"/>
        <v>1.632537757599501</v>
      </c>
      <c r="AE57" s="31"/>
      <c r="AF57" s="100">
        <v>8.17</v>
      </c>
      <c r="AG57" s="100">
        <v>-1.4496199999999999</v>
      </c>
      <c r="AH57" s="100">
        <v>1.0262</v>
      </c>
      <c r="AI57" s="100">
        <v>-0.69679999999999997</v>
      </c>
      <c r="AJ57" s="100">
        <v>-0.94620000000000004</v>
      </c>
      <c r="AK57" s="100">
        <v>-2.7242000000000002</v>
      </c>
      <c r="AL57" s="100">
        <v>1.4753000000000001</v>
      </c>
      <c r="AM57" s="100">
        <v>-0.22120000000000001</v>
      </c>
      <c r="AN57" s="100">
        <v>-1.9636</v>
      </c>
      <c r="AO57" s="100">
        <v>-0.151</v>
      </c>
      <c r="AQ57" s="50">
        <f t="shared" si="28"/>
        <v>8.5000000000000006E-2</v>
      </c>
      <c r="AR57" s="50">
        <f t="shared" si="30"/>
        <v>5.2690449777155132E-2</v>
      </c>
      <c r="AS57" s="50">
        <f t="shared" si="31"/>
        <v>-1.8915555555555586E-4</v>
      </c>
      <c r="AT57" s="50">
        <f t="shared" si="34"/>
        <v>3.0080977777777861E-2</v>
      </c>
      <c r="AU57" s="50">
        <f t="shared" si="29"/>
        <v>0.61988764443711919</v>
      </c>
    </row>
    <row r="58" spans="1:47" s="68" customFormat="1" x14ac:dyDescent="0.35">
      <c r="A58" s="68">
        <v>12</v>
      </c>
      <c r="B58" s="28"/>
      <c r="C58" s="68">
        <v>36</v>
      </c>
      <c r="D58" s="31">
        <v>106.4</v>
      </c>
      <c r="E58" s="31">
        <f t="shared" si="32"/>
        <v>3830.4000000000024</v>
      </c>
      <c r="F58" s="69">
        <f t="shared" si="3"/>
        <v>1</v>
      </c>
      <c r="G58" s="25">
        <f t="shared" si="33"/>
        <v>36</v>
      </c>
      <c r="H58" s="31">
        <v>8.15</v>
      </c>
      <c r="I58" s="31">
        <v>2440</v>
      </c>
      <c r="J58" s="31">
        <v>330</v>
      </c>
      <c r="K58" s="27">
        <v>80</v>
      </c>
      <c r="L58" s="27">
        <v>88</v>
      </c>
      <c r="M58" s="186">
        <v>16</v>
      </c>
      <c r="N58" s="31">
        <v>1043</v>
      </c>
      <c r="O58" s="31">
        <v>24</v>
      </c>
      <c r="P58" s="21">
        <v>148.6</v>
      </c>
      <c r="Q58" s="21">
        <v>57.54</v>
      </c>
      <c r="R58" s="21">
        <v>381.3</v>
      </c>
      <c r="S58" s="21">
        <v>23.14</v>
      </c>
      <c r="T58" s="18">
        <v>8.4450000000000003</v>
      </c>
      <c r="U58" s="81">
        <v>0.2</v>
      </c>
      <c r="V58" s="81">
        <v>0.02</v>
      </c>
      <c r="W58" s="81">
        <v>0.02</v>
      </c>
      <c r="X58" s="27">
        <v>9.8000000000000004E-2</v>
      </c>
      <c r="Y58" s="81">
        <v>0.04</v>
      </c>
      <c r="Z58" s="18">
        <v>1.738</v>
      </c>
      <c r="AA58" s="31"/>
      <c r="AB58" s="69">
        <f t="shared" si="27"/>
        <v>31.056028470838811</v>
      </c>
      <c r="AC58" s="69">
        <f t="shared" si="1"/>
        <v>28.948534154470565</v>
      </c>
      <c r="AD58" s="69">
        <f t="shared" si="2"/>
        <v>3.5122234446207337</v>
      </c>
      <c r="AE58" s="31"/>
      <c r="AF58" s="100">
        <v>8.15</v>
      </c>
      <c r="AG58" s="100">
        <v>-3.6902200000000001</v>
      </c>
      <c r="AH58" s="100">
        <v>0.99209999999999998</v>
      </c>
      <c r="AI58" s="100">
        <v>-0.69159999999999999</v>
      </c>
      <c r="AJ58" s="100">
        <v>-0.94099999999999995</v>
      </c>
      <c r="AK58" s="100">
        <v>-2.7103999999999999</v>
      </c>
      <c r="AL58" s="100">
        <v>1.4074</v>
      </c>
      <c r="AM58" s="100">
        <v>-0.25469999999999998</v>
      </c>
      <c r="AN58" s="100">
        <v>-1.9716</v>
      </c>
      <c r="AO58" s="100">
        <v>-0.1847</v>
      </c>
      <c r="AQ58" s="50">
        <f t="shared" si="28"/>
        <v>0.08</v>
      </c>
      <c r="AR58" s="50">
        <f t="shared" si="30"/>
        <v>5.3953640450750427E-2</v>
      </c>
      <c r="AS58" s="50">
        <f t="shared" si="31"/>
        <v>-7.2115555555555633E-4</v>
      </c>
      <c r="AT58" s="50">
        <f t="shared" si="34"/>
        <v>3.0802133333333419E-2</v>
      </c>
      <c r="AU58" s="50">
        <f t="shared" si="29"/>
        <v>0.67442050563438027</v>
      </c>
    </row>
    <row r="59" spans="1:47" s="68" customFormat="1" x14ac:dyDescent="0.35">
      <c r="A59" s="68">
        <v>12</v>
      </c>
      <c r="B59" s="28"/>
      <c r="C59" s="68">
        <v>37</v>
      </c>
      <c r="D59" s="31">
        <v>106.4</v>
      </c>
      <c r="E59" s="31">
        <f t="shared" si="32"/>
        <v>3936.8000000000025</v>
      </c>
      <c r="F59" s="69">
        <f t="shared" si="3"/>
        <v>1</v>
      </c>
      <c r="G59" s="25">
        <f t="shared" si="33"/>
        <v>37</v>
      </c>
      <c r="H59" s="31">
        <v>8.1</v>
      </c>
      <c r="I59" s="31">
        <v>2440</v>
      </c>
      <c r="J59" s="31">
        <v>325</v>
      </c>
      <c r="K59" s="27">
        <v>80</v>
      </c>
      <c r="L59" s="27">
        <v>88</v>
      </c>
      <c r="M59" s="186">
        <v>16</v>
      </c>
      <c r="N59" s="31">
        <v>1039</v>
      </c>
      <c r="O59" s="31">
        <v>23</v>
      </c>
      <c r="P59" s="21">
        <v>145.19999999999999</v>
      </c>
      <c r="Q59" s="21">
        <v>56.11</v>
      </c>
      <c r="R59" s="21">
        <v>385</v>
      </c>
      <c r="S59" s="21">
        <v>23.46</v>
      </c>
      <c r="T59" s="18">
        <v>8.3580000000000005</v>
      </c>
      <c r="U59" s="81">
        <v>0.2</v>
      </c>
      <c r="V59" s="81">
        <v>0.02</v>
      </c>
      <c r="W59" s="81">
        <v>0.02</v>
      </c>
      <c r="X59" s="27">
        <v>9.9000000000000005E-2</v>
      </c>
      <c r="Y59" s="81">
        <v>0.04</v>
      </c>
      <c r="Z59" s="18">
        <v>1.7090000000000001</v>
      </c>
      <c r="AA59" s="31"/>
      <c r="AB59" s="69">
        <f t="shared" si="27"/>
        <v>30.872747188307063</v>
      </c>
      <c r="AC59" s="69">
        <f t="shared" si="1"/>
        <v>28.819989266608673</v>
      </c>
      <c r="AD59" s="69">
        <f t="shared" si="2"/>
        <v>3.4388738791507429</v>
      </c>
      <c r="AE59" s="31"/>
      <c r="AF59" s="100">
        <v>8.1</v>
      </c>
      <c r="AG59" s="100">
        <v>-3.6275300000000001</v>
      </c>
      <c r="AH59" s="100">
        <v>0.9294</v>
      </c>
      <c r="AI59" s="100">
        <v>-0.70050000000000001</v>
      </c>
      <c r="AJ59" s="100">
        <v>-0.94989999999999997</v>
      </c>
      <c r="AK59" s="100">
        <v>-2.6640999999999999</v>
      </c>
      <c r="AL59" s="100">
        <v>1.2808999999999999</v>
      </c>
      <c r="AM59" s="100">
        <v>-0.30320000000000003</v>
      </c>
      <c r="AN59" s="100">
        <v>-1.9801</v>
      </c>
      <c r="AO59" s="100">
        <v>-0.2485</v>
      </c>
      <c r="AQ59" s="50">
        <f t="shared" si="28"/>
        <v>0.08</v>
      </c>
      <c r="AR59" s="50">
        <f t="shared" si="30"/>
        <v>5.5216831124345729E-2</v>
      </c>
      <c r="AS59" s="50">
        <f t="shared" si="31"/>
        <v>-7.2115555555555633E-4</v>
      </c>
      <c r="AT59" s="50">
        <f t="shared" si="34"/>
        <v>3.1523288888888973E-2</v>
      </c>
      <c r="AU59" s="50">
        <f t="shared" si="29"/>
        <v>0.69021038905432164</v>
      </c>
    </row>
    <row r="60" spans="1:47" s="68" customFormat="1" x14ac:dyDescent="0.35">
      <c r="A60" s="68">
        <v>12</v>
      </c>
      <c r="B60" s="28">
        <v>43540</v>
      </c>
      <c r="C60" s="68">
        <v>38</v>
      </c>
      <c r="D60" s="31">
        <v>106.4</v>
      </c>
      <c r="E60" s="31">
        <f t="shared" si="32"/>
        <v>4043.2000000000025</v>
      </c>
      <c r="F60" s="69">
        <f t="shared" si="3"/>
        <v>1</v>
      </c>
      <c r="G60" s="25">
        <f t="shared" si="33"/>
        <v>38</v>
      </c>
      <c r="H60" s="31">
        <v>8.01</v>
      </c>
      <c r="I60" s="31">
        <v>2430</v>
      </c>
      <c r="J60" s="31">
        <v>319</v>
      </c>
      <c r="K60" s="27">
        <v>76</v>
      </c>
      <c r="L60" s="27">
        <v>88</v>
      </c>
      <c r="M60" s="186">
        <v>16</v>
      </c>
      <c r="N60" s="31">
        <v>1034</v>
      </c>
      <c r="O60" s="31">
        <v>23</v>
      </c>
      <c r="P60" s="21">
        <v>139.5</v>
      </c>
      <c r="Q60" s="21">
        <v>55.2</v>
      </c>
      <c r="R60" s="21">
        <v>382.3</v>
      </c>
      <c r="S60" s="21">
        <v>24.17</v>
      </c>
      <c r="T60" s="18">
        <v>8.36</v>
      </c>
      <c r="U60" s="81">
        <v>0.2</v>
      </c>
      <c r="V60" s="81">
        <v>0.02</v>
      </c>
      <c r="W60" s="81">
        <v>0.02</v>
      </c>
      <c r="X60" s="11">
        <v>0.104</v>
      </c>
      <c r="Y60" s="81">
        <v>0.04</v>
      </c>
      <c r="Z60" s="18">
        <v>1.7330000000000001</v>
      </c>
      <c r="AA60" s="31"/>
      <c r="AB60" s="69">
        <f t="shared" si="27"/>
        <v>30.648645585142372</v>
      </c>
      <c r="AC60" s="69">
        <f t="shared" si="1"/>
        <v>28.34333138721728</v>
      </c>
      <c r="AD60" s="69">
        <f t="shared" si="2"/>
        <v>3.9078436021990481</v>
      </c>
      <c r="AE60" s="31"/>
      <c r="AF60" s="100">
        <v>8.01</v>
      </c>
      <c r="AG60" s="100">
        <v>-4.1964699999999997</v>
      </c>
      <c r="AH60" s="100">
        <v>0.82010000000000005</v>
      </c>
      <c r="AI60" s="100">
        <v>-0.71550000000000002</v>
      </c>
      <c r="AJ60" s="100">
        <v>-0.96489999999999998</v>
      </c>
      <c r="AK60" s="100">
        <v>-2.5777000000000001</v>
      </c>
      <c r="AL60" s="100">
        <v>1.0721000000000001</v>
      </c>
      <c r="AM60" s="100">
        <v>-0.37409999999999999</v>
      </c>
      <c r="AN60" s="100">
        <v>-1.9948999999999999</v>
      </c>
      <c r="AO60" s="100">
        <v>-0.34799999999999998</v>
      </c>
      <c r="AQ60" s="50">
        <f t="shared" si="28"/>
        <v>7.5999999999999998E-2</v>
      </c>
      <c r="AR60" s="50">
        <f t="shared" si="30"/>
        <v>5.722551137580055E-2</v>
      </c>
      <c r="AS60" s="50">
        <f t="shared" si="31"/>
        <v>-1.1467555555555566E-3</v>
      </c>
      <c r="AT60" s="50">
        <f t="shared" si="34"/>
        <v>3.2670044444444532E-2</v>
      </c>
      <c r="AU60" s="50">
        <f t="shared" si="29"/>
        <v>0.75296725494474415</v>
      </c>
    </row>
    <row r="61" spans="1:47" s="42" customFormat="1" x14ac:dyDescent="0.35">
      <c r="P61" s="158"/>
      <c r="Q61" s="158"/>
      <c r="R61" s="158"/>
      <c r="S61" s="158"/>
      <c r="U61" s="87"/>
      <c r="V61" s="87"/>
      <c r="W61" s="87"/>
      <c r="X61" s="87"/>
      <c r="Y61" s="87"/>
      <c r="Z61" s="87"/>
      <c r="AF61" s="68"/>
      <c r="AG61" s="68"/>
      <c r="AH61" s="68"/>
      <c r="AI61" s="68"/>
      <c r="AJ61" s="68"/>
      <c r="AK61" s="68"/>
      <c r="AL61" s="68"/>
      <c r="AM61" s="68"/>
      <c r="AN61" s="68"/>
      <c r="AO61" s="68"/>
    </row>
    <row r="62" spans="1:47" s="42" customFormat="1" x14ac:dyDescent="0.35">
      <c r="P62" s="158"/>
      <c r="Q62" s="158"/>
      <c r="R62" s="158"/>
      <c r="S62" s="158"/>
      <c r="U62" s="87"/>
      <c r="V62" s="87"/>
      <c r="W62" s="87"/>
      <c r="X62" s="87"/>
      <c r="Y62" s="87"/>
      <c r="Z62" s="87"/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7" s="31" customFormat="1" x14ac:dyDescent="0.35">
      <c r="A63" s="31">
        <v>12</v>
      </c>
      <c r="C63" s="31" t="s">
        <v>167</v>
      </c>
      <c r="F63" s="25"/>
      <c r="G63" s="25"/>
      <c r="P63" s="21">
        <v>155.4</v>
      </c>
      <c r="Q63" s="21">
        <v>55.66</v>
      </c>
      <c r="R63" s="21">
        <v>194.8</v>
      </c>
      <c r="S63" s="21">
        <v>22.74</v>
      </c>
      <c r="T63" s="21">
        <v>13.13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/>
    </row>
    <row r="64" spans="1:47" s="68" customFormat="1" x14ac:dyDescent="0.35">
      <c r="A64" s="31">
        <v>12</v>
      </c>
      <c r="B64" s="31"/>
      <c r="C64" s="31" t="s">
        <v>168</v>
      </c>
      <c r="D64" s="31"/>
      <c r="E64" s="31"/>
      <c r="F64" s="31"/>
      <c r="G64" s="31"/>
      <c r="P64" s="175">
        <v>97.05</v>
      </c>
      <c r="Q64" s="175">
        <v>39.36</v>
      </c>
      <c r="R64" s="175">
        <v>69.989999999999995</v>
      </c>
      <c r="S64" s="175">
        <v>16.989999999999998</v>
      </c>
      <c r="T64" s="172">
        <v>7.2309999999999999</v>
      </c>
    </row>
    <row r="65" spans="1:41" s="68" customFormat="1" x14ac:dyDescent="0.35">
      <c r="A65" s="31">
        <v>12</v>
      </c>
      <c r="B65" s="31"/>
      <c r="C65" s="31" t="s">
        <v>169</v>
      </c>
      <c r="D65" s="31"/>
      <c r="E65" s="31"/>
      <c r="F65" s="31"/>
      <c r="G65" s="31"/>
      <c r="P65" s="175">
        <v>150.9</v>
      </c>
      <c r="Q65" s="175">
        <v>58.1</v>
      </c>
      <c r="R65" s="175">
        <v>190.1</v>
      </c>
      <c r="S65" s="175">
        <v>19.53</v>
      </c>
      <c r="T65" s="172">
        <v>8.1310000000000002</v>
      </c>
    </row>
    <row r="66" spans="1:41" s="68" customFormat="1" x14ac:dyDescent="0.35">
      <c r="A66" s="31"/>
      <c r="B66" s="31"/>
      <c r="C66" s="31"/>
      <c r="D66" s="31"/>
      <c r="E66" s="31"/>
      <c r="F66" s="31"/>
      <c r="G66" s="31"/>
      <c r="P66" s="65"/>
      <c r="Q66" s="65"/>
      <c r="R66" s="65"/>
      <c r="S66" s="65"/>
      <c r="T66" s="65"/>
    </row>
    <row r="67" spans="1:41" s="68" customFormat="1" x14ac:dyDescent="0.35">
      <c r="A67" s="31"/>
      <c r="B67" s="31"/>
      <c r="C67" s="31"/>
      <c r="D67" s="31"/>
      <c r="E67" s="31"/>
      <c r="P67" s="65"/>
      <c r="Q67" s="65"/>
      <c r="R67" s="65"/>
      <c r="S67" s="65"/>
      <c r="T67" s="65"/>
    </row>
    <row r="68" spans="1:41" x14ac:dyDescent="0.35">
      <c r="AF68" s="68"/>
      <c r="AG68" s="68"/>
      <c r="AH68" s="68"/>
      <c r="AI68" s="68"/>
      <c r="AJ68" s="68"/>
      <c r="AK68" s="68"/>
      <c r="AL68" s="68"/>
      <c r="AM68" s="68"/>
      <c r="AN68" s="68"/>
      <c r="AO68" s="68"/>
    </row>
    <row r="69" spans="1:41" x14ac:dyDescent="0.35">
      <c r="AF69" s="68"/>
      <c r="AG69" s="68"/>
      <c r="AH69" s="68"/>
      <c r="AI69" s="68"/>
      <c r="AJ69" s="68"/>
      <c r="AK69" s="68"/>
      <c r="AL69" s="68"/>
      <c r="AM69" s="68"/>
      <c r="AN69" s="68"/>
      <c r="AO69" s="68"/>
    </row>
    <row r="70" spans="1:41" x14ac:dyDescent="0.35">
      <c r="AF70" s="42"/>
      <c r="AG70" s="42"/>
      <c r="AH70" s="42"/>
      <c r="AI70" s="42"/>
      <c r="AJ70" s="42"/>
      <c r="AK70" s="42"/>
      <c r="AL70" s="42"/>
      <c r="AM70" s="42"/>
      <c r="AN70" s="42"/>
      <c r="AO70" s="42"/>
    </row>
    <row r="71" spans="1:41" x14ac:dyDescent="0.35">
      <c r="AF71" s="42"/>
      <c r="AG71" s="42"/>
      <c r="AH71" s="42"/>
      <c r="AI71" s="42"/>
      <c r="AJ71" s="42"/>
      <c r="AK71" s="42"/>
      <c r="AL71" s="42"/>
      <c r="AM71" s="42"/>
      <c r="AN71" s="42"/>
      <c r="AO71" s="42"/>
    </row>
    <row r="72" spans="1:41" x14ac:dyDescent="0.35">
      <c r="AF72" s="31"/>
      <c r="AG72" s="31"/>
      <c r="AH72" s="31"/>
      <c r="AI72" s="31"/>
      <c r="AJ72" s="31"/>
      <c r="AK72" s="31"/>
      <c r="AL72" s="31"/>
      <c r="AM72" s="31"/>
      <c r="AN72" s="31"/>
      <c r="AO72" s="31"/>
    </row>
    <row r="73" spans="1:41" x14ac:dyDescent="0.35">
      <c r="AF73" s="68"/>
      <c r="AG73" s="68"/>
      <c r="AH73" s="68"/>
      <c r="AI73" s="68"/>
      <c r="AJ73" s="68"/>
      <c r="AK73" s="68"/>
      <c r="AL73" s="68"/>
      <c r="AM73" s="68"/>
      <c r="AN73" s="68"/>
      <c r="AO73" s="68"/>
    </row>
    <row r="74" spans="1:41" x14ac:dyDescent="0.35">
      <c r="AF74" s="68"/>
      <c r="AG74" s="68"/>
      <c r="AH74" s="68"/>
      <c r="AI74" s="68"/>
      <c r="AJ74" s="68"/>
      <c r="AK74" s="68"/>
      <c r="AL74" s="68"/>
      <c r="AM74" s="68"/>
      <c r="AN74" s="68"/>
      <c r="AO74" s="68"/>
    </row>
    <row r="75" spans="1:41" x14ac:dyDescent="0.35">
      <c r="AF75" s="68"/>
      <c r="AG75" s="68"/>
      <c r="AH75" s="68"/>
      <c r="AI75" s="68"/>
      <c r="AJ75" s="68"/>
      <c r="AK75" s="68"/>
      <c r="AL75" s="68"/>
      <c r="AM75" s="68"/>
      <c r="AN75" s="68"/>
      <c r="AO75" s="68"/>
    </row>
    <row r="76" spans="1:41" x14ac:dyDescent="0.35">
      <c r="AF76" s="68"/>
      <c r="AG76" s="68"/>
      <c r="AH76" s="68"/>
      <c r="AI76" s="68"/>
      <c r="AJ76" s="68"/>
      <c r="AK76" s="68"/>
      <c r="AL76" s="68"/>
      <c r="AM76" s="68"/>
      <c r="AN76" s="68"/>
      <c r="AO76" s="68"/>
    </row>
  </sheetData>
  <pageMargins left="0.7" right="0.7" top="0.75" bottom="0.75" header="0.3" footer="0.3"/>
  <pageSetup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V128"/>
  <sheetViews>
    <sheetView zoomScaleNormal="100" workbookViewId="0">
      <selection activeCell="A9" sqref="A9"/>
    </sheetView>
  </sheetViews>
  <sheetFormatPr defaultColWidth="9.1796875" defaultRowHeight="14.5" x14ac:dyDescent="0.35"/>
  <cols>
    <col min="1" max="1" width="9.7265625" style="31" bestFit="1" customWidth="1"/>
    <col min="2" max="2" width="10.453125" style="31" bestFit="1" customWidth="1"/>
    <col min="3" max="3" width="3.453125" style="31" bestFit="1" customWidth="1"/>
    <col min="4" max="4" width="8" style="31" bestFit="1" customWidth="1"/>
    <col min="5" max="5" width="9" style="31" bestFit="1" customWidth="1"/>
    <col min="6" max="6" width="9.453125" style="31" bestFit="1" customWidth="1"/>
    <col min="7" max="7" width="8.453125" style="31" bestFit="1" customWidth="1"/>
    <col min="8" max="8" width="15.7265625" style="147" bestFit="1" customWidth="1"/>
    <col min="9" max="9" width="5.54296875" style="31" bestFit="1" customWidth="1"/>
    <col min="10" max="10" width="15.7265625" style="31" customWidth="1"/>
    <col min="11" max="11" width="15.54296875" style="31" bestFit="1" customWidth="1"/>
    <col min="12" max="12" width="6.26953125" style="31" bestFit="1" customWidth="1"/>
    <col min="13" max="20" width="6.81640625" style="31" bestFit="1" customWidth="1"/>
    <col min="21" max="21" width="11.7265625" style="31" customWidth="1"/>
    <col min="22" max="27" width="6.81640625" style="31" bestFit="1" customWidth="1"/>
    <col min="28" max="28" width="10.54296875" style="31" bestFit="1" customWidth="1"/>
    <col min="29" max="30" width="8.453125" style="31" bestFit="1" customWidth="1"/>
    <col min="31" max="31" width="14.7265625" style="31" bestFit="1" customWidth="1"/>
    <col min="32" max="32" width="11.7265625" style="31" bestFit="1" customWidth="1"/>
    <col min="33" max="33" width="12.26953125" style="31" customWidth="1"/>
    <col min="34" max="47" width="9.1796875" style="31"/>
    <col min="48" max="48" width="13" style="31" customWidth="1"/>
    <col min="49" max="16384" width="9.1796875" style="31"/>
  </cols>
  <sheetData>
    <row r="1" spans="1:48" x14ac:dyDescent="0.35">
      <c r="A1" s="31" t="s">
        <v>46</v>
      </c>
      <c r="F1" s="25"/>
      <c r="G1" s="25"/>
      <c r="H1" s="25"/>
    </row>
    <row r="2" spans="1:48" x14ac:dyDescent="0.35">
      <c r="F2" s="25"/>
      <c r="G2" s="25"/>
      <c r="H2" s="25"/>
    </row>
    <row r="3" spans="1:48" x14ac:dyDescent="0.35">
      <c r="A3" s="31" t="s">
        <v>8</v>
      </c>
      <c r="F3" s="25"/>
      <c r="G3" s="25"/>
      <c r="H3" s="25"/>
    </row>
    <row r="4" spans="1:48" x14ac:dyDescent="0.35">
      <c r="A4" s="31" t="s">
        <v>182</v>
      </c>
      <c r="F4" s="25"/>
      <c r="G4" s="25"/>
      <c r="H4" s="25"/>
    </row>
    <row r="5" spans="1:48" x14ac:dyDescent="0.35">
      <c r="A5" s="102" t="s">
        <v>183</v>
      </c>
      <c r="F5" s="25"/>
      <c r="G5" s="25"/>
      <c r="H5" s="25"/>
    </row>
    <row r="6" spans="1:48" s="202" customFormat="1" x14ac:dyDescent="0.35">
      <c r="A6" s="26" t="s">
        <v>358</v>
      </c>
      <c r="F6" s="25"/>
      <c r="G6" s="25"/>
      <c r="H6" s="25"/>
    </row>
    <row r="7" spans="1:48" x14ac:dyDescent="0.35">
      <c r="F7" s="25"/>
      <c r="G7" s="25"/>
      <c r="H7" s="25"/>
      <c r="AR7" s="101" t="s">
        <v>254</v>
      </c>
      <c r="AS7" s="101"/>
      <c r="AT7" s="101">
        <v>0.52470000000000006</v>
      </c>
      <c r="AU7" s="101" t="s">
        <v>255</v>
      </c>
      <c r="AV7" s="101"/>
    </row>
    <row r="8" spans="1:48" x14ac:dyDescent="0.35">
      <c r="A8" s="19" t="s">
        <v>377</v>
      </c>
      <c r="F8" s="25"/>
      <c r="G8" s="25"/>
      <c r="H8" s="25"/>
      <c r="AG8" s="26" t="s">
        <v>170</v>
      </c>
      <c r="AR8" s="71"/>
      <c r="AS8" s="71"/>
      <c r="AT8" s="71"/>
      <c r="AU8" s="71"/>
      <c r="AV8" s="71"/>
    </row>
    <row r="9" spans="1:48" x14ac:dyDescent="0.35">
      <c r="F9" s="25"/>
      <c r="G9" s="25"/>
      <c r="H9" s="25"/>
      <c r="AR9" s="101"/>
      <c r="AS9" s="101"/>
      <c r="AT9" s="101"/>
      <c r="AU9" s="101"/>
      <c r="AV9" s="101"/>
    </row>
    <row r="10" spans="1:48" x14ac:dyDescent="0.35">
      <c r="A10" s="31" t="s">
        <v>9</v>
      </c>
      <c r="B10" s="31" t="s">
        <v>10</v>
      </c>
      <c r="C10" s="31" t="s">
        <v>11</v>
      </c>
      <c r="D10" s="31" t="s">
        <v>7</v>
      </c>
      <c r="E10" s="31" t="s">
        <v>12</v>
      </c>
      <c r="F10" s="25" t="s">
        <v>13</v>
      </c>
      <c r="G10" s="25" t="s">
        <v>81</v>
      </c>
      <c r="H10" s="25" t="s">
        <v>244</v>
      </c>
      <c r="I10" s="31" t="s">
        <v>14</v>
      </c>
      <c r="J10" s="31" t="s">
        <v>15</v>
      </c>
      <c r="K10" s="31" t="s">
        <v>16</v>
      </c>
      <c r="L10" s="31" t="s">
        <v>3</v>
      </c>
      <c r="M10" s="31" t="s">
        <v>31</v>
      </c>
      <c r="N10" s="31" t="s">
        <v>30</v>
      </c>
      <c r="O10" s="31" t="s">
        <v>18</v>
      </c>
      <c r="P10" s="31" t="s">
        <v>17</v>
      </c>
      <c r="Q10" s="31" t="s">
        <v>20</v>
      </c>
      <c r="R10" s="31" t="s">
        <v>19</v>
      </c>
      <c r="S10" s="31" t="s">
        <v>21</v>
      </c>
      <c r="T10" s="31" t="s">
        <v>47</v>
      </c>
      <c r="U10" s="31" t="s">
        <v>24</v>
      </c>
      <c r="V10" s="31" t="s">
        <v>48</v>
      </c>
      <c r="W10" s="31" t="s">
        <v>4</v>
      </c>
      <c r="X10" s="31" t="s">
        <v>22</v>
      </c>
      <c r="Y10" s="31" t="s">
        <v>23</v>
      </c>
      <c r="Z10" s="31" t="s">
        <v>25</v>
      </c>
      <c r="AA10" s="31" t="s">
        <v>49</v>
      </c>
      <c r="AB10" s="31" t="s">
        <v>26</v>
      </c>
      <c r="AC10" s="31" t="s">
        <v>123</v>
      </c>
      <c r="AD10" s="31" t="s">
        <v>124</v>
      </c>
      <c r="AE10" s="31" t="s">
        <v>27</v>
      </c>
      <c r="AG10" s="101" t="s">
        <v>171</v>
      </c>
      <c r="AH10" s="101" t="s">
        <v>172</v>
      </c>
      <c r="AI10" s="101" t="s">
        <v>173</v>
      </c>
      <c r="AJ10" s="101" t="s">
        <v>174</v>
      </c>
      <c r="AK10" s="101" t="s">
        <v>175</v>
      </c>
      <c r="AL10" s="101" t="s">
        <v>176</v>
      </c>
      <c r="AM10" s="101" t="s">
        <v>177</v>
      </c>
      <c r="AN10" s="101" t="s">
        <v>178</v>
      </c>
      <c r="AO10" s="101" t="s">
        <v>179</v>
      </c>
      <c r="AP10" s="101" t="s">
        <v>180</v>
      </c>
      <c r="AR10" s="151" t="s">
        <v>247</v>
      </c>
      <c r="AS10" s="151" t="s">
        <v>248</v>
      </c>
      <c r="AT10" s="151" t="s">
        <v>253</v>
      </c>
      <c r="AU10" s="151" t="s">
        <v>251</v>
      </c>
      <c r="AV10" s="151" t="s">
        <v>245</v>
      </c>
    </row>
    <row r="11" spans="1:48" x14ac:dyDescent="0.35">
      <c r="D11" s="31" t="s">
        <v>6</v>
      </c>
      <c r="E11" s="31" t="s">
        <v>6</v>
      </c>
      <c r="F11" s="25"/>
      <c r="G11" s="25"/>
      <c r="H11" s="25"/>
      <c r="J11" s="203" t="s">
        <v>357</v>
      </c>
      <c r="K11" s="31" t="s">
        <v>28</v>
      </c>
      <c r="L11" s="27" t="s">
        <v>352</v>
      </c>
      <c r="M11" s="31" t="s">
        <v>5</v>
      </c>
      <c r="N11" s="31" t="s">
        <v>5</v>
      </c>
      <c r="O11" s="31" t="s">
        <v>5</v>
      </c>
      <c r="P11" s="31" t="s">
        <v>5</v>
      </c>
      <c r="Q11" s="31" t="s">
        <v>5</v>
      </c>
      <c r="R11" s="31" t="s">
        <v>5</v>
      </c>
      <c r="S11" s="31" t="s">
        <v>5</v>
      </c>
      <c r="T11" s="31" t="s">
        <v>5</v>
      </c>
      <c r="U11" s="31" t="s">
        <v>5</v>
      </c>
      <c r="V11" s="31" t="s">
        <v>5</v>
      </c>
      <c r="W11" s="31" t="s">
        <v>5</v>
      </c>
      <c r="X11" s="31" t="s">
        <v>5</v>
      </c>
      <c r="Y11" s="31" t="s">
        <v>5</v>
      </c>
      <c r="Z11" s="31" t="s">
        <v>5</v>
      </c>
      <c r="AA11" s="31" t="s">
        <v>5</v>
      </c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R11" s="151" t="s">
        <v>246</v>
      </c>
      <c r="AS11" s="151" t="s">
        <v>249</v>
      </c>
      <c r="AT11" s="151" t="s">
        <v>252</v>
      </c>
      <c r="AU11" s="151" t="s">
        <v>252</v>
      </c>
      <c r="AV11" s="151" t="s">
        <v>250</v>
      </c>
    </row>
    <row r="12" spans="1:48" x14ac:dyDescent="0.35">
      <c r="F12" s="25"/>
      <c r="G12" s="25"/>
      <c r="H12" s="25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R12" s="151"/>
      <c r="AS12" s="151"/>
      <c r="AT12" s="151"/>
      <c r="AU12" s="151"/>
      <c r="AV12" s="151"/>
    </row>
    <row r="13" spans="1:48" x14ac:dyDescent="0.35">
      <c r="A13" s="31" t="s">
        <v>184</v>
      </c>
      <c r="F13" s="25"/>
      <c r="G13" s="25"/>
      <c r="H13" s="25"/>
      <c r="I13" s="25">
        <v>7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C13" s="25"/>
      <c r="AD13" s="25"/>
      <c r="AE13" s="25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R13" s="50">
        <v>9.9999999999999995E-8</v>
      </c>
      <c r="AS13" s="50">
        <f>(0.94-0.36)</f>
        <v>0.57999999999999996</v>
      </c>
      <c r="AT13" s="50"/>
      <c r="AU13" s="50">
        <f>AT7*AS13</f>
        <v>0.30432599999999999</v>
      </c>
      <c r="AV13" s="50"/>
    </row>
    <row r="14" spans="1:48" x14ac:dyDescent="0.35">
      <c r="F14" s="25"/>
      <c r="G14" s="25"/>
      <c r="H14" s="25"/>
      <c r="N14" s="27"/>
      <c r="O14" s="27"/>
      <c r="P14" s="27"/>
      <c r="Q14" s="27"/>
      <c r="R14" s="27"/>
      <c r="S14" s="26"/>
      <c r="T14" s="26"/>
      <c r="U14" s="26"/>
      <c r="V14" s="26"/>
      <c r="W14" s="27"/>
      <c r="X14" s="18"/>
      <c r="Y14" s="26"/>
      <c r="Z14" s="27"/>
      <c r="AC14" s="25"/>
      <c r="AD14" s="25"/>
      <c r="AE14" s="25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R14" s="50"/>
      <c r="AS14" s="50"/>
      <c r="AT14" s="50"/>
      <c r="AU14" s="50"/>
      <c r="AV14" s="50"/>
    </row>
    <row r="15" spans="1:48" x14ac:dyDescent="0.35">
      <c r="A15" s="31">
        <v>13</v>
      </c>
      <c r="B15" s="28">
        <v>43676</v>
      </c>
      <c r="C15" s="31">
        <v>1</v>
      </c>
      <c r="D15" s="31">
        <v>128</v>
      </c>
      <c r="E15" s="31">
        <v>128</v>
      </c>
      <c r="F15" s="25">
        <f>D15/127</f>
        <v>1.0078740157480315</v>
      </c>
      <c r="G15" s="25">
        <v>1.01</v>
      </c>
      <c r="H15" s="25"/>
      <c r="I15" s="31">
        <v>7.87</v>
      </c>
      <c r="J15" s="31">
        <v>2150</v>
      </c>
      <c r="K15" s="12">
        <v>185.2</v>
      </c>
      <c r="L15" s="31">
        <v>90</v>
      </c>
      <c r="M15" s="31">
        <v>64</v>
      </c>
      <c r="N15" s="27">
        <v>12</v>
      </c>
      <c r="O15" s="31">
        <v>867</v>
      </c>
      <c r="P15" s="31">
        <v>89</v>
      </c>
      <c r="Q15" s="21">
        <v>216.2</v>
      </c>
      <c r="R15" s="21">
        <v>86.42</v>
      </c>
      <c r="S15" s="21">
        <v>224</v>
      </c>
      <c r="T15" s="21">
        <v>28.55</v>
      </c>
      <c r="U15" s="21">
        <v>11.15</v>
      </c>
      <c r="V15" s="13">
        <v>0.2</v>
      </c>
      <c r="W15" s="103">
        <v>0.26200000000000001</v>
      </c>
      <c r="X15" s="81">
        <v>0.02</v>
      </c>
      <c r="Y15" s="103">
        <v>2.3E-2</v>
      </c>
      <c r="Z15" s="81">
        <v>0.04</v>
      </c>
      <c r="AA15" s="103">
        <v>2.6930000000000001</v>
      </c>
      <c r="AC15" s="25">
        <f t="shared" ref="AC15:AC40" si="0">((K15/50)+(M15/35.45)+(N15/62)+(O15/48.03))</f>
        <v>23.754126037348865</v>
      </c>
      <c r="AD15" s="25">
        <f t="shared" ref="AD15:AD37" si="1">((Q15/20.04)+(R15/12.16)+(S15/22.99)+(U15/39.1))</f>
        <v>27.923863970004387</v>
      </c>
      <c r="AE15" s="25">
        <f t="shared" ref="AE15:AE37" si="2">ABS((AC15-AD15)/(AC15+AD15)*100)</f>
        <v>8.068692168681892</v>
      </c>
      <c r="AG15" s="101">
        <v>7.87</v>
      </c>
      <c r="AH15" s="101">
        <v>7.8865299999999996</v>
      </c>
      <c r="AI15" s="101">
        <v>0.7611</v>
      </c>
      <c r="AJ15" s="101">
        <v>-0.58899999999999997</v>
      </c>
      <c r="AK15" s="101">
        <v>-0.83850000000000002</v>
      </c>
      <c r="AL15" s="101">
        <v>-2.5926</v>
      </c>
      <c r="AM15" s="101">
        <v>0.95209999999999995</v>
      </c>
      <c r="AN15" s="101">
        <v>-1.2825</v>
      </c>
      <c r="AO15" s="101">
        <v>-0.63049999999999995</v>
      </c>
      <c r="AP15" s="101">
        <v>-0.40899999999999997</v>
      </c>
      <c r="AR15" s="50">
        <f>L15/1000</f>
        <v>0.09</v>
      </c>
      <c r="AS15" s="50">
        <f>AU15/($AT$7)</f>
        <v>0.55821614770344952</v>
      </c>
      <c r="AT15" s="50">
        <f>(AR15-$AR$13)*0.127</f>
        <v>1.14299873E-2</v>
      </c>
      <c r="AU15" s="50">
        <f>AU13-AT15</f>
        <v>0.29289601269999999</v>
      </c>
      <c r="AV15" s="50">
        <f>AS15/AR15</f>
        <v>6.2024016411494394</v>
      </c>
    </row>
    <row r="16" spans="1:48" x14ac:dyDescent="0.35">
      <c r="A16" s="104">
        <v>13</v>
      </c>
      <c r="B16" s="28">
        <v>43677</v>
      </c>
      <c r="C16" s="31">
        <v>2</v>
      </c>
      <c r="D16" s="31">
        <v>132</v>
      </c>
      <c r="E16" s="31">
        <f>E15+D16</f>
        <v>260</v>
      </c>
      <c r="F16" s="25">
        <f t="shared" ref="F16:F39" si="3">D16/127</f>
        <v>1.0393700787401574</v>
      </c>
      <c r="G16" s="25">
        <f>G15+F16</f>
        <v>2.0493700787401572</v>
      </c>
      <c r="H16" s="25"/>
      <c r="I16" s="25">
        <v>7.95</v>
      </c>
      <c r="J16" s="31">
        <v>558</v>
      </c>
      <c r="K16" s="12">
        <v>183.5</v>
      </c>
      <c r="L16" s="31">
        <v>73</v>
      </c>
      <c r="M16" s="18">
        <v>1</v>
      </c>
      <c r="N16" s="27">
        <v>0.85</v>
      </c>
      <c r="O16" s="31">
        <v>171</v>
      </c>
      <c r="P16" s="31">
        <v>28</v>
      </c>
      <c r="Q16" s="21">
        <v>33.53</v>
      </c>
      <c r="R16" s="21">
        <v>13.01</v>
      </c>
      <c r="S16" s="21">
        <v>87.78</v>
      </c>
      <c r="T16" s="21">
        <v>26.65</v>
      </c>
      <c r="U16" s="18">
        <v>5.1109999999999998</v>
      </c>
      <c r="V16" s="13">
        <v>0.2</v>
      </c>
      <c r="W16" s="103">
        <v>0.23599999999999999</v>
      </c>
      <c r="X16" s="103">
        <v>2.5000000000000001E-2</v>
      </c>
      <c r="Y16" s="13">
        <v>0.02</v>
      </c>
      <c r="Z16" s="81">
        <v>0.04</v>
      </c>
      <c r="AA16" s="103">
        <v>0.433</v>
      </c>
      <c r="AC16" s="25">
        <f t="shared" si="0"/>
        <v>7.2721932503625695</v>
      </c>
      <c r="AD16" s="25">
        <f t="shared" si="1"/>
        <v>6.6919529391180319</v>
      </c>
      <c r="AE16" s="25">
        <f t="shared" si="2"/>
        <v>4.1552151013832921</v>
      </c>
      <c r="AG16" s="101">
        <v>7.95</v>
      </c>
      <c r="AH16" s="101">
        <v>-4.4840400000000002</v>
      </c>
      <c r="AI16" s="101">
        <v>0.27200000000000002</v>
      </c>
      <c r="AJ16" s="101">
        <v>-1.7019</v>
      </c>
      <c r="AK16" s="101">
        <v>-1.9517</v>
      </c>
      <c r="AL16" s="101">
        <v>-2.6227</v>
      </c>
      <c r="AM16" s="101">
        <v>-4.8000000000000001E-2</v>
      </c>
      <c r="AN16" s="101">
        <v>-0.99239999999999995</v>
      </c>
      <c r="AO16" s="101">
        <v>-1.171</v>
      </c>
      <c r="AP16" s="101">
        <v>-0.92</v>
      </c>
      <c r="AR16" s="50">
        <f t="shared" ref="AR16:AR21" si="4">L16/1000</f>
        <v>7.2999999999999995E-2</v>
      </c>
      <c r="AS16" s="50">
        <f t="shared" ref="AS16:AS21" si="5">AU16/($AT$7)</f>
        <v>0.54054702763483886</v>
      </c>
      <c r="AT16" s="50">
        <f t="shared" ref="AT16:AT27" si="6">(AR16-$AR$13)*0.127</f>
        <v>9.2709872999999984E-3</v>
      </c>
      <c r="AU16" s="50">
        <f>AU15-AT16</f>
        <v>0.28362502540000001</v>
      </c>
      <c r="AV16" s="50">
        <f t="shared" ref="AV16:AV21" si="7">AS16/AR16</f>
        <v>7.4047538032169715</v>
      </c>
    </row>
    <row r="17" spans="1:48" x14ac:dyDescent="0.35">
      <c r="A17" s="104">
        <v>13</v>
      </c>
      <c r="B17" s="28">
        <v>43678</v>
      </c>
      <c r="C17" s="31">
        <v>3</v>
      </c>
      <c r="D17" s="31">
        <v>139</v>
      </c>
      <c r="E17" s="31">
        <f t="shared" ref="E17:E39" si="8">E16+D17</f>
        <v>399</v>
      </c>
      <c r="F17" s="25">
        <f t="shared" si="3"/>
        <v>1.094488188976378</v>
      </c>
      <c r="G17" s="25">
        <f t="shared" ref="G17:G20" si="9">G16+F17</f>
        <v>3.143858267716535</v>
      </c>
      <c r="H17" s="25"/>
      <c r="I17" s="31">
        <v>8.09</v>
      </c>
      <c r="J17" s="31">
        <v>402</v>
      </c>
      <c r="K17" s="12">
        <v>142.80000000000001</v>
      </c>
      <c r="L17" s="27">
        <v>56</v>
      </c>
      <c r="M17" s="27">
        <v>1.3</v>
      </c>
      <c r="N17" s="169">
        <v>0.5</v>
      </c>
      <c r="O17" s="31">
        <v>47</v>
      </c>
      <c r="P17" s="31">
        <v>21</v>
      </c>
      <c r="Q17" s="21">
        <v>20.11</v>
      </c>
      <c r="R17" s="18">
        <v>7.7990000000000004</v>
      </c>
      <c r="S17" s="21">
        <v>58.4</v>
      </c>
      <c r="T17" s="21">
        <v>26.92</v>
      </c>
      <c r="U17" s="18">
        <v>5.2110000000000003</v>
      </c>
      <c r="V17" s="81">
        <v>0.1</v>
      </c>
      <c r="W17" s="103">
        <v>0.30499999999999999</v>
      </c>
      <c r="X17" s="103">
        <v>3.4000000000000002E-2</v>
      </c>
      <c r="Y17" s="103">
        <v>0.01</v>
      </c>
      <c r="Z17" s="26">
        <v>0.02</v>
      </c>
      <c r="AA17" s="103">
        <v>0.28199999999999997</v>
      </c>
      <c r="AC17" s="25">
        <f t="shared" si="0"/>
        <v>3.8792909540012253</v>
      </c>
      <c r="AD17" s="25">
        <f t="shared" si="1"/>
        <v>4.3183666875724986</v>
      </c>
      <c r="AE17" s="25">
        <f t="shared" si="2"/>
        <v>5.3561121087143011</v>
      </c>
      <c r="AG17" s="101">
        <v>8.09</v>
      </c>
      <c r="AH17" s="101">
        <v>5.4563499999999996</v>
      </c>
      <c r="AI17" s="101">
        <v>0.17130000000000001</v>
      </c>
      <c r="AJ17" s="101">
        <v>-2.3532999999999999</v>
      </c>
      <c r="AK17" s="101">
        <v>-2.6032000000000002</v>
      </c>
      <c r="AL17" s="101">
        <v>-2.8628</v>
      </c>
      <c r="AM17" s="101">
        <v>-0.25719999999999998</v>
      </c>
      <c r="AN17" s="101">
        <v>-1.1715</v>
      </c>
      <c r="AO17" s="101">
        <v>-1.1606000000000001</v>
      </c>
      <c r="AP17" s="101">
        <v>-1.0285</v>
      </c>
      <c r="AR17" s="50">
        <f t="shared" si="4"/>
        <v>5.6000000000000001E-2</v>
      </c>
      <c r="AS17" s="50">
        <f t="shared" si="5"/>
        <v>0.52699263979416799</v>
      </c>
      <c r="AT17" s="50">
        <f t="shared" si="6"/>
        <v>7.1119872999999998E-3</v>
      </c>
      <c r="AU17" s="50">
        <f t="shared" ref="AU17:AU21" si="10">AU16-AT17</f>
        <v>0.2765130381</v>
      </c>
      <c r="AV17" s="50">
        <f t="shared" si="7"/>
        <v>9.410582853467286</v>
      </c>
    </row>
    <row r="18" spans="1:48" x14ac:dyDescent="0.35">
      <c r="A18" s="104">
        <v>13</v>
      </c>
      <c r="B18" s="28">
        <v>43679</v>
      </c>
      <c r="C18" s="31">
        <v>4</v>
      </c>
      <c r="D18" s="31">
        <v>123</v>
      </c>
      <c r="E18" s="31">
        <f t="shared" si="8"/>
        <v>522</v>
      </c>
      <c r="F18" s="25">
        <f t="shared" si="3"/>
        <v>0.96850393700787396</v>
      </c>
      <c r="G18" s="25">
        <f t="shared" si="9"/>
        <v>4.1123622047244091</v>
      </c>
      <c r="H18" s="25"/>
      <c r="I18" s="31">
        <v>8.2200000000000006</v>
      </c>
      <c r="J18" s="31">
        <v>309</v>
      </c>
      <c r="K18" s="12">
        <v>116.2</v>
      </c>
      <c r="L18" s="27">
        <v>36</v>
      </c>
      <c r="M18" s="169">
        <v>0.5</v>
      </c>
      <c r="N18" s="169">
        <v>0.5</v>
      </c>
      <c r="O18" s="31">
        <v>31</v>
      </c>
      <c r="P18" s="31">
        <v>17</v>
      </c>
      <c r="Q18" s="21">
        <v>16.239999999999998</v>
      </c>
      <c r="R18" s="18">
        <v>6.0739999999999998</v>
      </c>
      <c r="S18" s="21">
        <v>45.34</v>
      </c>
      <c r="T18" s="21">
        <v>26.32</v>
      </c>
      <c r="U18" s="18">
        <v>3.3220000000000001</v>
      </c>
      <c r="V18" s="81">
        <v>0.1</v>
      </c>
      <c r="W18" s="103">
        <v>0.22800000000000001</v>
      </c>
      <c r="X18" s="103">
        <v>2.1999999999999999E-2</v>
      </c>
      <c r="Y18" s="103">
        <v>1.2E-2</v>
      </c>
      <c r="Z18" s="26">
        <v>0.02</v>
      </c>
      <c r="AA18" s="103">
        <v>0.22700000000000001</v>
      </c>
      <c r="AC18" s="25">
        <f t="shared" si="0"/>
        <v>2.9915988281055328</v>
      </c>
      <c r="AD18" s="25">
        <f t="shared" si="1"/>
        <v>3.3670092667753626</v>
      </c>
      <c r="AE18" s="25">
        <f t="shared" si="2"/>
        <v>5.9039719553098466</v>
      </c>
      <c r="AG18" s="101">
        <v>8.2200000000000006</v>
      </c>
      <c r="AH18" s="101">
        <v>5.7133799999999999</v>
      </c>
      <c r="AI18" s="101">
        <v>0.14149999999999999</v>
      </c>
      <c r="AJ18" s="101">
        <v>-2.5846</v>
      </c>
      <c r="AK18" s="101">
        <v>-2.8344999999999998</v>
      </c>
      <c r="AL18" s="101">
        <v>-3.0821000000000001</v>
      </c>
      <c r="AM18" s="101">
        <v>-0.33429999999999999</v>
      </c>
      <c r="AN18" s="101">
        <v>-1.0273000000000001</v>
      </c>
      <c r="AO18" s="101">
        <v>-1.3429</v>
      </c>
      <c r="AP18" s="101">
        <v>-1.0758000000000001</v>
      </c>
      <c r="AR18" s="50">
        <f t="shared" si="4"/>
        <v>3.5999999999999997E-2</v>
      </c>
      <c r="AS18" s="50">
        <f t="shared" si="5"/>
        <v>0.51827911339813215</v>
      </c>
      <c r="AT18" s="50">
        <f t="shared" si="6"/>
        <v>4.5719872999999992E-3</v>
      </c>
      <c r="AU18" s="50">
        <f t="shared" si="10"/>
        <v>0.27194105079999997</v>
      </c>
      <c r="AV18" s="50">
        <f t="shared" si="7"/>
        <v>14.396642038837005</v>
      </c>
    </row>
    <row r="19" spans="1:48" x14ac:dyDescent="0.35">
      <c r="A19" s="104">
        <v>13</v>
      </c>
      <c r="B19" s="28">
        <v>43680</v>
      </c>
      <c r="C19" s="31">
        <v>5</v>
      </c>
      <c r="D19" s="31">
        <v>125</v>
      </c>
      <c r="E19" s="31">
        <f t="shared" si="8"/>
        <v>647</v>
      </c>
      <c r="F19" s="25">
        <f t="shared" si="3"/>
        <v>0.98425196850393704</v>
      </c>
      <c r="G19" s="25">
        <f t="shared" si="9"/>
        <v>5.0966141732283461</v>
      </c>
      <c r="H19" s="25"/>
      <c r="I19" s="31">
        <v>8.31</v>
      </c>
      <c r="J19" s="31">
        <v>253</v>
      </c>
      <c r="K19" s="12">
        <v>102</v>
      </c>
      <c r="L19" s="27">
        <v>25</v>
      </c>
      <c r="M19" s="169">
        <v>0.5</v>
      </c>
      <c r="N19" s="169">
        <v>0.5</v>
      </c>
      <c r="O19" s="31">
        <v>23</v>
      </c>
      <c r="P19" s="31">
        <v>15</v>
      </c>
      <c r="Q19" s="21">
        <v>14.06</v>
      </c>
      <c r="R19" s="18">
        <v>5.1189999999999998</v>
      </c>
      <c r="S19" s="21">
        <v>36.24</v>
      </c>
      <c r="T19" s="21">
        <v>25.98</v>
      </c>
      <c r="U19" s="18">
        <v>3.403</v>
      </c>
      <c r="V19" s="81">
        <v>0.1</v>
      </c>
      <c r="W19" s="103">
        <v>0.106</v>
      </c>
      <c r="X19" s="103">
        <v>2.3E-2</v>
      </c>
      <c r="Y19" s="103">
        <v>1.2E-2</v>
      </c>
      <c r="Z19" s="26">
        <v>0.02</v>
      </c>
      <c r="AA19" s="103">
        <v>0.193</v>
      </c>
      <c r="AC19" s="25">
        <f t="shared" si="0"/>
        <v>2.5410362630420309</v>
      </c>
      <c r="AD19" s="25">
        <f t="shared" si="1"/>
        <v>2.7859379872659353</v>
      </c>
      <c r="AE19" s="25">
        <f t="shared" si="2"/>
        <v>4.5973889250496383</v>
      </c>
      <c r="AG19" s="101">
        <v>8.31</v>
      </c>
      <c r="AH19" s="101">
        <v>4.2495700000000003</v>
      </c>
      <c r="AI19" s="101">
        <v>0.1268</v>
      </c>
      <c r="AJ19" s="101">
        <v>-2.7507999999999999</v>
      </c>
      <c r="AK19" s="101">
        <v>-3.0007000000000001</v>
      </c>
      <c r="AL19" s="101">
        <v>-3.2275</v>
      </c>
      <c r="AM19" s="101">
        <v>-0.37640000000000001</v>
      </c>
      <c r="AN19" s="101">
        <v>-0.97809999999999997</v>
      </c>
      <c r="AO19" s="101">
        <v>-1.7156</v>
      </c>
      <c r="AP19" s="101">
        <v>-1.1031</v>
      </c>
      <c r="AR19" s="50">
        <f t="shared" si="4"/>
        <v>2.5000000000000001E-2</v>
      </c>
      <c r="AS19" s="50">
        <f t="shared" si="5"/>
        <v>0.51222806079664562</v>
      </c>
      <c r="AT19" s="50">
        <f t="shared" si="6"/>
        <v>3.1749873000000003E-3</v>
      </c>
      <c r="AU19" s="50">
        <f t="shared" si="10"/>
        <v>0.26876606349999999</v>
      </c>
      <c r="AV19" s="50">
        <f t="shared" si="7"/>
        <v>20.489122431865823</v>
      </c>
    </row>
    <row r="20" spans="1:48" x14ac:dyDescent="0.35">
      <c r="A20" s="104">
        <v>13</v>
      </c>
      <c r="B20" s="28">
        <v>43681</v>
      </c>
      <c r="C20" s="31">
        <v>6</v>
      </c>
      <c r="D20" s="31">
        <v>126</v>
      </c>
      <c r="E20" s="31">
        <f t="shared" si="8"/>
        <v>773</v>
      </c>
      <c r="F20" s="25">
        <f t="shared" si="3"/>
        <v>0.99212598425196852</v>
      </c>
      <c r="G20" s="25">
        <f t="shared" si="9"/>
        <v>6.0887401574803146</v>
      </c>
      <c r="H20" s="25"/>
      <c r="I20" s="31">
        <v>8.09</v>
      </c>
      <c r="J20" s="31">
        <v>230</v>
      </c>
      <c r="K20" s="12">
        <v>91.4</v>
      </c>
      <c r="L20" s="27">
        <v>20</v>
      </c>
      <c r="M20" s="169">
        <v>0.5</v>
      </c>
      <c r="N20" s="169">
        <v>0.5</v>
      </c>
      <c r="O20" s="31">
        <v>23</v>
      </c>
      <c r="P20" s="31">
        <v>13</v>
      </c>
      <c r="Q20" s="21">
        <v>14.7</v>
      </c>
      <c r="R20" s="18">
        <v>4.9649999999999999</v>
      </c>
      <c r="S20" s="21">
        <v>29.88</v>
      </c>
      <c r="T20" s="21">
        <v>25.59</v>
      </c>
      <c r="U20" s="18">
        <v>2.6389999999999998</v>
      </c>
      <c r="V20" s="81">
        <v>0.1</v>
      </c>
      <c r="W20" s="103">
        <v>4.5999999999999999E-2</v>
      </c>
      <c r="X20" s="103">
        <v>1.6E-2</v>
      </c>
      <c r="Y20" s="103">
        <v>1.2E-2</v>
      </c>
      <c r="Z20" s="26">
        <v>0.02</v>
      </c>
      <c r="AA20" s="103">
        <v>0.193</v>
      </c>
      <c r="AC20" s="25">
        <f t="shared" si="0"/>
        <v>2.3290362630420307</v>
      </c>
      <c r="AD20" s="25">
        <f t="shared" si="1"/>
        <v>2.5090279811136895</v>
      </c>
      <c r="AE20" s="25">
        <f t="shared" si="2"/>
        <v>3.7203250926046509</v>
      </c>
      <c r="AG20" s="101">
        <v>8.09</v>
      </c>
      <c r="AH20" s="101">
        <v>3.3266399999999998</v>
      </c>
      <c r="AI20" s="101">
        <v>-0.10680000000000001</v>
      </c>
      <c r="AJ20" s="101">
        <v>-2.7202999999999999</v>
      </c>
      <c r="AK20" s="101">
        <v>-2.9702999999999999</v>
      </c>
      <c r="AL20" s="101">
        <v>-3.0486</v>
      </c>
      <c r="AM20" s="101">
        <v>-0.87809999999999999</v>
      </c>
      <c r="AN20" s="101">
        <v>-1.2335</v>
      </c>
      <c r="AO20" s="101">
        <v>-2.0468999999999999</v>
      </c>
      <c r="AP20" s="101">
        <v>-1.3713</v>
      </c>
      <c r="AR20" s="50">
        <f t="shared" si="4"/>
        <v>0.02</v>
      </c>
      <c r="AS20" s="50">
        <f t="shared" si="5"/>
        <v>0.50738722355631782</v>
      </c>
      <c r="AT20" s="50">
        <f t="shared" si="6"/>
        <v>2.5399873000000002E-3</v>
      </c>
      <c r="AU20" s="50">
        <f t="shared" si="10"/>
        <v>0.26622607619999999</v>
      </c>
      <c r="AV20" s="50">
        <f t="shared" si="7"/>
        <v>25.36936117781589</v>
      </c>
    </row>
    <row r="21" spans="1:48" x14ac:dyDescent="0.35">
      <c r="A21" s="104">
        <v>13</v>
      </c>
      <c r="B21" s="28">
        <v>43682</v>
      </c>
      <c r="C21" s="31">
        <v>7</v>
      </c>
      <c r="D21" s="31">
        <v>127</v>
      </c>
      <c r="E21" s="31">
        <f t="shared" si="8"/>
        <v>900</v>
      </c>
      <c r="F21" s="25">
        <f t="shared" si="3"/>
        <v>1</v>
      </c>
      <c r="G21" s="25">
        <f>G20+F21</f>
        <v>7.0887401574803146</v>
      </c>
      <c r="H21" s="25"/>
      <c r="I21" s="31">
        <v>8.2799999999999994</v>
      </c>
      <c r="J21" s="31">
        <v>186</v>
      </c>
      <c r="K21" s="12">
        <v>95.2</v>
      </c>
      <c r="L21" s="27">
        <v>15</v>
      </c>
      <c r="M21" s="169">
        <v>0.5</v>
      </c>
      <c r="N21" s="169">
        <v>0.5</v>
      </c>
      <c r="O21" s="31">
        <v>16</v>
      </c>
      <c r="P21" s="31">
        <v>12</v>
      </c>
      <c r="Q21" s="21">
        <v>12.57</v>
      </c>
      <c r="R21" s="18">
        <v>4.49</v>
      </c>
      <c r="S21" s="21">
        <v>24.66</v>
      </c>
      <c r="T21" s="21">
        <v>25.53</v>
      </c>
      <c r="U21" s="18">
        <v>2.6150000000000002</v>
      </c>
      <c r="V21" s="81">
        <v>0.1</v>
      </c>
      <c r="W21" s="103">
        <v>1.6E-2</v>
      </c>
      <c r="X21" s="103">
        <v>0.02</v>
      </c>
      <c r="Y21" s="103">
        <v>1.2E-2</v>
      </c>
      <c r="Z21" s="26">
        <v>0.02</v>
      </c>
      <c r="AA21" s="103">
        <v>0.17100000000000001</v>
      </c>
      <c r="AC21" s="25">
        <f t="shared" si="0"/>
        <v>2.2592940186114667</v>
      </c>
      <c r="AD21" s="25">
        <f t="shared" si="1"/>
        <v>2.1360090038129926</v>
      </c>
      <c r="AE21" s="25">
        <f t="shared" si="2"/>
        <v>2.8049263991466464</v>
      </c>
      <c r="AG21" s="101">
        <v>8.2799999999999994</v>
      </c>
      <c r="AH21" s="101">
        <v>-3.3437100000000002</v>
      </c>
      <c r="AI21" s="101">
        <v>3.5999999999999997E-2</v>
      </c>
      <c r="AJ21" s="101">
        <v>-2.9315000000000002</v>
      </c>
      <c r="AK21" s="101">
        <v>-3.1814</v>
      </c>
      <c r="AL21" s="101">
        <v>-3.2235</v>
      </c>
      <c r="AM21" s="101">
        <v>-0.5675</v>
      </c>
      <c r="AN21" s="101">
        <v>-1.0204</v>
      </c>
      <c r="AO21" s="101">
        <v>-2.5625</v>
      </c>
      <c r="AP21" s="101">
        <v>-1.2034</v>
      </c>
      <c r="AR21" s="50">
        <f t="shared" si="4"/>
        <v>1.4999999999999999E-2</v>
      </c>
      <c r="AS21" s="50">
        <f t="shared" si="5"/>
        <v>0.50375660167714875</v>
      </c>
      <c r="AT21" s="50">
        <f t="shared" si="6"/>
        <v>1.9049873E-3</v>
      </c>
      <c r="AU21" s="50">
        <f t="shared" si="10"/>
        <v>0.2643210889</v>
      </c>
      <c r="AV21" s="50">
        <f t="shared" si="7"/>
        <v>33.583773445143251</v>
      </c>
    </row>
    <row r="22" spans="1:48" x14ac:dyDescent="0.35">
      <c r="A22" s="104">
        <v>13</v>
      </c>
      <c r="B22" s="28">
        <v>43683</v>
      </c>
      <c r="C22" s="31">
        <v>8</v>
      </c>
      <c r="D22" s="31">
        <v>126</v>
      </c>
      <c r="E22" s="31">
        <f t="shared" si="8"/>
        <v>1026</v>
      </c>
      <c r="F22" s="25">
        <f t="shared" si="3"/>
        <v>0.99212598425196852</v>
      </c>
      <c r="G22" s="25">
        <f>F22+G21</f>
        <v>8.0808661417322831</v>
      </c>
      <c r="H22" s="25"/>
      <c r="I22" s="31">
        <v>8.1199999999999992</v>
      </c>
      <c r="J22" s="31">
        <v>263</v>
      </c>
      <c r="K22" s="12">
        <v>77.400000000000006</v>
      </c>
      <c r="L22" s="31">
        <v>13</v>
      </c>
      <c r="M22" s="27">
        <v>19.5</v>
      </c>
      <c r="N22" s="169">
        <v>0.5</v>
      </c>
      <c r="O22" s="31">
        <v>14</v>
      </c>
      <c r="P22" s="116">
        <v>11</v>
      </c>
      <c r="Q22" s="21">
        <v>12.74</v>
      </c>
      <c r="R22" s="18">
        <v>4.5389999999999997</v>
      </c>
      <c r="S22" s="21">
        <v>21.6</v>
      </c>
      <c r="T22" s="21">
        <v>25.57</v>
      </c>
      <c r="U22" s="18">
        <v>24.074999999999999</v>
      </c>
      <c r="V22" s="81">
        <v>0.1</v>
      </c>
      <c r="W22" s="13">
        <v>0.01</v>
      </c>
      <c r="X22" s="103">
        <v>2.3E-2</v>
      </c>
      <c r="Y22" s="13">
        <v>0.01</v>
      </c>
      <c r="Z22" s="26">
        <v>0.02</v>
      </c>
      <c r="AA22" s="103">
        <v>0.17399999999999999</v>
      </c>
      <c r="AC22" s="25">
        <f t="shared" si="0"/>
        <v>2.3976195268519382</v>
      </c>
      <c r="AD22" s="25">
        <f t="shared" si="1"/>
        <v>2.5642693994552674</v>
      </c>
      <c r="AE22" s="25">
        <f t="shared" si="2"/>
        <v>3.3585974026902554</v>
      </c>
      <c r="AF22" s="31" t="s">
        <v>234</v>
      </c>
      <c r="AG22" s="101">
        <v>8.1199999999999992</v>
      </c>
      <c r="AH22" s="101">
        <v>2.2523</v>
      </c>
      <c r="AI22" s="101">
        <v>-0.20230000000000001</v>
      </c>
      <c r="AJ22" s="101">
        <v>-2.9859</v>
      </c>
      <c r="AK22" s="101">
        <v>-3.2357999999999998</v>
      </c>
      <c r="AL22" s="101">
        <v>-3.1505000000000001</v>
      </c>
      <c r="AM22" s="101">
        <v>-1.0479000000000001</v>
      </c>
      <c r="AN22" s="101">
        <v>-1.3475999999999999</v>
      </c>
      <c r="AO22" s="101">
        <v>-2.7618999999999998</v>
      </c>
      <c r="AP22" s="101">
        <v>-1.4456</v>
      </c>
      <c r="AR22" s="50">
        <f t="shared" ref="AR22:AR27" si="11">L22/1000</f>
        <v>1.2999999999999999E-2</v>
      </c>
      <c r="AS22" s="50">
        <f t="shared" ref="AS22:AS27" si="12">AU22/($AT$7)</f>
        <v>0.50061006594244317</v>
      </c>
      <c r="AT22" s="50">
        <f t="shared" si="6"/>
        <v>1.6509873000000001E-3</v>
      </c>
      <c r="AU22" s="50">
        <f t="shared" ref="AU22:AU27" si="13">AU21-AT22</f>
        <v>0.26267010159999998</v>
      </c>
      <c r="AV22" s="50">
        <f t="shared" ref="AV22:AV27" si="14">AS22/AR22</f>
        <v>38.508466610957171</v>
      </c>
    </row>
    <row r="23" spans="1:48" x14ac:dyDescent="0.35">
      <c r="A23" s="104">
        <v>13</v>
      </c>
      <c r="B23" s="28">
        <v>43684</v>
      </c>
      <c r="C23" s="31">
        <v>9</v>
      </c>
      <c r="D23" s="31">
        <v>128</v>
      </c>
      <c r="E23" s="31">
        <f t="shared" si="8"/>
        <v>1154</v>
      </c>
      <c r="F23" s="25">
        <f t="shared" si="3"/>
        <v>1.0078740157480315</v>
      </c>
      <c r="G23" s="25">
        <f>G22+F23</f>
        <v>9.0887401574803146</v>
      </c>
      <c r="H23" s="25"/>
      <c r="I23" s="31">
        <v>8.27</v>
      </c>
      <c r="J23" s="31">
        <v>169.4</v>
      </c>
      <c r="K23" s="12">
        <v>75.599999999999994</v>
      </c>
      <c r="L23" s="27">
        <v>12</v>
      </c>
      <c r="M23" s="27">
        <v>0.88</v>
      </c>
      <c r="N23" s="169">
        <v>0.5</v>
      </c>
      <c r="O23" s="31">
        <v>13</v>
      </c>
      <c r="P23" s="116">
        <v>9.3000000000000007</v>
      </c>
      <c r="Q23" s="21">
        <v>13.15</v>
      </c>
      <c r="R23" s="18">
        <v>4.5510000000000002</v>
      </c>
      <c r="S23" s="21">
        <v>15.77</v>
      </c>
      <c r="T23" s="21">
        <v>24.26</v>
      </c>
      <c r="U23" s="18">
        <v>3.01</v>
      </c>
      <c r="V23" s="81">
        <v>0.1</v>
      </c>
      <c r="W23" s="13">
        <v>0.01</v>
      </c>
      <c r="X23" s="103">
        <v>1.0999999999999999E-2</v>
      </c>
      <c r="Y23" s="103">
        <v>0.01</v>
      </c>
      <c r="Z23" s="26">
        <v>0.02</v>
      </c>
      <c r="AA23" s="103">
        <v>0.17899999999999999</v>
      </c>
      <c r="AC23" s="25">
        <f t="shared" si="0"/>
        <v>1.8155523797027799</v>
      </c>
      <c r="AD23" s="25">
        <f t="shared" si="1"/>
        <v>1.7933800035813932</v>
      </c>
      <c r="AE23" s="25">
        <f t="shared" si="2"/>
        <v>0.61437493880696226</v>
      </c>
      <c r="AF23" s="31" t="s">
        <v>236</v>
      </c>
      <c r="AG23" s="101">
        <v>8.27</v>
      </c>
      <c r="AH23" s="101">
        <v>-0.938106</v>
      </c>
      <c r="AI23" s="101">
        <v>-4.0500000000000001E-2</v>
      </c>
      <c r="AJ23" s="101">
        <v>-2.9841000000000002</v>
      </c>
      <c r="AK23" s="101">
        <v>-3.2341000000000002</v>
      </c>
      <c r="AL23" s="101">
        <v>-3.3119000000000001</v>
      </c>
      <c r="AM23" s="101">
        <v>-0.73619999999999997</v>
      </c>
      <c r="AN23" s="101">
        <v>-1.1964999999999999</v>
      </c>
      <c r="AO23" s="101">
        <v>-2.7275999999999998</v>
      </c>
      <c r="AP23" s="101">
        <v>-1.2956000000000001</v>
      </c>
      <c r="AR23" s="50">
        <f t="shared" si="11"/>
        <v>1.2E-2</v>
      </c>
      <c r="AS23" s="50">
        <f t="shared" si="12"/>
        <v>0.49770557327996945</v>
      </c>
      <c r="AT23" s="50">
        <f t="shared" si="6"/>
        <v>1.5239873000000002E-3</v>
      </c>
      <c r="AU23" s="50">
        <f t="shared" si="13"/>
        <v>0.26114611430000001</v>
      </c>
      <c r="AV23" s="50">
        <f t="shared" si="14"/>
        <v>41.475464439997452</v>
      </c>
    </row>
    <row r="24" spans="1:48" x14ac:dyDescent="0.35">
      <c r="A24" s="104">
        <v>13</v>
      </c>
      <c r="B24" s="28">
        <v>43685</v>
      </c>
      <c r="C24" s="31">
        <v>10</v>
      </c>
      <c r="D24" s="31">
        <v>127</v>
      </c>
      <c r="E24" s="31">
        <f t="shared" si="8"/>
        <v>1281</v>
      </c>
      <c r="F24" s="25">
        <f t="shared" si="3"/>
        <v>1</v>
      </c>
      <c r="G24" s="25">
        <f t="shared" ref="G24:G39" si="15">G23+F24</f>
        <v>10.088740157480315</v>
      </c>
      <c r="H24" s="25"/>
      <c r="I24" s="31">
        <v>8.31</v>
      </c>
      <c r="J24" s="31">
        <v>167.5</v>
      </c>
      <c r="K24" s="12">
        <v>72</v>
      </c>
      <c r="L24" s="27">
        <v>10</v>
      </c>
      <c r="M24" s="27">
        <v>1.3</v>
      </c>
      <c r="N24" s="169">
        <v>0.5</v>
      </c>
      <c r="O24" s="31">
        <v>12</v>
      </c>
      <c r="P24" s="116">
        <v>9.6</v>
      </c>
      <c r="Q24" s="21">
        <v>14.06</v>
      </c>
      <c r="R24" s="18">
        <v>4.8010000000000002</v>
      </c>
      <c r="S24" s="21">
        <v>12.59</v>
      </c>
      <c r="T24" s="21">
        <v>24.14</v>
      </c>
      <c r="U24" s="18">
        <v>3.4390000000000001</v>
      </c>
      <c r="V24" s="81">
        <v>0.1</v>
      </c>
      <c r="W24" s="13">
        <v>0.01</v>
      </c>
      <c r="X24" s="103">
        <v>1.4E-2</v>
      </c>
      <c r="Y24" s="13">
        <v>0.01</v>
      </c>
      <c r="Z24" s="26">
        <v>0.02</v>
      </c>
      <c r="AA24" s="103">
        <v>0.191</v>
      </c>
      <c r="AC24" s="25">
        <f t="shared" si="0"/>
        <v>1.7345797318484035</v>
      </c>
      <c r="AD24" s="25">
        <f t="shared" si="1"/>
        <v>1.7319992536177016</v>
      </c>
      <c r="AE24" s="25">
        <f t="shared" si="2"/>
        <v>7.4438754793149237E-2</v>
      </c>
      <c r="AG24" s="101">
        <v>8.31</v>
      </c>
      <c r="AH24" s="101">
        <v>-4.7223300000000003E-2</v>
      </c>
      <c r="AI24" s="101">
        <v>7.7000000000000002E-3</v>
      </c>
      <c r="AJ24" s="101">
        <v>-2.9887999999999999</v>
      </c>
      <c r="AK24" s="101">
        <v>-3.2387000000000001</v>
      </c>
      <c r="AL24" s="101">
        <v>-3.3744999999999998</v>
      </c>
      <c r="AM24" s="101">
        <v>-0.64580000000000004</v>
      </c>
      <c r="AN24" s="101">
        <v>-1.1772</v>
      </c>
      <c r="AO24" s="101">
        <v>-2.6958000000000002</v>
      </c>
      <c r="AP24" s="101">
        <v>-1.2535000000000001</v>
      </c>
      <c r="AR24" s="50">
        <f t="shared" si="11"/>
        <v>0.01</v>
      </c>
      <c r="AS24" s="50">
        <f t="shared" si="12"/>
        <v>0.49528516676195916</v>
      </c>
      <c r="AT24" s="50">
        <f t="shared" si="6"/>
        <v>1.2699873000000001E-3</v>
      </c>
      <c r="AU24" s="50">
        <f t="shared" si="13"/>
        <v>0.25987612700000001</v>
      </c>
      <c r="AV24" s="50">
        <f t="shared" si="14"/>
        <v>49.528516676195913</v>
      </c>
    </row>
    <row r="25" spans="1:48" x14ac:dyDescent="0.35">
      <c r="A25" s="104">
        <v>13</v>
      </c>
      <c r="B25" s="28">
        <v>43686</v>
      </c>
      <c r="C25" s="31">
        <v>11</v>
      </c>
      <c r="D25" s="31">
        <v>126</v>
      </c>
      <c r="E25" s="31">
        <f t="shared" si="8"/>
        <v>1407</v>
      </c>
      <c r="F25" s="25">
        <f t="shared" si="3"/>
        <v>0.99212598425196852</v>
      </c>
      <c r="G25" s="25">
        <f t="shared" si="15"/>
        <v>11.080866141732283</v>
      </c>
      <c r="H25" s="25"/>
      <c r="I25" s="31">
        <v>8.32</v>
      </c>
      <c r="J25" s="31">
        <v>163.30000000000001</v>
      </c>
      <c r="K25" s="12">
        <v>71.400000000000006</v>
      </c>
      <c r="L25" s="27">
        <v>9.6999999999999993</v>
      </c>
      <c r="M25" s="27">
        <v>0.81</v>
      </c>
      <c r="N25" s="169">
        <v>0.5</v>
      </c>
      <c r="O25" s="31">
        <v>11</v>
      </c>
      <c r="P25" s="116">
        <v>9.1999999999999993</v>
      </c>
      <c r="Q25" s="21">
        <v>14.61</v>
      </c>
      <c r="R25" s="18">
        <v>5.0049999999999999</v>
      </c>
      <c r="S25" s="21">
        <v>10.31</v>
      </c>
      <c r="T25" s="21">
        <v>24.25</v>
      </c>
      <c r="U25" s="18">
        <v>2.7930000000000001</v>
      </c>
      <c r="V25" s="81">
        <v>0.1</v>
      </c>
      <c r="W25" s="13">
        <v>0.01</v>
      </c>
      <c r="X25" s="103">
        <v>1.4999999999999999E-2</v>
      </c>
      <c r="Y25" s="13">
        <v>0.01</v>
      </c>
      <c r="Z25" s="26">
        <v>0.02</v>
      </c>
      <c r="AA25" s="103">
        <v>0.19700000000000001</v>
      </c>
      <c r="AC25" s="25">
        <f t="shared" si="0"/>
        <v>1.6879371263071445</v>
      </c>
      <c r="AD25" s="25">
        <f t="shared" si="1"/>
        <v>1.6605253863381713</v>
      </c>
      <c r="AE25" s="25">
        <f t="shared" si="2"/>
        <v>0.81863660905427771</v>
      </c>
      <c r="AG25" s="101">
        <v>8.32</v>
      </c>
      <c r="AH25" s="101">
        <v>-1.2192499999999999</v>
      </c>
      <c r="AI25" s="101">
        <v>3.1600000000000003E-2</v>
      </c>
      <c r="AJ25" s="101">
        <v>-3.0089999999999999</v>
      </c>
      <c r="AK25" s="101">
        <v>-3.2589000000000001</v>
      </c>
      <c r="AL25" s="101">
        <v>-3.3885999999999998</v>
      </c>
      <c r="AM25" s="101">
        <v>-0.59670000000000001</v>
      </c>
      <c r="AN25" s="101">
        <v>-1.17</v>
      </c>
      <c r="AO25" s="101">
        <v>-2.6770999999999998</v>
      </c>
      <c r="AP25" s="101">
        <v>-1.2282999999999999</v>
      </c>
      <c r="AR25" s="50">
        <f t="shared" si="11"/>
        <v>9.6999999999999986E-3</v>
      </c>
      <c r="AS25" s="50">
        <f t="shared" si="12"/>
        <v>0.49293737316561842</v>
      </c>
      <c r="AT25" s="50">
        <f t="shared" si="6"/>
        <v>1.2318873E-3</v>
      </c>
      <c r="AU25" s="50">
        <f t="shared" si="13"/>
        <v>0.2586442397</v>
      </c>
      <c r="AV25" s="50">
        <f t="shared" si="14"/>
        <v>50.818285893362734</v>
      </c>
    </row>
    <row r="26" spans="1:48" x14ac:dyDescent="0.35">
      <c r="A26" s="104">
        <v>13</v>
      </c>
      <c r="B26" s="28">
        <v>43687</v>
      </c>
      <c r="C26" s="31">
        <v>12</v>
      </c>
      <c r="D26" s="31">
        <v>126</v>
      </c>
      <c r="E26" s="31">
        <f t="shared" si="8"/>
        <v>1533</v>
      </c>
      <c r="F26" s="25">
        <f t="shared" si="3"/>
        <v>0.99212598425196852</v>
      </c>
      <c r="G26" s="25">
        <f t="shared" si="15"/>
        <v>12.072992125984252</v>
      </c>
      <c r="H26" s="25"/>
      <c r="I26" s="31">
        <v>8.2200000000000006</v>
      </c>
      <c r="J26" s="31">
        <v>143.19999999999999</v>
      </c>
      <c r="K26" s="12">
        <v>72.599999999999994</v>
      </c>
      <c r="L26" s="27">
        <v>8.9</v>
      </c>
      <c r="M26" s="169">
        <v>0.5</v>
      </c>
      <c r="N26" s="169">
        <v>0.5</v>
      </c>
      <c r="O26" s="31">
        <v>11</v>
      </c>
      <c r="P26" s="124">
        <v>9.1999999999999993</v>
      </c>
      <c r="Q26" s="21">
        <v>14.99</v>
      </c>
      <c r="R26" s="18">
        <v>5.1109999999999998</v>
      </c>
      <c r="S26" s="18">
        <v>8.5370000000000008</v>
      </c>
      <c r="T26" s="21">
        <v>24.29</v>
      </c>
      <c r="U26" s="18">
        <v>1.927</v>
      </c>
      <c r="V26" s="81">
        <v>0.1</v>
      </c>
      <c r="W26" s="13">
        <v>0.01</v>
      </c>
      <c r="X26" s="103">
        <v>1.7000000000000001E-2</v>
      </c>
      <c r="Y26" s="13">
        <v>0.01</v>
      </c>
      <c r="Z26" s="26">
        <v>0.02</v>
      </c>
      <c r="AA26" s="103">
        <v>0.20499999999999999</v>
      </c>
      <c r="AC26" s="25">
        <f t="shared" si="0"/>
        <v>1.7031924154467775</v>
      </c>
      <c r="AD26" s="25">
        <f t="shared" si="1"/>
        <v>1.5889357426853907</v>
      </c>
      <c r="AE26" s="25">
        <f t="shared" si="2"/>
        <v>3.4706022145326121</v>
      </c>
      <c r="AG26" s="101">
        <v>8.2200000000000006</v>
      </c>
      <c r="AH26" s="101">
        <v>-4.1739300000000004</v>
      </c>
      <c r="AI26" s="101">
        <v>-4.58E-2</v>
      </c>
      <c r="AJ26" s="101">
        <v>-2.9969999999999999</v>
      </c>
      <c r="AK26" s="101">
        <v>-3.2469999999999999</v>
      </c>
      <c r="AL26" s="101">
        <v>-3.2783000000000002</v>
      </c>
      <c r="AM26" s="101">
        <v>-0.75390000000000001</v>
      </c>
      <c r="AN26" s="101">
        <v>-1.2593000000000001</v>
      </c>
      <c r="AO26" s="101">
        <v>-2.6644999999999999</v>
      </c>
      <c r="AP26" s="101">
        <v>-1.3081</v>
      </c>
      <c r="AR26" s="50">
        <f t="shared" si="11"/>
        <v>8.8999999999999999E-3</v>
      </c>
      <c r="AS26" s="50">
        <f t="shared" si="12"/>
        <v>0.4907832140270631</v>
      </c>
      <c r="AT26" s="50">
        <f t="shared" si="6"/>
        <v>1.1302873000000001E-3</v>
      </c>
      <c r="AU26" s="50">
        <f t="shared" si="13"/>
        <v>0.25751395240000002</v>
      </c>
      <c r="AV26" s="50">
        <f t="shared" si="14"/>
        <v>55.144181351355407</v>
      </c>
    </row>
    <row r="27" spans="1:48" x14ac:dyDescent="0.35">
      <c r="A27" s="104">
        <v>13</v>
      </c>
      <c r="B27" s="28">
        <v>43688</v>
      </c>
      <c r="C27" s="31">
        <v>13</v>
      </c>
      <c r="D27" s="31">
        <v>126</v>
      </c>
      <c r="E27" s="31">
        <f t="shared" si="8"/>
        <v>1659</v>
      </c>
      <c r="F27" s="25">
        <f t="shared" si="3"/>
        <v>0.99212598425196852</v>
      </c>
      <c r="G27" s="25">
        <f t="shared" si="15"/>
        <v>13.06511811023622</v>
      </c>
      <c r="H27" s="25"/>
      <c r="I27" s="31">
        <v>8.2899999999999991</v>
      </c>
      <c r="J27" s="31">
        <v>139.69999999999999</v>
      </c>
      <c r="K27" s="12">
        <v>68</v>
      </c>
      <c r="L27" s="27">
        <v>8.4</v>
      </c>
      <c r="M27" s="169">
        <v>0.5</v>
      </c>
      <c r="N27" s="169">
        <v>0.5</v>
      </c>
      <c r="O27" s="31">
        <v>10</v>
      </c>
      <c r="P27" s="116">
        <v>8.3000000000000007</v>
      </c>
      <c r="Q27" s="21">
        <v>14.47</v>
      </c>
      <c r="R27" s="18">
        <v>5.0069999999999997</v>
      </c>
      <c r="S27" s="18">
        <v>7.1749999999999998</v>
      </c>
      <c r="T27" s="21">
        <v>23.53</v>
      </c>
      <c r="U27" s="18">
        <v>1.8089999999999999</v>
      </c>
      <c r="V27" s="81">
        <v>0.1</v>
      </c>
      <c r="W27" s="13">
        <v>0.01</v>
      </c>
      <c r="X27" s="103">
        <v>1.0999999999999999E-2</v>
      </c>
      <c r="Y27" s="13">
        <v>0.01</v>
      </c>
      <c r="Z27" s="26">
        <v>0.02</v>
      </c>
      <c r="AA27" s="103">
        <v>0.19800000000000001</v>
      </c>
      <c r="AC27" s="25">
        <f t="shared" si="0"/>
        <v>1.59037209481384</v>
      </c>
      <c r="AD27" s="25">
        <f t="shared" si="1"/>
        <v>1.4921739553054265</v>
      </c>
      <c r="AE27" s="25">
        <f t="shared" si="2"/>
        <v>3.1856179246572527</v>
      </c>
      <c r="AG27" s="101">
        <v>8.2899999999999991</v>
      </c>
      <c r="AH27" s="101">
        <v>-3.9402300000000001</v>
      </c>
      <c r="AI27" s="101">
        <v>-1.7899999999999999E-2</v>
      </c>
      <c r="AJ27" s="101">
        <v>-3.0476999999999999</v>
      </c>
      <c r="AK27" s="101">
        <v>-3.2976999999999999</v>
      </c>
      <c r="AL27" s="101">
        <v>-3.3780999999999999</v>
      </c>
      <c r="AM27" s="101">
        <v>-0.69189999999999996</v>
      </c>
      <c r="AN27" s="101">
        <v>-1.2156</v>
      </c>
      <c r="AO27" s="101">
        <v>-2.6745000000000001</v>
      </c>
      <c r="AP27" s="101">
        <v>-1.274</v>
      </c>
      <c r="AR27" s="50">
        <f t="shared" si="11"/>
        <v>8.4000000000000012E-3</v>
      </c>
      <c r="AS27" s="50">
        <f t="shared" si="12"/>
        <v>0.48875007642462365</v>
      </c>
      <c r="AT27" s="50">
        <f t="shared" si="6"/>
        <v>1.0667873000000003E-3</v>
      </c>
      <c r="AU27" s="50">
        <f t="shared" si="13"/>
        <v>0.25644716510000004</v>
      </c>
      <c r="AV27" s="50">
        <f t="shared" si="14"/>
        <v>58.184532907693281</v>
      </c>
    </row>
    <row r="28" spans="1:48" s="164" customFormat="1" x14ac:dyDescent="0.35">
      <c r="B28" s="28"/>
      <c r="F28" s="25"/>
      <c r="G28" s="25"/>
      <c r="H28" s="25"/>
      <c r="L28" s="27"/>
      <c r="M28" s="26"/>
      <c r="N28" s="26"/>
      <c r="Q28" s="21"/>
      <c r="R28" s="21"/>
      <c r="S28" s="21"/>
      <c r="T28" s="21"/>
      <c r="U28" s="103"/>
      <c r="V28" s="81"/>
      <c r="W28" s="169"/>
      <c r="X28" s="103"/>
      <c r="Y28" s="169"/>
      <c r="Z28" s="26"/>
      <c r="AA28" s="103"/>
      <c r="AC28" s="25"/>
      <c r="AD28" s="25"/>
      <c r="AE28" s="25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R28" s="176"/>
      <c r="AS28" s="176"/>
      <c r="AT28" s="176"/>
      <c r="AU28" s="176"/>
      <c r="AV28" s="176"/>
    </row>
    <row r="29" spans="1:48" x14ac:dyDescent="0.35">
      <c r="A29" s="188" t="s">
        <v>271</v>
      </c>
      <c r="B29" s="197"/>
      <c r="C29" s="197"/>
      <c r="D29" s="197"/>
      <c r="E29" s="197"/>
      <c r="F29" s="25"/>
      <c r="G29" s="25"/>
      <c r="H29" s="25"/>
      <c r="I29" s="6">
        <f>AVERAGE(B62:B71)</f>
        <v>6.9599999999999991</v>
      </c>
      <c r="J29" s="12">
        <f>'Influent Results Master'!D57</f>
        <v>2145.25</v>
      </c>
      <c r="K29" s="12">
        <f>'Influent Results Master'!F57</f>
        <v>377.125</v>
      </c>
      <c r="L29" s="12">
        <f>'Influent Results Master'!G57</f>
        <v>412.5</v>
      </c>
      <c r="M29" s="12">
        <f>'Influent Results Master'!H57</f>
        <v>51.25</v>
      </c>
      <c r="N29" s="12">
        <f>'Influent Results Master'!I57</f>
        <v>14.75</v>
      </c>
      <c r="O29" s="12">
        <f>'Influent Results Master'!J57</f>
        <v>757.25</v>
      </c>
      <c r="P29" s="12">
        <f>'Influent Results Master'!K57</f>
        <v>28.75</v>
      </c>
      <c r="Q29" s="12">
        <f>'Influent Results Master'!L57</f>
        <v>159.60000000000002</v>
      </c>
      <c r="R29" s="12">
        <f>'Influent Results Master'!M57</f>
        <v>64.23</v>
      </c>
      <c r="S29" s="12">
        <f>'Influent Results Master'!N57</f>
        <v>271.52499999999998</v>
      </c>
      <c r="T29" s="12">
        <f>'Influent Results Master'!O57</f>
        <v>24.852500000000003</v>
      </c>
      <c r="U29" s="6">
        <f>'Influent Results Master'!P57</f>
        <v>6.8772500000000001</v>
      </c>
      <c r="V29" s="81">
        <f>'Influent Results Master'!Q57</f>
        <v>0.20000000000000004</v>
      </c>
      <c r="W29" s="161">
        <f>'Influent Results Master'!R57</f>
        <v>4.9666666666666671E-2</v>
      </c>
      <c r="X29" s="81">
        <f>'Influent Results Master'!S57</f>
        <v>0.02</v>
      </c>
      <c r="Y29" s="161">
        <f>'Influent Results Master'!T57</f>
        <v>4.8666666666666671E-2</v>
      </c>
      <c r="Z29" s="81">
        <f>'Influent Results Master'!U57</f>
        <v>0.04</v>
      </c>
      <c r="AA29" s="6">
        <f>'Influent Results Master'!V57</f>
        <v>1.5040000000000002</v>
      </c>
      <c r="AC29" s="25">
        <f t="shared" si="0"/>
        <v>24.992289191530155</v>
      </c>
      <c r="AD29" s="25"/>
      <c r="AE29" s="25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R29" s="31">
        <v>0.40799999999999997</v>
      </c>
    </row>
    <row r="30" spans="1:48" s="164" customFormat="1" x14ac:dyDescent="0.35">
      <c r="B30" s="162"/>
      <c r="C30" s="162"/>
      <c r="D30" s="162"/>
      <c r="E30" s="162"/>
      <c r="F30" s="25"/>
      <c r="G30" s="25"/>
      <c r="H30" s="25"/>
      <c r="L30" s="27"/>
      <c r="M30" s="26"/>
      <c r="N30" s="26"/>
      <c r="Q30" s="21"/>
      <c r="R30" s="21"/>
      <c r="S30" s="21"/>
      <c r="T30" s="21"/>
      <c r="U30" s="11"/>
      <c r="V30" s="33"/>
      <c r="W30" s="33"/>
      <c r="X30" s="33"/>
      <c r="Y30" s="27"/>
      <c r="Z30" s="27"/>
      <c r="AA30" s="27"/>
      <c r="AC30" s="25"/>
      <c r="AD30" s="25"/>
      <c r="AE30" s="25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</row>
    <row r="31" spans="1:48" x14ac:dyDescent="0.35">
      <c r="A31" s="104">
        <v>13</v>
      </c>
      <c r="B31" s="28">
        <v>43689</v>
      </c>
      <c r="C31" s="31">
        <v>14</v>
      </c>
      <c r="D31" s="31">
        <v>125</v>
      </c>
      <c r="E31" s="31">
        <f>E27+D31</f>
        <v>1784</v>
      </c>
      <c r="F31" s="25">
        <f t="shared" si="3"/>
        <v>0.98425196850393704</v>
      </c>
      <c r="G31" s="25">
        <f>G27+F31</f>
        <v>14.049370078740157</v>
      </c>
      <c r="H31" s="25">
        <v>0</v>
      </c>
      <c r="I31" s="31">
        <v>8.3000000000000007</v>
      </c>
      <c r="J31" s="31">
        <v>133.1</v>
      </c>
      <c r="K31" s="12">
        <v>66.400000000000006</v>
      </c>
      <c r="L31" s="27">
        <v>7.8</v>
      </c>
      <c r="M31" s="169">
        <v>0.5</v>
      </c>
      <c r="N31" s="169">
        <v>0.5</v>
      </c>
      <c r="O31" s="31">
        <v>10</v>
      </c>
      <c r="P31" s="31">
        <v>8.8000000000000007</v>
      </c>
      <c r="Q31" s="21">
        <v>14.87</v>
      </c>
      <c r="R31" s="18">
        <v>5.1239999999999997</v>
      </c>
      <c r="S31" s="18">
        <v>6.2880000000000003</v>
      </c>
      <c r="T31" s="21">
        <v>23.5</v>
      </c>
      <c r="U31" s="18">
        <v>1.7290000000000001</v>
      </c>
      <c r="V31" s="81">
        <v>0.1</v>
      </c>
      <c r="W31" s="26">
        <v>0.01</v>
      </c>
      <c r="X31" s="103">
        <v>1.0999999999999999E-2</v>
      </c>
      <c r="Y31" s="26">
        <v>0.01</v>
      </c>
      <c r="Z31" s="26">
        <v>0.02</v>
      </c>
      <c r="AA31" s="103">
        <v>0.20699999999999999</v>
      </c>
      <c r="AC31" s="25">
        <f t="shared" si="0"/>
        <v>1.55837209481384</v>
      </c>
      <c r="AD31" s="25">
        <f t="shared" si="1"/>
        <v>1.4811277176959261</v>
      </c>
      <c r="AE31" s="25">
        <f t="shared" si="2"/>
        <v>2.5413516000230278</v>
      </c>
      <c r="AG31" s="101">
        <v>8.3000000000000007</v>
      </c>
      <c r="AH31" s="101">
        <v>-3.2928299999999999</v>
      </c>
      <c r="AI31" s="101">
        <v>-6.6E-3</v>
      </c>
      <c r="AJ31" s="101">
        <v>-3.0360999999999998</v>
      </c>
      <c r="AK31" s="101">
        <v>-3.2860999999999998</v>
      </c>
      <c r="AL31" s="101">
        <v>-3.3988999999999998</v>
      </c>
      <c r="AM31" s="101">
        <v>-0.67110000000000003</v>
      </c>
      <c r="AN31" s="101">
        <v>-1.2161</v>
      </c>
      <c r="AO31" s="101">
        <v>-2.6621000000000001</v>
      </c>
      <c r="AP31" s="101">
        <v>-1.2645</v>
      </c>
      <c r="AR31" s="50">
        <f t="shared" ref="AR31" si="16">L31/1000</f>
        <v>7.7999999999999996E-3</v>
      </c>
      <c r="AS31" s="50">
        <f t="shared" ref="AS31" si="17">AU31/($AT$7)</f>
        <v>0.58561571393177059</v>
      </c>
      <c r="AT31" s="50">
        <f>(AR31-$AR$29)*0.127</f>
        <v>-5.08254E-2</v>
      </c>
      <c r="AU31" s="50">
        <f>AU27-AT31</f>
        <v>0.30727256510000006</v>
      </c>
      <c r="AV31" s="50">
        <f t="shared" ref="AV31" si="18">AS31/AR31</f>
        <v>75.078937683560341</v>
      </c>
    </row>
    <row r="32" spans="1:48" x14ac:dyDescent="0.35">
      <c r="A32" s="104">
        <v>13</v>
      </c>
      <c r="B32" s="28">
        <v>43690</v>
      </c>
      <c r="C32" s="31">
        <v>15</v>
      </c>
      <c r="D32" s="31">
        <v>127</v>
      </c>
      <c r="E32" s="31">
        <f t="shared" si="8"/>
        <v>1911</v>
      </c>
      <c r="F32" s="25">
        <f t="shared" si="3"/>
        <v>1</v>
      </c>
      <c r="G32" s="25">
        <f t="shared" si="15"/>
        <v>15.049370078740157</v>
      </c>
      <c r="H32" s="25">
        <f>0+F32</f>
        <v>1</v>
      </c>
      <c r="I32" s="31">
        <v>8.0399999999999991</v>
      </c>
      <c r="J32" s="31">
        <v>854</v>
      </c>
      <c r="K32" s="12">
        <v>45.6</v>
      </c>
      <c r="L32" s="27">
        <v>7.2</v>
      </c>
      <c r="M32" s="27">
        <v>31</v>
      </c>
      <c r="N32" s="27">
        <v>7.1</v>
      </c>
      <c r="O32" s="31">
        <v>406</v>
      </c>
      <c r="P32" s="31">
        <v>6.5</v>
      </c>
      <c r="Q32" s="21">
        <v>129.1</v>
      </c>
      <c r="R32" s="21">
        <v>44.63</v>
      </c>
      <c r="S32" s="21">
        <v>14.55</v>
      </c>
      <c r="T32" s="21">
        <v>22.76</v>
      </c>
      <c r="U32" s="18">
        <v>5.28</v>
      </c>
      <c r="V32" s="81">
        <v>0.1</v>
      </c>
      <c r="W32" s="26">
        <v>0.01</v>
      </c>
      <c r="X32" s="13">
        <v>0.01</v>
      </c>
      <c r="Y32" s="103">
        <v>5.5E-2</v>
      </c>
      <c r="Z32" s="26">
        <v>0.02</v>
      </c>
      <c r="AA32" s="103">
        <v>1.7809999999999999</v>
      </c>
      <c r="AC32" s="25">
        <f t="shared" si="0"/>
        <v>10.354037392041654</v>
      </c>
      <c r="AD32" s="25">
        <f t="shared" si="1"/>
        <v>10.88026825734126</v>
      </c>
      <c r="AE32" s="25">
        <f t="shared" si="2"/>
        <v>2.4782108442283768</v>
      </c>
      <c r="AG32" s="101">
        <v>8.0399999999999991</v>
      </c>
      <c r="AH32" s="101">
        <v>3.8193600000000001</v>
      </c>
      <c r="AI32" s="101">
        <v>0.2452</v>
      </c>
      <c r="AJ32" s="101">
        <v>-0.91890000000000005</v>
      </c>
      <c r="AK32" s="101">
        <v>-1.1687000000000001</v>
      </c>
      <c r="AL32" s="101">
        <v>-3.3496999999999999</v>
      </c>
      <c r="AM32" s="101">
        <v>-0.1525</v>
      </c>
      <c r="AN32" s="101">
        <v>-1.1728000000000001</v>
      </c>
      <c r="AO32" s="101">
        <v>-2.0678000000000001</v>
      </c>
      <c r="AP32" s="101">
        <v>-0.99770000000000003</v>
      </c>
      <c r="AR32" s="50">
        <f t="shared" ref="AR32" si="19">L32/1000</f>
        <v>7.1999999999999998E-3</v>
      </c>
      <c r="AS32" s="50">
        <f t="shared" ref="AS32" si="20">AU32/($AT$7)</f>
        <v>0.68262657728225651</v>
      </c>
      <c r="AT32" s="50">
        <f t="shared" ref="AT32:AT40" si="21">(AR32-$AR$29)*0.127</f>
        <v>-5.0901599999999998E-2</v>
      </c>
      <c r="AU32" s="50">
        <f>AU31-AT32</f>
        <v>0.35817416510000005</v>
      </c>
      <c r="AV32" s="50">
        <f t="shared" ref="AV32" si="22">AS32/AR32</f>
        <v>94.809246844757851</v>
      </c>
    </row>
    <row r="33" spans="1:48" x14ac:dyDescent="0.35">
      <c r="A33" s="104">
        <v>13</v>
      </c>
      <c r="B33" s="28">
        <v>43691</v>
      </c>
      <c r="C33" s="31">
        <v>16</v>
      </c>
      <c r="D33" s="31">
        <v>126</v>
      </c>
      <c r="E33" s="31">
        <f t="shared" si="8"/>
        <v>2037</v>
      </c>
      <c r="F33" s="25">
        <f t="shared" si="3"/>
        <v>0.99212598425196852</v>
      </c>
      <c r="G33" s="25">
        <f t="shared" si="15"/>
        <v>16.041496062992124</v>
      </c>
      <c r="H33" s="25">
        <f>F33+H32</f>
        <v>1.9921259842519685</v>
      </c>
      <c r="I33" s="31">
        <v>7.89</v>
      </c>
      <c r="J33" s="31">
        <v>1657</v>
      </c>
      <c r="K33" s="12">
        <v>105</v>
      </c>
      <c r="L33" s="27">
        <v>219</v>
      </c>
      <c r="M33" s="27">
        <v>52</v>
      </c>
      <c r="N33" s="27">
        <v>9.5</v>
      </c>
      <c r="O33" s="141">
        <v>739</v>
      </c>
      <c r="P33" s="141">
        <v>19</v>
      </c>
      <c r="Q33" s="21">
        <v>253.7</v>
      </c>
      <c r="R33" s="21">
        <v>90.68</v>
      </c>
      <c r="S33" s="21">
        <v>38.409999999999997</v>
      </c>
      <c r="T33" s="21">
        <v>27.38</v>
      </c>
      <c r="U33" s="18">
        <v>7.069</v>
      </c>
      <c r="V33" s="81">
        <v>0.1</v>
      </c>
      <c r="W33" s="26">
        <v>0.01</v>
      </c>
      <c r="X33" s="13">
        <v>0.01</v>
      </c>
      <c r="Y33" s="103">
        <v>0.24399999999999999</v>
      </c>
      <c r="Z33" s="26">
        <v>0.02</v>
      </c>
      <c r="AA33" s="103">
        <v>3.5870000000000002</v>
      </c>
      <c r="AC33" s="25">
        <f t="shared" si="0"/>
        <v>19.106297479157348</v>
      </c>
      <c r="AD33" s="25">
        <f t="shared" si="1"/>
        <v>21.96843672248632</v>
      </c>
      <c r="AE33" s="25">
        <f t="shared" si="2"/>
        <v>6.9681260243296697</v>
      </c>
      <c r="AG33" s="101">
        <v>7.89</v>
      </c>
      <c r="AH33" s="101">
        <v>9.8838699999999999</v>
      </c>
      <c r="AI33" s="101">
        <v>0.64200000000000002</v>
      </c>
      <c r="AJ33" s="101">
        <v>-0.55259999999999998</v>
      </c>
      <c r="AK33" s="101">
        <v>-0.80230000000000001</v>
      </c>
      <c r="AL33" s="101">
        <v>-2.8612000000000002</v>
      </c>
      <c r="AM33" s="101">
        <v>0.66069999999999995</v>
      </c>
      <c r="AN33" s="101">
        <v>-0.43980000000000002</v>
      </c>
      <c r="AO33" s="101">
        <v>-1.9184000000000001</v>
      </c>
      <c r="AP33" s="101">
        <v>-0.58130000000000004</v>
      </c>
      <c r="AR33" s="50">
        <f t="shared" ref="AR33:AR40" si="23">L33/1000</f>
        <v>0.219</v>
      </c>
      <c r="AS33" s="50">
        <f t="shared" ref="AS33:AS40" si="24">AU33/($AT$7)</f>
        <v>0.72837271793405756</v>
      </c>
      <c r="AT33" s="50">
        <f t="shared" si="21"/>
        <v>-2.4002999999999997E-2</v>
      </c>
      <c r="AU33" s="50">
        <f t="shared" ref="AU33:AU40" si="25">AU32-AT33</f>
        <v>0.38217716510000005</v>
      </c>
      <c r="AV33" s="50">
        <f t="shared" ref="AV33:AV40" si="26">AS33/AR33</f>
        <v>3.325902821616701</v>
      </c>
    </row>
    <row r="34" spans="1:48" x14ac:dyDescent="0.35">
      <c r="A34" s="104">
        <v>13</v>
      </c>
      <c r="B34" s="28">
        <v>43692</v>
      </c>
      <c r="C34" s="31">
        <v>17</v>
      </c>
      <c r="D34" s="31">
        <v>126</v>
      </c>
      <c r="E34" s="31">
        <f t="shared" si="8"/>
        <v>2163</v>
      </c>
      <c r="F34" s="25">
        <f t="shared" si="3"/>
        <v>0.99212598425196852</v>
      </c>
      <c r="G34" s="25">
        <f t="shared" si="15"/>
        <v>17.033622047244094</v>
      </c>
      <c r="H34" s="25">
        <f t="shared" ref="H34:H40" si="27">F34+H33</f>
        <v>2.984251968503937</v>
      </c>
      <c r="I34" s="31">
        <v>7.87</v>
      </c>
      <c r="J34" s="31">
        <v>2030</v>
      </c>
      <c r="K34" s="12">
        <v>234.2</v>
      </c>
      <c r="L34" s="27">
        <v>383</v>
      </c>
      <c r="M34" s="27">
        <v>51</v>
      </c>
      <c r="N34" s="27">
        <v>9.9</v>
      </c>
      <c r="O34" s="141">
        <v>778</v>
      </c>
      <c r="P34" s="141">
        <v>31</v>
      </c>
      <c r="Q34" s="21">
        <v>222.4</v>
      </c>
      <c r="R34" s="21">
        <v>85.73</v>
      </c>
      <c r="S34" s="21">
        <v>180.5</v>
      </c>
      <c r="T34" s="21">
        <v>28.99</v>
      </c>
      <c r="U34" s="18">
        <v>9.8149999999999995</v>
      </c>
      <c r="V34" s="81">
        <v>0.1</v>
      </c>
      <c r="W34" s="26">
        <v>0.01</v>
      </c>
      <c r="X34" s="13">
        <v>0.01</v>
      </c>
      <c r="Y34" s="103">
        <v>0.32</v>
      </c>
      <c r="Z34" s="26">
        <v>0.02</v>
      </c>
      <c r="AA34" s="103">
        <v>3.0750000000000002</v>
      </c>
      <c r="AC34" s="25">
        <f t="shared" si="0"/>
        <v>22.480532852034283</v>
      </c>
      <c r="AD34" s="25">
        <f t="shared" si="1"/>
        <v>26.250231552226079</v>
      </c>
      <c r="AE34" s="25">
        <f t="shared" si="2"/>
        <v>7.7357676331919478</v>
      </c>
      <c r="AG34" s="101">
        <v>7.87</v>
      </c>
      <c r="AH34" s="101">
        <v>10.1914</v>
      </c>
      <c r="AI34" s="101">
        <v>0.89039999999999997</v>
      </c>
      <c r="AJ34" s="101">
        <v>-0.60740000000000005</v>
      </c>
      <c r="AK34" s="101">
        <v>-0.85699999999999998</v>
      </c>
      <c r="AL34" s="101">
        <v>-2.4902000000000002</v>
      </c>
      <c r="AM34" s="101">
        <v>1.1943999999999999</v>
      </c>
      <c r="AN34" s="101">
        <v>-2.0199999999999999E-2</v>
      </c>
      <c r="AO34" s="101">
        <v>-2.0142000000000002</v>
      </c>
      <c r="AP34" s="101">
        <v>-0.29599999999999999</v>
      </c>
      <c r="AR34" s="50">
        <f t="shared" si="23"/>
        <v>0.38300000000000001</v>
      </c>
      <c r="AS34" s="50">
        <f t="shared" si="24"/>
        <v>0.73442379473985131</v>
      </c>
      <c r="AT34" s="50">
        <f t="shared" si="21"/>
        <v>-3.174999999999996E-3</v>
      </c>
      <c r="AU34" s="50">
        <f t="shared" si="25"/>
        <v>0.38535216510000003</v>
      </c>
      <c r="AV34" s="50">
        <f t="shared" si="26"/>
        <v>1.9175555998429539</v>
      </c>
    </row>
    <row r="35" spans="1:48" x14ac:dyDescent="0.35">
      <c r="A35" s="104">
        <v>13</v>
      </c>
      <c r="B35" s="28">
        <v>43693</v>
      </c>
      <c r="C35" s="31">
        <v>18</v>
      </c>
      <c r="D35" s="31">
        <v>125</v>
      </c>
      <c r="E35" s="31">
        <f t="shared" si="8"/>
        <v>2288</v>
      </c>
      <c r="F35" s="25">
        <f t="shared" si="3"/>
        <v>0.98425196850393704</v>
      </c>
      <c r="G35" s="25">
        <f t="shared" si="15"/>
        <v>18.017874015748031</v>
      </c>
      <c r="H35" s="25">
        <f t="shared" si="27"/>
        <v>3.9685039370078741</v>
      </c>
      <c r="I35" s="31">
        <v>7.97</v>
      </c>
      <c r="J35" s="31">
        <v>2140</v>
      </c>
      <c r="K35" s="12">
        <v>385.6</v>
      </c>
      <c r="L35" s="27">
        <v>335</v>
      </c>
      <c r="M35" s="27">
        <v>51</v>
      </c>
      <c r="N35" s="27">
        <v>10</v>
      </c>
      <c r="O35" s="31">
        <v>708</v>
      </c>
      <c r="P35" s="124">
        <v>34</v>
      </c>
      <c r="Q35" s="21">
        <v>204.1</v>
      </c>
      <c r="R35" s="21">
        <v>80.75</v>
      </c>
      <c r="S35" s="21">
        <v>247.8</v>
      </c>
      <c r="T35" s="21">
        <v>28.78</v>
      </c>
      <c r="U35" s="21">
        <v>10.77</v>
      </c>
      <c r="V35" s="81">
        <v>0.1</v>
      </c>
      <c r="W35" s="26">
        <v>0.01</v>
      </c>
      <c r="X35" s="13">
        <v>0.01</v>
      </c>
      <c r="Y35" s="85">
        <v>0.311</v>
      </c>
      <c r="Z35" s="26">
        <v>0.02</v>
      </c>
      <c r="AA35" s="85">
        <v>2.6880000000000002</v>
      </c>
      <c r="AC35" s="25">
        <f t="shared" si="0"/>
        <v>24.052723310954448</v>
      </c>
      <c r="AD35" s="25">
        <f t="shared" si="1"/>
        <v>27.879302699895021</v>
      </c>
      <c r="AE35" s="25">
        <f t="shared" si="2"/>
        <v>7.3684384817590907</v>
      </c>
      <c r="AG35" s="101">
        <v>7.97</v>
      </c>
      <c r="AH35" s="101">
        <v>9.3621999999999996</v>
      </c>
      <c r="AI35" s="101">
        <v>1.1621999999999999</v>
      </c>
      <c r="AJ35" s="101">
        <v>-0.68669999999999998</v>
      </c>
      <c r="AK35" s="101">
        <v>-0.93620000000000003</v>
      </c>
      <c r="AL35" s="101">
        <v>-2.3757000000000001</v>
      </c>
      <c r="AM35" s="101">
        <v>1.7524</v>
      </c>
      <c r="AN35" s="101">
        <v>0.27500000000000002</v>
      </c>
      <c r="AO35" s="101">
        <v>-2.0606</v>
      </c>
      <c r="AP35" s="101">
        <v>-9.7000000000000003E-3</v>
      </c>
      <c r="AR35" s="50">
        <f t="shared" si="23"/>
        <v>0.33500000000000002</v>
      </c>
      <c r="AS35" s="50">
        <f t="shared" si="24"/>
        <v>0.75209293901276908</v>
      </c>
      <c r="AT35" s="50">
        <f t="shared" si="21"/>
        <v>-9.2709999999999945E-3</v>
      </c>
      <c r="AU35" s="50">
        <f t="shared" si="25"/>
        <v>0.39462316510000001</v>
      </c>
      <c r="AV35" s="50">
        <f t="shared" si="26"/>
        <v>2.245053549291848</v>
      </c>
    </row>
    <row r="36" spans="1:48" x14ac:dyDescent="0.35">
      <c r="A36" s="104">
        <v>13</v>
      </c>
      <c r="B36" s="28">
        <v>43694</v>
      </c>
      <c r="C36" s="31">
        <v>19</v>
      </c>
      <c r="D36" s="31">
        <v>125</v>
      </c>
      <c r="E36" s="31">
        <f t="shared" si="8"/>
        <v>2413</v>
      </c>
      <c r="F36" s="25">
        <f t="shared" si="3"/>
        <v>0.98425196850393704</v>
      </c>
      <c r="G36" s="25">
        <f t="shared" si="15"/>
        <v>19.002125984251968</v>
      </c>
      <c r="H36" s="25">
        <f t="shared" si="27"/>
        <v>4.9527559055118111</v>
      </c>
      <c r="I36" s="31">
        <v>7.87</v>
      </c>
      <c r="J36" s="31">
        <v>2140</v>
      </c>
      <c r="K36" s="12">
        <v>389</v>
      </c>
      <c r="L36" s="27">
        <v>321</v>
      </c>
      <c r="M36" s="27">
        <v>51</v>
      </c>
      <c r="N36" s="27">
        <v>10</v>
      </c>
      <c r="O36" s="31">
        <v>722</v>
      </c>
      <c r="P36" s="31">
        <v>37</v>
      </c>
      <c r="Q36" s="12">
        <v>200.5</v>
      </c>
      <c r="R36" s="12">
        <v>78.12</v>
      </c>
      <c r="S36" s="21">
        <v>271.3</v>
      </c>
      <c r="T36" s="21">
        <v>28.74</v>
      </c>
      <c r="U36" s="21">
        <v>10.71</v>
      </c>
      <c r="V36" s="81">
        <v>0.1</v>
      </c>
      <c r="W36" s="85">
        <v>1.2999999999999999E-2</v>
      </c>
      <c r="X36" s="13">
        <v>0.01</v>
      </c>
      <c r="Y36" s="85">
        <v>0.315</v>
      </c>
      <c r="Z36" s="26">
        <v>0.02</v>
      </c>
      <c r="AA36" s="85">
        <v>2.56</v>
      </c>
      <c r="AC36" s="25">
        <f t="shared" si="0"/>
        <v>24.412207799815576</v>
      </c>
      <c r="AD36" s="25">
        <f t="shared" si="1"/>
        <v>28.50402811780981</v>
      </c>
      <c r="AE36" s="25">
        <f t="shared" si="2"/>
        <v>7.7326367740214241</v>
      </c>
      <c r="AG36" s="101">
        <v>7.87</v>
      </c>
      <c r="AH36" s="101">
        <v>9.7244600000000005</v>
      </c>
      <c r="AI36" s="101">
        <v>1.0597000000000001</v>
      </c>
      <c r="AJ36" s="101">
        <v>-0.68759999999999999</v>
      </c>
      <c r="AK36" s="101">
        <v>-0.93710000000000004</v>
      </c>
      <c r="AL36" s="101">
        <v>-2.2679</v>
      </c>
      <c r="AM36" s="101">
        <v>1.5407</v>
      </c>
      <c r="AN36" s="101">
        <v>0.18429999999999999</v>
      </c>
      <c r="AO36" s="101">
        <v>-1.9587000000000001</v>
      </c>
      <c r="AP36" s="101">
        <v>-0.11899999999999999</v>
      </c>
      <c r="AR36" s="50">
        <f t="shared" si="23"/>
        <v>0.32100000000000001</v>
      </c>
      <c r="AS36" s="50">
        <f t="shared" si="24"/>
        <v>0.77315068629693151</v>
      </c>
      <c r="AT36" s="50">
        <f t="shared" si="21"/>
        <v>-1.1048999999999996E-2</v>
      </c>
      <c r="AU36" s="50">
        <f t="shared" si="25"/>
        <v>0.40567216509999998</v>
      </c>
      <c r="AV36" s="50">
        <f t="shared" si="26"/>
        <v>2.4085691161898177</v>
      </c>
    </row>
    <row r="37" spans="1:48" x14ac:dyDescent="0.35">
      <c r="A37" s="104">
        <v>13</v>
      </c>
      <c r="B37" s="28">
        <v>43695</v>
      </c>
      <c r="C37" s="31">
        <v>20</v>
      </c>
      <c r="D37" s="31">
        <v>128</v>
      </c>
      <c r="E37" s="31">
        <f t="shared" si="8"/>
        <v>2541</v>
      </c>
      <c r="F37" s="25">
        <f t="shared" si="3"/>
        <v>1.0078740157480315</v>
      </c>
      <c r="G37" s="25">
        <f t="shared" si="15"/>
        <v>20.009999999999998</v>
      </c>
      <c r="H37" s="25">
        <f t="shared" si="27"/>
        <v>5.9606299212598426</v>
      </c>
      <c r="I37" s="31">
        <v>7.83</v>
      </c>
      <c r="J37" s="31">
        <v>2110</v>
      </c>
      <c r="K37" s="12">
        <v>391.8</v>
      </c>
      <c r="L37" s="27">
        <v>309</v>
      </c>
      <c r="M37" s="21">
        <v>51</v>
      </c>
      <c r="N37" s="27">
        <v>10</v>
      </c>
      <c r="O37" s="31">
        <v>717</v>
      </c>
      <c r="P37" s="31">
        <v>39</v>
      </c>
      <c r="Q37" s="12">
        <v>195.9</v>
      </c>
      <c r="R37" s="12">
        <v>77.239999999999995</v>
      </c>
      <c r="S37" s="21">
        <v>278.3</v>
      </c>
      <c r="T37" s="21">
        <v>29.2</v>
      </c>
      <c r="U37" s="21">
        <v>11.88</v>
      </c>
      <c r="V37" s="81">
        <v>0.1</v>
      </c>
      <c r="W37" s="85">
        <v>1.7000000000000001E-2</v>
      </c>
      <c r="X37" s="13">
        <v>0.01</v>
      </c>
      <c r="Y37" s="85">
        <v>0.32300000000000001</v>
      </c>
      <c r="Z37" s="26">
        <v>0.02</v>
      </c>
      <c r="AA37" s="85">
        <v>2.5579999999999998</v>
      </c>
      <c r="AC37" s="25">
        <f t="shared" si="0"/>
        <v>24.364106196650887</v>
      </c>
      <c r="AD37" s="25">
        <f t="shared" si="1"/>
        <v>28.53652226103722</v>
      </c>
      <c r="AE37" s="25">
        <f t="shared" si="2"/>
        <v>7.8872712594021195</v>
      </c>
      <c r="AG37" s="101">
        <v>7.83</v>
      </c>
      <c r="AH37" s="101">
        <v>9.8716100000000004</v>
      </c>
      <c r="AI37" s="101">
        <v>1.0150999999999999</v>
      </c>
      <c r="AJ37" s="101">
        <v>-0.69840000000000002</v>
      </c>
      <c r="AK37" s="101">
        <v>-0.94789999999999996</v>
      </c>
      <c r="AL37" s="101">
        <v>-2.2229999999999999</v>
      </c>
      <c r="AM37" s="101">
        <v>1.4564999999999999</v>
      </c>
      <c r="AN37" s="101">
        <v>0.1603</v>
      </c>
      <c r="AO37" s="101">
        <v>-1.8514999999999999</v>
      </c>
      <c r="AP37" s="101">
        <v>-0.15859999999999999</v>
      </c>
      <c r="AR37" s="50">
        <f t="shared" si="23"/>
        <v>0.309</v>
      </c>
      <c r="AS37" s="50">
        <f t="shared" si="24"/>
        <v>0.79711295044787489</v>
      </c>
      <c r="AT37" s="50">
        <f t="shared" si="21"/>
        <v>-1.2572999999999997E-2</v>
      </c>
      <c r="AU37" s="50">
        <f t="shared" si="25"/>
        <v>0.41824516509999998</v>
      </c>
      <c r="AV37" s="50">
        <f t="shared" si="26"/>
        <v>2.5796535613199834</v>
      </c>
    </row>
    <row r="38" spans="1:48" x14ac:dyDescent="0.35">
      <c r="A38" s="104">
        <v>13</v>
      </c>
      <c r="B38" s="28">
        <v>43696</v>
      </c>
      <c r="C38" s="31">
        <v>21</v>
      </c>
      <c r="D38" s="31">
        <v>127</v>
      </c>
      <c r="E38" s="31">
        <f t="shared" si="8"/>
        <v>2668</v>
      </c>
      <c r="F38" s="25">
        <f t="shared" si="3"/>
        <v>1</v>
      </c>
      <c r="G38" s="25">
        <f t="shared" si="15"/>
        <v>21.009999999999998</v>
      </c>
      <c r="H38" s="25">
        <f t="shared" si="27"/>
        <v>6.9606299212598426</v>
      </c>
      <c r="I38" s="31">
        <v>7.75</v>
      </c>
      <c r="J38" s="31">
        <v>1705</v>
      </c>
      <c r="K38" s="12">
        <v>387.8</v>
      </c>
      <c r="L38" s="27">
        <v>287</v>
      </c>
      <c r="M38" s="21">
        <v>51</v>
      </c>
      <c r="N38" s="27">
        <v>11</v>
      </c>
      <c r="O38" s="31">
        <v>729</v>
      </c>
      <c r="P38" s="31">
        <v>38</v>
      </c>
      <c r="Q38" s="21">
        <v>191.2</v>
      </c>
      <c r="R38" s="21">
        <v>72.03</v>
      </c>
      <c r="S38" s="21">
        <v>281.3</v>
      </c>
      <c r="T38" s="21">
        <v>28.64</v>
      </c>
      <c r="U38" s="21">
        <v>11.66</v>
      </c>
      <c r="V38" s="81">
        <v>0.2</v>
      </c>
      <c r="W38" s="26">
        <v>0.02</v>
      </c>
      <c r="X38" s="81">
        <v>0.02</v>
      </c>
      <c r="Y38" s="103">
        <v>0.28000000000000003</v>
      </c>
      <c r="Z38" s="26">
        <v>0.04</v>
      </c>
      <c r="AA38" s="103">
        <v>2.58</v>
      </c>
      <c r="AC38" s="25">
        <f t="shared" si="0"/>
        <v>24.550079076504204</v>
      </c>
      <c r="AD38" s="25">
        <f t="shared" ref="AD38:AD40" si="28">((Q38/20.04)+(R38/12.16)+(S38/22.99)+(U38/39.1))</f>
        <v>27.998402295130902</v>
      </c>
      <c r="AE38" s="25">
        <f t="shared" ref="AE38:AE40" si="29">ABS((AC38-AD38)/(AC38+AD38)*100)</f>
        <v>6.5621748309705703</v>
      </c>
      <c r="AG38" s="101">
        <v>7.75</v>
      </c>
      <c r="AH38" s="101">
        <v>8.3074399999999997</v>
      </c>
      <c r="AI38" s="101">
        <v>0.92210000000000003</v>
      </c>
      <c r="AJ38" s="101">
        <v>-0.69830000000000003</v>
      </c>
      <c r="AK38" s="101">
        <v>-0.94779999999999998</v>
      </c>
      <c r="AL38" s="101">
        <v>-2.1440999999999999</v>
      </c>
      <c r="AM38" s="101">
        <v>1.2507999999999999</v>
      </c>
      <c r="AN38" s="101">
        <v>1.6299999999999999E-2</v>
      </c>
      <c r="AO38" s="101">
        <v>-1.7921</v>
      </c>
      <c r="AP38" s="101">
        <v>-0.27129999999999999</v>
      </c>
      <c r="AR38" s="50">
        <f t="shared" si="23"/>
        <v>0.28699999999999998</v>
      </c>
      <c r="AS38" s="50">
        <f t="shared" si="24"/>
        <v>0.82640016218791679</v>
      </c>
      <c r="AT38" s="50">
        <f t="shared" si="21"/>
        <v>-1.5367E-2</v>
      </c>
      <c r="AU38" s="50">
        <f t="shared" si="25"/>
        <v>0.4336121651</v>
      </c>
      <c r="AV38" s="50">
        <f t="shared" si="26"/>
        <v>2.8794430738254944</v>
      </c>
    </row>
    <row r="39" spans="1:48" x14ac:dyDescent="0.35">
      <c r="A39" s="104">
        <v>13</v>
      </c>
      <c r="B39" s="28">
        <v>43697</v>
      </c>
      <c r="C39" s="31">
        <v>22</v>
      </c>
      <c r="D39" s="31">
        <v>126</v>
      </c>
      <c r="E39" s="31">
        <f t="shared" si="8"/>
        <v>2794</v>
      </c>
      <c r="F39" s="25">
        <f t="shared" si="3"/>
        <v>0.99212598425196852</v>
      </c>
      <c r="G39" s="25">
        <f t="shared" si="15"/>
        <v>22.002125984251968</v>
      </c>
      <c r="H39" s="25">
        <f t="shared" si="27"/>
        <v>7.9527559055118111</v>
      </c>
      <c r="I39" s="31">
        <v>7.83</v>
      </c>
      <c r="J39" s="31">
        <v>2170</v>
      </c>
      <c r="K39" s="12">
        <v>388.4</v>
      </c>
      <c r="L39" s="27">
        <v>266</v>
      </c>
      <c r="M39" s="27">
        <v>51</v>
      </c>
      <c r="N39" s="27">
        <v>11</v>
      </c>
      <c r="O39" s="31">
        <v>639</v>
      </c>
      <c r="P39" s="31">
        <v>35</v>
      </c>
      <c r="Q39" s="21">
        <v>186.1</v>
      </c>
      <c r="R39" s="21">
        <v>70.48</v>
      </c>
      <c r="S39" s="21">
        <v>279.2</v>
      </c>
      <c r="T39" s="21">
        <v>28.85</v>
      </c>
      <c r="U39" s="21">
        <v>10.96</v>
      </c>
      <c r="V39" s="81">
        <v>0.2</v>
      </c>
      <c r="W39" s="26">
        <v>0.02</v>
      </c>
      <c r="X39" s="81">
        <v>0.02</v>
      </c>
      <c r="Y39" s="103">
        <v>0.26300000000000001</v>
      </c>
      <c r="Z39" s="26">
        <v>0.04</v>
      </c>
      <c r="AA39" s="103">
        <v>2.6139999999999999</v>
      </c>
      <c r="AC39" s="25">
        <f t="shared" si="0"/>
        <v>22.68825021953981</v>
      </c>
      <c r="AD39" s="25">
        <f t="shared" si="28"/>
        <v>27.50719729596851</v>
      </c>
      <c r="AE39" s="25">
        <f t="shared" si="29"/>
        <v>9.6003667960921035</v>
      </c>
      <c r="AG39" s="101">
        <v>7.83</v>
      </c>
      <c r="AH39" s="101">
        <v>11.836499999999999</v>
      </c>
      <c r="AI39" s="101">
        <v>1.0051000000000001</v>
      </c>
      <c r="AJ39" s="101">
        <v>-0.74890000000000001</v>
      </c>
      <c r="AK39" s="101">
        <v>-0.99839999999999995</v>
      </c>
      <c r="AL39" s="101">
        <v>-2.2246000000000001</v>
      </c>
      <c r="AM39" s="101">
        <v>1.4179999999999999</v>
      </c>
      <c r="AN39" s="101">
        <v>8.4199999999999997E-2</v>
      </c>
      <c r="AO39" s="101">
        <v>-1.7833000000000001</v>
      </c>
      <c r="AP39" s="101">
        <v>-0.18709999999999999</v>
      </c>
      <c r="AR39" s="50">
        <f t="shared" si="23"/>
        <v>0.26600000000000001</v>
      </c>
      <c r="AS39" s="50">
        <f t="shared" si="24"/>
        <v>0.86077027844482557</v>
      </c>
      <c r="AT39" s="50">
        <f t="shared" si="21"/>
        <v>-1.8033999999999994E-2</v>
      </c>
      <c r="AU39" s="50">
        <f t="shared" si="25"/>
        <v>0.4516461651</v>
      </c>
      <c r="AV39" s="50">
        <f t="shared" si="26"/>
        <v>3.2359784903940807</v>
      </c>
    </row>
    <row r="40" spans="1:48" x14ac:dyDescent="0.35">
      <c r="A40" s="106">
        <v>13</v>
      </c>
      <c r="B40" s="28">
        <v>43698</v>
      </c>
      <c r="C40" s="106">
        <v>23</v>
      </c>
      <c r="D40" s="31">
        <v>126</v>
      </c>
      <c r="E40" s="106">
        <f t="shared" ref="E40:E52" si="30">E39+D40</f>
        <v>2920</v>
      </c>
      <c r="F40" s="25">
        <f t="shared" ref="F40:F52" si="31">D40/127</f>
        <v>0.99212598425196852</v>
      </c>
      <c r="G40" s="25">
        <f t="shared" ref="G40:G52" si="32">G39+F40</f>
        <v>22.994251968503939</v>
      </c>
      <c r="H40" s="25">
        <f t="shared" si="27"/>
        <v>8.9448818897637796</v>
      </c>
      <c r="I40" s="31">
        <v>7.88</v>
      </c>
      <c r="J40" s="31">
        <v>2160</v>
      </c>
      <c r="K40" s="12">
        <v>381.8</v>
      </c>
      <c r="L40" s="27">
        <v>266</v>
      </c>
      <c r="M40" s="27">
        <v>48</v>
      </c>
      <c r="N40" s="27">
        <v>10</v>
      </c>
      <c r="O40" s="31">
        <v>661</v>
      </c>
      <c r="P40" s="31">
        <v>35</v>
      </c>
      <c r="Q40" s="21">
        <v>186.9</v>
      </c>
      <c r="R40" s="21">
        <v>69.02</v>
      </c>
      <c r="S40" s="21">
        <v>279.39999999999998</v>
      </c>
      <c r="T40" s="21">
        <v>28.76</v>
      </c>
      <c r="U40" s="21">
        <v>13.45</v>
      </c>
      <c r="V40" s="81">
        <v>0.2</v>
      </c>
      <c r="W40" s="26">
        <v>0.02</v>
      </c>
      <c r="X40" s="81">
        <v>0.02</v>
      </c>
      <c r="Y40" s="103">
        <v>0.28999999999999998</v>
      </c>
      <c r="Z40" s="26">
        <v>0.04</v>
      </c>
      <c r="AA40" s="103">
        <v>2.613</v>
      </c>
      <c r="AC40" s="25">
        <f t="shared" si="0"/>
        <v>22.913542007073794</v>
      </c>
      <c r="AD40" s="25">
        <f t="shared" si="28"/>
        <v>27.499433965162346</v>
      </c>
      <c r="AE40" s="25">
        <f t="shared" si="29"/>
        <v>9.0966499589592456</v>
      </c>
      <c r="AF40" s="31" t="s">
        <v>233</v>
      </c>
      <c r="AG40" s="101">
        <v>7.88</v>
      </c>
      <c r="AH40" s="101">
        <v>11.2346</v>
      </c>
      <c r="AI40" s="101">
        <v>1.0443</v>
      </c>
      <c r="AJ40" s="101">
        <v>-0.73540000000000005</v>
      </c>
      <c r="AK40" s="101">
        <v>-0.9849</v>
      </c>
      <c r="AL40" s="101">
        <v>-2.2833999999999999</v>
      </c>
      <c r="AM40" s="101">
        <v>1.4859</v>
      </c>
      <c r="AN40" s="101">
        <v>0.1651</v>
      </c>
      <c r="AO40" s="101">
        <v>-1.7858000000000001</v>
      </c>
      <c r="AP40" s="101">
        <v>-0.15840000000000001</v>
      </c>
      <c r="AR40" s="50">
        <f t="shared" si="23"/>
        <v>0.26600000000000001</v>
      </c>
      <c r="AS40" s="50">
        <f t="shared" si="24"/>
        <v>0.89514039470173423</v>
      </c>
      <c r="AT40" s="50">
        <f t="shared" si="21"/>
        <v>-1.8033999999999994E-2</v>
      </c>
      <c r="AU40" s="50">
        <f t="shared" si="25"/>
        <v>0.46968016509999999</v>
      </c>
      <c r="AV40" s="50">
        <f t="shared" si="26"/>
        <v>3.3651894537659182</v>
      </c>
    </row>
    <row r="41" spans="1:48" s="164" customFormat="1" x14ac:dyDescent="0.35">
      <c r="B41" s="28"/>
      <c r="F41" s="25"/>
      <c r="G41" s="25"/>
      <c r="H41" s="25"/>
      <c r="L41" s="27"/>
      <c r="M41" s="27"/>
      <c r="N41" s="26"/>
      <c r="Q41" s="103"/>
      <c r="R41" s="103"/>
      <c r="S41" s="103"/>
      <c r="T41" s="103"/>
      <c r="U41" s="103"/>
      <c r="V41" s="81"/>
      <c r="W41" s="26"/>
      <c r="X41" s="81"/>
      <c r="Y41" s="103"/>
      <c r="Z41" s="26"/>
      <c r="AA41" s="103"/>
      <c r="AC41" s="25"/>
      <c r="AD41" s="25"/>
      <c r="AE41" s="25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R41" s="176"/>
      <c r="AS41" s="176"/>
      <c r="AT41" s="176"/>
      <c r="AU41" s="176"/>
      <c r="AV41" s="176"/>
    </row>
    <row r="42" spans="1:48" s="107" customFormat="1" x14ac:dyDescent="0.35">
      <c r="A42" s="107" t="s">
        <v>193</v>
      </c>
      <c r="B42" s="28"/>
      <c r="F42" s="25"/>
      <c r="G42" s="25"/>
      <c r="H42" s="25"/>
      <c r="I42" s="107">
        <v>7</v>
      </c>
      <c r="J42" s="6">
        <v>0</v>
      </c>
      <c r="K42" s="6">
        <v>0</v>
      </c>
      <c r="L42" s="18">
        <v>0</v>
      </c>
      <c r="M42" s="18">
        <v>0</v>
      </c>
      <c r="N42" s="18">
        <v>0</v>
      </c>
      <c r="O42" s="6">
        <v>0</v>
      </c>
      <c r="P42" s="6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C42" s="25"/>
      <c r="AD42" s="25"/>
      <c r="AE42" s="25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R42" s="107">
        <v>0</v>
      </c>
    </row>
    <row r="43" spans="1:48" s="164" customFormat="1" x14ac:dyDescent="0.35">
      <c r="B43" s="28"/>
      <c r="F43" s="25"/>
      <c r="G43" s="25"/>
      <c r="H43" s="25"/>
      <c r="L43" s="27"/>
      <c r="M43" s="27"/>
      <c r="N43" s="26"/>
      <c r="Q43" s="18"/>
      <c r="R43" s="27"/>
      <c r="S43" s="11"/>
      <c r="T43" s="11"/>
      <c r="U43" s="11"/>
      <c r="V43" s="26"/>
      <c r="AC43" s="25"/>
      <c r="AD43" s="25"/>
      <c r="AE43" s="25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</row>
    <row r="44" spans="1:48" s="106" customFormat="1" x14ac:dyDescent="0.35">
      <c r="A44" s="106">
        <v>13</v>
      </c>
      <c r="B44" s="28">
        <v>43699</v>
      </c>
      <c r="C44" s="106">
        <v>24</v>
      </c>
      <c r="D44" s="106">
        <v>126</v>
      </c>
      <c r="E44" s="106">
        <f>E40+D44</f>
        <v>3046</v>
      </c>
      <c r="F44" s="25">
        <f t="shared" si="31"/>
        <v>0.99212598425196852</v>
      </c>
      <c r="G44" s="25">
        <f>G40+F44</f>
        <v>23.986377952755909</v>
      </c>
      <c r="H44" s="25">
        <f>F44+H40</f>
        <v>9.9370078740157481</v>
      </c>
      <c r="I44" s="106">
        <v>7.62</v>
      </c>
      <c r="J44" s="106">
        <v>1601</v>
      </c>
      <c r="K44" s="12">
        <v>374.6</v>
      </c>
      <c r="L44" s="27">
        <v>260</v>
      </c>
      <c r="M44" s="27">
        <v>50</v>
      </c>
      <c r="N44" s="27">
        <v>11</v>
      </c>
      <c r="O44" s="106">
        <v>705</v>
      </c>
      <c r="P44" s="106">
        <v>37</v>
      </c>
      <c r="Q44" s="85">
        <v>187.6</v>
      </c>
      <c r="R44" s="85">
        <v>67.7</v>
      </c>
      <c r="S44" s="85">
        <v>273.39999999999998</v>
      </c>
      <c r="T44" s="85">
        <v>28.55</v>
      </c>
      <c r="U44" s="85">
        <v>11.21</v>
      </c>
      <c r="V44" s="26">
        <v>0.2</v>
      </c>
      <c r="W44" s="26">
        <v>0.02</v>
      </c>
      <c r="X44" s="26">
        <v>0.02</v>
      </c>
      <c r="Y44" s="103">
        <v>0.27</v>
      </c>
      <c r="Z44" s="26">
        <v>0.04</v>
      </c>
      <c r="AA44" s="103">
        <v>2.5499999999999998</v>
      </c>
      <c r="AB44" s="27"/>
      <c r="AC44" s="25">
        <f t="shared" ref="AC44:AC55" si="33">((K44/50)+(M44/35.45)+(N44/62)+(O44/48.03))</f>
        <v>23.758182636602839</v>
      </c>
      <c r="AD44" s="25">
        <f t="shared" ref="AD44" si="34">((Q44/20.04)+(R44/12.16)+(S44/22.99)+(U44/39.1))</f>
        <v>27.107539434643758</v>
      </c>
      <c r="AE44" s="25">
        <f t="shared" ref="AE44" si="35">ABS((AC44-AD44)/(AC44+AD44)*100)</f>
        <v>6.5847031392762743</v>
      </c>
      <c r="AG44" s="101">
        <v>7.62</v>
      </c>
      <c r="AH44" s="101">
        <v>8.3198699999999999</v>
      </c>
      <c r="AI44" s="101">
        <v>0.77910000000000001</v>
      </c>
      <c r="AJ44" s="101">
        <v>-0.71</v>
      </c>
      <c r="AK44" s="101">
        <v>-0.95950000000000002</v>
      </c>
      <c r="AL44" s="101">
        <v>-2.0251999999999999</v>
      </c>
      <c r="AM44" s="101">
        <v>0.94540000000000002</v>
      </c>
      <c r="AN44" s="101">
        <v>-0.13400000000000001</v>
      </c>
      <c r="AO44" s="101">
        <v>-1.7907</v>
      </c>
      <c r="AP44" s="101">
        <v>-0.43369999999999997</v>
      </c>
      <c r="AR44" s="50">
        <f t="shared" ref="AR44:AR45" si="36">L44/1000</f>
        <v>0.26</v>
      </c>
      <c r="AS44" s="50">
        <f t="shared" ref="AS44:AS45" si="37">AU44/($AT$7)</f>
        <v>0.83220919592147879</v>
      </c>
      <c r="AT44" s="50">
        <f>(AR44-$AR$42)*0.127</f>
        <v>3.3020000000000001E-2</v>
      </c>
      <c r="AU44" s="50">
        <f>AU40-AT44</f>
        <v>0.4366601651</v>
      </c>
      <c r="AV44" s="50">
        <f t="shared" ref="AV44:AV45" si="38">AS44/AR44</f>
        <v>3.2008045996979955</v>
      </c>
    </row>
    <row r="45" spans="1:48" s="106" customFormat="1" x14ac:dyDescent="0.35">
      <c r="A45" s="106">
        <v>13</v>
      </c>
      <c r="B45" s="28">
        <v>43700</v>
      </c>
      <c r="C45" s="106">
        <v>25</v>
      </c>
      <c r="D45" s="106">
        <v>126</v>
      </c>
      <c r="E45" s="106">
        <f t="shared" si="30"/>
        <v>3172</v>
      </c>
      <c r="F45" s="25">
        <f t="shared" si="31"/>
        <v>0.99212598425196852</v>
      </c>
      <c r="G45" s="25">
        <f t="shared" si="32"/>
        <v>24.978503937007879</v>
      </c>
      <c r="H45" s="25">
        <f t="shared" ref="H45:H55" si="39">F45+H44</f>
        <v>10.929133858267717</v>
      </c>
      <c r="I45" s="106">
        <v>7.86</v>
      </c>
      <c r="J45" s="106">
        <v>1337</v>
      </c>
      <c r="K45" s="12">
        <v>329.6</v>
      </c>
      <c r="L45" s="27">
        <v>196</v>
      </c>
      <c r="M45" s="27">
        <v>19</v>
      </c>
      <c r="N45" s="27">
        <v>3.8</v>
      </c>
      <c r="O45" s="106">
        <v>341</v>
      </c>
      <c r="P45" s="106">
        <v>30</v>
      </c>
      <c r="Q45" s="18">
        <v>88.18</v>
      </c>
      <c r="R45" s="27">
        <v>32.409999999999997</v>
      </c>
      <c r="S45" s="103">
        <v>172.6</v>
      </c>
      <c r="T45" s="103">
        <v>28.27</v>
      </c>
      <c r="U45" s="11">
        <v>7.7119999999999997</v>
      </c>
      <c r="V45" s="26">
        <v>0.1</v>
      </c>
      <c r="W45" s="103">
        <v>9.6000000000000002E-2</v>
      </c>
      <c r="X45" s="26">
        <v>0.01</v>
      </c>
      <c r="Y45" s="103">
        <v>8.5999999999999993E-2</v>
      </c>
      <c r="Z45" s="26">
        <v>0.02</v>
      </c>
      <c r="AA45" s="103">
        <v>1.2450000000000001</v>
      </c>
      <c r="AB45" s="27"/>
      <c r="AC45" s="25">
        <f t="shared" si="33"/>
        <v>14.288985807918763</v>
      </c>
      <c r="AD45" s="25">
        <f t="shared" ref="AD45:AD52" si="40">((Q45/20.04)+(R45/12.16)+(S45/22.99)+(U45/39.1))</f>
        <v>14.770345510312048</v>
      </c>
      <c r="AE45" s="25">
        <f t="shared" ref="AE45:AE55" si="41">ABS((AC45-AD45)/(AC45+AD45)*100)</f>
        <v>1.6564720540947067</v>
      </c>
      <c r="AG45" s="101">
        <v>7.86</v>
      </c>
      <c r="AH45" s="101">
        <v>2.0962900000000002</v>
      </c>
      <c r="AI45" s="101">
        <v>0.74250000000000005</v>
      </c>
      <c r="AJ45" s="101">
        <v>-1.1706000000000001</v>
      </c>
      <c r="AK45" s="101">
        <v>-1.4202999999999999</v>
      </c>
      <c r="AL45" s="101">
        <v>-2.3012000000000001</v>
      </c>
      <c r="AM45" s="101">
        <v>0.87639999999999996</v>
      </c>
      <c r="AN45" s="101">
        <v>-0.32129999999999997</v>
      </c>
      <c r="AO45" s="101">
        <v>-1.2928999999999999</v>
      </c>
      <c r="AP45" s="101">
        <v>-0.46610000000000001</v>
      </c>
      <c r="AR45" s="50">
        <f t="shared" si="36"/>
        <v>0.19600000000000001</v>
      </c>
      <c r="AS45" s="50">
        <f t="shared" si="37"/>
        <v>0.78476875376405553</v>
      </c>
      <c r="AT45" s="50">
        <f t="shared" ref="AT45:AT55" si="42">(AR45-$AR$42)*0.127</f>
        <v>2.4892000000000001E-2</v>
      </c>
      <c r="AU45" s="50">
        <f>AU44-AT45</f>
        <v>0.41176816509999997</v>
      </c>
      <c r="AV45" s="50">
        <f t="shared" si="38"/>
        <v>4.0039222130819159</v>
      </c>
    </row>
    <row r="46" spans="1:48" s="106" customFormat="1" x14ac:dyDescent="0.35">
      <c r="A46" s="106">
        <v>13</v>
      </c>
      <c r="B46" s="28">
        <v>43701</v>
      </c>
      <c r="C46" s="106">
        <v>26</v>
      </c>
      <c r="D46" s="106">
        <v>127</v>
      </c>
      <c r="E46" s="106">
        <f t="shared" si="30"/>
        <v>3299</v>
      </c>
      <c r="F46" s="25">
        <f t="shared" si="31"/>
        <v>1</v>
      </c>
      <c r="G46" s="25">
        <f t="shared" si="32"/>
        <v>25.978503937007879</v>
      </c>
      <c r="H46" s="25">
        <f t="shared" si="39"/>
        <v>11.929133858267717</v>
      </c>
      <c r="I46" s="106">
        <v>8.01</v>
      </c>
      <c r="J46" s="106">
        <v>653</v>
      </c>
      <c r="K46" s="12">
        <v>218.4</v>
      </c>
      <c r="L46" s="27">
        <v>98</v>
      </c>
      <c r="M46" s="27">
        <v>2.8</v>
      </c>
      <c r="N46" s="27">
        <v>0.73</v>
      </c>
      <c r="O46" s="106">
        <v>97</v>
      </c>
      <c r="P46" s="106">
        <v>22</v>
      </c>
      <c r="Q46" s="18">
        <v>28.29</v>
      </c>
      <c r="R46" s="27">
        <v>10.41</v>
      </c>
      <c r="S46" s="103">
        <v>93.67</v>
      </c>
      <c r="T46" s="103">
        <v>24.72</v>
      </c>
      <c r="U46" s="103">
        <v>4.6790000000000003</v>
      </c>
      <c r="V46" s="26">
        <v>0.1</v>
      </c>
      <c r="W46" s="103">
        <v>0.14399999999999999</v>
      </c>
      <c r="X46" s="26">
        <v>0.01</v>
      </c>
      <c r="Y46" s="26">
        <v>0.01</v>
      </c>
      <c r="Z46" s="26">
        <v>0.02</v>
      </c>
      <c r="AA46" s="103">
        <v>0.42699999999999999</v>
      </c>
      <c r="AB46" s="27"/>
      <c r="AC46" s="25">
        <f t="shared" si="33"/>
        <v>6.4783297801337572</v>
      </c>
      <c r="AD46" s="25">
        <f t="shared" si="40"/>
        <v>6.4618098574932183</v>
      </c>
      <c r="AE46" s="25">
        <f t="shared" si="41"/>
        <v>0.12766417599159938</v>
      </c>
      <c r="AG46" s="101">
        <v>8.01</v>
      </c>
      <c r="AH46" s="101">
        <v>0.30204700000000001</v>
      </c>
      <c r="AI46" s="101">
        <v>0.36349999999999999</v>
      </c>
      <c r="AJ46" s="101">
        <v>-1.9795</v>
      </c>
      <c r="AK46" s="101">
        <v>-2.2292999999999998</v>
      </c>
      <c r="AL46" s="101">
        <v>-2.6061000000000001</v>
      </c>
      <c r="AM46" s="101">
        <v>0.11020000000000001</v>
      </c>
      <c r="AN46" s="101">
        <v>-1.1294999999999999</v>
      </c>
      <c r="AO46" s="101">
        <v>-1.4204000000000001</v>
      </c>
      <c r="AP46" s="101">
        <v>-0.85329999999999995</v>
      </c>
      <c r="AR46" s="50">
        <f t="shared" ref="AR46:AR55" si="43">L46/1000</f>
        <v>9.8000000000000004E-2</v>
      </c>
      <c r="AS46" s="50">
        <f t="shared" ref="AS46:AS55" si="44">AU46/($AT$7)</f>
        <v>0.76104853268534389</v>
      </c>
      <c r="AT46" s="50">
        <f t="shared" si="42"/>
        <v>1.2446E-2</v>
      </c>
      <c r="AU46" s="50">
        <f t="shared" ref="AU46:AU55" si="45">AU45-AT46</f>
        <v>0.39932216509999996</v>
      </c>
      <c r="AV46" s="50">
        <f t="shared" ref="AV46:AV55" si="46">AS46/AR46</f>
        <v>7.7658013539320798</v>
      </c>
    </row>
    <row r="47" spans="1:48" s="106" customFormat="1" x14ac:dyDescent="0.35">
      <c r="A47" s="106">
        <v>13</v>
      </c>
      <c r="B47" s="28">
        <v>43702</v>
      </c>
      <c r="C47" s="106">
        <v>27</v>
      </c>
      <c r="D47" s="106">
        <v>128</v>
      </c>
      <c r="E47" s="106">
        <f t="shared" si="30"/>
        <v>3427</v>
      </c>
      <c r="F47" s="25">
        <f t="shared" si="31"/>
        <v>1.0078740157480315</v>
      </c>
      <c r="G47" s="25">
        <f t="shared" si="32"/>
        <v>26.986377952755909</v>
      </c>
      <c r="H47" s="25">
        <f t="shared" si="39"/>
        <v>12.937007874015748</v>
      </c>
      <c r="I47" s="106">
        <v>8.11</v>
      </c>
      <c r="J47" s="106">
        <v>435</v>
      </c>
      <c r="K47" s="12">
        <v>164.6</v>
      </c>
      <c r="L47" s="27">
        <v>61</v>
      </c>
      <c r="M47" s="27">
        <v>0.99</v>
      </c>
      <c r="N47" s="169">
        <v>0.5</v>
      </c>
      <c r="O47" s="106">
        <v>53</v>
      </c>
      <c r="P47" s="106">
        <v>18</v>
      </c>
      <c r="Q47" s="18">
        <v>17.8</v>
      </c>
      <c r="R47" s="27">
        <v>6.3890000000000002</v>
      </c>
      <c r="S47" s="11">
        <v>67.16</v>
      </c>
      <c r="T47" s="11">
        <v>23.31</v>
      </c>
      <c r="U47" s="11">
        <v>3.5579999999999998</v>
      </c>
      <c r="V47" s="26">
        <v>0.1</v>
      </c>
      <c r="W47" s="85">
        <v>0.112</v>
      </c>
      <c r="X47" s="103">
        <v>2.3E-2</v>
      </c>
      <c r="Y47" s="26">
        <v>0.01</v>
      </c>
      <c r="Z47" s="26">
        <v>0.02</v>
      </c>
      <c r="AA47" s="103">
        <v>0.28000000000000003</v>
      </c>
      <c r="AB47" s="27"/>
      <c r="AC47" s="25">
        <f t="shared" si="33"/>
        <v>4.431468166938485</v>
      </c>
      <c r="AD47" s="25">
        <f t="shared" si="40"/>
        <v>4.4259022970023469</v>
      </c>
      <c r="AE47" s="25">
        <f t="shared" si="41"/>
        <v>6.2838852216887883E-2</v>
      </c>
      <c r="AG47" s="101">
        <v>8.11</v>
      </c>
      <c r="AH47" s="101">
        <v>-0.12731600000000001</v>
      </c>
      <c r="AI47" s="101">
        <v>0.1898</v>
      </c>
      <c r="AJ47" s="101">
        <v>-2.3616999999999999</v>
      </c>
      <c r="AK47" s="101">
        <v>-2.6116000000000001</v>
      </c>
      <c r="AL47" s="101">
        <v>-2.8220000000000001</v>
      </c>
      <c r="AM47" s="101">
        <v>-0.25180000000000002</v>
      </c>
      <c r="AN47" s="101">
        <v>-1.0989</v>
      </c>
      <c r="AO47" s="101">
        <v>-1.6612</v>
      </c>
      <c r="AP47" s="101">
        <v>-1.0416000000000001</v>
      </c>
      <c r="AR47" s="50">
        <f t="shared" si="43"/>
        <v>6.0999999999999999E-2</v>
      </c>
      <c r="AS47" s="50">
        <f t="shared" si="44"/>
        <v>0.74628390527920696</v>
      </c>
      <c r="AT47" s="50">
        <f t="shared" si="42"/>
        <v>7.7469999999999995E-3</v>
      </c>
      <c r="AU47" s="50">
        <f t="shared" si="45"/>
        <v>0.39157516509999996</v>
      </c>
      <c r="AV47" s="50">
        <f t="shared" si="46"/>
        <v>12.234162381626344</v>
      </c>
    </row>
    <row r="48" spans="1:48" s="106" customFormat="1" x14ac:dyDescent="0.35">
      <c r="A48" s="106">
        <v>13</v>
      </c>
      <c r="B48" s="28">
        <v>43703</v>
      </c>
      <c r="C48" s="106">
        <v>28</v>
      </c>
      <c r="D48" s="106">
        <v>128</v>
      </c>
      <c r="E48" s="106">
        <f t="shared" si="30"/>
        <v>3555</v>
      </c>
      <c r="F48" s="25">
        <f t="shared" si="31"/>
        <v>1.0078740157480315</v>
      </c>
      <c r="G48" s="25">
        <f t="shared" si="32"/>
        <v>27.994251968503939</v>
      </c>
      <c r="H48" s="25">
        <f t="shared" si="39"/>
        <v>13.94488188976378</v>
      </c>
      <c r="I48" s="106">
        <v>7.89</v>
      </c>
      <c r="J48" s="106">
        <v>241</v>
      </c>
      <c r="K48" s="12">
        <v>137</v>
      </c>
      <c r="L48" s="27">
        <v>45</v>
      </c>
      <c r="M48" s="27">
        <v>0.54</v>
      </c>
      <c r="N48" s="169">
        <v>0.5</v>
      </c>
      <c r="O48" s="106">
        <v>31</v>
      </c>
      <c r="P48" s="106">
        <v>16</v>
      </c>
      <c r="Q48" s="18">
        <v>13.56</v>
      </c>
      <c r="R48" s="27">
        <v>4.6120000000000001</v>
      </c>
      <c r="S48" s="27">
        <v>52.51</v>
      </c>
      <c r="T48" s="27">
        <v>22.82</v>
      </c>
      <c r="U48" s="27">
        <v>3.0289999999999999</v>
      </c>
      <c r="V48" s="26">
        <v>0.1</v>
      </c>
      <c r="W48" s="85">
        <v>7.2999999999999995E-2</v>
      </c>
      <c r="X48" s="85">
        <v>2.5999999999999999E-2</v>
      </c>
      <c r="Y48" s="26">
        <v>0.01</v>
      </c>
      <c r="Z48" s="26">
        <v>0.02</v>
      </c>
      <c r="AA48" s="103">
        <v>0.214</v>
      </c>
      <c r="AB48" s="27"/>
      <c r="AC48" s="25">
        <f t="shared" si="33"/>
        <v>3.4087271778939674</v>
      </c>
      <c r="AD48" s="25">
        <f t="shared" si="40"/>
        <v>3.4174275906918918</v>
      </c>
      <c r="AE48" s="25">
        <f t="shared" si="41"/>
        <v>0.12745701046750307</v>
      </c>
      <c r="AG48" s="101">
        <v>7.89</v>
      </c>
      <c r="AH48" s="101">
        <v>-0.13167400000000001</v>
      </c>
      <c r="AI48" s="101">
        <v>-0.18709999999999999</v>
      </c>
      <c r="AJ48" s="101">
        <v>-2.6589</v>
      </c>
      <c r="AK48" s="101">
        <v>-2.9087999999999998</v>
      </c>
      <c r="AL48" s="101">
        <v>-2.6728000000000001</v>
      </c>
      <c r="AM48" s="101">
        <v>-1.0344</v>
      </c>
      <c r="AN48" s="101">
        <v>-1.3612</v>
      </c>
      <c r="AO48" s="101">
        <v>-1.9172</v>
      </c>
      <c r="AP48" s="101">
        <v>-1.4473</v>
      </c>
      <c r="AR48" s="50">
        <f t="shared" si="43"/>
        <v>4.4999999999999998E-2</v>
      </c>
      <c r="AS48" s="50">
        <f t="shared" si="44"/>
        <v>0.73539196702877818</v>
      </c>
      <c r="AT48" s="50">
        <f t="shared" si="42"/>
        <v>5.7149999999999996E-3</v>
      </c>
      <c r="AU48" s="50">
        <f t="shared" si="45"/>
        <v>0.38586016509999993</v>
      </c>
      <c r="AV48" s="50">
        <f t="shared" si="46"/>
        <v>16.342043711750627</v>
      </c>
    </row>
    <row r="49" spans="1:48" s="106" customFormat="1" x14ac:dyDescent="0.35">
      <c r="A49" s="106">
        <v>13</v>
      </c>
      <c r="B49" s="28">
        <v>43704</v>
      </c>
      <c r="C49" s="106">
        <v>29</v>
      </c>
      <c r="D49" s="106">
        <v>125</v>
      </c>
      <c r="E49" s="106">
        <f t="shared" si="30"/>
        <v>3680</v>
      </c>
      <c r="F49" s="25">
        <f t="shared" si="31"/>
        <v>0.98425196850393704</v>
      </c>
      <c r="G49" s="25">
        <f t="shared" si="32"/>
        <v>28.978503937007876</v>
      </c>
      <c r="H49" s="25">
        <f t="shared" si="39"/>
        <v>14.929133858267717</v>
      </c>
      <c r="I49" s="106">
        <v>8.14</v>
      </c>
      <c r="J49" s="106">
        <v>264</v>
      </c>
      <c r="K49" s="12">
        <v>121</v>
      </c>
      <c r="L49" s="27">
        <v>35</v>
      </c>
      <c r="M49" s="169">
        <v>0.5</v>
      </c>
      <c r="N49" s="169">
        <v>0.5</v>
      </c>
      <c r="O49" s="106">
        <v>18</v>
      </c>
      <c r="P49" s="106">
        <v>13</v>
      </c>
      <c r="Q49" s="103">
        <v>11.28</v>
      </c>
      <c r="R49" s="103">
        <v>3.7109999999999999</v>
      </c>
      <c r="S49" s="103">
        <v>43.35</v>
      </c>
      <c r="T49" s="27">
        <v>22.12</v>
      </c>
      <c r="U49" s="103">
        <v>2.58</v>
      </c>
      <c r="V49" s="26">
        <v>0.1</v>
      </c>
      <c r="W49" s="85">
        <v>4.4999999999999998E-2</v>
      </c>
      <c r="X49" s="103">
        <v>3.4000000000000002E-2</v>
      </c>
      <c r="Y49" s="26">
        <v>0.01</v>
      </c>
      <c r="Z49" s="26">
        <v>0.02</v>
      </c>
      <c r="AA49" s="103">
        <v>0.17799999999999999</v>
      </c>
      <c r="AB49" s="27"/>
      <c r="AC49" s="25">
        <f t="shared" si="33"/>
        <v>2.8169346598773419</v>
      </c>
      <c r="AD49" s="25">
        <f t="shared" si="40"/>
        <v>2.8196422631227658</v>
      </c>
      <c r="AE49" s="25">
        <f t="shared" si="41"/>
        <v>4.8036304345913362E-2</v>
      </c>
      <c r="AG49" s="101">
        <v>8.14</v>
      </c>
      <c r="AH49" s="101">
        <v>-0.33202799999999999</v>
      </c>
      <c r="AI49" s="101">
        <v>-5.7099999999999998E-2</v>
      </c>
      <c r="AJ49" s="101">
        <v>-2.9456000000000002</v>
      </c>
      <c r="AK49" s="101">
        <v>-3.1955</v>
      </c>
      <c r="AL49" s="101">
        <v>-2.9775</v>
      </c>
      <c r="AM49" s="101">
        <v>-0.78820000000000001</v>
      </c>
      <c r="AN49" s="101">
        <v>-1.1473</v>
      </c>
      <c r="AO49" s="101">
        <v>-2.1815000000000002</v>
      </c>
      <c r="AP49" s="101">
        <v>-1.3310999999999999</v>
      </c>
      <c r="AR49" s="50">
        <f t="shared" si="43"/>
        <v>3.5000000000000003E-2</v>
      </c>
      <c r="AS49" s="50">
        <f t="shared" si="44"/>
        <v>0.72692045950066686</v>
      </c>
      <c r="AT49" s="50">
        <f t="shared" si="42"/>
        <v>4.4450000000000002E-3</v>
      </c>
      <c r="AU49" s="50">
        <f t="shared" si="45"/>
        <v>0.38141516509999995</v>
      </c>
      <c r="AV49" s="50">
        <f t="shared" si="46"/>
        <v>20.769155985733338</v>
      </c>
    </row>
    <row r="50" spans="1:48" s="106" customFormat="1" x14ac:dyDescent="0.35">
      <c r="A50" s="106">
        <v>13</v>
      </c>
      <c r="B50" s="28">
        <v>43705</v>
      </c>
      <c r="C50" s="106">
        <v>30</v>
      </c>
      <c r="D50" s="106">
        <v>126</v>
      </c>
      <c r="E50" s="106">
        <f t="shared" si="30"/>
        <v>3806</v>
      </c>
      <c r="F50" s="25">
        <f t="shared" si="31"/>
        <v>0.99212598425196852</v>
      </c>
      <c r="G50" s="25">
        <f t="shared" si="32"/>
        <v>29.970629921259842</v>
      </c>
      <c r="H50" s="25">
        <f t="shared" si="39"/>
        <v>15.921259842519685</v>
      </c>
      <c r="I50" s="106">
        <v>8.2200000000000006</v>
      </c>
      <c r="J50" s="106">
        <v>221</v>
      </c>
      <c r="K50" s="12">
        <v>108</v>
      </c>
      <c r="L50" s="27">
        <v>25</v>
      </c>
      <c r="M50" s="169">
        <v>0.5</v>
      </c>
      <c r="N50" s="169">
        <v>0.5</v>
      </c>
      <c r="O50" s="106">
        <v>12</v>
      </c>
      <c r="P50" s="106">
        <v>13</v>
      </c>
      <c r="Q50" s="103">
        <v>9.5579999999999998</v>
      </c>
      <c r="R50" s="103">
        <v>3.0960000000000001</v>
      </c>
      <c r="S50" s="103">
        <v>36.33</v>
      </c>
      <c r="T50" s="27">
        <v>21.44</v>
      </c>
      <c r="U50" s="103">
        <v>2.4060000000000001</v>
      </c>
      <c r="V50" s="26">
        <v>0.1</v>
      </c>
      <c r="W50" s="103">
        <v>2.5999999999999999E-2</v>
      </c>
      <c r="X50" s="103">
        <v>5.0999999999999997E-2</v>
      </c>
      <c r="Y50" s="26">
        <v>0.01</v>
      </c>
      <c r="Z50" s="26">
        <v>0.02</v>
      </c>
      <c r="AA50" s="103">
        <v>0.15</v>
      </c>
      <c r="AB50" s="27"/>
      <c r="AC50" s="25">
        <f t="shared" si="33"/>
        <v>2.4320127360797157</v>
      </c>
      <c r="AD50" s="25">
        <f t="shared" si="40"/>
        <v>2.3733381813981116</v>
      </c>
      <c r="AE50" s="25">
        <f t="shared" si="41"/>
        <v>1.2210253879315116</v>
      </c>
      <c r="AG50" s="101">
        <v>8.2200000000000006</v>
      </c>
      <c r="AH50" s="101">
        <v>-1.6821600000000001</v>
      </c>
      <c r="AI50" s="101">
        <v>-8.5699999999999998E-2</v>
      </c>
      <c r="AJ50" s="101">
        <v>-3.1705999999999999</v>
      </c>
      <c r="AK50" s="101">
        <v>-3.4205000000000001</v>
      </c>
      <c r="AL50" s="101">
        <v>-3.1059999999999999</v>
      </c>
      <c r="AM50" s="101">
        <v>-0.85309999999999997</v>
      </c>
      <c r="AN50" s="101">
        <v>-1.1029</v>
      </c>
      <c r="AO50" s="101">
        <v>-2.4716999999999998</v>
      </c>
      <c r="AP50" s="101">
        <v>-1.3673999999999999</v>
      </c>
      <c r="AR50" s="50">
        <f t="shared" si="43"/>
        <v>2.5000000000000001E-2</v>
      </c>
      <c r="AS50" s="50">
        <f t="shared" si="44"/>
        <v>0.72086938269487311</v>
      </c>
      <c r="AT50" s="50">
        <f t="shared" si="42"/>
        <v>3.1750000000000003E-3</v>
      </c>
      <c r="AU50" s="50">
        <f t="shared" si="45"/>
        <v>0.37824016509999997</v>
      </c>
      <c r="AV50" s="50">
        <f t="shared" si="46"/>
        <v>28.834775307794924</v>
      </c>
    </row>
    <row r="51" spans="1:48" s="106" customFormat="1" x14ac:dyDescent="0.35">
      <c r="A51" s="106">
        <v>13</v>
      </c>
      <c r="B51" s="28">
        <v>43706</v>
      </c>
      <c r="C51" s="106">
        <v>31</v>
      </c>
      <c r="D51" s="106">
        <v>126</v>
      </c>
      <c r="E51" s="106">
        <f t="shared" si="30"/>
        <v>3932</v>
      </c>
      <c r="F51" s="25">
        <f t="shared" si="31"/>
        <v>0.99212598425196852</v>
      </c>
      <c r="G51" s="25">
        <f t="shared" si="32"/>
        <v>30.962755905511813</v>
      </c>
      <c r="H51" s="25">
        <f t="shared" si="39"/>
        <v>16.913385826771652</v>
      </c>
      <c r="I51" s="106">
        <v>8.3800000000000008</v>
      </c>
      <c r="J51" s="106">
        <v>147.9</v>
      </c>
      <c r="K51" s="12">
        <v>94.2</v>
      </c>
      <c r="L51" s="27">
        <v>19</v>
      </c>
      <c r="M51" s="27">
        <v>0.88</v>
      </c>
      <c r="N51" s="169">
        <v>0.5</v>
      </c>
      <c r="O51" s="106">
        <v>10</v>
      </c>
      <c r="P51" s="106">
        <v>12</v>
      </c>
      <c r="Q51" s="103">
        <v>8.8710000000000004</v>
      </c>
      <c r="R51" s="103">
        <v>2.7959999999999998</v>
      </c>
      <c r="S51" s="103">
        <v>30.88</v>
      </c>
      <c r="T51" s="11">
        <v>21.37</v>
      </c>
      <c r="U51" s="103">
        <v>2.907</v>
      </c>
      <c r="V51" s="26">
        <v>0.1</v>
      </c>
      <c r="W51" s="103">
        <v>1.6E-2</v>
      </c>
      <c r="X51" s="103">
        <v>3.6999999999999998E-2</v>
      </c>
      <c r="Y51" s="26">
        <v>0.01</v>
      </c>
      <c r="Z51" s="26">
        <v>0.02</v>
      </c>
      <c r="AA51" s="103">
        <v>0.13800000000000001</v>
      </c>
      <c r="AB51" s="27"/>
      <c r="AC51" s="25">
        <f t="shared" si="33"/>
        <v>2.1250914178039668</v>
      </c>
      <c r="AD51" s="25">
        <f t="shared" si="40"/>
        <v>2.0901393997469442</v>
      </c>
      <c r="AE51" s="25">
        <f t="shared" si="41"/>
        <v>0.82918396571531272</v>
      </c>
      <c r="AG51" s="101">
        <v>8.3800000000000008</v>
      </c>
      <c r="AH51" s="101">
        <v>-1.1119300000000001</v>
      </c>
      <c r="AI51" s="101">
        <v>-1.41E-2</v>
      </c>
      <c r="AJ51" s="101">
        <v>-3.2686999999999999</v>
      </c>
      <c r="AK51" s="101">
        <v>-3.5186000000000002</v>
      </c>
      <c r="AL51" s="101">
        <v>-3.3283</v>
      </c>
      <c r="AM51" s="101">
        <v>-0.7218</v>
      </c>
      <c r="AN51" s="101">
        <v>-0.99670000000000003</v>
      </c>
      <c r="AO51" s="101">
        <v>-2.7027999999999999</v>
      </c>
      <c r="AP51" s="101">
        <v>-1.3076000000000001</v>
      </c>
      <c r="AR51" s="50">
        <f t="shared" si="43"/>
        <v>1.9E-2</v>
      </c>
      <c r="AS51" s="50">
        <f t="shared" si="44"/>
        <v>0.71627056432246983</v>
      </c>
      <c r="AT51" s="50">
        <f t="shared" si="42"/>
        <v>2.4129999999999998E-3</v>
      </c>
      <c r="AU51" s="50">
        <f t="shared" si="45"/>
        <v>0.37582716509999997</v>
      </c>
      <c r="AV51" s="50">
        <f t="shared" si="46"/>
        <v>37.6984507538142</v>
      </c>
    </row>
    <row r="52" spans="1:48" s="106" customFormat="1" x14ac:dyDescent="0.35">
      <c r="A52" s="106">
        <v>13</v>
      </c>
      <c r="B52" s="28">
        <v>43711</v>
      </c>
      <c r="C52" s="106">
        <v>32</v>
      </c>
      <c r="D52" s="106">
        <v>126</v>
      </c>
      <c r="E52" s="106">
        <f t="shared" si="30"/>
        <v>4058</v>
      </c>
      <c r="F52" s="25">
        <f t="shared" si="31"/>
        <v>0.99212598425196852</v>
      </c>
      <c r="G52" s="25">
        <f t="shared" si="32"/>
        <v>31.954881889763783</v>
      </c>
      <c r="H52" s="25">
        <f t="shared" si="39"/>
        <v>17.905511811023622</v>
      </c>
      <c r="I52" s="106">
        <v>8.07</v>
      </c>
      <c r="J52" s="106">
        <v>202</v>
      </c>
      <c r="K52" s="12">
        <v>97.6</v>
      </c>
      <c r="L52" s="27">
        <v>22</v>
      </c>
      <c r="M52" s="169">
        <v>0.5</v>
      </c>
      <c r="N52" s="169">
        <v>0.5</v>
      </c>
      <c r="O52" s="106">
        <v>12</v>
      </c>
      <c r="P52" s="106">
        <v>13</v>
      </c>
      <c r="Q52" s="103">
        <v>10.95</v>
      </c>
      <c r="R52" s="103">
        <v>3.5129999999999999</v>
      </c>
      <c r="S52" s="103">
        <v>30.91</v>
      </c>
      <c r="T52" s="11">
        <v>22.15</v>
      </c>
      <c r="U52" s="103">
        <v>2.4039999999999999</v>
      </c>
      <c r="V52" s="26">
        <v>0.1</v>
      </c>
      <c r="W52" s="103">
        <v>2.9000000000000001E-2</v>
      </c>
      <c r="X52" s="103">
        <v>3.4000000000000002E-2</v>
      </c>
      <c r="Y52" s="26">
        <v>0.01</v>
      </c>
      <c r="Z52" s="26">
        <v>0.02</v>
      </c>
      <c r="AA52" s="103">
        <v>0.17199999999999999</v>
      </c>
      <c r="AB52" s="27"/>
      <c r="AC52" s="25">
        <f t="shared" si="33"/>
        <v>2.2240127360797155</v>
      </c>
      <c r="AD52" s="25">
        <f t="shared" si="40"/>
        <v>2.2412861955591139</v>
      </c>
      <c r="AE52" s="25">
        <f t="shared" si="41"/>
        <v>0.38683769538938328</v>
      </c>
      <c r="AG52" s="101">
        <v>8.07</v>
      </c>
      <c r="AH52" s="101">
        <v>-9.6981800000000007E-2</v>
      </c>
      <c r="AI52" s="101">
        <v>-0.21160000000000001</v>
      </c>
      <c r="AJ52" s="101">
        <v>-3.1061999999999999</v>
      </c>
      <c r="AK52" s="101">
        <v>-3.3561999999999999</v>
      </c>
      <c r="AL52" s="101">
        <v>-2.9967999999999999</v>
      </c>
      <c r="AM52" s="101">
        <v>-1.1106</v>
      </c>
      <c r="AN52" s="101">
        <v>-1.2898000000000001</v>
      </c>
      <c r="AO52" s="101">
        <v>-2.3572000000000002</v>
      </c>
      <c r="AP52" s="101">
        <v>-1.4991000000000001</v>
      </c>
      <c r="AR52" s="50">
        <f t="shared" si="43"/>
        <v>2.1999999999999999E-2</v>
      </c>
      <c r="AS52" s="50">
        <f t="shared" si="44"/>
        <v>0.71094561673337131</v>
      </c>
      <c r="AT52" s="50">
        <f t="shared" si="42"/>
        <v>2.794E-3</v>
      </c>
      <c r="AU52" s="50">
        <f t="shared" si="45"/>
        <v>0.37303316509999995</v>
      </c>
      <c r="AV52" s="50">
        <f t="shared" si="46"/>
        <v>32.315709851516878</v>
      </c>
    </row>
    <row r="53" spans="1:48" s="106" customFormat="1" x14ac:dyDescent="0.35">
      <c r="A53" s="110">
        <v>13</v>
      </c>
      <c r="B53" s="28">
        <v>43712</v>
      </c>
      <c r="C53" s="110">
        <v>33</v>
      </c>
      <c r="D53" s="110">
        <v>127</v>
      </c>
      <c r="E53" s="110">
        <f t="shared" ref="E53:E55" si="47">E52+D53</f>
        <v>4185</v>
      </c>
      <c r="F53" s="25">
        <f t="shared" ref="F53:F55" si="48">D53/127</f>
        <v>1</v>
      </c>
      <c r="G53" s="25">
        <f t="shared" ref="G53:G55" si="49">G52+F53</f>
        <v>32.954881889763783</v>
      </c>
      <c r="H53" s="25">
        <f t="shared" si="39"/>
        <v>18.905511811023622</v>
      </c>
      <c r="I53" s="106">
        <v>8.1</v>
      </c>
      <c r="J53" s="106">
        <v>157.19999999999999</v>
      </c>
      <c r="K53" s="12">
        <v>114.4</v>
      </c>
      <c r="L53" s="27">
        <v>14</v>
      </c>
      <c r="M53" s="169">
        <v>0.5</v>
      </c>
      <c r="N53" s="169">
        <v>0.5</v>
      </c>
      <c r="O53" s="106">
        <v>9.4</v>
      </c>
      <c r="P53" s="106">
        <v>10</v>
      </c>
      <c r="Q53" s="103">
        <v>8.8970000000000002</v>
      </c>
      <c r="R53" s="103">
        <v>2.8290000000000002</v>
      </c>
      <c r="S53" s="103">
        <v>24.2</v>
      </c>
      <c r="T53" s="11">
        <v>21.46</v>
      </c>
      <c r="U53" s="103">
        <v>2.0459999999999998</v>
      </c>
      <c r="V53" s="26">
        <v>0.1</v>
      </c>
      <c r="W53" s="103">
        <v>1.4999999999999999E-2</v>
      </c>
      <c r="X53" s="103">
        <v>3.1E-2</v>
      </c>
      <c r="Y53" s="26">
        <v>0.01</v>
      </c>
      <c r="Z53" s="26">
        <v>0.02</v>
      </c>
      <c r="AA53" s="103">
        <v>0.14099999999999999</v>
      </c>
      <c r="AB53" s="27"/>
      <c r="AC53" s="25">
        <f t="shared" si="33"/>
        <v>2.5058799024340779</v>
      </c>
      <c r="AD53" s="25">
        <f t="shared" ref="AD53:AD55" si="50">((Q53/20.04)+(R53/12.16)+(S53/22.99)+(U53/39.1))</f>
        <v>1.7815690468403615</v>
      </c>
      <c r="AE53" s="82">
        <f t="shared" si="41"/>
        <v>16.893748804082918</v>
      </c>
      <c r="AF53" s="106" t="s">
        <v>203</v>
      </c>
      <c r="AG53" s="101">
        <v>8.1</v>
      </c>
      <c r="AH53" s="101">
        <v>-17.5078</v>
      </c>
      <c r="AI53" s="101">
        <v>-0.20050000000000001</v>
      </c>
      <c r="AJ53" s="101">
        <v>-3.2936999999999999</v>
      </c>
      <c r="AK53" s="101">
        <v>-3.5436000000000001</v>
      </c>
      <c r="AL53" s="101">
        <v>-2.9565999999999999</v>
      </c>
      <c r="AM53" s="101">
        <v>-1.0911</v>
      </c>
      <c r="AN53" s="101">
        <v>-1.1872</v>
      </c>
      <c r="AO53" s="101">
        <v>-2.7294999999999998</v>
      </c>
      <c r="AP53" s="101">
        <v>-1.4905999999999999</v>
      </c>
      <c r="AR53" s="50">
        <f t="shared" si="43"/>
        <v>1.4E-2</v>
      </c>
      <c r="AS53" s="50">
        <f t="shared" si="44"/>
        <v>0.70755701372212676</v>
      </c>
      <c r="AT53" s="50">
        <f t="shared" si="42"/>
        <v>1.7780000000000001E-3</v>
      </c>
      <c r="AU53" s="50">
        <f t="shared" si="45"/>
        <v>0.37125516509999995</v>
      </c>
      <c r="AV53" s="50">
        <f t="shared" si="46"/>
        <v>50.539786694437623</v>
      </c>
    </row>
    <row r="54" spans="1:48" s="110" customFormat="1" x14ac:dyDescent="0.35">
      <c r="A54" s="110">
        <v>13</v>
      </c>
      <c r="B54" s="28">
        <v>43713</v>
      </c>
      <c r="C54" s="110">
        <v>34</v>
      </c>
      <c r="D54" s="110">
        <v>127</v>
      </c>
      <c r="E54" s="110">
        <f t="shared" si="47"/>
        <v>4312</v>
      </c>
      <c r="F54" s="25">
        <f t="shared" si="48"/>
        <v>1</v>
      </c>
      <c r="G54" s="25">
        <f t="shared" si="49"/>
        <v>33.954881889763783</v>
      </c>
      <c r="H54" s="25">
        <f t="shared" si="39"/>
        <v>19.905511811023622</v>
      </c>
      <c r="I54" s="110">
        <v>8.1999999999999993</v>
      </c>
      <c r="J54" s="110">
        <v>149.6</v>
      </c>
      <c r="K54" s="12">
        <v>74.2</v>
      </c>
      <c r="L54" s="27">
        <v>11</v>
      </c>
      <c r="M54" s="169">
        <v>0.5</v>
      </c>
      <c r="N54" s="169">
        <v>0.5</v>
      </c>
      <c r="O54" s="110">
        <v>9.1</v>
      </c>
      <c r="P54" s="110">
        <v>9.6</v>
      </c>
      <c r="Q54" s="103">
        <v>8.9290000000000003</v>
      </c>
      <c r="R54" s="103">
        <v>2.8050000000000002</v>
      </c>
      <c r="S54" s="103">
        <v>20.62</v>
      </c>
      <c r="T54" s="11">
        <v>21.25</v>
      </c>
      <c r="U54" s="103">
        <v>1.97</v>
      </c>
      <c r="V54" s="26">
        <v>0.1</v>
      </c>
      <c r="W54" s="26">
        <v>0.01</v>
      </c>
      <c r="X54" s="103">
        <v>4.2000000000000003E-2</v>
      </c>
      <c r="Y54" s="26">
        <v>0.01</v>
      </c>
      <c r="Z54" s="26">
        <v>0.02</v>
      </c>
      <c r="AA54" s="103">
        <v>0.13900000000000001</v>
      </c>
      <c r="AB54" s="27"/>
      <c r="AC54" s="25">
        <f t="shared" si="33"/>
        <v>1.6956338062441958</v>
      </c>
      <c r="AD54" s="25">
        <f t="shared" si="50"/>
        <v>1.6235285567937991</v>
      </c>
      <c r="AE54" s="25">
        <f t="shared" si="41"/>
        <v>2.1723929583366166</v>
      </c>
      <c r="AG54" s="101">
        <v>8.1999999999999993</v>
      </c>
      <c r="AH54" s="101">
        <v>-2.8588300000000002</v>
      </c>
      <c r="AI54" s="101">
        <v>-0.27239999999999998</v>
      </c>
      <c r="AJ54" s="101">
        <v>-3.2831999999999999</v>
      </c>
      <c r="AK54" s="101">
        <v>-3.5331999999999999</v>
      </c>
      <c r="AL54" s="101">
        <v>-3.2448000000000001</v>
      </c>
      <c r="AM54" s="101">
        <v>-1.2427999999999999</v>
      </c>
      <c r="AN54" s="101">
        <v>-1.2605999999999999</v>
      </c>
      <c r="AO54" s="101">
        <v>-2.8803000000000001</v>
      </c>
      <c r="AP54" s="101">
        <v>-1.5703</v>
      </c>
      <c r="AR54" s="50">
        <f t="shared" si="43"/>
        <v>1.0999999999999999E-2</v>
      </c>
      <c r="AS54" s="50">
        <f t="shared" si="44"/>
        <v>0.70489453992757756</v>
      </c>
      <c r="AT54" s="50">
        <f t="shared" si="42"/>
        <v>1.397E-3</v>
      </c>
      <c r="AU54" s="50">
        <f t="shared" si="45"/>
        <v>0.36985816509999997</v>
      </c>
      <c r="AV54" s="50">
        <f t="shared" si="46"/>
        <v>64.081321811597959</v>
      </c>
    </row>
    <row r="55" spans="1:48" s="110" customFormat="1" x14ac:dyDescent="0.35">
      <c r="A55" s="110">
        <v>13</v>
      </c>
      <c r="B55" s="28">
        <v>43714</v>
      </c>
      <c r="C55" s="110">
        <v>35</v>
      </c>
      <c r="D55" s="110">
        <v>128</v>
      </c>
      <c r="E55" s="110">
        <f t="shared" si="47"/>
        <v>4440</v>
      </c>
      <c r="F55" s="25">
        <f t="shared" si="48"/>
        <v>1.0078740157480315</v>
      </c>
      <c r="G55" s="25">
        <f t="shared" si="49"/>
        <v>34.962755905511813</v>
      </c>
      <c r="H55" s="25">
        <f t="shared" si="39"/>
        <v>20.913385826771652</v>
      </c>
      <c r="I55" s="110">
        <v>8.42</v>
      </c>
      <c r="J55" s="110">
        <v>128.19999999999999</v>
      </c>
      <c r="K55" s="12">
        <v>70.8</v>
      </c>
      <c r="L55" s="27">
        <v>9.5</v>
      </c>
      <c r="M55" s="169">
        <v>0.5</v>
      </c>
      <c r="N55" s="169">
        <v>0.5</v>
      </c>
      <c r="O55" s="110">
        <v>9</v>
      </c>
      <c r="P55" s="110">
        <v>8.6999999999999993</v>
      </c>
      <c r="Q55" s="103">
        <v>9.7560000000000002</v>
      </c>
      <c r="R55" s="103">
        <v>3.028</v>
      </c>
      <c r="S55" s="103">
        <v>16.57</v>
      </c>
      <c r="T55" s="11">
        <v>20.88</v>
      </c>
      <c r="U55" s="103">
        <v>1.851</v>
      </c>
      <c r="V55" s="26">
        <v>0.1</v>
      </c>
      <c r="W55" s="26">
        <v>0.01</v>
      </c>
      <c r="X55" s="85">
        <v>3.3000000000000002E-2</v>
      </c>
      <c r="Y55" s="26">
        <v>0.01</v>
      </c>
      <c r="Z55" s="26">
        <v>0.02</v>
      </c>
      <c r="AA55" s="85">
        <v>0.14899999999999999</v>
      </c>
      <c r="AB55" s="27"/>
      <c r="AC55" s="25">
        <f t="shared" si="33"/>
        <v>1.625551774180902</v>
      </c>
      <c r="AD55" s="25">
        <f t="shared" si="50"/>
        <v>1.5039278100229725</v>
      </c>
      <c r="AE55" s="25">
        <f t="shared" si="41"/>
        <v>3.8863958330908916</v>
      </c>
      <c r="AG55" s="101">
        <v>8.42</v>
      </c>
      <c r="AH55" s="101">
        <v>-4.6393300000000002</v>
      </c>
      <c r="AI55" s="101">
        <v>-4.2099999999999999E-2</v>
      </c>
      <c r="AJ55" s="101">
        <v>-3.2507999999999999</v>
      </c>
      <c r="AK55" s="101">
        <v>-3.5007000000000001</v>
      </c>
      <c r="AL55" s="101">
        <v>-3.4918999999999998</v>
      </c>
      <c r="AM55" s="101">
        <v>-0.78639999999999999</v>
      </c>
      <c r="AN55" s="101">
        <v>-1.0665</v>
      </c>
      <c r="AO55" s="101">
        <v>-2.8416000000000001</v>
      </c>
      <c r="AP55" s="101">
        <v>-1.3443000000000001</v>
      </c>
      <c r="AR55" s="50">
        <f t="shared" si="43"/>
        <v>9.4999999999999998E-3</v>
      </c>
      <c r="AS55" s="50">
        <f t="shared" si="44"/>
        <v>0.70259513074137592</v>
      </c>
      <c r="AT55" s="50">
        <f t="shared" si="42"/>
        <v>1.2064999999999999E-3</v>
      </c>
      <c r="AU55" s="50">
        <f t="shared" si="45"/>
        <v>0.36865166509999997</v>
      </c>
      <c r="AV55" s="50">
        <f t="shared" si="46"/>
        <v>73.957382183302727</v>
      </c>
    </row>
    <row r="56" spans="1:48" s="110" customFormat="1" x14ac:dyDescent="0.35">
      <c r="A56" s="110">
        <v>13</v>
      </c>
      <c r="B56" s="28"/>
      <c r="F56" s="25"/>
      <c r="G56" s="25"/>
      <c r="H56" s="25"/>
      <c r="L56" s="27"/>
      <c r="M56" s="27"/>
      <c r="Q56" s="18"/>
      <c r="R56" s="27"/>
      <c r="S56" s="11"/>
      <c r="T56" s="11"/>
      <c r="U56" s="11"/>
      <c r="V56" s="26"/>
      <c r="AC56" s="25"/>
      <c r="AD56" s="25"/>
      <c r="AE56" s="25"/>
      <c r="AG56" s="71"/>
      <c r="AH56" s="71"/>
      <c r="AI56" s="71"/>
      <c r="AJ56" s="71"/>
      <c r="AK56" s="71"/>
      <c r="AL56" s="71"/>
      <c r="AM56" s="71"/>
      <c r="AN56" s="71"/>
      <c r="AO56" s="71"/>
      <c r="AP56" s="71"/>
    </row>
    <row r="57" spans="1:48" s="106" customFormat="1" x14ac:dyDescent="0.35">
      <c r="B57" s="28"/>
      <c r="F57" s="25"/>
      <c r="G57" s="25"/>
      <c r="H57" s="25"/>
      <c r="L57" s="27"/>
      <c r="M57" s="27"/>
      <c r="V57" s="26"/>
      <c r="AC57" s="25"/>
      <c r="AD57" s="25"/>
      <c r="AE57" s="25"/>
      <c r="AG57" s="71"/>
      <c r="AH57" s="71"/>
      <c r="AI57" s="71"/>
      <c r="AJ57" s="71"/>
      <c r="AK57" s="71"/>
      <c r="AL57" s="71"/>
      <c r="AM57" s="71"/>
      <c r="AN57" s="71"/>
      <c r="AO57" s="71"/>
      <c r="AP57" s="71"/>
    </row>
    <row r="58" spans="1:48" x14ac:dyDescent="0.35">
      <c r="B58" s="28"/>
      <c r="F58" s="25"/>
      <c r="G58" s="25"/>
      <c r="H58" s="25"/>
      <c r="L58" s="27"/>
      <c r="M58" s="27"/>
      <c r="Q58" s="18"/>
      <c r="R58" s="27"/>
      <c r="S58" s="11"/>
      <c r="T58" s="11"/>
      <c r="U58" s="11"/>
      <c r="V58" s="26"/>
      <c r="AG58" s="71"/>
      <c r="AH58" s="71"/>
      <c r="AI58" s="71"/>
      <c r="AJ58" s="71"/>
      <c r="AK58" s="71"/>
      <c r="AL58" s="71"/>
      <c r="AM58" s="71"/>
      <c r="AN58" s="71"/>
      <c r="AO58" s="71"/>
      <c r="AP58" s="71"/>
    </row>
    <row r="59" spans="1:48" x14ac:dyDescent="0.35">
      <c r="A59" s="31" t="s">
        <v>33</v>
      </c>
      <c r="F59" s="25"/>
      <c r="G59" s="25"/>
      <c r="H59" s="25"/>
      <c r="Q59" s="27"/>
      <c r="R59" s="27"/>
      <c r="S59" s="27"/>
      <c r="T59" s="27"/>
      <c r="U59" s="27"/>
      <c r="AG59" s="71"/>
      <c r="AH59" s="71"/>
      <c r="AI59" s="71"/>
      <c r="AJ59" s="71"/>
      <c r="AK59" s="71"/>
      <c r="AL59" s="71"/>
      <c r="AM59" s="71"/>
      <c r="AN59" s="71"/>
      <c r="AO59" s="71"/>
      <c r="AP59" s="71"/>
    </row>
    <row r="60" spans="1:48" x14ac:dyDescent="0.35">
      <c r="Q60" s="27"/>
      <c r="R60" s="27"/>
      <c r="S60" s="27"/>
      <c r="T60" s="27"/>
      <c r="U60" s="27"/>
      <c r="AG60" s="71"/>
      <c r="AH60" s="71"/>
      <c r="AI60" s="71"/>
      <c r="AJ60" s="71"/>
      <c r="AK60" s="71"/>
      <c r="AL60" s="71"/>
      <c r="AM60" s="71"/>
      <c r="AN60" s="71"/>
      <c r="AO60" s="71"/>
      <c r="AP60" s="71"/>
    </row>
    <row r="61" spans="1:48" x14ac:dyDescent="0.35">
      <c r="A61" s="31" t="s">
        <v>10</v>
      </c>
      <c r="B61" s="31" t="s">
        <v>14</v>
      </c>
      <c r="Q61" s="27"/>
      <c r="R61" s="27"/>
      <c r="S61" s="27"/>
      <c r="T61" s="27"/>
      <c r="U61" s="27"/>
      <c r="AG61" s="71"/>
      <c r="AH61" s="71"/>
      <c r="AI61" s="71"/>
      <c r="AJ61" s="71"/>
      <c r="AK61" s="71"/>
      <c r="AL61" s="71"/>
      <c r="AM61" s="71"/>
      <c r="AN61" s="71"/>
      <c r="AO61" s="71"/>
      <c r="AP61" s="71"/>
    </row>
    <row r="62" spans="1:48" x14ac:dyDescent="0.35">
      <c r="A62" s="28">
        <v>43689</v>
      </c>
      <c r="B62" s="31">
        <v>7.01</v>
      </c>
      <c r="Q62" s="27"/>
      <c r="R62" s="27"/>
      <c r="S62" s="27"/>
      <c r="T62" s="27"/>
      <c r="U62" s="27"/>
    </row>
    <row r="63" spans="1:48" x14ac:dyDescent="0.35">
      <c r="A63" s="28">
        <v>43690</v>
      </c>
      <c r="B63" s="31">
        <v>6.99</v>
      </c>
      <c r="Q63" s="27"/>
      <c r="R63" s="27"/>
      <c r="S63" s="27"/>
      <c r="T63" s="27"/>
      <c r="U63" s="27"/>
    </row>
    <row r="64" spans="1:48" x14ac:dyDescent="0.35">
      <c r="A64" s="28">
        <v>43691</v>
      </c>
      <c r="B64" s="31">
        <v>6.87</v>
      </c>
      <c r="E64" s="28"/>
      <c r="Q64" s="27"/>
      <c r="R64" s="27"/>
      <c r="S64" s="27"/>
      <c r="T64" s="27"/>
      <c r="U64" s="27"/>
    </row>
    <row r="65" spans="1:21" x14ac:dyDescent="0.35">
      <c r="A65" s="28">
        <v>43692</v>
      </c>
      <c r="B65" s="31">
        <v>6.89</v>
      </c>
      <c r="E65" s="28"/>
      <c r="Q65" s="27"/>
      <c r="R65" s="27"/>
      <c r="S65" s="27"/>
      <c r="T65" s="27"/>
      <c r="U65" s="27"/>
    </row>
    <row r="66" spans="1:21" x14ac:dyDescent="0.35">
      <c r="A66" s="28">
        <v>43693</v>
      </c>
      <c r="B66" s="31">
        <v>6.92</v>
      </c>
      <c r="E66" s="28"/>
    </row>
    <row r="67" spans="1:21" x14ac:dyDescent="0.35">
      <c r="A67" s="28">
        <v>43694</v>
      </c>
      <c r="B67" s="31">
        <v>6.97</v>
      </c>
      <c r="E67" s="28"/>
    </row>
    <row r="68" spans="1:21" x14ac:dyDescent="0.35">
      <c r="A68" s="28">
        <v>43695</v>
      </c>
      <c r="B68" s="31">
        <v>7</v>
      </c>
      <c r="E68" s="28"/>
    </row>
    <row r="69" spans="1:21" x14ac:dyDescent="0.35">
      <c r="A69" s="28">
        <v>43696</v>
      </c>
      <c r="B69" s="31">
        <v>6.96</v>
      </c>
      <c r="E69" s="28"/>
    </row>
    <row r="70" spans="1:21" x14ac:dyDescent="0.35">
      <c r="A70" s="28">
        <v>43697</v>
      </c>
      <c r="B70" s="31">
        <v>7</v>
      </c>
      <c r="E70" s="28"/>
    </row>
    <row r="71" spans="1:21" x14ac:dyDescent="0.35">
      <c r="A71" s="28">
        <v>43698</v>
      </c>
      <c r="B71" s="31">
        <v>6.99</v>
      </c>
      <c r="E71" s="28"/>
    </row>
    <row r="72" spans="1:21" x14ac:dyDescent="0.35">
      <c r="A72" s="28"/>
      <c r="E72" s="28"/>
    </row>
    <row r="73" spans="1:21" x14ac:dyDescent="0.35">
      <c r="A73" s="28"/>
      <c r="E73" s="28"/>
    </row>
    <row r="74" spans="1:21" x14ac:dyDescent="0.35">
      <c r="A74" s="28"/>
      <c r="E74" s="28"/>
    </row>
    <row r="75" spans="1:21" x14ac:dyDescent="0.35">
      <c r="A75" s="28"/>
      <c r="E75" s="28"/>
    </row>
    <row r="76" spans="1:21" x14ac:dyDescent="0.35">
      <c r="A76" s="28"/>
      <c r="E76" s="28"/>
    </row>
    <row r="77" spans="1:21" x14ac:dyDescent="0.35">
      <c r="A77" s="28"/>
      <c r="F77" s="25"/>
      <c r="G77" s="25"/>
      <c r="H77" s="25"/>
    </row>
    <row r="78" spans="1:21" x14ac:dyDescent="0.35">
      <c r="A78" s="28"/>
      <c r="F78" s="25"/>
      <c r="G78" s="25"/>
      <c r="H78" s="25"/>
    </row>
    <row r="79" spans="1:21" x14ac:dyDescent="0.35">
      <c r="A79" s="28"/>
      <c r="F79" s="25"/>
      <c r="G79" s="25"/>
      <c r="H79" s="25"/>
    </row>
    <row r="80" spans="1:21" x14ac:dyDescent="0.35">
      <c r="A80" s="28"/>
    </row>
    <row r="81" spans="1:26" x14ac:dyDescent="0.35">
      <c r="A81" s="28"/>
      <c r="B81" s="85"/>
      <c r="F81" s="25"/>
      <c r="G81" s="25"/>
      <c r="H81" s="25"/>
    </row>
    <row r="82" spans="1:26" x14ac:dyDescent="0.35">
      <c r="A82" s="28"/>
      <c r="F82" s="25"/>
      <c r="G82" s="25"/>
      <c r="H82" s="25"/>
    </row>
    <row r="83" spans="1:26" x14ac:dyDescent="0.35">
      <c r="A83" s="28"/>
      <c r="F83" s="25"/>
      <c r="G83" s="25"/>
      <c r="H83" s="25"/>
    </row>
    <row r="84" spans="1:26" x14ac:dyDescent="0.35">
      <c r="A84" s="28"/>
      <c r="F84" s="25"/>
      <c r="G84" s="25"/>
      <c r="H84" s="25"/>
    </row>
    <row r="85" spans="1:26" x14ac:dyDescent="0.35">
      <c r="A85" s="28"/>
      <c r="F85" s="25"/>
      <c r="G85" s="25"/>
      <c r="H85" s="25"/>
    </row>
    <row r="86" spans="1:26" x14ac:dyDescent="0.35">
      <c r="A86" s="28"/>
      <c r="F86" s="25"/>
      <c r="G86" s="25"/>
      <c r="H86" s="25"/>
    </row>
    <row r="87" spans="1:26" x14ac:dyDescent="0.35">
      <c r="A87" s="28"/>
      <c r="F87" s="25"/>
      <c r="G87" s="25"/>
      <c r="H87" s="25"/>
      <c r="N87" s="27"/>
      <c r="O87" s="27"/>
      <c r="P87" s="27"/>
      <c r="Q87" s="27"/>
      <c r="R87" s="27"/>
      <c r="S87" s="26"/>
      <c r="T87" s="26"/>
      <c r="U87" s="26"/>
      <c r="V87" s="26"/>
      <c r="W87" s="27"/>
      <c r="X87" s="18"/>
      <c r="Y87" s="26"/>
      <c r="Z87" s="27"/>
    </row>
    <row r="88" spans="1:26" x14ac:dyDescent="0.35">
      <c r="A88" s="28"/>
      <c r="F88" s="25"/>
      <c r="G88" s="25"/>
      <c r="H88" s="25"/>
      <c r="N88" s="27"/>
      <c r="O88" s="27"/>
      <c r="P88" s="27"/>
      <c r="Q88" s="27"/>
      <c r="R88" s="27"/>
      <c r="S88" s="26"/>
      <c r="T88" s="26"/>
      <c r="U88" s="26"/>
      <c r="V88" s="26"/>
      <c r="W88" s="27"/>
      <c r="X88" s="18"/>
      <c r="Y88" s="26"/>
      <c r="Z88" s="27"/>
    </row>
    <row r="89" spans="1:26" x14ac:dyDescent="0.35">
      <c r="A89" s="28"/>
      <c r="F89" s="25"/>
      <c r="G89" s="25"/>
      <c r="H89" s="25"/>
      <c r="S89" s="26"/>
      <c r="T89" s="26"/>
      <c r="U89" s="26"/>
      <c r="V89" s="27"/>
      <c r="X89" s="6"/>
      <c r="Y89" s="26"/>
      <c r="Z89" s="27"/>
    </row>
    <row r="90" spans="1:26" x14ac:dyDescent="0.35">
      <c r="A90" s="28"/>
      <c r="F90" s="25"/>
      <c r="G90" s="25"/>
      <c r="H90" s="25"/>
    </row>
    <row r="91" spans="1:26" x14ac:dyDescent="0.35">
      <c r="A91" s="28"/>
      <c r="F91" s="25"/>
      <c r="G91" s="25"/>
      <c r="H91" s="25"/>
    </row>
    <row r="92" spans="1:26" x14ac:dyDescent="0.35">
      <c r="A92" s="28"/>
      <c r="F92" s="25"/>
      <c r="G92" s="25"/>
      <c r="H92" s="25"/>
    </row>
    <row r="93" spans="1:26" x14ac:dyDescent="0.35">
      <c r="A93" s="28"/>
      <c r="B93" s="25"/>
      <c r="F93" s="25"/>
      <c r="G93" s="25"/>
      <c r="H93" s="25"/>
    </row>
    <row r="94" spans="1:26" x14ac:dyDescent="0.35">
      <c r="A94" s="28"/>
      <c r="B94" s="85"/>
      <c r="F94" s="25"/>
      <c r="G94" s="25"/>
      <c r="H94" s="25"/>
      <c r="Y94" s="26"/>
      <c r="Z94" s="26"/>
    </row>
    <row r="95" spans="1:26" x14ac:dyDescent="0.35">
      <c r="A95" s="28"/>
      <c r="B95" s="25"/>
      <c r="F95" s="25"/>
      <c r="G95" s="25"/>
      <c r="H95" s="25"/>
      <c r="I95" s="25"/>
      <c r="L95" s="27"/>
      <c r="M95" s="27"/>
      <c r="V95" s="26"/>
      <c r="Y95" s="26"/>
      <c r="Z95" s="26"/>
    </row>
    <row r="96" spans="1:26" x14ac:dyDescent="0.35">
      <c r="A96" s="28"/>
      <c r="B96" s="25"/>
      <c r="F96" s="25"/>
      <c r="G96" s="25"/>
      <c r="H96" s="25"/>
      <c r="L96" s="27"/>
      <c r="M96" s="27"/>
      <c r="S96" s="27"/>
      <c r="T96" s="27"/>
      <c r="U96" s="27"/>
      <c r="V96" s="13"/>
      <c r="Y96" s="26"/>
      <c r="Z96" s="26"/>
    </row>
    <row r="97" spans="1:25" x14ac:dyDescent="0.35">
      <c r="A97" s="28"/>
      <c r="B97" s="25"/>
      <c r="F97" s="25"/>
      <c r="G97" s="25"/>
      <c r="H97" s="25"/>
      <c r="L97" s="27"/>
      <c r="M97" s="27"/>
      <c r="P97" s="6"/>
      <c r="S97" s="27"/>
      <c r="T97" s="27"/>
      <c r="U97" s="27"/>
      <c r="V97" s="13"/>
      <c r="W97" s="6"/>
      <c r="Y97" s="26"/>
    </row>
    <row r="98" spans="1:25" x14ac:dyDescent="0.35">
      <c r="A98" s="28"/>
      <c r="B98" s="25"/>
      <c r="F98" s="25"/>
      <c r="G98" s="25"/>
      <c r="H98" s="25"/>
      <c r="K98" s="27"/>
      <c r="L98" s="27"/>
      <c r="M98" s="27"/>
      <c r="S98" s="27"/>
      <c r="T98" s="27"/>
      <c r="U98" s="27"/>
      <c r="V98" s="13"/>
      <c r="X98" s="12"/>
      <c r="Y98" s="26"/>
    </row>
    <row r="99" spans="1:25" x14ac:dyDescent="0.35">
      <c r="A99" s="28"/>
      <c r="B99" s="25"/>
      <c r="F99" s="25"/>
      <c r="G99" s="25"/>
      <c r="H99" s="25"/>
      <c r="K99" s="27"/>
      <c r="L99" s="27"/>
      <c r="M99" s="27"/>
      <c r="P99" s="27"/>
      <c r="S99" s="27"/>
      <c r="T99" s="27"/>
      <c r="U99" s="27"/>
      <c r="V99" s="13"/>
      <c r="W99" s="18"/>
      <c r="Y99" s="26"/>
    </row>
    <row r="100" spans="1:25" x14ac:dyDescent="0.35">
      <c r="A100" s="28"/>
      <c r="B100" s="25"/>
      <c r="F100" s="25"/>
      <c r="G100" s="25"/>
      <c r="H100" s="25"/>
      <c r="K100" s="27"/>
      <c r="L100" s="27"/>
      <c r="M100" s="27"/>
      <c r="P100" s="27"/>
      <c r="S100" s="27"/>
      <c r="T100" s="27"/>
      <c r="U100" s="27"/>
      <c r="V100" s="13"/>
      <c r="W100" s="18"/>
      <c r="Y100" s="26"/>
    </row>
    <row r="101" spans="1:25" x14ac:dyDescent="0.35">
      <c r="A101" s="28"/>
      <c r="B101" s="25"/>
      <c r="F101" s="25"/>
      <c r="G101" s="25"/>
      <c r="H101" s="25"/>
      <c r="K101" s="27"/>
      <c r="L101" s="27"/>
      <c r="M101" s="27"/>
      <c r="P101" s="27"/>
      <c r="S101" s="27"/>
      <c r="T101" s="27"/>
      <c r="U101" s="27"/>
      <c r="V101" s="13"/>
      <c r="W101" s="18"/>
      <c r="Y101" s="26"/>
    </row>
    <row r="102" spans="1:25" x14ac:dyDescent="0.35">
      <c r="B102" s="28"/>
      <c r="F102" s="25"/>
      <c r="G102" s="25"/>
      <c r="H102" s="25"/>
      <c r="K102" s="27"/>
      <c r="L102" s="27"/>
      <c r="M102" s="27"/>
      <c r="P102" s="27"/>
      <c r="S102" s="27"/>
      <c r="T102" s="27"/>
      <c r="U102" s="27"/>
      <c r="V102" s="13"/>
      <c r="W102" s="18"/>
      <c r="Y102" s="26"/>
    </row>
    <row r="103" spans="1:25" x14ac:dyDescent="0.35">
      <c r="B103" s="28"/>
      <c r="F103" s="25"/>
      <c r="G103" s="25"/>
      <c r="H103" s="25"/>
      <c r="K103" s="27"/>
      <c r="L103" s="27"/>
      <c r="M103" s="27"/>
      <c r="P103" s="27"/>
      <c r="S103" s="26"/>
      <c r="T103" s="26"/>
      <c r="U103" s="26"/>
      <c r="V103" s="13"/>
      <c r="W103" s="18"/>
      <c r="Y103" s="26"/>
    </row>
    <row r="104" spans="1:25" x14ac:dyDescent="0.35">
      <c r="F104" s="25"/>
      <c r="G104" s="25"/>
      <c r="H104" s="25"/>
    </row>
    <row r="105" spans="1:25" x14ac:dyDescent="0.35">
      <c r="F105" s="25"/>
      <c r="G105" s="25"/>
      <c r="H105" s="25"/>
    </row>
    <row r="106" spans="1:25" x14ac:dyDescent="0.35">
      <c r="F106" s="25"/>
      <c r="G106" s="25"/>
      <c r="H106" s="25"/>
    </row>
    <row r="113" spans="1:11" x14ac:dyDescent="0.35">
      <c r="A113" s="28"/>
      <c r="E113" s="28"/>
      <c r="K113" s="28"/>
    </row>
    <row r="114" spans="1:11" x14ac:dyDescent="0.35">
      <c r="A114" s="28"/>
      <c r="E114" s="28"/>
    </row>
    <row r="115" spans="1:11" x14ac:dyDescent="0.35">
      <c r="A115" s="28"/>
      <c r="E115" s="28"/>
      <c r="K115" s="28"/>
    </row>
    <row r="116" spans="1:11" x14ac:dyDescent="0.35">
      <c r="A116" s="28"/>
      <c r="E116" s="28"/>
      <c r="K116" s="28"/>
    </row>
    <row r="117" spans="1:11" x14ac:dyDescent="0.35">
      <c r="A117" s="28"/>
      <c r="E117" s="28"/>
      <c r="K117" s="28"/>
    </row>
    <row r="118" spans="1:11" x14ac:dyDescent="0.35">
      <c r="A118" s="28"/>
      <c r="E118" s="28"/>
      <c r="K118" s="28"/>
    </row>
    <row r="119" spans="1:11" x14ac:dyDescent="0.35">
      <c r="A119" s="28"/>
      <c r="E119" s="28"/>
      <c r="K119" s="28"/>
    </row>
    <row r="120" spans="1:11" x14ac:dyDescent="0.35">
      <c r="A120" s="28"/>
      <c r="E120" s="28"/>
      <c r="K120" s="28"/>
    </row>
    <row r="121" spans="1:11" x14ac:dyDescent="0.35">
      <c r="A121" s="28"/>
      <c r="E121" s="28"/>
      <c r="K121" s="28"/>
    </row>
    <row r="122" spans="1:11" x14ac:dyDescent="0.35">
      <c r="A122" s="28"/>
      <c r="E122" s="28"/>
      <c r="K122" s="28"/>
    </row>
    <row r="123" spans="1:11" x14ac:dyDescent="0.35">
      <c r="A123" s="28"/>
      <c r="E123" s="28"/>
      <c r="K123" s="28"/>
    </row>
    <row r="124" spans="1:11" x14ac:dyDescent="0.35">
      <c r="A124" s="28"/>
      <c r="E124" s="28"/>
      <c r="K124" s="28"/>
    </row>
    <row r="125" spans="1:11" x14ac:dyDescent="0.35">
      <c r="A125" s="28"/>
      <c r="E125" s="28"/>
      <c r="K125" s="28"/>
    </row>
    <row r="126" spans="1:11" x14ac:dyDescent="0.35">
      <c r="A126" s="28"/>
      <c r="F126" s="25"/>
      <c r="G126" s="25"/>
      <c r="H126" s="25"/>
    </row>
    <row r="127" spans="1:11" x14ac:dyDescent="0.35">
      <c r="A127" s="28"/>
      <c r="F127" s="25"/>
      <c r="G127" s="25"/>
      <c r="H127" s="25"/>
    </row>
    <row r="128" spans="1:11" x14ac:dyDescent="0.35">
      <c r="A128" s="22"/>
      <c r="F128" s="25"/>
      <c r="G128" s="25"/>
      <c r="H128" s="2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4"/>
  <sheetViews>
    <sheetView workbookViewId="0">
      <selection activeCell="J8" sqref="J8:K8"/>
    </sheetView>
  </sheetViews>
  <sheetFormatPr defaultColWidth="9.1796875" defaultRowHeight="14.5" x14ac:dyDescent="0.35"/>
  <cols>
    <col min="1" max="1" width="13.1796875" style="27" customWidth="1"/>
    <col min="2" max="2" width="12.1796875" style="27" customWidth="1"/>
    <col min="3" max="4" width="9.1796875" style="31"/>
    <col min="5" max="5" width="13.6328125" style="31" customWidth="1"/>
    <col min="6" max="6" width="11.90625" style="31" customWidth="1"/>
    <col min="7" max="9" width="9.1796875" style="31"/>
    <col min="10" max="10" width="14.1796875" style="31" customWidth="1"/>
    <col min="11" max="11" width="10.81640625" style="31" customWidth="1"/>
    <col min="12" max="16384" width="9.1796875" style="31"/>
  </cols>
  <sheetData>
    <row r="1" spans="1:11" x14ac:dyDescent="0.35">
      <c r="A1" s="27" t="s">
        <v>45</v>
      </c>
    </row>
    <row r="2" spans="1:11" x14ac:dyDescent="0.35">
      <c r="A2" s="36">
        <v>43466</v>
      </c>
    </row>
    <row r="3" spans="1:11" x14ac:dyDescent="0.35">
      <c r="A3" s="36" t="s">
        <v>289</v>
      </c>
    </row>
    <row r="5" spans="1:11" x14ac:dyDescent="0.35">
      <c r="A5" s="27" t="s">
        <v>109</v>
      </c>
      <c r="E5" s="31" t="s">
        <v>110</v>
      </c>
      <c r="G5" s="25"/>
      <c r="I5" s="31" t="s">
        <v>111</v>
      </c>
    </row>
    <row r="6" spans="1:11" x14ac:dyDescent="0.35">
      <c r="G6" s="25"/>
    </row>
    <row r="7" spans="1:11" x14ac:dyDescent="0.35">
      <c r="A7" s="101" t="s">
        <v>294</v>
      </c>
      <c r="B7" s="39" t="s">
        <v>293</v>
      </c>
      <c r="C7" s="39" t="s">
        <v>2</v>
      </c>
      <c r="D7" s="71"/>
      <c r="E7" s="101" t="s">
        <v>294</v>
      </c>
      <c r="F7" s="39" t="s">
        <v>293</v>
      </c>
      <c r="G7" s="39" t="s">
        <v>2</v>
      </c>
      <c r="I7" s="101" t="s">
        <v>290</v>
      </c>
      <c r="J7" s="39" t="s">
        <v>293</v>
      </c>
      <c r="K7" s="39" t="s">
        <v>2</v>
      </c>
    </row>
    <row r="8" spans="1:11" s="202" customFormat="1" x14ac:dyDescent="0.35">
      <c r="A8" s="101"/>
      <c r="B8" s="39" t="s">
        <v>298</v>
      </c>
      <c r="C8" s="39" t="s">
        <v>0</v>
      </c>
      <c r="D8" s="71"/>
      <c r="E8" s="101"/>
      <c r="F8" s="39" t="s">
        <v>298</v>
      </c>
      <c r="G8" s="39" t="s">
        <v>0</v>
      </c>
      <c r="I8" s="101"/>
      <c r="J8" s="39" t="s">
        <v>298</v>
      </c>
      <c r="K8" s="39" t="s">
        <v>0</v>
      </c>
    </row>
    <row r="9" spans="1:11" x14ac:dyDescent="0.35">
      <c r="A9" s="72" t="s">
        <v>295</v>
      </c>
      <c r="B9" s="72">
        <v>3</v>
      </c>
      <c r="C9" s="73">
        <v>100.1</v>
      </c>
      <c r="D9" s="71"/>
      <c r="E9" s="31" t="s">
        <v>296</v>
      </c>
      <c r="F9" s="75">
        <v>3</v>
      </c>
      <c r="G9" s="6">
        <v>99.9</v>
      </c>
      <c r="I9" s="31" t="s">
        <v>297</v>
      </c>
      <c r="J9" s="72">
        <v>4</v>
      </c>
      <c r="K9" s="72">
        <v>249.8</v>
      </c>
    </row>
    <row r="10" spans="1:11" x14ac:dyDescent="0.35">
      <c r="A10" s="72" t="s">
        <v>295</v>
      </c>
      <c r="B10" s="72">
        <v>4</v>
      </c>
      <c r="C10" s="73">
        <v>99.9</v>
      </c>
      <c r="D10" s="71"/>
      <c r="E10" s="202" t="s">
        <v>296</v>
      </c>
      <c r="F10" s="75">
        <v>4</v>
      </c>
      <c r="G10" s="6">
        <v>100</v>
      </c>
      <c r="I10" s="202" t="s">
        <v>297</v>
      </c>
      <c r="J10" s="72">
        <v>5</v>
      </c>
      <c r="K10" s="72">
        <v>249.9</v>
      </c>
    </row>
    <row r="11" spans="1:11" x14ac:dyDescent="0.35">
      <c r="A11" s="72" t="s">
        <v>295</v>
      </c>
      <c r="B11" s="72">
        <v>5</v>
      </c>
      <c r="C11" s="73">
        <v>100</v>
      </c>
      <c r="D11" s="71"/>
      <c r="E11" s="202" t="s">
        <v>296</v>
      </c>
      <c r="F11" s="75">
        <v>5</v>
      </c>
      <c r="G11" s="6">
        <v>100.1</v>
      </c>
      <c r="I11" s="202" t="s">
        <v>297</v>
      </c>
      <c r="J11" s="72">
        <v>6</v>
      </c>
      <c r="K11" s="72">
        <v>250.2</v>
      </c>
    </row>
    <row r="12" spans="1:11" x14ac:dyDescent="0.35">
      <c r="A12" s="72" t="s">
        <v>295</v>
      </c>
      <c r="B12" s="72">
        <v>6</v>
      </c>
      <c r="C12" s="73">
        <v>100.2</v>
      </c>
      <c r="D12" s="71"/>
      <c r="E12" s="202" t="s">
        <v>296</v>
      </c>
      <c r="F12" s="75">
        <v>6</v>
      </c>
      <c r="G12" s="6">
        <v>100.1</v>
      </c>
      <c r="I12" s="202" t="s">
        <v>297</v>
      </c>
      <c r="J12" s="72">
        <v>7</v>
      </c>
      <c r="K12" s="72">
        <v>249.9</v>
      </c>
    </row>
    <row r="13" spans="1:11" x14ac:dyDescent="0.35">
      <c r="A13" s="72" t="s">
        <v>295</v>
      </c>
      <c r="B13" s="72">
        <v>7</v>
      </c>
      <c r="C13" s="73">
        <v>100.1</v>
      </c>
      <c r="D13" s="71"/>
      <c r="E13" s="202" t="s">
        <v>296</v>
      </c>
      <c r="F13" s="75">
        <v>7</v>
      </c>
      <c r="G13" s="6">
        <v>99.9</v>
      </c>
      <c r="I13" s="202" t="s">
        <v>297</v>
      </c>
      <c r="J13" s="72">
        <v>8</v>
      </c>
      <c r="K13" s="72">
        <v>250</v>
      </c>
    </row>
    <row r="14" spans="1:11" x14ac:dyDescent="0.35">
      <c r="A14" s="72" t="s">
        <v>295</v>
      </c>
      <c r="B14" s="72">
        <v>8</v>
      </c>
      <c r="C14" s="73">
        <v>99.9</v>
      </c>
      <c r="D14" s="71"/>
      <c r="E14" s="202" t="s">
        <v>296</v>
      </c>
      <c r="F14" s="75">
        <v>8</v>
      </c>
      <c r="G14" s="6">
        <v>100</v>
      </c>
      <c r="I14" s="202" t="s">
        <v>297</v>
      </c>
      <c r="J14" s="72">
        <v>9</v>
      </c>
      <c r="K14" s="72">
        <v>250.1</v>
      </c>
    </row>
    <row r="15" spans="1:11" x14ac:dyDescent="0.35">
      <c r="A15" s="72" t="s">
        <v>295</v>
      </c>
      <c r="B15" s="72">
        <v>9</v>
      </c>
      <c r="C15" s="73">
        <v>100</v>
      </c>
      <c r="D15" s="71"/>
      <c r="E15" s="202" t="s">
        <v>296</v>
      </c>
      <c r="F15" s="75">
        <v>9</v>
      </c>
      <c r="G15" s="6">
        <v>100.2</v>
      </c>
      <c r="K15" s="204">
        <f>SUM(K9:K14)</f>
        <v>1499.9</v>
      </c>
    </row>
    <row r="16" spans="1:11" x14ac:dyDescent="0.35">
      <c r="A16" s="72" t="s">
        <v>295</v>
      </c>
      <c r="B16" s="72">
        <v>10</v>
      </c>
      <c r="C16" s="73">
        <v>100.1</v>
      </c>
      <c r="D16" s="71"/>
      <c r="E16" s="202" t="s">
        <v>296</v>
      </c>
      <c r="F16" s="75">
        <v>10</v>
      </c>
      <c r="G16" s="6">
        <v>99.8</v>
      </c>
    </row>
    <row r="17" spans="1:7" x14ac:dyDescent="0.35">
      <c r="A17" s="71"/>
      <c r="B17" s="71"/>
      <c r="C17" s="74">
        <f>SUM(C9:C16)</f>
        <v>800.3</v>
      </c>
      <c r="D17" s="71"/>
      <c r="F17" s="75"/>
      <c r="G17" s="79">
        <f>SUM(G9:G16)</f>
        <v>800</v>
      </c>
    </row>
    <row r="18" spans="1:7" x14ac:dyDescent="0.35">
      <c r="A18" s="71"/>
      <c r="B18" s="71"/>
      <c r="C18" s="74"/>
      <c r="D18" s="71"/>
      <c r="F18" s="75"/>
    </row>
    <row r="19" spans="1:7" x14ac:dyDescent="0.35">
      <c r="A19" s="72">
        <v>106</v>
      </c>
      <c r="B19" s="75" t="s">
        <v>113</v>
      </c>
      <c r="C19" s="73">
        <v>250.1</v>
      </c>
      <c r="D19" s="71"/>
      <c r="E19" s="31">
        <v>116</v>
      </c>
      <c r="F19" s="75" t="s">
        <v>120</v>
      </c>
      <c r="G19" s="31">
        <v>300.10000000000002</v>
      </c>
    </row>
    <row r="20" spans="1:7" x14ac:dyDescent="0.35">
      <c r="A20" s="72">
        <v>106</v>
      </c>
      <c r="B20" s="75" t="s">
        <v>114</v>
      </c>
      <c r="C20" s="73">
        <v>200</v>
      </c>
      <c r="D20" s="71"/>
      <c r="E20" s="31">
        <v>116</v>
      </c>
      <c r="F20" s="75" t="s">
        <v>121</v>
      </c>
      <c r="G20" s="31">
        <v>499.9</v>
      </c>
    </row>
    <row r="21" spans="1:7" x14ac:dyDescent="0.35">
      <c r="A21" s="72">
        <v>106</v>
      </c>
      <c r="B21" s="75" t="s">
        <v>115</v>
      </c>
      <c r="C21" s="73">
        <v>149.9</v>
      </c>
      <c r="D21" s="71"/>
      <c r="F21" s="75"/>
      <c r="G21" s="79">
        <f>SUM(G19:G20)</f>
        <v>800</v>
      </c>
    </row>
    <row r="22" spans="1:7" x14ac:dyDescent="0.35">
      <c r="A22" s="72">
        <v>106</v>
      </c>
      <c r="B22" s="75" t="s">
        <v>116</v>
      </c>
      <c r="C22" s="73">
        <v>150.19999999999999</v>
      </c>
      <c r="D22" s="71"/>
      <c r="F22" s="75"/>
      <c r="G22" s="47"/>
    </row>
    <row r="23" spans="1:7" x14ac:dyDescent="0.35">
      <c r="A23" s="71"/>
      <c r="B23" s="77"/>
      <c r="C23" s="74">
        <f>SUM(C19:C22)</f>
        <v>750.2</v>
      </c>
      <c r="D23" s="71"/>
      <c r="E23" s="31">
        <v>117</v>
      </c>
      <c r="F23" s="75" t="s">
        <v>120</v>
      </c>
      <c r="G23" s="19">
        <v>300.2</v>
      </c>
    </row>
    <row r="24" spans="1:7" x14ac:dyDescent="0.35">
      <c r="A24" s="71"/>
      <c r="B24" s="77"/>
      <c r="C24" s="74"/>
      <c r="D24" s="71"/>
      <c r="E24" s="31">
        <v>117</v>
      </c>
      <c r="F24" s="75" t="s">
        <v>114</v>
      </c>
      <c r="G24" s="19">
        <v>200</v>
      </c>
    </row>
    <row r="25" spans="1:7" x14ac:dyDescent="0.35">
      <c r="A25" s="72">
        <v>107</v>
      </c>
      <c r="B25" s="75" t="s">
        <v>117</v>
      </c>
      <c r="C25" s="73">
        <v>250.1</v>
      </c>
      <c r="D25" s="71"/>
      <c r="F25" s="75"/>
      <c r="G25" s="79">
        <f>SUM(G23:G24)</f>
        <v>500.2</v>
      </c>
    </row>
    <row r="26" spans="1:7" x14ac:dyDescent="0.35">
      <c r="A26" s="72">
        <v>107</v>
      </c>
      <c r="B26" s="75" t="s">
        <v>118</v>
      </c>
      <c r="C26" s="73">
        <v>250.1</v>
      </c>
      <c r="D26" s="71"/>
      <c r="F26" s="75"/>
      <c r="G26" s="47"/>
    </row>
    <row r="27" spans="1:7" x14ac:dyDescent="0.35">
      <c r="A27" s="72">
        <v>107</v>
      </c>
      <c r="B27" s="75" t="s">
        <v>119</v>
      </c>
      <c r="C27" s="73">
        <v>299.8</v>
      </c>
      <c r="D27" s="71"/>
      <c r="E27" s="31">
        <v>118</v>
      </c>
      <c r="F27" s="75" t="s">
        <v>120</v>
      </c>
      <c r="G27" s="31">
        <v>299.8</v>
      </c>
    </row>
    <row r="28" spans="1:7" x14ac:dyDescent="0.35">
      <c r="A28" s="71"/>
      <c r="B28" s="77"/>
      <c r="C28" s="74">
        <f>SUM(C25:C27)</f>
        <v>800</v>
      </c>
      <c r="D28" s="71"/>
      <c r="E28" s="31">
        <v>118</v>
      </c>
      <c r="F28" s="75" t="s">
        <v>122</v>
      </c>
      <c r="G28" s="31">
        <v>300.10000000000002</v>
      </c>
    </row>
    <row r="29" spans="1:7" x14ac:dyDescent="0.35">
      <c r="B29" s="78"/>
      <c r="D29" s="71"/>
      <c r="G29" s="79">
        <f>SUM(G27:G28)</f>
        <v>599.90000000000009</v>
      </c>
    </row>
    <row r="30" spans="1:7" x14ac:dyDescent="0.35">
      <c r="A30" s="72">
        <v>108</v>
      </c>
      <c r="B30" s="75" t="s">
        <v>113</v>
      </c>
      <c r="C30" s="73">
        <v>250</v>
      </c>
      <c r="D30" s="71"/>
    </row>
    <row r="31" spans="1:7" x14ac:dyDescent="0.35">
      <c r="A31" s="72">
        <v>108</v>
      </c>
      <c r="B31" s="75" t="s">
        <v>114</v>
      </c>
      <c r="C31" s="73">
        <v>200.1</v>
      </c>
      <c r="D31" s="71"/>
    </row>
    <row r="32" spans="1:7" x14ac:dyDescent="0.35">
      <c r="A32" s="72">
        <v>108</v>
      </c>
      <c r="B32" s="75" t="s">
        <v>119</v>
      </c>
      <c r="C32" s="73">
        <v>299.8</v>
      </c>
      <c r="D32" s="71"/>
    </row>
    <row r="33" spans="1:4" x14ac:dyDescent="0.35">
      <c r="A33" s="72"/>
      <c r="B33" s="72"/>
      <c r="C33" s="76">
        <f>SUM(C30:C32)</f>
        <v>749.90000000000009</v>
      </c>
      <c r="D33" s="71"/>
    </row>
    <row r="34" spans="1:4" x14ac:dyDescent="0.35">
      <c r="A34" s="72"/>
      <c r="B34" s="72"/>
      <c r="C34" s="73"/>
      <c r="D34" s="71"/>
    </row>
  </sheetData>
  <printOptions gridLines="1"/>
  <pageMargins left="0.7" right="0.7" top="0.75" bottom="0.75" header="0.3" footer="0.3"/>
  <pageSetup scale="85" fitToWidth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V132"/>
  <sheetViews>
    <sheetView zoomScaleNormal="100" workbookViewId="0">
      <selection activeCell="A8" sqref="A8"/>
    </sheetView>
  </sheetViews>
  <sheetFormatPr defaultColWidth="9.1796875" defaultRowHeight="14.5" x14ac:dyDescent="0.35"/>
  <cols>
    <col min="1" max="1" width="9.7265625" style="31" bestFit="1" customWidth="1"/>
    <col min="2" max="2" width="10.453125" style="31" bestFit="1" customWidth="1"/>
    <col min="3" max="3" width="3.453125" style="31" bestFit="1" customWidth="1"/>
    <col min="4" max="4" width="8" style="31" bestFit="1" customWidth="1"/>
    <col min="5" max="5" width="9" style="31" bestFit="1" customWidth="1"/>
    <col min="6" max="6" width="9.453125" style="31" bestFit="1" customWidth="1"/>
    <col min="7" max="7" width="8.453125" style="31" bestFit="1" customWidth="1"/>
    <col min="8" max="8" width="15.7265625" style="145" bestFit="1" customWidth="1"/>
    <col min="9" max="9" width="8.1796875" style="31" bestFit="1" customWidth="1"/>
    <col min="10" max="10" width="15.7265625" style="31" customWidth="1"/>
    <col min="11" max="11" width="15.54296875" style="31" bestFit="1" customWidth="1"/>
    <col min="12" max="12" width="6.26953125" style="31" bestFit="1" customWidth="1"/>
    <col min="13" max="18" width="6.81640625" style="31" bestFit="1" customWidth="1"/>
    <col min="19" max="19" width="7.1796875" style="31" bestFit="1" customWidth="1"/>
    <col min="20" max="27" width="6.81640625" style="31" bestFit="1" customWidth="1"/>
    <col min="28" max="28" width="10.54296875" style="31" bestFit="1" customWidth="1"/>
    <col min="29" max="29" width="7.1796875" style="31" bestFit="1" customWidth="1"/>
    <col min="30" max="30" width="7.7265625" style="31" bestFit="1" customWidth="1"/>
    <col min="31" max="31" width="14.7265625" style="31" bestFit="1" customWidth="1"/>
    <col min="32" max="32" width="11.7265625" style="31" bestFit="1" customWidth="1"/>
    <col min="33" max="33" width="12.26953125" style="31" customWidth="1"/>
    <col min="34" max="16384" width="9.1796875" style="31"/>
  </cols>
  <sheetData>
    <row r="1" spans="1:48" x14ac:dyDescent="0.35">
      <c r="A1" s="31" t="s">
        <v>46</v>
      </c>
      <c r="F1" s="25"/>
      <c r="G1" s="25"/>
      <c r="H1" s="25"/>
    </row>
    <row r="2" spans="1:48" x14ac:dyDescent="0.35">
      <c r="F2" s="25"/>
      <c r="G2" s="25"/>
      <c r="H2" s="25"/>
    </row>
    <row r="3" spans="1:48" x14ac:dyDescent="0.35">
      <c r="A3" s="31" t="s">
        <v>8</v>
      </c>
      <c r="F3" s="25"/>
      <c r="G3" s="25"/>
      <c r="H3" s="25"/>
    </row>
    <row r="4" spans="1:48" x14ac:dyDescent="0.35">
      <c r="A4" s="31" t="s">
        <v>182</v>
      </c>
      <c r="F4" s="25"/>
      <c r="G4" s="25"/>
      <c r="H4" s="25"/>
    </row>
    <row r="5" spans="1:48" x14ac:dyDescent="0.35">
      <c r="A5" s="102" t="s">
        <v>185</v>
      </c>
      <c r="F5" s="25"/>
      <c r="G5" s="25"/>
      <c r="H5" s="25"/>
    </row>
    <row r="6" spans="1:48" s="202" customFormat="1" x14ac:dyDescent="0.35">
      <c r="A6" s="26" t="s">
        <v>358</v>
      </c>
      <c r="F6" s="25"/>
      <c r="G6" s="25"/>
      <c r="H6" s="25"/>
    </row>
    <row r="7" spans="1:48" x14ac:dyDescent="0.35">
      <c r="F7" s="25"/>
      <c r="G7" s="25"/>
      <c r="H7" s="25"/>
      <c r="AR7" s="101" t="s">
        <v>254</v>
      </c>
      <c r="AS7" s="101"/>
      <c r="AT7" s="101">
        <v>0.54569999999999996</v>
      </c>
      <c r="AU7" s="101" t="s">
        <v>255</v>
      </c>
      <c r="AV7" s="101"/>
    </row>
    <row r="8" spans="1:48" x14ac:dyDescent="0.35">
      <c r="A8" s="19" t="s">
        <v>378</v>
      </c>
      <c r="F8" s="25"/>
      <c r="G8" s="25"/>
      <c r="H8" s="25"/>
      <c r="AG8" s="26" t="s">
        <v>170</v>
      </c>
      <c r="AR8" s="71"/>
      <c r="AS8" s="71"/>
      <c r="AT8" s="71"/>
      <c r="AU8" s="71"/>
      <c r="AV8" s="71"/>
    </row>
    <row r="9" spans="1:48" x14ac:dyDescent="0.35">
      <c r="F9" s="25"/>
      <c r="G9" s="25"/>
      <c r="H9" s="25"/>
      <c r="AR9" s="101"/>
      <c r="AS9" s="101"/>
      <c r="AT9" s="101"/>
      <c r="AU9" s="101"/>
      <c r="AV9" s="101"/>
    </row>
    <row r="10" spans="1:48" x14ac:dyDescent="0.35">
      <c r="A10" s="31" t="s">
        <v>9</v>
      </c>
      <c r="B10" s="31" t="s">
        <v>10</v>
      </c>
      <c r="C10" s="31" t="s">
        <v>11</v>
      </c>
      <c r="D10" s="31" t="s">
        <v>7</v>
      </c>
      <c r="E10" s="31" t="s">
        <v>12</v>
      </c>
      <c r="F10" s="25" t="s">
        <v>13</v>
      </c>
      <c r="G10" s="25" t="s">
        <v>81</v>
      </c>
      <c r="H10" s="25" t="s">
        <v>244</v>
      </c>
      <c r="I10" s="31" t="s">
        <v>14</v>
      </c>
      <c r="J10" s="31" t="s">
        <v>15</v>
      </c>
      <c r="K10" s="31" t="s">
        <v>16</v>
      </c>
      <c r="L10" s="31" t="s">
        <v>3</v>
      </c>
      <c r="M10" s="31" t="s">
        <v>31</v>
      </c>
      <c r="N10" s="31" t="s">
        <v>30</v>
      </c>
      <c r="O10" s="31" t="s">
        <v>18</v>
      </c>
      <c r="P10" s="31" t="s">
        <v>17</v>
      </c>
      <c r="Q10" s="31" t="s">
        <v>20</v>
      </c>
      <c r="R10" s="31" t="s">
        <v>19</v>
      </c>
      <c r="S10" s="31" t="s">
        <v>21</v>
      </c>
      <c r="T10" s="31" t="s">
        <v>47</v>
      </c>
      <c r="U10" s="31" t="s">
        <v>24</v>
      </c>
      <c r="V10" s="31" t="s">
        <v>48</v>
      </c>
      <c r="W10" s="31" t="s">
        <v>4</v>
      </c>
      <c r="X10" s="31" t="s">
        <v>22</v>
      </c>
      <c r="Y10" s="31" t="s">
        <v>23</v>
      </c>
      <c r="Z10" s="31" t="s">
        <v>25</v>
      </c>
      <c r="AA10" s="31" t="s">
        <v>49</v>
      </c>
      <c r="AB10" s="31" t="s">
        <v>26</v>
      </c>
      <c r="AC10" s="31" t="s">
        <v>123</v>
      </c>
      <c r="AD10" s="31" t="s">
        <v>124</v>
      </c>
      <c r="AE10" s="31" t="s">
        <v>27</v>
      </c>
      <c r="AG10" s="101" t="s">
        <v>171</v>
      </c>
      <c r="AH10" s="101" t="s">
        <v>172</v>
      </c>
      <c r="AI10" s="101" t="s">
        <v>173</v>
      </c>
      <c r="AJ10" s="101" t="s">
        <v>174</v>
      </c>
      <c r="AK10" s="101" t="s">
        <v>175</v>
      </c>
      <c r="AL10" s="101" t="s">
        <v>176</v>
      </c>
      <c r="AM10" s="101" t="s">
        <v>177</v>
      </c>
      <c r="AN10" s="101" t="s">
        <v>178</v>
      </c>
      <c r="AO10" s="101" t="s">
        <v>179</v>
      </c>
      <c r="AP10" s="101" t="s">
        <v>180</v>
      </c>
      <c r="AR10" s="151" t="s">
        <v>247</v>
      </c>
      <c r="AS10" s="151" t="s">
        <v>248</v>
      </c>
      <c r="AT10" s="151" t="s">
        <v>253</v>
      </c>
      <c r="AU10" s="151" t="s">
        <v>251</v>
      </c>
      <c r="AV10" s="151" t="s">
        <v>245</v>
      </c>
    </row>
    <row r="11" spans="1:48" x14ac:dyDescent="0.35">
      <c r="D11" s="31" t="s">
        <v>6</v>
      </c>
      <c r="E11" s="31" t="s">
        <v>6</v>
      </c>
      <c r="F11" s="25"/>
      <c r="G11" s="25"/>
      <c r="H11" s="25"/>
      <c r="J11" s="203" t="s">
        <v>357</v>
      </c>
      <c r="K11" s="31" t="s">
        <v>28</v>
      </c>
      <c r="L11" s="27" t="s">
        <v>352</v>
      </c>
      <c r="M11" s="31" t="s">
        <v>5</v>
      </c>
      <c r="N11" s="31" t="s">
        <v>5</v>
      </c>
      <c r="O11" s="31" t="s">
        <v>5</v>
      </c>
      <c r="P11" s="31" t="s">
        <v>5</v>
      </c>
      <c r="Q11" s="31" t="s">
        <v>5</v>
      </c>
      <c r="R11" s="31" t="s">
        <v>5</v>
      </c>
      <c r="S11" s="31" t="s">
        <v>5</v>
      </c>
      <c r="T11" s="31" t="s">
        <v>5</v>
      </c>
      <c r="U11" s="31" t="s">
        <v>5</v>
      </c>
      <c r="V11" s="31" t="s">
        <v>5</v>
      </c>
      <c r="W11" s="31" t="s">
        <v>5</v>
      </c>
      <c r="X11" s="31" t="s">
        <v>5</v>
      </c>
      <c r="Y11" s="31" t="s">
        <v>5</v>
      </c>
      <c r="Z11" s="31" t="s">
        <v>5</v>
      </c>
      <c r="AA11" s="31" t="s">
        <v>5</v>
      </c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R11" s="151" t="s">
        <v>246</v>
      </c>
      <c r="AS11" s="151" t="s">
        <v>249</v>
      </c>
      <c r="AT11" s="151" t="s">
        <v>252</v>
      </c>
      <c r="AU11" s="151" t="s">
        <v>252</v>
      </c>
      <c r="AV11" s="151" t="s">
        <v>250</v>
      </c>
    </row>
    <row r="12" spans="1:48" x14ac:dyDescent="0.35">
      <c r="F12" s="25"/>
      <c r="G12" s="25"/>
      <c r="H12" s="25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R12" s="151"/>
      <c r="AS12" s="151"/>
      <c r="AT12" s="151"/>
      <c r="AU12" s="151"/>
      <c r="AV12" s="151"/>
    </row>
    <row r="13" spans="1:48" x14ac:dyDescent="0.35">
      <c r="A13" s="31" t="s">
        <v>186</v>
      </c>
      <c r="F13" s="25"/>
      <c r="G13" s="25"/>
      <c r="H13" s="25"/>
      <c r="I13" s="25">
        <f>AVERAGE(B66:B71)</f>
        <v>7.6249999999999991</v>
      </c>
      <c r="J13" s="12">
        <f>'Influent Results Master'!D60</f>
        <v>498</v>
      </c>
      <c r="K13" s="12">
        <f>'Influent Results Master'!F60</f>
        <v>98.424999999999997</v>
      </c>
      <c r="L13" s="6">
        <f>'Influent Results Master'!G60</f>
        <v>3.0750000000000002</v>
      </c>
      <c r="M13" s="18">
        <f>'Influent Results Master'!H60</f>
        <v>3.875</v>
      </c>
      <c r="N13" s="18">
        <f>'Influent Results Master'!I60</f>
        <v>1.825</v>
      </c>
      <c r="O13" s="12">
        <f>'Influent Results Master'!J60</f>
        <v>137</v>
      </c>
      <c r="P13" s="12">
        <f>'Influent Results Master'!K60</f>
        <v>11.5</v>
      </c>
      <c r="Q13" s="12">
        <f>'Influent Results Master'!L60</f>
        <v>63.497500000000002</v>
      </c>
      <c r="R13" s="12">
        <f>'Influent Results Master'!M60</f>
        <v>16.197500000000002</v>
      </c>
      <c r="S13" s="12">
        <f>'Influent Results Master'!N60</f>
        <v>22.785</v>
      </c>
      <c r="T13" s="12">
        <f>'Influent Results Master'!O60</f>
        <v>14.3</v>
      </c>
      <c r="U13" s="6">
        <f>'Influent Results Master'!P60</f>
        <v>2.0294999999999996</v>
      </c>
      <c r="V13" s="169">
        <f>'Influent Results Master'!Q60</f>
        <v>0.2</v>
      </c>
      <c r="W13" s="81">
        <f>'Influent Results Master'!R60</f>
        <v>0.02</v>
      </c>
      <c r="X13" s="81">
        <f>'Influent Results Master'!S60</f>
        <v>0.02</v>
      </c>
      <c r="Y13" s="81">
        <f>'Influent Results Master'!T60</f>
        <v>0.02</v>
      </c>
      <c r="Z13" s="81">
        <f>'Influent Results Master'!U60</f>
        <v>0.04</v>
      </c>
      <c r="AA13" s="25">
        <f>'Influent Results Master'!V60</f>
        <v>0.56574999999999998</v>
      </c>
      <c r="AC13" s="25"/>
      <c r="AD13" s="25"/>
      <c r="AE13" s="25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R13" s="50">
        <v>3.0999999999999999E-3</v>
      </c>
      <c r="AS13" s="50">
        <f>(0.94-0.36)</f>
        <v>0.57999999999999996</v>
      </c>
      <c r="AT13" s="50"/>
      <c r="AU13" s="50">
        <f>AT7*AS13</f>
        <v>0.31650599999999995</v>
      </c>
      <c r="AV13" s="50"/>
    </row>
    <row r="14" spans="1:48" x14ac:dyDescent="0.35">
      <c r="F14" s="25"/>
      <c r="G14" s="25"/>
      <c r="H14" s="25"/>
      <c r="N14" s="27"/>
      <c r="O14" s="27"/>
      <c r="P14" s="27"/>
      <c r="Q14" s="27"/>
      <c r="R14" s="27"/>
      <c r="S14" s="26"/>
      <c r="T14" s="26"/>
      <c r="U14" s="26"/>
      <c r="V14" s="169"/>
      <c r="W14" s="27"/>
      <c r="X14" s="18"/>
      <c r="Y14" s="26"/>
      <c r="Z14" s="27"/>
      <c r="AC14" s="25"/>
      <c r="AD14" s="25"/>
      <c r="AE14" s="25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R14" s="50"/>
      <c r="AS14" s="50"/>
      <c r="AT14" s="50"/>
      <c r="AU14" s="50"/>
      <c r="AV14" s="50"/>
    </row>
    <row r="15" spans="1:48" x14ac:dyDescent="0.35">
      <c r="A15" s="31">
        <v>14</v>
      </c>
      <c r="B15" s="28">
        <v>43676</v>
      </c>
      <c r="C15" s="31">
        <v>1</v>
      </c>
      <c r="D15" s="31">
        <v>134</v>
      </c>
      <c r="E15" s="31">
        <v>134</v>
      </c>
      <c r="F15" s="25">
        <f>D15/133</f>
        <v>1.0075187969924813</v>
      </c>
      <c r="G15" s="25">
        <v>1.01</v>
      </c>
      <c r="H15" s="25"/>
      <c r="I15" s="31">
        <v>7.82</v>
      </c>
      <c r="J15" s="31">
        <v>2320</v>
      </c>
      <c r="K15" s="12">
        <v>184.4</v>
      </c>
      <c r="L15" s="31">
        <v>89</v>
      </c>
      <c r="M15" s="31">
        <v>69</v>
      </c>
      <c r="N15" s="27">
        <v>13</v>
      </c>
      <c r="O15" s="31">
        <v>968</v>
      </c>
      <c r="P15" s="31">
        <v>96</v>
      </c>
      <c r="Q15" s="21">
        <v>240.7</v>
      </c>
      <c r="R15" s="21">
        <v>93.69</v>
      </c>
      <c r="S15" s="21">
        <v>257</v>
      </c>
      <c r="T15" s="21">
        <v>29.21</v>
      </c>
      <c r="U15" s="21">
        <v>12.24</v>
      </c>
      <c r="V15" s="169">
        <v>0.2</v>
      </c>
      <c r="W15" s="11">
        <v>0.22</v>
      </c>
      <c r="X15" s="81">
        <v>0.02</v>
      </c>
      <c r="Y15" s="33">
        <v>2.9000000000000001E-2</v>
      </c>
      <c r="Z15" s="81">
        <v>0.04</v>
      </c>
      <c r="AA15" s="18">
        <v>2.968</v>
      </c>
      <c r="AC15" s="25">
        <f t="shared" ref="AC15:AC35" si="0">((K15/50)+(M15/35.45)+(N15/62)+(O15/48.03))</f>
        <v>25.998151177087941</v>
      </c>
      <c r="AD15" s="25">
        <f t="shared" ref="AD15" si="1">((Q15/20.04)+(R15/12.16)+(S15/22.99)+(U15/39.1))</f>
        <v>31.20756463874547</v>
      </c>
      <c r="AE15" s="25">
        <f t="shared" ref="AE15" si="2">ABS((AC15-AD15)/(AC15+AD15)*100)</f>
        <v>9.1064562122228807</v>
      </c>
      <c r="AG15" s="101">
        <v>7.82</v>
      </c>
      <c r="AH15" s="101">
        <v>9.4802199999999992</v>
      </c>
      <c r="AI15" s="101">
        <v>0.73660000000000003</v>
      </c>
      <c r="AJ15" s="101">
        <v>-0.52590000000000003</v>
      </c>
      <c r="AK15" s="101">
        <v>-0.77539999999999998</v>
      </c>
      <c r="AL15" s="101">
        <v>-2.5478999999999998</v>
      </c>
      <c r="AM15" s="101">
        <v>0.89229999999999998</v>
      </c>
      <c r="AN15" s="101">
        <v>-1.2571000000000001</v>
      </c>
      <c r="AO15" s="101">
        <v>-0.68600000000000005</v>
      </c>
      <c r="AP15" s="101">
        <v>-0.44440000000000002</v>
      </c>
      <c r="AR15" s="50">
        <f>L15/1000</f>
        <v>8.8999999999999996E-2</v>
      </c>
      <c r="AS15" s="50">
        <f>AU15/($AT$7)</f>
        <v>0.55906413780465447</v>
      </c>
      <c r="AT15" s="50">
        <f>(AR15-$AR$13)*0.133</f>
        <v>1.1424699999999999E-2</v>
      </c>
      <c r="AU15" s="50">
        <f>AU13-AT15</f>
        <v>0.30508129999999994</v>
      </c>
      <c r="AV15" s="50">
        <f>AS15/AR15</f>
        <v>6.2816195258949943</v>
      </c>
    </row>
    <row r="16" spans="1:48" x14ac:dyDescent="0.35">
      <c r="A16" s="104">
        <v>14</v>
      </c>
      <c r="B16" s="28">
        <v>43677</v>
      </c>
      <c r="C16" s="31">
        <v>2</v>
      </c>
      <c r="D16" s="31">
        <v>138</v>
      </c>
      <c r="E16" s="31">
        <f>E15+D16</f>
        <v>272</v>
      </c>
      <c r="F16" s="25">
        <f t="shared" ref="F16:F39" si="3">D16/133</f>
        <v>1.0375939849624061</v>
      </c>
      <c r="G16" s="25">
        <f>G15+F16</f>
        <v>2.0475939849624059</v>
      </c>
      <c r="H16" s="25"/>
      <c r="I16" s="25">
        <v>7.92</v>
      </c>
      <c r="J16" s="31">
        <v>834</v>
      </c>
      <c r="K16" s="12">
        <v>178.4</v>
      </c>
      <c r="L16" s="31">
        <v>79</v>
      </c>
      <c r="M16" s="18">
        <v>5.0999999999999996</v>
      </c>
      <c r="N16" s="27">
        <v>0.99</v>
      </c>
      <c r="O16" s="31">
        <v>234</v>
      </c>
      <c r="P16" s="31">
        <v>28</v>
      </c>
      <c r="Q16" s="21">
        <v>53.42</v>
      </c>
      <c r="R16" s="21">
        <v>20.46</v>
      </c>
      <c r="S16" s="21">
        <v>117.1</v>
      </c>
      <c r="T16" s="21">
        <v>26.45</v>
      </c>
      <c r="U16" s="18">
        <v>6.556</v>
      </c>
      <c r="V16" s="169">
        <v>0.2</v>
      </c>
      <c r="W16" s="11">
        <v>0.187</v>
      </c>
      <c r="X16" s="81">
        <v>0.02</v>
      </c>
      <c r="Y16" s="33">
        <v>2.1999999999999999E-2</v>
      </c>
      <c r="Z16" s="81">
        <v>0.04</v>
      </c>
      <c r="AA16" s="11">
        <v>0.66900000000000004</v>
      </c>
      <c r="AC16" s="25">
        <f t="shared" si="0"/>
        <v>8.5997873680683039</v>
      </c>
      <c r="AD16" s="25">
        <f t="shared" ref="AD16:AD60" si="4">((Q16/20.04)+(R16/12.16)+(S16/22.99)+(U16/39.1))</f>
        <v>9.609426007689553</v>
      </c>
      <c r="AE16" s="25">
        <f t="shared" ref="AE16:AE60" si="5">ABS((AC16-AD16)/(AC16+AD16)*100)</f>
        <v>5.5446581836719711</v>
      </c>
      <c r="AG16" s="101">
        <v>7.92</v>
      </c>
      <c r="AH16" s="101">
        <v>6.9152100000000001</v>
      </c>
      <c r="AI16" s="101">
        <v>0.39119999999999999</v>
      </c>
      <c r="AJ16" s="101">
        <v>-1.4331</v>
      </c>
      <c r="AK16" s="101">
        <v>-1.6829000000000001</v>
      </c>
      <c r="AL16" s="101">
        <v>-2.6156999999999999</v>
      </c>
      <c r="AM16" s="101">
        <v>0.18559999999999999</v>
      </c>
      <c r="AN16" s="101">
        <v>-1.038</v>
      </c>
      <c r="AO16" s="101">
        <v>-1.1212</v>
      </c>
      <c r="AP16" s="101">
        <v>-0.80559999999999998</v>
      </c>
      <c r="AR16" s="50">
        <f t="shared" ref="AR16:AR27" si="6">L16/1000</f>
        <v>7.9000000000000001E-2</v>
      </c>
      <c r="AS16" s="50">
        <f t="shared" ref="AS16:AS27" si="7">AU16/($AT$7)</f>
        <v>0.54056551218618276</v>
      </c>
      <c r="AT16" s="50">
        <f t="shared" ref="AT16:AT35" si="8">(AR16-$AR$13)*0.133</f>
        <v>1.00947E-2</v>
      </c>
      <c r="AU16" s="50">
        <f>AU15-AT16</f>
        <v>0.29498659999999993</v>
      </c>
      <c r="AV16" s="50">
        <f t="shared" ref="AV16:AV27" si="9">AS16/AR16</f>
        <v>6.842601420078263</v>
      </c>
    </row>
    <row r="17" spans="1:48" x14ac:dyDescent="0.35">
      <c r="A17" s="104">
        <v>14</v>
      </c>
      <c r="B17" s="28">
        <v>43678</v>
      </c>
      <c r="C17" s="31">
        <v>3</v>
      </c>
      <c r="D17" s="31">
        <v>140</v>
      </c>
      <c r="E17" s="31">
        <f t="shared" ref="E17:E34" si="10">E16+D17</f>
        <v>412</v>
      </c>
      <c r="F17" s="25">
        <f t="shared" si="3"/>
        <v>1.0526315789473684</v>
      </c>
      <c r="G17" s="25">
        <f t="shared" ref="G17:G20" si="11">G16+F17</f>
        <v>3.100225563909774</v>
      </c>
      <c r="H17" s="25"/>
      <c r="I17" s="31">
        <v>7.96</v>
      </c>
      <c r="J17" s="31">
        <v>658</v>
      </c>
      <c r="K17" s="12">
        <v>161.19999999999999</v>
      </c>
      <c r="L17" s="27">
        <v>75</v>
      </c>
      <c r="M17" s="18">
        <v>3.9</v>
      </c>
      <c r="N17" s="27">
        <v>0.51</v>
      </c>
      <c r="O17" s="31">
        <v>156</v>
      </c>
      <c r="P17" s="31">
        <v>22</v>
      </c>
      <c r="Q17" s="21">
        <v>38.83</v>
      </c>
      <c r="R17" s="21">
        <v>14.98</v>
      </c>
      <c r="S17" s="21">
        <v>91.48</v>
      </c>
      <c r="T17" s="21">
        <v>28.21</v>
      </c>
      <c r="U17" s="18">
        <v>5.8780000000000001</v>
      </c>
      <c r="V17" s="169">
        <v>0.1</v>
      </c>
      <c r="W17" s="11">
        <v>0.22500000000000001</v>
      </c>
      <c r="X17" s="103">
        <v>1.6E-2</v>
      </c>
      <c r="Y17" s="33">
        <v>0.02</v>
      </c>
      <c r="Z17" s="81">
        <v>0.02</v>
      </c>
      <c r="AA17" s="11">
        <v>0.51100000000000001</v>
      </c>
      <c r="AC17" s="25">
        <f t="shared" si="0"/>
        <v>6.5902099295622563</v>
      </c>
      <c r="AD17" s="25">
        <f t="shared" si="4"/>
        <v>7.298986483166046</v>
      </c>
      <c r="AE17" s="25">
        <f t="shared" si="5"/>
        <v>5.1030781950369315</v>
      </c>
      <c r="AG17" s="101">
        <v>7.96</v>
      </c>
      <c r="AH17" s="101">
        <v>6.1475299999999997</v>
      </c>
      <c r="AI17" s="101">
        <v>0.29520000000000002</v>
      </c>
      <c r="AJ17" s="101">
        <v>-1.6761999999999999</v>
      </c>
      <c r="AK17" s="101">
        <v>-1.9259999999999999</v>
      </c>
      <c r="AL17" s="101">
        <v>-2.6922999999999999</v>
      </c>
      <c r="AM17" s="101">
        <v>-6.1999999999999998E-3</v>
      </c>
      <c r="AN17" s="101">
        <v>-1.0346</v>
      </c>
      <c r="AO17" s="101">
        <v>-1.1184000000000001</v>
      </c>
      <c r="AP17" s="101">
        <v>-0.90139999999999998</v>
      </c>
      <c r="AR17" s="50">
        <f t="shared" si="6"/>
        <v>7.4999999999999997E-2</v>
      </c>
      <c r="AS17" s="50">
        <f t="shared" si="7"/>
        <v>0.52304178119846068</v>
      </c>
      <c r="AT17" s="50">
        <f t="shared" si="8"/>
        <v>9.5626999999999986E-3</v>
      </c>
      <c r="AU17" s="50">
        <f t="shared" ref="AU17:AU27" si="12">AU16-AT17</f>
        <v>0.28542389999999995</v>
      </c>
      <c r="AV17" s="50">
        <f t="shared" si="9"/>
        <v>6.9738904159794757</v>
      </c>
    </row>
    <row r="18" spans="1:48" x14ac:dyDescent="0.35">
      <c r="A18" s="104">
        <v>14</v>
      </c>
      <c r="B18" s="28">
        <v>43679</v>
      </c>
      <c r="C18" s="31">
        <v>4</v>
      </c>
      <c r="D18" s="31">
        <v>134</v>
      </c>
      <c r="E18" s="31">
        <f t="shared" si="10"/>
        <v>546</v>
      </c>
      <c r="F18" s="25">
        <f t="shared" si="3"/>
        <v>1.0075187969924813</v>
      </c>
      <c r="G18" s="25">
        <f t="shared" si="11"/>
        <v>4.107744360902255</v>
      </c>
      <c r="H18" s="25"/>
      <c r="I18" s="31">
        <v>7.99</v>
      </c>
      <c r="J18" s="31">
        <v>606</v>
      </c>
      <c r="K18" s="12">
        <v>141.4</v>
      </c>
      <c r="L18" s="27">
        <v>64</v>
      </c>
      <c r="M18" s="18">
        <v>4</v>
      </c>
      <c r="N18" s="169">
        <v>0.5</v>
      </c>
      <c r="O18" s="31">
        <v>141</v>
      </c>
      <c r="P18" s="31">
        <v>18</v>
      </c>
      <c r="Q18" s="21">
        <v>37.51</v>
      </c>
      <c r="R18" s="21">
        <v>14.59</v>
      </c>
      <c r="S18" s="21">
        <v>77.5</v>
      </c>
      <c r="T18" s="21">
        <v>28.32</v>
      </c>
      <c r="U18" s="18">
        <v>5.6029999999999998</v>
      </c>
      <c r="V18" s="169">
        <v>0.1</v>
      </c>
      <c r="W18" s="11">
        <v>0.17699999999999999</v>
      </c>
      <c r="X18" s="81">
        <v>0.01</v>
      </c>
      <c r="Y18" s="33">
        <v>2.7E-2</v>
      </c>
      <c r="Z18" s="81">
        <v>0.02</v>
      </c>
      <c r="AA18" s="11">
        <v>0.48599999999999999</v>
      </c>
      <c r="AC18" s="25">
        <f t="shared" si="0"/>
        <v>5.8845647042166966</v>
      </c>
      <c r="AD18" s="25">
        <f t="shared" si="4"/>
        <v>6.5859221290709167</v>
      </c>
      <c r="AE18" s="25">
        <f t="shared" si="5"/>
        <v>5.6241382893094336</v>
      </c>
      <c r="AG18" s="101">
        <v>7.99</v>
      </c>
      <c r="AH18" s="101">
        <v>6.8523300000000003</v>
      </c>
      <c r="AI18" s="101">
        <v>0.26619999999999999</v>
      </c>
      <c r="AJ18" s="101">
        <v>-1.7155</v>
      </c>
      <c r="AK18" s="101">
        <v>-1.9654</v>
      </c>
      <c r="AL18" s="101">
        <v>-2.7787000000000002</v>
      </c>
      <c r="AM18" s="101">
        <v>-6.2100000000000002E-2</v>
      </c>
      <c r="AN18" s="101">
        <v>-0.91749999999999998</v>
      </c>
      <c r="AO18" s="101">
        <v>-1.2182999999999999</v>
      </c>
      <c r="AP18" s="101">
        <v>-0.92830000000000001</v>
      </c>
      <c r="AR18" s="50">
        <f t="shared" si="6"/>
        <v>6.4000000000000001E-2</v>
      </c>
      <c r="AS18" s="50">
        <f t="shared" si="7"/>
        <v>0.50819901044529958</v>
      </c>
      <c r="AT18" s="50">
        <f t="shared" si="8"/>
        <v>8.0997000000000013E-3</v>
      </c>
      <c r="AU18" s="50">
        <f t="shared" si="12"/>
        <v>0.27732419999999997</v>
      </c>
      <c r="AV18" s="50">
        <f t="shared" si="9"/>
        <v>7.9406095382078057</v>
      </c>
    </row>
    <row r="19" spans="1:48" x14ac:dyDescent="0.35">
      <c r="A19" s="104">
        <v>14</v>
      </c>
      <c r="B19" s="28">
        <v>43680</v>
      </c>
      <c r="C19" s="31">
        <v>5</v>
      </c>
      <c r="D19" s="31">
        <v>134</v>
      </c>
      <c r="E19" s="31">
        <f t="shared" si="10"/>
        <v>680</v>
      </c>
      <c r="F19" s="25">
        <f t="shared" si="3"/>
        <v>1.0075187969924813</v>
      </c>
      <c r="G19" s="25">
        <f t="shared" si="11"/>
        <v>5.1152631578947361</v>
      </c>
      <c r="H19" s="25"/>
      <c r="I19" s="31">
        <v>8.11</v>
      </c>
      <c r="J19" s="31">
        <v>576</v>
      </c>
      <c r="K19" s="12">
        <v>135.80000000000001</v>
      </c>
      <c r="L19" s="27">
        <v>65</v>
      </c>
      <c r="M19" s="18">
        <v>4</v>
      </c>
      <c r="N19" s="169">
        <v>0.5</v>
      </c>
      <c r="O19" s="31">
        <v>139</v>
      </c>
      <c r="P19" s="31">
        <v>16</v>
      </c>
      <c r="Q19" s="21">
        <v>48.52</v>
      </c>
      <c r="R19" s="21">
        <v>20.74</v>
      </c>
      <c r="S19" s="21">
        <v>43</v>
      </c>
      <c r="T19" s="21">
        <v>29.52</v>
      </c>
      <c r="U19" s="18">
        <v>5.8550000000000004</v>
      </c>
      <c r="V19" s="169">
        <v>0.1</v>
      </c>
      <c r="W19" s="11">
        <v>0.11</v>
      </c>
      <c r="X19" s="81">
        <v>0.01</v>
      </c>
      <c r="Y19" s="33">
        <v>0.05</v>
      </c>
      <c r="Z19" s="81">
        <v>0.02</v>
      </c>
      <c r="AA19" s="11">
        <v>0.69899999999999995</v>
      </c>
      <c r="AC19" s="25">
        <f t="shared" si="0"/>
        <v>5.7309240629508214</v>
      </c>
      <c r="AD19" s="25">
        <f t="shared" si="4"/>
        <v>6.1468724608205418</v>
      </c>
      <c r="AE19" s="25">
        <f t="shared" si="5"/>
        <v>3.501898664767253</v>
      </c>
      <c r="AG19" s="101">
        <v>8.11</v>
      </c>
      <c r="AH19" s="101">
        <v>4.6673400000000003</v>
      </c>
      <c r="AI19" s="101">
        <v>0.47770000000000001</v>
      </c>
      <c r="AJ19" s="101">
        <v>-1.6229</v>
      </c>
      <c r="AK19" s="101">
        <v>-1.8727</v>
      </c>
      <c r="AL19" s="101">
        <v>-2.9207000000000001</v>
      </c>
      <c r="AM19" s="101">
        <v>0.4017</v>
      </c>
      <c r="AN19" s="101">
        <v>-0.54979999999999996</v>
      </c>
      <c r="AO19" s="101">
        <v>-1.3113999999999999</v>
      </c>
      <c r="AP19" s="101">
        <v>-0.67600000000000005</v>
      </c>
      <c r="AR19" s="50">
        <f t="shared" si="6"/>
        <v>6.5000000000000002E-2</v>
      </c>
      <c r="AS19" s="50">
        <f t="shared" si="7"/>
        <v>0.49311251603445116</v>
      </c>
      <c r="AT19" s="50">
        <f t="shared" si="8"/>
        <v>8.2327000000000008E-3</v>
      </c>
      <c r="AU19" s="50">
        <f t="shared" si="12"/>
        <v>0.26909149999999998</v>
      </c>
      <c r="AV19" s="50">
        <f t="shared" si="9"/>
        <v>7.5863464005300179</v>
      </c>
    </row>
    <row r="20" spans="1:48" x14ac:dyDescent="0.35">
      <c r="A20" s="104">
        <v>14</v>
      </c>
      <c r="B20" s="28">
        <v>43681</v>
      </c>
      <c r="C20" s="31">
        <v>6</v>
      </c>
      <c r="D20" s="31">
        <v>132</v>
      </c>
      <c r="E20" s="31">
        <f t="shared" si="10"/>
        <v>812</v>
      </c>
      <c r="F20" s="25">
        <f t="shared" si="3"/>
        <v>0.99248120300751874</v>
      </c>
      <c r="G20" s="25">
        <f t="shared" si="11"/>
        <v>6.107744360902255</v>
      </c>
      <c r="H20" s="25"/>
      <c r="I20" s="31">
        <v>7.95</v>
      </c>
      <c r="J20" s="31">
        <v>558</v>
      </c>
      <c r="K20" s="12">
        <v>132</v>
      </c>
      <c r="L20" s="27">
        <v>60</v>
      </c>
      <c r="M20" s="18">
        <v>3.8</v>
      </c>
      <c r="N20" s="27">
        <v>0.63</v>
      </c>
      <c r="O20" s="31">
        <v>139</v>
      </c>
      <c r="P20" s="31">
        <v>15</v>
      </c>
      <c r="Q20" s="21">
        <v>54.62</v>
      </c>
      <c r="R20" s="21">
        <v>23.78</v>
      </c>
      <c r="S20" s="21">
        <v>30.11</v>
      </c>
      <c r="T20" s="21">
        <v>29.41</v>
      </c>
      <c r="U20" s="18">
        <v>5.327</v>
      </c>
      <c r="V20" s="169">
        <v>0.1</v>
      </c>
      <c r="W20" s="103">
        <v>6.7000000000000004E-2</v>
      </c>
      <c r="X20" s="81">
        <v>0.01</v>
      </c>
      <c r="Y20" s="33">
        <v>6.7000000000000004E-2</v>
      </c>
      <c r="Z20" s="81">
        <v>0.02</v>
      </c>
      <c r="AA20" s="11">
        <v>0.78</v>
      </c>
      <c r="AC20" s="25">
        <f t="shared" si="0"/>
        <v>5.651379088202197</v>
      </c>
      <c r="AD20" s="25">
        <f t="shared" si="4"/>
        <v>6.1270812861744099</v>
      </c>
      <c r="AE20" s="25">
        <f t="shared" si="5"/>
        <v>4.038746855294236</v>
      </c>
      <c r="AG20" s="101">
        <v>7.95</v>
      </c>
      <c r="AH20" s="101">
        <v>5.34659</v>
      </c>
      <c r="AI20" s="101">
        <v>0.36080000000000001</v>
      </c>
      <c r="AJ20" s="101">
        <v>-1.5783</v>
      </c>
      <c r="AK20" s="101">
        <v>-1.8282</v>
      </c>
      <c r="AL20" s="101">
        <v>-2.7711999999999999</v>
      </c>
      <c r="AM20" s="101">
        <v>0.17469999999999999</v>
      </c>
      <c r="AN20" s="101">
        <v>-0.59309999999999996</v>
      </c>
      <c r="AO20" s="101">
        <v>-1.4743999999999999</v>
      </c>
      <c r="AP20" s="101">
        <v>-0.78610000000000002</v>
      </c>
      <c r="AR20" s="50">
        <f t="shared" si="6"/>
        <v>0.06</v>
      </c>
      <c r="AS20" s="50">
        <f t="shared" si="7"/>
        <v>0.47924463991203958</v>
      </c>
      <c r="AT20" s="50">
        <f t="shared" si="8"/>
        <v>7.5677000000000001E-3</v>
      </c>
      <c r="AU20" s="50">
        <f t="shared" si="12"/>
        <v>0.26152379999999997</v>
      </c>
      <c r="AV20" s="50">
        <f t="shared" si="9"/>
        <v>7.9874106652006596</v>
      </c>
    </row>
    <row r="21" spans="1:48" x14ac:dyDescent="0.35">
      <c r="A21" s="104">
        <v>14</v>
      </c>
      <c r="B21" s="28">
        <v>43682</v>
      </c>
      <c r="C21" s="31">
        <v>7</v>
      </c>
      <c r="D21" s="31">
        <v>134</v>
      </c>
      <c r="E21" s="31">
        <f t="shared" si="10"/>
        <v>946</v>
      </c>
      <c r="F21" s="25">
        <f t="shared" si="3"/>
        <v>1.0075187969924813</v>
      </c>
      <c r="G21" s="25">
        <f>G20+F21</f>
        <v>7.1152631578947361</v>
      </c>
      <c r="H21" s="25"/>
      <c r="I21" s="31">
        <v>7.93</v>
      </c>
      <c r="J21" s="31">
        <v>550</v>
      </c>
      <c r="K21" s="31">
        <v>131</v>
      </c>
      <c r="L21" s="27">
        <v>57</v>
      </c>
      <c r="M21" s="18">
        <v>3.9</v>
      </c>
      <c r="N21" s="27">
        <v>0.61</v>
      </c>
      <c r="O21" s="31">
        <v>138</v>
      </c>
      <c r="P21" s="31">
        <v>14</v>
      </c>
      <c r="Q21" s="21">
        <v>56.62</v>
      </c>
      <c r="R21" s="21">
        <v>23.21</v>
      </c>
      <c r="S21" s="21">
        <v>26.67</v>
      </c>
      <c r="T21" s="21">
        <v>28.45</v>
      </c>
      <c r="U21" s="18">
        <v>4.6639999999999997</v>
      </c>
      <c r="V21" s="169">
        <v>0.1</v>
      </c>
      <c r="W21" s="103">
        <v>3.9E-2</v>
      </c>
      <c r="X21" s="81">
        <v>0.01</v>
      </c>
      <c r="Y21" s="33">
        <v>7.8E-2</v>
      </c>
      <c r="Z21" s="81">
        <v>0.02</v>
      </c>
      <c r="AA21" s="11">
        <v>0.79300000000000004</v>
      </c>
      <c r="AC21" s="25">
        <f t="shared" si="0"/>
        <v>5.6130570613951836</v>
      </c>
      <c r="AD21" s="25">
        <f t="shared" si="4"/>
        <v>6.0134198896046884</v>
      </c>
      <c r="AE21" s="25">
        <f t="shared" si="5"/>
        <v>3.4435438172444299</v>
      </c>
      <c r="AG21" s="101">
        <v>7.93</v>
      </c>
      <c r="AH21" s="101">
        <v>4.7417699999999998</v>
      </c>
      <c r="AI21" s="101">
        <v>0.35460000000000003</v>
      </c>
      <c r="AJ21" s="101">
        <v>-1.5650999999999999</v>
      </c>
      <c r="AK21" s="101">
        <v>-1.8149999999999999</v>
      </c>
      <c r="AL21" s="101">
        <v>-2.7541000000000002</v>
      </c>
      <c r="AM21" s="101">
        <v>0.1361</v>
      </c>
      <c r="AN21" s="101">
        <v>-0.54900000000000004</v>
      </c>
      <c r="AO21" s="101">
        <v>-1.6919999999999999</v>
      </c>
      <c r="AP21" s="101">
        <v>-0.81850000000000001</v>
      </c>
      <c r="AR21" s="50">
        <f t="shared" si="6"/>
        <v>5.7000000000000002E-2</v>
      </c>
      <c r="AS21" s="50">
        <f t="shared" si="7"/>
        <v>0.46610793476269008</v>
      </c>
      <c r="AT21" s="50">
        <f t="shared" si="8"/>
        <v>7.1687000000000009E-3</v>
      </c>
      <c r="AU21" s="50">
        <f t="shared" si="12"/>
        <v>0.25435509999999995</v>
      </c>
      <c r="AV21" s="50">
        <f t="shared" si="9"/>
        <v>8.1773321888191237</v>
      </c>
    </row>
    <row r="22" spans="1:48" x14ac:dyDescent="0.35">
      <c r="A22" s="104">
        <v>14</v>
      </c>
      <c r="B22" s="28">
        <v>43683</v>
      </c>
      <c r="C22" s="31">
        <v>8</v>
      </c>
      <c r="D22" s="31">
        <v>134</v>
      </c>
      <c r="E22" s="31">
        <f t="shared" si="10"/>
        <v>1080</v>
      </c>
      <c r="F22" s="25">
        <f t="shared" si="3"/>
        <v>1.0075187969924813</v>
      </c>
      <c r="G22" s="25">
        <f>F22+G21</f>
        <v>8.122781954887218</v>
      </c>
      <c r="H22" s="25"/>
      <c r="I22" s="31">
        <v>7.87</v>
      </c>
      <c r="J22" s="31">
        <v>566</v>
      </c>
      <c r="K22" s="12">
        <v>129.80000000000001</v>
      </c>
      <c r="L22" s="31">
        <v>53</v>
      </c>
      <c r="M22" s="18">
        <v>4</v>
      </c>
      <c r="N22" s="27">
        <v>0.86</v>
      </c>
      <c r="O22" s="31">
        <v>138</v>
      </c>
      <c r="P22" s="31">
        <v>15</v>
      </c>
      <c r="Q22" s="21">
        <v>56.69</v>
      </c>
      <c r="R22" s="21">
        <v>23.31</v>
      </c>
      <c r="S22" s="21">
        <v>24.69</v>
      </c>
      <c r="T22" s="21">
        <v>28.97</v>
      </c>
      <c r="U22" s="18">
        <v>4.6369999999999996</v>
      </c>
      <c r="V22" s="169">
        <v>0.1</v>
      </c>
      <c r="W22" s="103">
        <v>2.3E-2</v>
      </c>
      <c r="X22" s="81">
        <v>0.01</v>
      </c>
      <c r="Y22" s="33">
        <v>8.7999999999999995E-2</v>
      </c>
      <c r="Z22" s="81">
        <v>0.02</v>
      </c>
      <c r="AA22" s="11">
        <v>0.80500000000000005</v>
      </c>
      <c r="AC22" s="25">
        <f t="shared" si="0"/>
        <v>5.595910193930786</v>
      </c>
      <c r="AD22" s="25">
        <f t="shared" si="4"/>
        <v>5.9383216487889969</v>
      </c>
      <c r="AE22" s="25">
        <f t="shared" si="5"/>
        <v>2.9686541724435278</v>
      </c>
      <c r="AG22" s="101">
        <v>7.87</v>
      </c>
      <c r="AH22" s="101">
        <v>4.2991799999999998</v>
      </c>
      <c r="AI22" s="101">
        <v>0.29339999999999999</v>
      </c>
      <c r="AJ22" s="101">
        <v>-1.5636000000000001</v>
      </c>
      <c r="AK22" s="101">
        <v>-1.8134999999999999</v>
      </c>
      <c r="AL22" s="101">
        <v>-2.6968000000000001</v>
      </c>
      <c r="AM22" s="101">
        <v>1.47E-2</v>
      </c>
      <c r="AN22" s="101">
        <v>-0.55859999999999999</v>
      </c>
      <c r="AO22" s="101">
        <v>-1.9196</v>
      </c>
      <c r="AP22" s="101">
        <v>-0.87870000000000004</v>
      </c>
      <c r="AR22" s="50">
        <f t="shared" si="6"/>
        <v>5.2999999999999999E-2</v>
      </c>
      <c r="AS22" s="50">
        <f t="shared" si="7"/>
        <v>0.45394612424409009</v>
      </c>
      <c r="AT22" s="50">
        <f t="shared" si="8"/>
        <v>6.6367000000000006E-3</v>
      </c>
      <c r="AU22" s="50">
        <f t="shared" si="12"/>
        <v>0.24771839999999995</v>
      </c>
      <c r="AV22" s="50">
        <f t="shared" si="9"/>
        <v>8.5650212121526437</v>
      </c>
    </row>
    <row r="23" spans="1:48" x14ac:dyDescent="0.35">
      <c r="A23" s="104">
        <v>14</v>
      </c>
      <c r="B23" s="28">
        <v>43684</v>
      </c>
      <c r="C23" s="31">
        <v>9</v>
      </c>
      <c r="D23" s="31">
        <v>134</v>
      </c>
      <c r="E23" s="31">
        <f t="shared" si="10"/>
        <v>1214</v>
      </c>
      <c r="F23" s="25">
        <f t="shared" si="3"/>
        <v>1.0075187969924813</v>
      </c>
      <c r="G23" s="25">
        <f>G22+F23</f>
        <v>9.1303007518796999</v>
      </c>
      <c r="H23" s="25"/>
      <c r="I23" s="31">
        <v>8.1</v>
      </c>
      <c r="J23" s="31">
        <v>562</v>
      </c>
      <c r="K23" s="12">
        <v>128</v>
      </c>
      <c r="L23" s="27">
        <v>52</v>
      </c>
      <c r="M23" s="18">
        <v>4</v>
      </c>
      <c r="N23" s="27">
        <v>0.78</v>
      </c>
      <c r="O23" s="31">
        <v>137</v>
      </c>
      <c r="P23" s="31">
        <v>14</v>
      </c>
      <c r="Q23" s="12">
        <v>55.99</v>
      </c>
      <c r="R23" s="12">
        <v>23.05</v>
      </c>
      <c r="S23" s="12">
        <v>24.1</v>
      </c>
      <c r="T23" s="12">
        <v>28.18</v>
      </c>
      <c r="U23" s="6">
        <v>4.258</v>
      </c>
      <c r="V23" s="169">
        <v>0.2</v>
      </c>
      <c r="W23" s="81">
        <v>0.02</v>
      </c>
      <c r="X23" s="81">
        <v>0.02</v>
      </c>
      <c r="Y23" s="33">
        <v>9.1999999999999998E-2</v>
      </c>
      <c r="Z23" s="81">
        <v>0.04</v>
      </c>
      <c r="AA23" s="11">
        <v>0.80900000000000005</v>
      </c>
      <c r="AC23" s="25">
        <f t="shared" si="0"/>
        <v>5.5377995507172031</v>
      </c>
      <c r="AD23" s="25">
        <f t="shared" si="4"/>
        <v>5.8466535036084846</v>
      </c>
      <c r="AE23" s="25">
        <f t="shared" si="5"/>
        <v>2.7129450261462318</v>
      </c>
      <c r="AG23" s="101">
        <v>8.1</v>
      </c>
      <c r="AH23" s="101">
        <v>4.0262399999999996</v>
      </c>
      <c r="AI23" s="101">
        <v>0.50539999999999996</v>
      </c>
      <c r="AJ23" s="101">
        <v>-1.5710999999999999</v>
      </c>
      <c r="AK23" s="101">
        <v>-1.821</v>
      </c>
      <c r="AL23" s="101">
        <v>-2.9384999999999999</v>
      </c>
      <c r="AM23" s="101">
        <v>0.44009999999999999</v>
      </c>
      <c r="AN23" s="101">
        <v>-0.31990000000000002</v>
      </c>
      <c r="AO23" s="101">
        <v>-1.9855</v>
      </c>
      <c r="AP23" s="101">
        <v>-0.6653</v>
      </c>
      <c r="AR23" s="50">
        <f t="shared" si="6"/>
        <v>5.1999999999999998E-2</v>
      </c>
      <c r="AS23" s="50">
        <f t="shared" si="7"/>
        <v>0.44202803738317753</v>
      </c>
      <c r="AT23" s="50">
        <f t="shared" si="8"/>
        <v>6.5037000000000003E-3</v>
      </c>
      <c r="AU23" s="50">
        <f t="shared" si="12"/>
        <v>0.24121469999999995</v>
      </c>
      <c r="AV23" s="50">
        <f t="shared" si="9"/>
        <v>8.5005391804457222</v>
      </c>
    </row>
    <row r="24" spans="1:48" x14ac:dyDescent="0.35">
      <c r="A24" s="104">
        <v>14</v>
      </c>
      <c r="B24" s="28">
        <v>43685</v>
      </c>
      <c r="C24" s="31">
        <v>10</v>
      </c>
      <c r="D24" s="31">
        <v>134</v>
      </c>
      <c r="E24" s="31">
        <f t="shared" si="10"/>
        <v>1348</v>
      </c>
      <c r="F24" s="25">
        <f t="shared" si="3"/>
        <v>1.0075187969924813</v>
      </c>
      <c r="G24" s="25">
        <f t="shared" ref="G24:G35" si="13">G23+F24</f>
        <v>10.137819548872182</v>
      </c>
      <c r="H24" s="25"/>
      <c r="I24" s="31">
        <v>8.01</v>
      </c>
      <c r="J24" s="31">
        <v>574</v>
      </c>
      <c r="K24" s="12">
        <v>124.4</v>
      </c>
      <c r="L24" s="27">
        <v>48</v>
      </c>
      <c r="M24" s="18">
        <v>3.9</v>
      </c>
      <c r="N24" s="27">
        <v>0.83</v>
      </c>
      <c r="O24" s="31">
        <v>136</v>
      </c>
      <c r="P24" s="31">
        <v>14</v>
      </c>
      <c r="Q24" s="21">
        <v>56</v>
      </c>
      <c r="R24" s="21">
        <v>23.45</v>
      </c>
      <c r="S24" s="21">
        <v>23.55</v>
      </c>
      <c r="T24" s="21">
        <v>28.4</v>
      </c>
      <c r="U24" s="18">
        <v>4.1710000000000003</v>
      </c>
      <c r="V24" s="169">
        <v>0.2</v>
      </c>
      <c r="W24" s="81">
        <v>0.02</v>
      </c>
      <c r="X24" s="81">
        <v>0.02</v>
      </c>
      <c r="Y24" s="11">
        <v>0.10199999999999999</v>
      </c>
      <c r="Z24" s="81">
        <v>0.04</v>
      </c>
      <c r="AA24" s="11">
        <v>0.80400000000000005</v>
      </c>
      <c r="AC24" s="25">
        <f t="shared" si="0"/>
        <v>5.4429648072260823</v>
      </c>
      <c r="AD24" s="25">
        <f t="shared" si="4"/>
        <v>5.8538987335319028</v>
      </c>
      <c r="AE24" s="25">
        <f t="shared" si="5"/>
        <v>3.6375930790277393</v>
      </c>
      <c r="AG24" s="101">
        <v>8.01</v>
      </c>
      <c r="AH24" s="101">
        <v>5.0443800000000003</v>
      </c>
      <c r="AI24" s="101">
        <v>0.40770000000000001</v>
      </c>
      <c r="AJ24" s="101">
        <v>-1.5728</v>
      </c>
      <c r="AK24" s="101">
        <v>-1.8227</v>
      </c>
      <c r="AL24" s="101">
        <v>-2.8582000000000001</v>
      </c>
      <c r="AM24" s="101">
        <v>0.2515</v>
      </c>
      <c r="AN24" s="101">
        <v>-0.37380000000000002</v>
      </c>
      <c r="AO24" s="101">
        <v>-1.9832000000000001</v>
      </c>
      <c r="AP24" s="101">
        <v>-0.75629999999999997</v>
      </c>
      <c r="AR24" s="50">
        <f t="shared" si="6"/>
        <v>4.8000000000000001E-2</v>
      </c>
      <c r="AS24" s="50">
        <f t="shared" si="7"/>
        <v>0.43108484515301443</v>
      </c>
      <c r="AT24" s="50">
        <f t="shared" si="8"/>
        <v>5.9717000000000008E-3</v>
      </c>
      <c r="AU24" s="50">
        <f t="shared" si="12"/>
        <v>0.23524299999999995</v>
      </c>
      <c r="AV24" s="50">
        <f t="shared" si="9"/>
        <v>8.9809342740211342</v>
      </c>
    </row>
    <row r="25" spans="1:48" x14ac:dyDescent="0.35">
      <c r="A25" s="104">
        <v>14</v>
      </c>
      <c r="B25" s="28">
        <v>43686</v>
      </c>
      <c r="C25" s="31">
        <v>11</v>
      </c>
      <c r="D25" s="31">
        <v>129</v>
      </c>
      <c r="E25" s="31">
        <f t="shared" si="10"/>
        <v>1477</v>
      </c>
      <c r="F25" s="25">
        <f t="shared" si="3"/>
        <v>0.96992481203007519</v>
      </c>
      <c r="G25" s="25">
        <f t="shared" si="13"/>
        <v>11.107744360902258</v>
      </c>
      <c r="H25" s="25"/>
      <c r="I25" s="31">
        <v>8.08</v>
      </c>
      <c r="J25" s="31">
        <v>601</v>
      </c>
      <c r="K25" s="12">
        <v>127.8</v>
      </c>
      <c r="L25" s="27">
        <v>44</v>
      </c>
      <c r="M25" s="18">
        <v>4</v>
      </c>
      <c r="N25" s="27">
        <v>0.92</v>
      </c>
      <c r="O25" s="31">
        <v>136</v>
      </c>
      <c r="P25" s="31">
        <v>15</v>
      </c>
      <c r="Q25" s="21">
        <v>56.03</v>
      </c>
      <c r="R25" s="21">
        <v>22.99</v>
      </c>
      <c r="S25" s="21">
        <v>22.92</v>
      </c>
      <c r="T25" s="21">
        <v>28.61</v>
      </c>
      <c r="U25" s="18">
        <v>4.0949999999999998</v>
      </c>
      <c r="V25" s="169">
        <v>0.2</v>
      </c>
      <c r="W25" s="81">
        <v>0.02</v>
      </c>
      <c r="X25" s="81">
        <v>0.02</v>
      </c>
      <c r="Y25" s="11">
        <v>0.109</v>
      </c>
      <c r="Z25" s="81">
        <v>0.04</v>
      </c>
      <c r="AA25" s="11">
        <v>0.79800000000000004</v>
      </c>
      <c r="AC25" s="25">
        <f t="shared" si="0"/>
        <v>5.5152372946003947</v>
      </c>
      <c r="AD25" s="25">
        <f t="shared" si="4"/>
        <v>5.7882198393453823</v>
      </c>
      <c r="AE25" s="25">
        <f t="shared" si="5"/>
        <v>2.4150358736282986</v>
      </c>
      <c r="AG25" s="101">
        <v>8.08</v>
      </c>
      <c r="AH25" s="101">
        <v>3.7256399999999998</v>
      </c>
      <c r="AI25" s="101">
        <v>0.48670000000000002</v>
      </c>
      <c r="AJ25" s="101">
        <v>-1.5728</v>
      </c>
      <c r="AK25" s="101">
        <v>-1.8227</v>
      </c>
      <c r="AL25" s="101">
        <v>-2.9184999999999999</v>
      </c>
      <c r="AM25" s="101">
        <v>0.40110000000000001</v>
      </c>
      <c r="AN25" s="101">
        <v>-0.26550000000000001</v>
      </c>
      <c r="AO25" s="101">
        <v>-1.9839</v>
      </c>
      <c r="AP25" s="101">
        <v>-0.68559999999999999</v>
      </c>
      <c r="AR25" s="50">
        <f t="shared" si="6"/>
        <v>4.3999999999999997E-2</v>
      </c>
      <c r="AS25" s="50">
        <f t="shared" si="7"/>
        <v>0.42111654755360084</v>
      </c>
      <c r="AT25" s="50">
        <f t="shared" si="8"/>
        <v>5.4397000000000004E-3</v>
      </c>
      <c r="AU25" s="50">
        <f t="shared" si="12"/>
        <v>0.22980329999999996</v>
      </c>
      <c r="AV25" s="50">
        <f t="shared" si="9"/>
        <v>9.5708306262182017</v>
      </c>
    </row>
    <row r="26" spans="1:48" x14ac:dyDescent="0.35">
      <c r="A26" s="104">
        <v>14</v>
      </c>
      <c r="B26" s="28">
        <v>43687</v>
      </c>
      <c r="C26" s="31">
        <v>12</v>
      </c>
      <c r="D26" s="31">
        <v>131</v>
      </c>
      <c r="E26" s="31">
        <f t="shared" si="10"/>
        <v>1608</v>
      </c>
      <c r="F26" s="25">
        <f t="shared" si="3"/>
        <v>0.98496240601503759</v>
      </c>
      <c r="G26" s="25">
        <f t="shared" si="13"/>
        <v>12.092706766917296</v>
      </c>
      <c r="H26" s="25"/>
      <c r="I26" s="31">
        <v>8.07</v>
      </c>
      <c r="J26" s="31">
        <v>554</v>
      </c>
      <c r="K26" s="12">
        <v>126.4</v>
      </c>
      <c r="L26" s="27">
        <v>42</v>
      </c>
      <c r="M26" s="18">
        <v>3.7</v>
      </c>
      <c r="N26" s="27">
        <v>0.94</v>
      </c>
      <c r="O26" s="31">
        <v>135</v>
      </c>
      <c r="P26" s="31">
        <v>14</v>
      </c>
      <c r="Q26" s="21">
        <v>56.34</v>
      </c>
      <c r="R26" s="21">
        <v>23.56</v>
      </c>
      <c r="S26" s="21">
        <v>23</v>
      </c>
      <c r="T26" s="21">
        <v>28.77</v>
      </c>
      <c r="U26" s="18">
        <v>4.1319999999999997</v>
      </c>
      <c r="V26" s="169">
        <v>0.2</v>
      </c>
      <c r="W26" s="81">
        <v>0.02</v>
      </c>
      <c r="X26" s="81">
        <v>0.02</v>
      </c>
      <c r="Y26" s="11">
        <v>0.1</v>
      </c>
      <c r="Z26" s="81">
        <v>0.04</v>
      </c>
      <c r="AA26" s="11">
        <v>0.80300000000000005</v>
      </c>
      <c r="AC26" s="25">
        <f t="shared" si="0"/>
        <v>5.4582769311993591</v>
      </c>
      <c r="AD26" s="25">
        <f t="shared" si="4"/>
        <v>5.8549899665964338</v>
      </c>
      <c r="AE26" s="25">
        <f t="shared" si="5"/>
        <v>3.5066178406377726</v>
      </c>
      <c r="AG26" s="101">
        <v>8.07</v>
      </c>
      <c r="AH26" s="101">
        <v>4.8597200000000003</v>
      </c>
      <c r="AI26" s="101">
        <v>0.47499999999999998</v>
      </c>
      <c r="AJ26" s="101">
        <v>-1.5742</v>
      </c>
      <c r="AK26" s="101">
        <v>-1.8241000000000001</v>
      </c>
      <c r="AL26" s="101">
        <v>-2.9131999999999998</v>
      </c>
      <c r="AM26" s="101">
        <v>0.3856</v>
      </c>
      <c r="AN26" s="101">
        <v>-0.31740000000000002</v>
      </c>
      <c r="AO26" s="101">
        <v>-1.9811000000000001</v>
      </c>
      <c r="AP26" s="101">
        <v>-0.68940000000000001</v>
      </c>
      <c r="AR26" s="50">
        <f t="shared" si="6"/>
        <v>4.2000000000000003E-2</v>
      </c>
      <c r="AS26" s="50">
        <f t="shared" si="7"/>
        <v>0.41163569726956201</v>
      </c>
      <c r="AT26" s="50">
        <f t="shared" si="8"/>
        <v>5.1737000000000007E-3</v>
      </c>
      <c r="AU26" s="50">
        <f t="shared" si="12"/>
        <v>0.22462959999999996</v>
      </c>
      <c r="AV26" s="50">
        <f t="shared" si="9"/>
        <v>9.8008499349895715</v>
      </c>
    </row>
    <row r="27" spans="1:48" x14ac:dyDescent="0.35">
      <c r="A27" s="104">
        <v>14</v>
      </c>
      <c r="B27" s="28">
        <v>43688</v>
      </c>
      <c r="C27" s="31">
        <v>13</v>
      </c>
      <c r="D27" s="31">
        <v>133</v>
      </c>
      <c r="E27" s="31">
        <f t="shared" si="10"/>
        <v>1741</v>
      </c>
      <c r="F27" s="25">
        <f t="shared" si="3"/>
        <v>1</v>
      </c>
      <c r="G27" s="25">
        <f t="shared" si="13"/>
        <v>13.092706766917296</v>
      </c>
      <c r="H27" s="25"/>
      <c r="I27" s="31">
        <v>7.99</v>
      </c>
      <c r="J27" s="31">
        <v>566</v>
      </c>
      <c r="K27" s="12">
        <v>125.4</v>
      </c>
      <c r="L27" s="27">
        <v>41</v>
      </c>
      <c r="M27" s="18">
        <v>3.8</v>
      </c>
      <c r="N27" s="18">
        <v>1</v>
      </c>
      <c r="O27" s="31">
        <v>136</v>
      </c>
      <c r="P27" s="31">
        <v>14</v>
      </c>
      <c r="Q27" s="21">
        <v>55.96</v>
      </c>
      <c r="R27" s="21">
        <v>23.26</v>
      </c>
      <c r="S27" s="21">
        <v>22.71</v>
      </c>
      <c r="T27" s="21">
        <v>28.26</v>
      </c>
      <c r="U27" s="18">
        <v>3.9529999999999998</v>
      </c>
      <c r="V27" s="169">
        <v>0.2</v>
      </c>
      <c r="W27" s="81">
        <v>0.02</v>
      </c>
      <c r="X27" s="81">
        <v>0.02</v>
      </c>
      <c r="Y27" s="33">
        <v>9.9000000000000005E-2</v>
      </c>
      <c r="Z27" s="81">
        <v>0.04</v>
      </c>
      <c r="AA27" s="11">
        <v>0.78500000000000003</v>
      </c>
      <c r="AC27" s="25">
        <f t="shared" si="0"/>
        <v>5.4628858682388675</v>
      </c>
      <c r="AD27" s="25">
        <f t="shared" si="4"/>
        <v>5.7941646529231674</v>
      </c>
      <c r="AE27" s="25">
        <f t="shared" si="5"/>
        <v>2.9428559822267095</v>
      </c>
      <c r="AG27" s="101">
        <v>7.99</v>
      </c>
      <c r="AH27" s="101">
        <v>4.26478</v>
      </c>
      <c r="AI27" s="101">
        <v>0.39179999999999998</v>
      </c>
      <c r="AJ27" s="101">
        <v>-1.5724</v>
      </c>
      <c r="AK27" s="101">
        <v>-1.8223</v>
      </c>
      <c r="AL27" s="101">
        <v>-2.8340999999999998</v>
      </c>
      <c r="AM27" s="101">
        <v>0.21629999999999999</v>
      </c>
      <c r="AN27" s="101">
        <v>-0.40250000000000002</v>
      </c>
      <c r="AO27" s="101">
        <v>-1.9831000000000001</v>
      </c>
      <c r="AP27" s="101">
        <v>-0.77549999999999997</v>
      </c>
      <c r="AR27" s="50">
        <f t="shared" si="6"/>
        <v>4.1000000000000002E-2</v>
      </c>
      <c r="AS27" s="50">
        <f t="shared" si="7"/>
        <v>0.4023985706432105</v>
      </c>
      <c r="AT27" s="50">
        <f t="shared" si="8"/>
        <v>5.0407000000000004E-3</v>
      </c>
      <c r="AU27" s="50">
        <f t="shared" si="12"/>
        <v>0.21958889999999995</v>
      </c>
      <c r="AV27" s="50">
        <f t="shared" si="9"/>
        <v>9.8145992839807441</v>
      </c>
    </row>
    <row r="28" spans="1:48" x14ac:dyDescent="0.35">
      <c r="A28" s="104">
        <v>14</v>
      </c>
      <c r="B28" s="28">
        <v>43689</v>
      </c>
      <c r="C28" s="31">
        <v>14</v>
      </c>
      <c r="D28" s="31">
        <v>132</v>
      </c>
      <c r="E28" s="31">
        <f t="shared" si="10"/>
        <v>1873</v>
      </c>
      <c r="F28" s="25">
        <f t="shared" si="3"/>
        <v>0.99248120300751874</v>
      </c>
      <c r="G28" s="25">
        <f t="shared" si="13"/>
        <v>14.085187969924814</v>
      </c>
      <c r="H28" s="25"/>
      <c r="I28" s="31">
        <v>7.93</v>
      </c>
      <c r="J28" s="31">
        <v>549</v>
      </c>
      <c r="K28" s="12">
        <v>128.19999999999999</v>
      </c>
      <c r="L28" s="27">
        <v>38</v>
      </c>
      <c r="M28" s="18">
        <v>4</v>
      </c>
      <c r="N28" s="27">
        <v>0.98</v>
      </c>
      <c r="O28" s="31">
        <v>136</v>
      </c>
      <c r="P28" s="31">
        <v>15</v>
      </c>
      <c r="Q28" s="21">
        <v>56</v>
      </c>
      <c r="R28" s="21">
        <v>23.09</v>
      </c>
      <c r="S28" s="21">
        <v>22.85</v>
      </c>
      <c r="T28" s="21">
        <v>28.7</v>
      </c>
      <c r="U28" s="18">
        <v>3.9950000000000001</v>
      </c>
      <c r="V28" s="169">
        <v>0.2</v>
      </c>
      <c r="W28" s="81">
        <v>0.02</v>
      </c>
      <c r="X28" s="81">
        <v>0.02</v>
      </c>
      <c r="Y28" s="33">
        <v>9.6000000000000002E-2</v>
      </c>
      <c r="Z28" s="81">
        <v>0.04</v>
      </c>
      <c r="AA28" s="11">
        <v>0.79100000000000004</v>
      </c>
      <c r="AC28" s="25">
        <f t="shared" si="0"/>
        <v>5.5242050365358777</v>
      </c>
      <c r="AD28" s="25">
        <f t="shared" si="4"/>
        <v>5.7893441707229876</v>
      </c>
      <c r="AE28" s="25">
        <f t="shared" si="5"/>
        <v>2.3435539929149241</v>
      </c>
      <c r="AG28" s="101">
        <v>7.93</v>
      </c>
      <c r="AH28" s="101">
        <v>3.6402100000000002</v>
      </c>
      <c r="AI28" s="101">
        <v>0.34310000000000002</v>
      </c>
      <c r="AJ28" s="101">
        <v>-1.5722</v>
      </c>
      <c r="AK28" s="101">
        <v>-1.8221000000000001</v>
      </c>
      <c r="AL28" s="101">
        <v>-2.7629999999999999</v>
      </c>
      <c r="AM28" s="101">
        <v>0.11550000000000001</v>
      </c>
      <c r="AN28" s="101">
        <v>-0.4652</v>
      </c>
      <c r="AO28" s="101">
        <v>-1.9831000000000001</v>
      </c>
      <c r="AP28" s="101">
        <v>-0.82769999999999999</v>
      </c>
      <c r="AR28" s="50">
        <f t="shared" ref="AR28:AR35" si="14">L28/1000</f>
        <v>3.7999999999999999E-2</v>
      </c>
      <c r="AS28" s="50">
        <f t="shared" ref="AS28:AS35" si="15">AU28/($AT$7)</f>
        <v>0.39389261498992112</v>
      </c>
      <c r="AT28" s="50">
        <f t="shared" si="8"/>
        <v>4.6417000000000003E-3</v>
      </c>
      <c r="AU28" s="50">
        <f t="shared" ref="AU28:AU35" si="16">AU27-AT28</f>
        <v>0.21494719999999995</v>
      </c>
      <c r="AV28" s="50">
        <f t="shared" ref="AV28:AV35" si="17">AS28/AR28</f>
        <v>10.365595131313714</v>
      </c>
    </row>
    <row r="29" spans="1:48" x14ac:dyDescent="0.35">
      <c r="A29" s="104">
        <v>14</v>
      </c>
      <c r="B29" s="28">
        <v>43690</v>
      </c>
      <c r="C29" s="31">
        <v>15</v>
      </c>
      <c r="D29" s="31">
        <v>132</v>
      </c>
      <c r="E29" s="31">
        <f t="shared" si="10"/>
        <v>2005</v>
      </c>
      <c r="F29" s="25">
        <f t="shared" si="3"/>
        <v>0.99248120300751874</v>
      </c>
      <c r="G29" s="25">
        <f t="shared" si="13"/>
        <v>15.077669172932332</v>
      </c>
      <c r="H29" s="25"/>
      <c r="I29" s="31">
        <v>7.89</v>
      </c>
      <c r="J29" s="31">
        <v>520</v>
      </c>
      <c r="K29" s="12">
        <v>122.6</v>
      </c>
      <c r="L29" s="27">
        <v>37</v>
      </c>
      <c r="M29" s="18">
        <v>4</v>
      </c>
      <c r="N29" s="27">
        <v>1.1000000000000001</v>
      </c>
      <c r="O29" s="31">
        <v>137</v>
      </c>
      <c r="P29" s="31">
        <v>15</v>
      </c>
      <c r="Q29" s="21">
        <v>55.69</v>
      </c>
      <c r="R29" s="21">
        <v>22.98</v>
      </c>
      <c r="S29" s="21">
        <v>22.43</v>
      </c>
      <c r="T29" s="21">
        <v>28.41</v>
      </c>
      <c r="U29" s="18">
        <v>3.952</v>
      </c>
      <c r="V29" s="169">
        <v>0.2</v>
      </c>
      <c r="W29" s="81">
        <v>0.02</v>
      </c>
      <c r="X29" s="81">
        <v>0.02</v>
      </c>
      <c r="Y29" s="33">
        <v>9.5000000000000001E-2</v>
      </c>
      <c r="Z29" s="81">
        <v>0.04</v>
      </c>
      <c r="AA29" s="11">
        <v>0.79700000000000004</v>
      </c>
      <c r="AC29" s="25">
        <f t="shared" si="0"/>
        <v>5.4349608410397838</v>
      </c>
      <c r="AD29" s="25">
        <f t="shared" si="4"/>
        <v>5.7454604994424505</v>
      </c>
      <c r="AE29" s="25">
        <f t="shared" si="5"/>
        <v>2.7771731399639203</v>
      </c>
      <c r="AG29" s="101">
        <v>7.89</v>
      </c>
      <c r="AH29" s="101">
        <v>4.1591800000000001</v>
      </c>
      <c r="AI29" s="101">
        <v>0.28339999999999999</v>
      </c>
      <c r="AJ29" s="101">
        <v>-1.5697000000000001</v>
      </c>
      <c r="AK29" s="101">
        <v>-1.8196000000000001</v>
      </c>
      <c r="AL29" s="101">
        <v>-2.7412999999999998</v>
      </c>
      <c r="AM29" s="101">
        <v>-4.0000000000000001E-3</v>
      </c>
      <c r="AN29" s="101">
        <v>-0.5272</v>
      </c>
      <c r="AO29" s="101">
        <v>-1.9839</v>
      </c>
      <c r="AP29" s="101">
        <v>-0.88739999999999997</v>
      </c>
      <c r="AR29" s="50">
        <f t="shared" si="14"/>
        <v>3.6999999999999998E-2</v>
      </c>
      <c r="AS29" s="50">
        <f t="shared" si="15"/>
        <v>0.38563038299431912</v>
      </c>
      <c r="AT29" s="50">
        <f t="shared" si="8"/>
        <v>4.5087E-3</v>
      </c>
      <c r="AU29" s="50">
        <f t="shared" si="16"/>
        <v>0.21043849999999995</v>
      </c>
      <c r="AV29" s="50">
        <f t="shared" si="17"/>
        <v>10.422442783630247</v>
      </c>
    </row>
    <row r="30" spans="1:48" x14ac:dyDescent="0.35">
      <c r="A30" s="104">
        <v>14</v>
      </c>
      <c r="B30" s="28">
        <v>43691</v>
      </c>
      <c r="C30" s="31">
        <v>16</v>
      </c>
      <c r="D30" s="31">
        <v>131</v>
      </c>
      <c r="E30" s="31">
        <f t="shared" si="10"/>
        <v>2136</v>
      </c>
      <c r="F30" s="25">
        <f t="shared" si="3"/>
        <v>0.98496240601503759</v>
      </c>
      <c r="G30" s="25">
        <f t="shared" si="13"/>
        <v>16.062631578947368</v>
      </c>
      <c r="H30" s="25"/>
      <c r="I30" s="31">
        <v>7.97</v>
      </c>
      <c r="J30" s="31">
        <v>550</v>
      </c>
      <c r="K30" s="12">
        <v>125.4</v>
      </c>
      <c r="L30" s="27">
        <v>36</v>
      </c>
      <c r="M30" s="18">
        <v>4</v>
      </c>
      <c r="N30" s="27">
        <v>1.1000000000000001</v>
      </c>
      <c r="O30" s="31">
        <v>136</v>
      </c>
      <c r="P30" s="31">
        <v>15</v>
      </c>
      <c r="Q30" s="21">
        <v>56.36</v>
      </c>
      <c r="R30" s="21">
        <v>23.25</v>
      </c>
      <c r="S30" s="21">
        <v>22.55</v>
      </c>
      <c r="T30" s="21">
        <v>28.45</v>
      </c>
      <c r="U30" s="18">
        <v>3.9220000000000002</v>
      </c>
      <c r="V30" s="169">
        <v>0.2</v>
      </c>
      <c r="W30" s="81">
        <v>0.02</v>
      </c>
      <c r="X30" s="81">
        <v>0.02</v>
      </c>
      <c r="Y30" s="33">
        <v>9.2999999999999999E-2</v>
      </c>
      <c r="Z30" s="81">
        <v>0.04</v>
      </c>
      <c r="AA30" s="11">
        <v>0.79100000000000004</v>
      </c>
      <c r="AC30" s="25">
        <f t="shared" si="0"/>
        <v>5.4701405204068454</v>
      </c>
      <c r="AD30" s="25">
        <f t="shared" si="4"/>
        <v>5.805549977838349</v>
      </c>
      <c r="AE30" s="25">
        <f t="shared" si="5"/>
        <v>2.9746245472390584</v>
      </c>
      <c r="AG30" s="101">
        <v>7.97</v>
      </c>
      <c r="AH30" s="101">
        <v>4.3721699999999997</v>
      </c>
      <c r="AI30" s="101">
        <v>0.37540000000000001</v>
      </c>
      <c r="AJ30" s="101">
        <v>-1.5697000000000001</v>
      </c>
      <c r="AK30" s="101">
        <v>-1.8194999999999999</v>
      </c>
      <c r="AL30" s="101">
        <v>-2.8136000000000001</v>
      </c>
      <c r="AM30" s="101">
        <v>0.1802</v>
      </c>
      <c r="AN30" s="101">
        <v>-0.44929999999999998</v>
      </c>
      <c r="AO30" s="101">
        <v>-1.98</v>
      </c>
      <c r="AP30" s="101">
        <v>-0.79520000000000002</v>
      </c>
      <c r="AR30" s="50">
        <f t="shared" si="14"/>
        <v>3.5999999999999997E-2</v>
      </c>
      <c r="AS30" s="50">
        <f t="shared" si="15"/>
        <v>0.3776118746564045</v>
      </c>
      <c r="AT30" s="50">
        <f t="shared" si="8"/>
        <v>4.3756999999999997E-3</v>
      </c>
      <c r="AU30" s="50">
        <f t="shared" si="16"/>
        <v>0.20606279999999993</v>
      </c>
      <c r="AV30" s="50">
        <f t="shared" si="17"/>
        <v>10.489218740455682</v>
      </c>
    </row>
    <row r="31" spans="1:48" x14ac:dyDescent="0.35">
      <c r="A31" s="104">
        <v>14</v>
      </c>
      <c r="B31" s="28">
        <v>43692</v>
      </c>
      <c r="C31" s="31">
        <v>17</v>
      </c>
      <c r="D31" s="31">
        <v>133</v>
      </c>
      <c r="E31" s="31">
        <f t="shared" si="10"/>
        <v>2269</v>
      </c>
      <c r="F31" s="25">
        <f t="shared" si="3"/>
        <v>1</v>
      </c>
      <c r="G31" s="25">
        <f t="shared" si="13"/>
        <v>17.062631578947368</v>
      </c>
      <c r="H31" s="25"/>
      <c r="I31" s="31">
        <v>7.94</v>
      </c>
      <c r="J31" s="31">
        <v>549</v>
      </c>
      <c r="K31" s="12">
        <v>126</v>
      </c>
      <c r="L31" s="27">
        <v>35</v>
      </c>
      <c r="M31" s="18">
        <v>4.0999999999999996</v>
      </c>
      <c r="N31" s="27">
        <v>1.2</v>
      </c>
      <c r="O31" s="31">
        <v>137</v>
      </c>
      <c r="P31" s="124">
        <v>15</v>
      </c>
      <c r="Q31" s="21">
        <v>56.1</v>
      </c>
      <c r="R31" s="21">
        <v>23.38</v>
      </c>
      <c r="S31" s="21">
        <v>22.43</v>
      </c>
      <c r="T31" s="21">
        <v>28.16</v>
      </c>
      <c r="U31" s="18">
        <v>3.8740000000000001</v>
      </c>
      <c r="V31" s="169">
        <v>0.2</v>
      </c>
      <c r="W31" s="81">
        <v>0.02</v>
      </c>
      <c r="X31" s="81">
        <v>0.02</v>
      </c>
      <c r="Y31" s="33">
        <v>0.09</v>
      </c>
      <c r="Z31" s="81">
        <v>0.04</v>
      </c>
      <c r="AA31" s="11">
        <v>0.80500000000000005</v>
      </c>
      <c r="AC31" s="25">
        <f t="shared" si="0"/>
        <v>5.5073946187366758</v>
      </c>
      <c r="AD31" s="25">
        <f t="shared" si="4"/>
        <v>5.7968194332103966</v>
      </c>
      <c r="AE31" s="25">
        <f t="shared" si="5"/>
        <v>2.5603267342931231</v>
      </c>
      <c r="AG31" s="101">
        <v>7.94</v>
      </c>
      <c r="AH31" s="101">
        <v>3.95329</v>
      </c>
      <c r="AI31" s="101">
        <v>0.34589999999999999</v>
      </c>
      <c r="AJ31" s="101">
        <v>-1.5688</v>
      </c>
      <c r="AK31" s="101">
        <v>-1.8187</v>
      </c>
      <c r="AL31" s="101">
        <v>-2.7808000000000002</v>
      </c>
      <c r="AM31" s="101">
        <v>0.12559999999999999</v>
      </c>
      <c r="AN31" s="101">
        <v>-0.49120000000000003</v>
      </c>
      <c r="AO31" s="101">
        <v>-1.9824999999999999</v>
      </c>
      <c r="AP31" s="101">
        <v>-0.82030000000000003</v>
      </c>
      <c r="AR31" s="50">
        <f t="shared" si="14"/>
        <v>3.5000000000000003E-2</v>
      </c>
      <c r="AS31" s="50">
        <f t="shared" si="15"/>
        <v>0.36983708997617731</v>
      </c>
      <c r="AT31" s="50">
        <f t="shared" si="8"/>
        <v>4.2427000000000012E-3</v>
      </c>
      <c r="AU31" s="50">
        <f t="shared" si="16"/>
        <v>0.20182009999999995</v>
      </c>
      <c r="AV31" s="50">
        <f t="shared" si="17"/>
        <v>10.56677399931935</v>
      </c>
    </row>
    <row r="32" spans="1:48" x14ac:dyDescent="0.35">
      <c r="A32" s="104">
        <v>14</v>
      </c>
      <c r="B32" s="28">
        <v>43693</v>
      </c>
      <c r="C32" s="31">
        <v>18</v>
      </c>
      <c r="D32" s="31">
        <v>133</v>
      </c>
      <c r="E32" s="31">
        <f t="shared" si="10"/>
        <v>2402</v>
      </c>
      <c r="F32" s="25">
        <f t="shared" si="3"/>
        <v>1</v>
      </c>
      <c r="G32" s="25">
        <f t="shared" si="13"/>
        <v>18.062631578947368</v>
      </c>
      <c r="H32" s="25"/>
      <c r="I32" s="31">
        <v>7.96</v>
      </c>
      <c r="J32" s="31">
        <v>556</v>
      </c>
      <c r="K32" s="12">
        <v>125.4</v>
      </c>
      <c r="L32" s="27">
        <v>33</v>
      </c>
      <c r="M32" s="18">
        <v>4.0999999999999996</v>
      </c>
      <c r="N32" s="27">
        <v>1.2</v>
      </c>
      <c r="O32" s="31">
        <v>138</v>
      </c>
      <c r="P32" s="31">
        <v>16</v>
      </c>
      <c r="Q32" s="21">
        <v>57.67</v>
      </c>
      <c r="R32" s="21">
        <v>23.51</v>
      </c>
      <c r="S32" s="21">
        <v>22.61</v>
      </c>
      <c r="T32" s="21">
        <v>27.99</v>
      </c>
      <c r="U32" s="18">
        <v>3.8380000000000001</v>
      </c>
      <c r="V32" s="169">
        <v>0.2</v>
      </c>
      <c r="W32" s="81">
        <v>0.02</v>
      </c>
      <c r="X32" s="81">
        <v>0.02</v>
      </c>
      <c r="Y32" s="33">
        <v>8.5999999999999993E-2</v>
      </c>
      <c r="Z32" s="81">
        <v>0.04</v>
      </c>
      <c r="AA32" s="11">
        <v>0.79200000000000004</v>
      </c>
      <c r="AC32" s="25">
        <f t="shared" si="0"/>
        <v>5.5162149393696138</v>
      </c>
      <c r="AD32" s="25">
        <f t="shared" si="4"/>
        <v>5.8927623110278819</v>
      </c>
      <c r="AE32" s="25">
        <f t="shared" si="5"/>
        <v>3.3004480892022903</v>
      </c>
      <c r="AG32" s="101">
        <v>7.96</v>
      </c>
      <c r="AH32" s="101">
        <v>4.7734699999999997</v>
      </c>
      <c r="AI32" s="101">
        <v>0.374</v>
      </c>
      <c r="AJ32" s="101">
        <v>-1.5564</v>
      </c>
      <c r="AK32" s="101">
        <v>-1.8063</v>
      </c>
      <c r="AL32" s="101">
        <v>-2.8037999999999998</v>
      </c>
      <c r="AM32" s="101">
        <v>0.1724</v>
      </c>
      <c r="AN32" s="101">
        <v>-0.49480000000000002</v>
      </c>
      <c r="AO32" s="101">
        <v>-1.9721</v>
      </c>
      <c r="AP32" s="101">
        <v>-0.80169999999999997</v>
      </c>
      <c r="AR32" s="50">
        <f t="shared" si="14"/>
        <v>3.3000000000000002E-2</v>
      </c>
      <c r="AS32" s="50">
        <f t="shared" si="15"/>
        <v>0.36254975261132483</v>
      </c>
      <c r="AT32" s="50">
        <f t="shared" si="8"/>
        <v>3.9767000000000005E-3</v>
      </c>
      <c r="AU32" s="50">
        <f t="shared" si="16"/>
        <v>0.19784339999999995</v>
      </c>
      <c r="AV32" s="50">
        <f t="shared" si="17"/>
        <v>10.986356139737115</v>
      </c>
    </row>
    <row r="33" spans="1:48" x14ac:dyDescent="0.35">
      <c r="A33" s="104">
        <v>14</v>
      </c>
      <c r="B33" s="28">
        <v>43694</v>
      </c>
      <c r="C33" s="31">
        <v>19</v>
      </c>
      <c r="D33" s="31">
        <v>134</v>
      </c>
      <c r="E33" s="31">
        <f t="shared" si="10"/>
        <v>2536</v>
      </c>
      <c r="F33" s="25">
        <f t="shared" si="3"/>
        <v>1.0075187969924813</v>
      </c>
      <c r="G33" s="25">
        <f t="shared" si="13"/>
        <v>19.07015037593985</v>
      </c>
      <c r="H33" s="25"/>
      <c r="I33" s="31">
        <v>7.99</v>
      </c>
      <c r="J33" s="31">
        <v>549</v>
      </c>
      <c r="K33" s="12">
        <v>127.2</v>
      </c>
      <c r="L33" s="27">
        <v>32</v>
      </c>
      <c r="M33" s="18">
        <v>4.4000000000000004</v>
      </c>
      <c r="N33" s="27">
        <v>1.2</v>
      </c>
      <c r="O33" s="31">
        <v>137</v>
      </c>
      <c r="P33" s="31">
        <v>15</v>
      </c>
      <c r="Q33" s="12">
        <v>56.77</v>
      </c>
      <c r="R33" s="12">
        <v>23.46</v>
      </c>
      <c r="S33" s="21">
        <v>22.18</v>
      </c>
      <c r="T33" s="21">
        <v>27.55</v>
      </c>
      <c r="U33" s="18">
        <v>3.7930000000000001</v>
      </c>
      <c r="V33" s="169">
        <v>0.2</v>
      </c>
      <c r="W33" s="81">
        <v>0.02</v>
      </c>
      <c r="X33" s="81">
        <v>0.02</v>
      </c>
      <c r="Y33" s="33">
        <v>8.3000000000000004E-2</v>
      </c>
      <c r="Z33" s="81">
        <v>0.04</v>
      </c>
      <c r="AA33" s="11">
        <v>0.79400000000000004</v>
      </c>
      <c r="AC33" s="25">
        <f t="shared" si="0"/>
        <v>5.5398572421499344</v>
      </c>
      <c r="AD33" s="25">
        <f t="shared" si="4"/>
        <v>5.8238856098872125</v>
      </c>
      <c r="AE33" s="25">
        <f t="shared" si="5"/>
        <v>2.4994262140168115</v>
      </c>
      <c r="AG33" s="101">
        <v>7.99</v>
      </c>
      <c r="AH33" s="101">
        <v>3.9649100000000002</v>
      </c>
      <c r="AI33" s="101">
        <v>0.40300000000000002</v>
      </c>
      <c r="AJ33" s="101">
        <v>-1.5650999999999999</v>
      </c>
      <c r="AK33" s="101">
        <v>-1.8149999999999999</v>
      </c>
      <c r="AL33" s="101">
        <v>-2.8281000000000001</v>
      </c>
      <c r="AM33" s="101">
        <v>0.2364</v>
      </c>
      <c r="AN33" s="101">
        <v>-0.47410000000000002</v>
      </c>
      <c r="AO33" s="101">
        <v>-1.9783999999999999</v>
      </c>
      <c r="AP33" s="101">
        <v>-0.76659999999999995</v>
      </c>
      <c r="AR33" s="50">
        <f t="shared" si="14"/>
        <v>3.2000000000000001E-2</v>
      </c>
      <c r="AS33" s="50">
        <f t="shared" si="15"/>
        <v>0.35550613890415972</v>
      </c>
      <c r="AT33" s="50">
        <f t="shared" si="8"/>
        <v>3.8437000000000007E-3</v>
      </c>
      <c r="AU33" s="50">
        <f t="shared" si="16"/>
        <v>0.19399969999999994</v>
      </c>
      <c r="AV33" s="50">
        <f t="shared" si="17"/>
        <v>11.10956684075499</v>
      </c>
    </row>
    <row r="34" spans="1:48" x14ac:dyDescent="0.35">
      <c r="A34" s="104">
        <v>14</v>
      </c>
      <c r="B34" s="28">
        <v>43695</v>
      </c>
      <c r="C34" s="31">
        <v>20</v>
      </c>
      <c r="D34" s="31">
        <v>132</v>
      </c>
      <c r="E34" s="31">
        <f t="shared" si="10"/>
        <v>2668</v>
      </c>
      <c r="F34" s="25">
        <f t="shared" si="3"/>
        <v>0.99248120300751874</v>
      </c>
      <c r="G34" s="25">
        <f t="shared" si="13"/>
        <v>20.062631578947368</v>
      </c>
      <c r="H34" s="25"/>
      <c r="I34" s="31">
        <v>7.93</v>
      </c>
      <c r="J34" s="31">
        <v>553</v>
      </c>
      <c r="K34" s="12">
        <v>126.6</v>
      </c>
      <c r="L34" s="27">
        <v>31</v>
      </c>
      <c r="M34" s="18">
        <v>3.8</v>
      </c>
      <c r="N34" s="27">
        <v>1.2</v>
      </c>
      <c r="O34" s="31">
        <v>138</v>
      </c>
      <c r="P34" s="31">
        <v>15</v>
      </c>
      <c r="Q34" s="12">
        <v>56.98</v>
      </c>
      <c r="R34" s="12">
        <v>23.33</v>
      </c>
      <c r="S34" s="21">
        <v>22.43</v>
      </c>
      <c r="T34" s="21">
        <v>27.5</v>
      </c>
      <c r="U34" s="18">
        <v>3.8069999999999999</v>
      </c>
      <c r="V34" s="169">
        <v>0.2</v>
      </c>
      <c r="W34" s="81">
        <v>0.02</v>
      </c>
      <c r="X34" s="81">
        <v>0.02</v>
      </c>
      <c r="Y34" s="33">
        <v>7.9000000000000001E-2</v>
      </c>
      <c r="Z34" s="81">
        <v>0.04</v>
      </c>
      <c r="AA34" s="11">
        <v>0.81599999999999995</v>
      </c>
      <c r="AC34" s="25">
        <f t="shared" si="0"/>
        <v>5.5317523159563553</v>
      </c>
      <c r="AD34" s="25">
        <f t="shared" si="4"/>
        <v>5.8349062117666231</v>
      </c>
      <c r="AE34" s="25">
        <f t="shared" si="5"/>
        <v>2.6670449813450752</v>
      </c>
      <c r="AG34" s="101">
        <v>7.93</v>
      </c>
      <c r="AH34" s="101">
        <v>3.9810500000000002</v>
      </c>
      <c r="AI34" s="101">
        <v>0.34410000000000002</v>
      </c>
      <c r="AJ34" s="101">
        <v>-1.5604</v>
      </c>
      <c r="AK34" s="101">
        <v>-1.8103</v>
      </c>
      <c r="AL34" s="101">
        <v>-2.7686999999999999</v>
      </c>
      <c r="AM34" s="101">
        <v>0.1144</v>
      </c>
      <c r="AN34" s="101">
        <v>-0.55649999999999999</v>
      </c>
      <c r="AO34" s="101">
        <v>-1.9767999999999999</v>
      </c>
      <c r="AP34" s="101">
        <v>-0.82969999999999999</v>
      </c>
      <c r="AR34" s="50">
        <f t="shared" si="14"/>
        <v>3.1E-2</v>
      </c>
      <c r="AS34" s="50">
        <f t="shared" si="15"/>
        <v>0.34870624885468193</v>
      </c>
      <c r="AT34" s="50">
        <f t="shared" si="8"/>
        <v>3.7107000000000004E-3</v>
      </c>
      <c r="AU34" s="50">
        <f t="shared" si="16"/>
        <v>0.19028899999999993</v>
      </c>
      <c r="AV34" s="50">
        <f t="shared" si="17"/>
        <v>11.248588672731675</v>
      </c>
    </row>
    <row r="35" spans="1:48" x14ac:dyDescent="0.35">
      <c r="A35" s="104">
        <v>14</v>
      </c>
      <c r="B35" s="28">
        <v>43696</v>
      </c>
      <c r="C35" s="31">
        <v>21</v>
      </c>
      <c r="D35" s="31">
        <v>132</v>
      </c>
      <c r="E35" s="31">
        <f>E34+D35</f>
        <v>2800</v>
      </c>
      <c r="F35" s="25">
        <f t="shared" si="3"/>
        <v>0.99248120300751874</v>
      </c>
      <c r="G35" s="25">
        <f t="shared" si="13"/>
        <v>21.055112781954886</v>
      </c>
      <c r="H35" s="25"/>
      <c r="I35" s="31">
        <v>7.96</v>
      </c>
      <c r="J35" s="31">
        <v>551</v>
      </c>
      <c r="K35" s="12">
        <v>125.4</v>
      </c>
      <c r="L35" s="27">
        <v>30</v>
      </c>
      <c r="M35" s="18">
        <v>4.0999999999999996</v>
      </c>
      <c r="N35" s="27">
        <v>1.2</v>
      </c>
      <c r="O35" s="31">
        <v>137</v>
      </c>
      <c r="P35" s="31">
        <v>15</v>
      </c>
      <c r="Q35" s="12">
        <v>56.78</v>
      </c>
      <c r="R35" s="12">
        <v>22.94</v>
      </c>
      <c r="S35" s="12">
        <v>22.26</v>
      </c>
      <c r="T35" s="12">
        <v>27.61</v>
      </c>
      <c r="U35" s="6">
        <v>4.0910000000000002</v>
      </c>
      <c r="V35" s="169">
        <v>0.2</v>
      </c>
      <c r="W35" s="81">
        <v>0.02</v>
      </c>
      <c r="X35" s="81">
        <v>0.02</v>
      </c>
      <c r="Y35" s="33">
        <v>8.1000000000000003E-2</v>
      </c>
      <c r="Z35" s="81">
        <v>0.04</v>
      </c>
      <c r="AA35" s="11">
        <v>0.80200000000000005</v>
      </c>
      <c r="AC35" s="25">
        <f t="shared" si="0"/>
        <v>5.4953946187366762</v>
      </c>
      <c r="AD35" s="25">
        <f t="shared" si="4"/>
        <v>5.7927227111791444</v>
      </c>
      <c r="AE35" s="25">
        <f t="shared" si="5"/>
        <v>2.6339918673106619</v>
      </c>
      <c r="AG35" s="101">
        <v>7.96</v>
      </c>
      <c r="AH35" s="101">
        <v>4.0348300000000004</v>
      </c>
      <c r="AI35" s="101">
        <v>0.36859999999999998</v>
      </c>
      <c r="AJ35" s="101">
        <v>-1.5634999999999999</v>
      </c>
      <c r="AK35" s="101">
        <v>-1.8133999999999999</v>
      </c>
      <c r="AL35" s="101">
        <v>-2.8033999999999999</v>
      </c>
      <c r="AM35" s="101">
        <v>0.1575</v>
      </c>
      <c r="AN35" s="101">
        <v>-0.51929999999999998</v>
      </c>
      <c r="AO35" s="101">
        <v>-1.9772000000000001</v>
      </c>
      <c r="AP35" s="101">
        <v>-0.81100000000000005</v>
      </c>
      <c r="AR35" s="50">
        <f t="shared" si="14"/>
        <v>0.03</v>
      </c>
      <c r="AS35" s="50">
        <f t="shared" si="15"/>
        <v>0.34215008246289164</v>
      </c>
      <c r="AT35" s="50">
        <f t="shared" si="8"/>
        <v>3.5777000000000001E-3</v>
      </c>
      <c r="AU35" s="50">
        <f t="shared" si="16"/>
        <v>0.18671129999999994</v>
      </c>
      <c r="AV35" s="50">
        <f t="shared" si="17"/>
        <v>11.405002748763055</v>
      </c>
    </row>
    <row r="36" spans="1:48" s="164" customFormat="1" x14ac:dyDescent="0.35">
      <c r="B36" s="28"/>
      <c r="F36" s="25"/>
      <c r="G36" s="25"/>
      <c r="H36" s="25"/>
      <c r="L36" s="27"/>
      <c r="M36" s="26"/>
      <c r="N36" s="26"/>
      <c r="Q36" s="85"/>
      <c r="R36" s="85"/>
      <c r="S36" s="85"/>
      <c r="T36" s="85"/>
      <c r="U36" s="85"/>
      <c r="V36" s="81"/>
      <c r="W36" s="81"/>
      <c r="X36" s="81"/>
      <c r="Y36" s="103"/>
      <c r="Z36" s="26"/>
      <c r="AA36" s="103"/>
      <c r="AC36" s="25"/>
      <c r="AD36" s="25"/>
      <c r="AE36" s="25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R36" s="176"/>
      <c r="AS36" s="176"/>
      <c r="AT36" s="176"/>
      <c r="AU36" s="176"/>
      <c r="AV36" s="176"/>
    </row>
    <row r="37" spans="1:48" s="105" customFormat="1" x14ac:dyDescent="0.35">
      <c r="A37" s="206" t="s">
        <v>272</v>
      </c>
      <c r="B37" s="207"/>
      <c r="C37" s="207"/>
      <c r="D37" s="207"/>
      <c r="E37" s="207"/>
      <c r="F37" s="25"/>
      <c r="G37" s="25"/>
      <c r="H37" s="25"/>
      <c r="I37" s="6">
        <f>AVERAGE(B72:B81)</f>
        <v>7.1137499999999996</v>
      </c>
      <c r="J37" s="12">
        <f>'Influent Results Master'!D57</f>
        <v>2145.25</v>
      </c>
      <c r="K37" s="12">
        <f>'Influent Results Master'!F57</f>
        <v>377.125</v>
      </c>
      <c r="L37" s="12">
        <f>'Influent Results Master'!G57</f>
        <v>412.5</v>
      </c>
      <c r="M37" s="12">
        <f>'Influent Results Master'!H57</f>
        <v>51.25</v>
      </c>
      <c r="N37" s="12">
        <f>'Influent Results Master'!I57</f>
        <v>14.75</v>
      </c>
      <c r="O37" s="12">
        <f>'Influent Results Master'!J57</f>
        <v>757.25</v>
      </c>
      <c r="P37" s="12">
        <f>'Influent Results Master'!K57</f>
        <v>28.75</v>
      </c>
      <c r="Q37" s="12">
        <f>'Influent Results Master'!L57</f>
        <v>159.60000000000002</v>
      </c>
      <c r="R37" s="12">
        <f>'Influent Results Master'!M57</f>
        <v>64.23</v>
      </c>
      <c r="S37" s="12">
        <f>'Influent Results Master'!N57</f>
        <v>271.52499999999998</v>
      </c>
      <c r="T37" s="12">
        <f>'Influent Results Master'!O57</f>
        <v>24.852500000000003</v>
      </c>
      <c r="U37" s="6">
        <f>'Influent Results Master'!P57</f>
        <v>6.8772500000000001</v>
      </c>
      <c r="V37" s="81">
        <f>'Influent Results Master'!Q57</f>
        <v>0.20000000000000004</v>
      </c>
      <c r="W37" s="161">
        <f>'Influent Results Master'!R57</f>
        <v>4.9666666666666671E-2</v>
      </c>
      <c r="X37" s="81">
        <f>'Influent Results Master'!S57</f>
        <v>0.02</v>
      </c>
      <c r="Y37" s="161">
        <f>'Influent Results Master'!T57</f>
        <v>4.8666666666666671E-2</v>
      </c>
      <c r="Z37" s="81">
        <f>'Influent Results Master'!U57</f>
        <v>0.04</v>
      </c>
      <c r="AA37" s="6">
        <f>'Influent Results Master'!V57</f>
        <v>1.5040000000000002</v>
      </c>
      <c r="AC37" s="25"/>
      <c r="AD37" s="25"/>
      <c r="AE37" s="25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R37" s="150">
        <v>0.40799999999999997</v>
      </c>
      <c r="AS37" s="150"/>
      <c r="AT37" s="150"/>
      <c r="AU37" s="150"/>
      <c r="AV37" s="150"/>
    </row>
    <row r="38" spans="1:48" s="164" customFormat="1" x14ac:dyDescent="0.35">
      <c r="B38" s="162"/>
      <c r="C38" s="162"/>
      <c r="D38" s="162"/>
      <c r="E38" s="162"/>
      <c r="F38" s="25"/>
      <c r="G38" s="25"/>
      <c r="H38" s="25"/>
      <c r="L38" s="27"/>
      <c r="M38" s="26"/>
      <c r="N38" s="26"/>
      <c r="V38" s="27"/>
      <c r="W38" s="27"/>
      <c r="X38" s="33"/>
      <c r="Y38" s="27"/>
      <c r="Z38" s="27"/>
      <c r="AA38" s="27"/>
      <c r="AC38" s="25"/>
      <c r="AD38" s="25"/>
      <c r="AE38" s="25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</row>
    <row r="39" spans="1:48" x14ac:dyDescent="0.35">
      <c r="A39" s="104">
        <v>14</v>
      </c>
      <c r="B39" s="28">
        <v>43697</v>
      </c>
      <c r="C39" s="31">
        <v>22</v>
      </c>
      <c r="D39" s="31">
        <v>132</v>
      </c>
      <c r="E39" s="31">
        <f>E35+D39</f>
        <v>2932</v>
      </c>
      <c r="F39" s="25">
        <f t="shared" si="3"/>
        <v>0.99248120300751874</v>
      </c>
      <c r="G39" s="25">
        <f>G35+F39</f>
        <v>22.047593984962404</v>
      </c>
      <c r="H39" s="25">
        <v>0</v>
      </c>
      <c r="I39" s="31">
        <v>8.01</v>
      </c>
      <c r="J39" s="31">
        <v>556</v>
      </c>
      <c r="K39" s="12">
        <v>129.19999999999999</v>
      </c>
      <c r="L39" s="27">
        <v>28</v>
      </c>
      <c r="M39" s="27">
        <v>3.9</v>
      </c>
      <c r="N39" s="27">
        <v>1.3</v>
      </c>
      <c r="O39" s="31">
        <v>139</v>
      </c>
      <c r="P39" s="31">
        <v>15</v>
      </c>
      <c r="Q39" s="12">
        <v>57.99</v>
      </c>
      <c r="R39" s="12">
        <v>23.32</v>
      </c>
      <c r="S39" s="12">
        <v>21.89</v>
      </c>
      <c r="T39" s="12">
        <v>25.91</v>
      </c>
      <c r="U39" s="6">
        <v>3.8439999999999999</v>
      </c>
      <c r="V39" s="81">
        <v>0.2</v>
      </c>
      <c r="W39" s="81">
        <v>0.02</v>
      </c>
      <c r="X39" s="81">
        <v>0.02</v>
      </c>
      <c r="Y39" s="103">
        <v>7.8E-2</v>
      </c>
      <c r="Z39" s="81">
        <v>0.04</v>
      </c>
      <c r="AA39" s="11">
        <v>0.82899999999999996</v>
      </c>
      <c r="AC39" s="25">
        <f t="shared" ref="AC39:AC48" si="18">((K39/50)+(M39/35.45)+(N39/62)+(O39/48.03))</f>
        <v>5.6090064142861857</v>
      </c>
      <c r="AD39" s="25">
        <f t="shared" si="4"/>
        <v>5.8619408632532419</v>
      </c>
      <c r="AE39" s="25">
        <f t="shared" si="5"/>
        <v>2.20500053611363</v>
      </c>
      <c r="AG39" s="101">
        <v>8.01</v>
      </c>
      <c r="AH39" s="101">
        <v>3.50901</v>
      </c>
      <c r="AI39" s="101">
        <v>0.43659999999999999</v>
      </c>
      <c r="AJ39" s="101">
        <v>-1.5523</v>
      </c>
      <c r="AK39" s="101">
        <v>-1.8022</v>
      </c>
      <c r="AL39" s="101">
        <v>-2.8422000000000001</v>
      </c>
      <c r="AM39" s="101">
        <v>0.29199999999999998</v>
      </c>
      <c r="AN39" s="101">
        <v>-0.47660000000000002</v>
      </c>
      <c r="AO39" s="101">
        <v>-1.9714</v>
      </c>
      <c r="AP39" s="101">
        <v>-0.74460000000000004</v>
      </c>
      <c r="AR39" s="50">
        <f>L39/1000</f>
        <v>2.8000000000000001E-2</v>
      </c>
      <c r="AS39" s="50">
        <f t="shared" ref="AS39:AS48" si="19">AU39/($AT$7)</f>
        <v>0.43476507238409373</v>
      </c>
      <c r="AT39" s="50">
        <f>(AR39-$AR$37)*0.133</f>
        <v>-5.0539999999999995E-2</v>
      </c>
      <c r="AU39" s="50">
        <f>AU35-AT39</f>
        <v>0.23725129999999994</v>
      </c>
      <c r="AV39" s="50">
        <f t="shared" ref="AV39:AV48" si="20">AS39/AR39</f>
        <v>15.527324013717633</v>
      </c>
    </row>
    <row r="40" spans="1:48" ht="14.25" customHeight="1" x14ac:dyDescent="0.35">
      <c r="A40" s="31">
        <v>14</v>
      </c>
      <c r="B40" s="28">
        <v>43698</v>
      </c>
      <c r="C40" s="106">
        <v>23</v>
      </c>
      <c r="D40" s="31">
        <v>133</v>
      </c>
      <c r="E40" s="106">
        <f>E39+D40</f>
        <v>3065</v>
      </c>
      <c r="F40" s="25">
        <f t="shared" ref="F40:F53" si="21">D40/133</f>
        <v>1</v>
      </c>
      <c r="G40" s="25">
        <f>G39+F40</f>
        <v>23.047593984962404</v>
      </c>
      <c r="H40" s="25">
        <f>0+F40</f>
        <v>1</v>
      </c>
      <c r="I40" s="31">
        <v>7.84</v>
      </c>
      <c r="J40" s="31">
        <v>1248</v>
      </c>
      <c r="K40" s="12">
        <v>173</v>
      </c>
      <c r="L40" s="27">
        <v>61</v>
      </c>
      <c r="M40" s="27">
        <v>30</v>
      </c>
      <c r="N40" s="27">
        <v>6.8</v>
      </c>
      <c r="O40" s="31">
        <v>460</v>
      </c>
      <c r="P40" s="31">
        <v>18</v>
      </c>
      <c r="Q40" s="21">
        <v>162.4</v>
      </c>
      <c r="R40" s="21">
        <v>63.97</v>
      </c>
      <c r="S40" s="21">
        <v>34.78</v>
      </c>
      <c r="T40" s="21">
        <v>27.16</v>
      </c>
      <c r="U40" s="18">
        <v>5.968</v>
      </c>
      <c r="V40" s="81">
        <v>0.2</v>
      </c>
      <c r="W40" s="81">
        <v>0.02</v>
      </c>
      <c r="X40" s="81">
        <v>0.02</v>
      </c>
      <c r="Y40" s="11">
        <v>0.308</v>
      </c>
      <c r="Z40" s="81">
        <v>0.04</v>
      </c>
      <c r="AA40" s="18">
        <v>2.2559999999999998</v>
      </c>
      <c r="AC40" s="25">
        <f t="shared" si="18"/>
        <v>13.993287251832012</v>
      </c>
      <c r="AD40" s="25">
        <f t="shared" si="4"/>
        <v>15.029949141684805</v>
      </c>
      <c r="AE40" s="25">
        <f t="shared" si="5"/>
        <v>3.5718342220592647</v>
      </c>
      <c r="AG40" s="101">
        <v>7.84</v>
      </c>
      <c r="AH40" s="101">
        <v>5.0282999999999998</v>
      </c>
      <c r="AI40" s="101">
        <v>0.68810000000000004</v>
      </c>
      <c r="AJ40" s="101">
        <v>-0.83889999999999998</v>
      </c>
      <c r="AK40" s="101">
        <v>-1.0887</v>
      </c>
      <c r="AL40" s="101">
        <v>-2.5741999999999998</v>
      </c>
      <c r="AM40" s="101">
        <v>0.79379999999999995</v>
      </c>
      <c r="AN40" s="101">
        <v>-8.9599999999999999E-2</v>
      </c>
      <c r="AO40" s="101">
        <v>-1.7243999999999999</v>
      </c>
      <c r="AP40" s="101">
        <v>-0.49430000000000002</v>
      </c>
      <c r="AR40" s="50">
        <f t="shared" ref="AR40:AR48" si="22">L40/1000</f>
        <v>6.0999999999999999E-2</v>
      </c>
      <c r="AS40" s="50">
        <f t="shared" si="19"/>
        <v>0.51933718160161257</v>
      </c>
      <c r="AT40" s="50">
        <f t="shared" ref="AT40:AT48" si="23">(AR40-$AR$37)*0.133</f>
        <v>-4.6150999999999998E-2</v>
      </c>
      <c r="AU40" s="50">
        <f>AU39-AT40</f>
        <v>0.28340229999999994</v>
      </c>
      <c r="AV40" s="50">
        <f t="shared" si="20"/>
        <v>8.5137242885510265</v>
      </c>
    </row>
    <row r="41" spans="1:48" s="106" customFormat="1" ht="14.25" customHeight="1" x14ac:dyDescent="0.35">
      <c r="A41" s="106">
        <v>14</v>
      </c>
      <c r="B41" s="28">
        <v>43699</v>
      </c>
      <c r="C41" s="106">
        <v>24</v>
      </c>
      <c r="D41" s="106">
        <v>133</v>
      </c>
      <c r="E41" s="106">
        <f t="shared" ref="E41:E53" si="24">E40+D41</f>
        <v>3198</v>
      </c>
      <c r="F41" s="25">
        <f t="shared" si="21"/>
        <v>1</v>
      </c>
      <c r="G41" s="25">
        <f t="shared" ref="G41:G48" si="25">G40+F41</f>
        <v>24.047593984962404</v>
      </c>
      <c r="H41" s="25">
        <f>F41+H40</f>
        <v>2</v>
      </c>
      <c r="I41" s="106">
        <v>7.58</v>
      </c>
      <c r="J41" s="106">
        <v>1916</v>
      </c>
      <c r="K41" s="12">
        <v>311</v>
      </c>
      <c r="L41" s="27">
        <v>153</v>
      </c>
      <c r="M41" s="27">
        <v>50</v>
      </c>
      <c r="N41" s="27">
        <v>11</v>
      </c>
      <c r="O41" s="106">
        <v>714</v>
      </c>
      <c r="P41" s="106">
        <v>29</v>
      </c>
      <c r="Q41" s="21">
        <v>262.7</v>
      </c>
      <c r="R41" s="21">
        <v>103.8</v>
      </c>
      <c r="S41" s="21">
        <v>76.599999999999994</v>
      </c>
      <c r="T41" s="21">
        <v>28.62</v>
      </c>
      <c r="U41" s="18">
        <v>8.484</v>
      </c>
      <c r="V41" s="81">
        <v>0.2</v>
      </c>
      <c r="W41" s="81">
        <v>0.02</v>
      </c>
      <c r="X41" s="81">
        <v>0.02</v>
      </c>
      <c r="Y41" s="11">
        <v>0.70799999999999996</v>
      </c>
      <c r="Z41" s="81">
        <v>0.04</v>
      </c>
      <c r="AA41" s="18">
        <v>3.7010000000000001</v>
      </c>
      <c r="AC41" s="25">
        <f t="shared" si="18"/>
        <v>22.673565522299278</v>
      </c>
      <c r="AD41" s="25">
        <f t="shared" si="4"/>
        <v>25.193832170419963</v>
      </c>
      <c r="AE41" s="25">
        <f t="shared" si="5"/>
        <v>5.2651006104391271</v>
      </c>
      <c r="AG41" s="101">
        <v>7.58</v>
      </c>
      <c r="AH41" s="101">
        <v>7.4003699999999997</v>
      </c>
      <c r="AI41" s="101">
        <v>0.80959999999999999</v>
      </c>
      <c r="AJ41" s="101">
        <v>-0.58289999999999997</v>
      </c>
      <c r="AK41" s="101">
        <v>-0.83250000000000002</v>
      </c>
      <c r="AL41" s="101">
        <v>-2.0737999999999999</v>
      </c>
      <c r="AM41" s="101">
        <v>1.0428999999999999</v>
      </c>
      <c r="AN41" s="101">
        <v>0.16689999999999999</v>
      </c>
      <c r="AO41" s="101">
        <v>-1.6303000000000001</v>
      </c>
      <c r="AP41" s="101">
        <v>-0.36670000000000003</v>
      </c>
      <c r="AR41" s="50">
        <f t="shared" si="22"/>
        <v>0.153</v>
      </c>
      <c r="AS41" s="50">
        <f t="shared" si="19"/>
        <v>0.58148671431189292</v>
      </c>
      <c r="AT41" s="50">
        <f t="shared" si="23"/>
        <v>-3.3915000000000001E-2</v>
      </c>
      <c r="AU41" s="50">
        <f t="shared" ref="AU41:AU48" si="26">AU40-AT41</f>
        <v>0.31731729999999991</v>
      </c>
      <c r="AV41" s="50">
        <f t="shared" si="20"/>
        <v>3.8005667602084503</v>
      </c>
    </row>
    <row r="42" spans="1:48" s="106" customFormat="1" ht="14.25" customHeight="1" x14ac:dyDescent="0.35">
      <c r="A42" s="106">
        <v>14</v>
      </c>
      <c r="B42" s="28">
        <v>43700</v>
      </c>
      <c r="C42" s="106">
        <v>25</v>
      </c>
      <c r="D42" s="106">
        <v>130</v>
      </c>
      <c r="E42" s="106">
        <f t="shared" si="24"/>
        <v>3328</v>
      </c>
      <c r="F42" s="25">
        <f t="shared" si="21"/>
        <v>0.97744360902255634</v>
      </c>
      <c r="G42" s="25">
        <f t="shared" si="25"/>
        <v>25.025037593984962</v>
      </c>
      <c r="H42" s="25">
        <f t="shared" ref="H42:H60" si="27">F42+H41</f>
        <v>2.9774436090225564</v>
      </c>
      <c r="I42" s="106">
        <v>7.76</v>
      </c>
      <c r="J42" s="106">
        <v>2020</v>
      </c>
      <c r="K42" s="12">
        <v>344.2</v>
      </c>
      <c r="L42" s="27">
        <v>164</v>
      </c>
      <c r="M42" s="27">
        <v>51</v>
      </c>
      <c r="N42" s="27">
        <v>11</v>
      </c>
      <c r="O42" s="106">
        <v>727</v>
      </c>
      <c r="P42" s="106">
        <v>30</v>
      </c>
      <c r="Q42" s="21">
        <v>210.7</v>
      </c>
      <c r="R42" s="21">
        <v>82.71</v>
      </c>
      <c r="S42" s="21">
        <v>174.1</v>
      </c>
      <c r="T42" s="21">
        <v>28.35</v>
      </c>
      <c r="U42" s="21">
        <v>10.48</v>
      </c>
      <c r="V42" s="81">
        <v>0.2</v>
      </c>
      <c r="W42" s="81">
        <v>0.02</v>
      </c>
      <c r="X42" s="81">
        <v>0.02</v>
      </c>
      <c r="Y42" s="11">
        <v>0.66500000000000004</v>
      </c>
      <c r="Z42" s="81">
        <v>0.04</v>
      </c>
      <c r="AA42" s="18">
        <v>3.0310000000000001</v>
      </c>
      <c r="AC42" s="25">
        <f t="shared" si="18"/>
        <v>23.636438435238329</v>
      </c>
      <c r="AD42" s="25">
        <f t="shared" si="4"/>
        <v>25.156669721196948</v>
      </c>
      <c r="AE42" s="25">
        <f t="shared" si="5"/>
        <v>3.1156680592771733</v>
      </c>
      <c r="AG42" s="101">
        <v>7.76</v>
      </c>
      <c r="AH42" s="101">
        <v>4.4410999999999996</v>
      </c>
      <c r="AI42" s="101">
        <v>0.92959999999999998</v>
      </c>
      <c r="AJ42" s="101">
        <v>-0.65439999999999998</v>
      </c>
      <c r="AK42" s="101">
        <v>-0.90400000000000003</v>
      </c>
      <c r="AL42" s="101">
        <v>-2.2071999999999998</v>
      </c>
      <c r="AM42" s="101">
        <v>1.2827</v>
      </c>
      <c r="AN42" s="101">
        <v>0.35970000000000002</v>
      </c>
      <c r="AO42" s="101">
        <v>-1.7359</v>
      </c>
      <c r="AP42" s="101">
        <v>-0.24690000000000001</v>
      </c>
      <c r="AR42" s="50">
        <f t="shared" si="22"/>
        <v>0.16400000000000001</v>
      </c>
      <c r="AS42" s="50">
        <f t="shared" si="19"/>
        <v>0.64095528678761204</v>
      </c>
      <c r="AT42" s="50">
        <f t="shared" si="23"/>
        <v>-3.2451999999999995E-2</v>
      </c>
      <c r="AU42" s="50">
        <f t="shared" si="26"/>
        <v>0.34976929999999989</v>
      </c>
      <c r="AV42" s="50">
        <f t="shared" si="20"/>
        <v>3.9082639438269027</v>
      </c>
    </row>
    <row r="43" spans="1:48" s="106" customFormat="1" ht="14.25" customHeight="1" x14ac:dyDescent="0.35">
      <c r="A43" s="106">
        <v>14</v>
      </c>
      <c r="B43" s="28">
        <v>43701</v>
      </c>
      <c r="C43" s="106">
        <v>26</v>
      </c>
      <c r="D43" s="106">
        <v>133</v>
      </c>
      <c r="E43" s="106">
        <f t="shared" si="24"/>
        <v>3461</v>
      </c>
      <c r="F43" s="25">
        <f t="shared" si="21"/>
        <v>1</v>
      </c>
      <c r="G43" s="25">
        <f t="shared" si="25"/>
        <v>26.025037593984962</v>
      </c>
      <c r="H43" s="25">
        <f t="shared" si="27"/>
        <v>3.9774436090225564</v>
      </c>
      <c r="I43" s="106">
        <v>7.63</v>
      </c>
      <c r="J43" s="106">
        <v>2090</v>
      </c>
      <c r="K43" s="12">
        <v>349.6</v>
      </c>
      <c r="L43" s="27">
        <v>179</v>
      </c>
      <c r="M43" s="27">
        <v>52</v>
      </c>
      <c r="N43" s="27">
        <v>11</v>
      </c>
      <c r="O43" s="106">
        <v>720</v>
      </c>
      <c r="P43" s="106">
        <v>33</v>
      </c>
      <c r="Q43" s="21">
        <v>178.9</v>
      </c>
      <c r="R43" s="21">
        <v>69.959999999999994</v>
      </c>
      <c r="S43" s="21">
        <v>230.5</v>
      </c>
      <c r="T43" s="21">
        <v>28.1</v>
      </c>
      <c r="U43" s="21">
        <v>10.039999999999999</v>
      </c>
      <c r="V43" s="81">
        <v>0.2</v>
      </c>
      <c r="W43" s="81">
        <v>0.02</v>
      </c>
      <c r="X43" s="81">
        <v>0.02</v>
      </c>
      <c r="Y43" s="11">
        <v>0.53</v>
      </c>
      <c r="Z43" s="81">
        <v>0.04</v>
      </c>
      <c r="AA43" s="18">
        <v>2.5710000000000002</v>
      </c>
      <c r="AC43" s="25">
        <f t="shared" si="18"/>
        <v>23.626904935518628</v>
      </c>
      <c r="AD43" s="25">
        <f t="shared" si="4"/>
        <v>24.963310979483445</v>
      </c>
      <c r="AE43" s="25">
        <f t="shared" si="5"/>
        <v>2.750360373583371</v>
      </c>
      <c r="AG43" s="101">
        <v>7.63</v>
      </c>
      <c r="AH43" s="101">
        <v>3.8553500000000001</v>
      </c>
      <c r="AI43" s="101">
        <v>0.74070000000000003</v>
      </c>
      <c r="AJ43" s="101">
        <v>-0.71460000000000001</v>
      </c>
      <c r="AK43" s="101">
        <v>-0.96419999999999995</v>
      </c>
      <c r="AL43" s="101">
        <v>-2.0634999999999999</v>
      </c>
      <c r="AM43" s="101">
        <v>0.90359999999999996</v>
      </c>
      <c r="AN43" s="101">
        <v>0.14419999999999999</v>
      </c>
      <c r="AO43" s="101">
        <v>-1.8069999999999999</v>
      </c>
      <c r="AP43" s="101">
        <v>-0.43709999999999999</v>
      </c>
      <c r="AR43" s="50">
        <f t="shared" si="22"/>
        <v>0.17899999999999999</v>
      </c>
      <c r="AS43" s="50">
        <f t="shared" si="19"/>
        <v>0.69676800439802078</v>
      </c>
      <c r="AT43" s="50">
        <f t="shared" si="23"/>
        <v>-3.0456999999999998E-2</v>
      </c>
      <c r="AU43" s="50">
        <f t="shared" si="26"/>
        <v>0.38022629999999991</v>
      </c>
      <c r="AV43" s="50">
        <f t="shared" si="20"/>
        <v>3.8925586837878257</v>
      </c>
    </row>
    <row r="44" spans="1:48" s="106" customFormat="1" ht="14.25" customHeight="1" x14ac:dyDescent="0.35">
      <c r="A44" s="106">
        <v>14</v>
      </c>
      <c r="B44" s="28">
        <v>43702</v>
      </c>
      <c r="C44" s="106">
        <v>27</v>
      </c>
      <c r="D44" s="106">
        <v>134</v>
      </c>
      <c r="E44" s="106">
        <f t="shared" si="24"/>
        <v>3595</v>
      </c>
      <c r="F44" s="25">
        <f t="shared" si="21"/>
        <v>1.0075187969924813</v>
      </c>
      <c r="G44" s="25">
        <f t="shared" si="25"/>
        <v>27.032556390977444</v>
      </c>
      <c r="H44" s="25">
        <f t="shared" si="27"/>
        <v>4.9849624060150379</v>
      </c>
      <c r="I44" s="106">
        <v>7.75</v>
      </c>
      <c r="J44" s="106">
        <v>2120</v>
      </c>
      <c r="K44" s="12">
        <v>352.6</v>
      </c>
      <c r="L44" s="27">
        <v>205</v>
      </c>
      <c r="M44" s="27">
        <v>51</v>
      </c>
      <c r="N44" s="27">
        <v>12</v>
      </c>
      <c r="O44" s="106">
        <v>703</v>
      </c>
      <c r="P44" s="106">
        <v>32</v>
      </c>
      <c r="Q44" s="21">
        <v>170.1</v>
      </c>
      <c r="R44" s="21">
        <v>64.94</v>
      </c>
      <c r="S44" s="21">
        <v>253.2</v>
      </c>
      <c r="T44" s="21">
        <v>28.29</v>
      </c>
      <c r="U44" s="21">
        <v>10.130000000000001</v>
      </c>
      <c r="V44" s="81">
        <v>0.2</v>
      </c>
      <c r="W44" s="81">
        <v>0.02</v>
      </c>
      <c r="X44" s="81">
        <v>0.02</v>
      </c>
      <c r="Y44" s="11">
        <v>0.48499999999999999</v>
      </c>
      <c r="Z44" s="81">
        <v>0.04</v>
      </c>
      <c r="AA44" s="18">
        <v>2.4460000000000002</v>
      </c>
      <c r="AC44" s="25">
        <f t="shared" si="18"/>
        <v>23.320879772305886</v>
      </c>
      <c r="AD44" s="25">
        <f t="shared" si="4"/>
        <v>25.101047885831036</v>
      </c>
      <c r="AE44" s="25">
        <f t="shared" si="5"/>
        <v>3.6763677111190072</v>
      </c>
      <c r="AG44" s="101">
        <v>7.75</v>
      </c>
      <c r="AH44" s="101">
        <v>4.9493799999999997</v>
      </c>
      <c r="AI44" s="101">
        <v>0.84209999999999996</v>
      </c>
      <c r="AJ44" s="101">
        <v>-0.74070000000000003</v>
      </c>
      <c r="AK44" s="101">
        <v>-0.99029999999999996</v>
      </c>
      <c r="AL44" s="101">
        <v>-2.181</v>
      </c>
      <c r="AM44" s="101">
        <v>1.0963000000000001</v>
      </c>
      <c r="AN44" s="101">
        <v>0.2301</v>
      </c>
      <c r="AO44" s="101">
        <v>-1.8269</v>
      </c>
      <c r="AP44" s="101">
        <v>-0.3458</v>
      </c>
      <c r="AR44" s="50">
        <f t="shared" si="22"/>
        <v>0.20499999999999999</v>
      </c>
      <c r="AS44" s="50">
        <f t="shared" si="19"/>
        <v>0.74624390690855769</v>
      </c>
      <c r="AT44" s="50">
        <f t="shared" si="23"/>
        <v>-2.6998999999999999E-2</v>
      </c>
      <c r="AU44" s="50">
        <f t="shared" si="26"/>
        <v>0.4072252999999999</v>
      </c>
      <c r="AV44" s="50">
        <f t="shared" si="20"/>
        <v>3.6402141800417449</v>
      </c>
    </row>
    <row r="45" spans="1:48" s="106" customFormat="1" ht="14.25" customHeight="1" x14ac:dyDescent="0.35">
      <c r="A45" s="106">
        <v>14</v>
      </c>
      <c r="B45" s="28">
        <v>43703</v>
      </c>
      <c r="C45" s="106">
        <v>28</v>
      </c>
      <c r="D45" s="106">
        <v>133</v>
      </c>
      <c r="E45" s="106">
        <f t="shared" si="24"/>
        <v>3728</v>
      </c>
      <c r="F45" s="25">
        <f t="shared" si="21"/>
        <v>1</v>
      </c>
      <c r="G45" s="25">
        <f t="shared" si="25"/>
        <v>28.032556390977444</v>
      </c>
      <c r="H45" s="25">
        <f t="shared" si="27"/>
        <v>5.9849624060150379</v>
      </c>
      <c r="I45" s="106">
        <v>7.69</v>
      </c>
      <c r="J45" s="106">
        <v>2120</v>
      </c>
      <c r="K45" s="12">
        <v>353.2</v>
      </c>
      <c r="L45" s="27">
        <v>225</v>
      </c>
      <c r="M45" s="27">
        <v>52</v>
      </c>
      <c r="N45" s="27">
        <v>11</v>
      </c>
      <c r="O45" s="106">
        <v>704</v>
      </c>
      <c r="P45" s="106">
        <v>31</v>
      </c>
      <c r="Q45" s="21">
        <v>168.6</v>
      </c>
      <c r="R45" s="21">
        <v>64.400000000000006</v>
      </c>
      <c r="S45" s="21">
        <v>256</v>
      </c>
      <c r="T45" s="21">
        <v>28.08</v>
      </c>
      <c r="U45" s="21">
        <v>11.04</v>
      </c>
      <c r="V45" s="81">
        <v>0.2</v>
      </c>
      <c r="W45" s="81">
        <v>0.02</v>
      </c>
      <c r="X45" s="81">
        <v>0.02</v>
      </c>
      <c r="Y45" s="11">
        <v>0.40600000000000003</v>
      </c>
      <c r="Z45" s="81">
        <v>0.04</v>
      </c>
      <c r="AA45" s="18">
        <v>2.3969999999999998</v>
      </c>
      <c r="AC45" s="25">
        <f t="shared" si="18"/>
        <v>23.365779805391622</v>
      </c>
      <c r="AD45" s="25">
        <f t="shared" si="4"/>
        <v>25.126855432496569</v>
      </c>
      <c r="AE45" s="25">
        <f t="shared" si="5"/>
        <v>3.6316352338158482</v>
      </c>
      <c r="AG45" s="101">
        <v>7.69</v>
      </c>
      <c r="AH45" s="101">
        <v>4.8367100000000001</v>
      </c>
      <c r="AI45" s="101">
        <v>0.78039999999999998</v>
      </c>
      <c r="AJ45" s="101">
        <v>-0.74339999999999995</v>
      </c>
      <c r="AK45" s="101">
        <v>-0.9929</v>
      </c>
      <c r="AL45" s="101">
        <v>-2.1189</v>
      </c>
      <c r="AM45" s="101">
        <v>0.97299999999999998</v>
      </c>
      <c r="AN45" s="101">
        <v>9.4600000000000004E-2</v>
      </c>
      <c r="AO45" s="101">
        <v>-1.831</v>
      </c>
      <c r="AP45" s="101">
        <v>-0.40739999999999998</v>
      </c>
      <c r="AR45" s="50">
        <f t="shared" si="22"/>
        <v>0.22500000000000001</v>
      </c>
      <c r="AS45" s="50">
        <f t="shared" si="19"/>
        <v>0.79084533626534714</v>
      </c>
      <c r="AT45" s="50">
        <f t="shared" si="23"/>
        <v>-2.4338999999999996E-2</v>
      </c>
      <c r="AU45" s="50">
        <f t="shared" si="26"/>
        <v>0.4315642999999999</v>
      </c>
      <c r="AV45" s="50">
        <f t="shared" si="20"/>
        <v>3.5148681611793204</v>
      </c>
    </row>
    <row r="46" spans="1:48" s="106" customFormat="1" ht="14.25" customHeight="1" x14ac:dyDescent="0.35">
      <c r="A46" s="106">
        <v>14</v>
      </c>
      <c r="B46" s="28">
        <v>43704</v>
      </c>
      <c r="C46" s="106">
        <v>29</v>
      </c>
      <c r="D46" s="106">
        <v>135</v>
      </c>
      <c r="E46" s="106">
        <f t="shared" si="24"/>
        <v>3863</v>
      </c>
      <c r="F46" s="25">
        <f t="shared" si="21"/>
        <v>1.0150375939849625</v>
      </c>
      <c r="G46" s="25">
        <f t="shared" si="25"/>
        <v>29.047593984962408</v>
      </c>
      <c r="H46" s="25">
        <f t="shared" si="27"/>
        <v>7</v>
      </c>
      <c r="I46" s="106">
        <v>7.65</v>
      </c>
      <c r="J46" s="106">
        <v>2110</v>
      </c>
      <c r="K46" s="12">
        <v>355</v>
      </c>
      <c r="L46" s="27">
        <v>254</v>
      </c>
      <c r="M46" s="27">
        <v>52</v>
      </c>
      <c r="N46" s="27">
        <v>11</v>
      </c>
      <c r="O46" s="106">
        <v>717</v>
      </c>
      <c r="P46" s="106">
        <v>33</v>
      </c>
      <c r="Q46" s="21">
        <v>160.69999999999999</v>
      </c>
      <c r="R46" s="21">
        <v>62.77</v>
      </c>
      <c r="S46" s="21">
        <v>252.2</v>
      </c>
      <c r="T46" s="21">
        <v>27.27</v>
      </c>
      <c r="U46" s="21">
        <v>10.78</v>
      </c>
      <c r="V46" s="81">
        <v>0.2</v>
      </c>
      <c r="W46" s="81">
        <v>0.02</v>
      </c>
      <c r="X46" s="81">
        <v>0.02</v>
      </c>
      <c r="Y46" s="11">
        <v>0.308</v>
      </c>
      <c r="Z46" s="81">
        <v>0.04</v>
      </c>
      <c r="AA46" s="18">
        <v>2.4380000000000002</v>
      </c>
      <c r="AC46" s="25">
        <f t="shared" si="18"/>
        <v>23.672443973619814</v>
      </c>
      <c r="AD46" s="25">
        <f t="shared" si="4"/>
        <v>24.426658930452053</v>
      </c>
      <c r="AE46" s="25">
        <f t="shared" si="5"/>
        <v>1.5680437082920951</v>
      </c>
      <c r="AG46" s="101">
        <v>7.65</v>
      </c>
      <c r="AH46" s="101">
        <v>2.3919199999999998</v>
      </c>
      <c r="AI46" s="101">
        <v>0.72109999999999996</v>
      </c>
      <c r="AJ46" s="101">
        <v>-0.754</v>
      </c>
      <c r="AK46" s="101">
        <v>-1.0035000000000001</v>
      </c>
      <c r="AL46" s="101">
        <v>-2.0748000000000002</v>
      </c>
      <c r="AM46" s="101">
        <v>0.86460000000000004</v>
      </c>
      <c r="AN46" s="101">
        <v>-6.2799999999999995E-2</v>
      </c>
      <c r="AO46" s="101">
        <v>-1.8536999999999999</v>
      </c>
      <c r="AP46" s="101">
        <v>-0.45650000000000002</v>
      </c>
      <c r="AR46" s="50">
        <f t="shared" si="22"/>
        <v>0.254</v>
      </c>
      <c r="AS46" s="50">
        <f t="shared" si="19"/>
        <v>0.82837877954920269</v>
      </c>
      <c r="AT46" s="50">
        <f t="shared" si="23"/>
        <v>-2.0481999999999997E-2</v>
      </c>
      <c r="AU46" s="50">
        <f t="shared" si="26"/>
        <v>0.4520462999999999</v>
      </c>
      <c r="AV46" s="50">
        <f t="shared" si="20"/>
        <v>3.2613337777527667</v>
      </c>
    </row>
    <row r="47" spans="1:48" s="106" customFormat="1" ht="14.25" customHeight="1" x14ac:dyDescent="0.35">
      <c r="A47" s="106">
        <v>14</v>
      </c>
      <c r="B47" s="28">
        <v>43705</v>
      </c>
      <c r="C47" s="106">
        <v>30</v>
      </c>
      <c r="D47" s="106">
        <v>133</v>
      </c>
      <c r="E47" s="106">
        <f t="shared" si="24"/>
        <v>3996</v>
      </c>
      <c r="F47" s="25">
        <f t="shared" si="21"/>
        <v>1</v>
      </c>
      <c r="G47" s="25">
        <f t="shared" si="25"/>
        <v>30.047593984962408</v>
      </c>
      <c r="H47" s="25">
        <f t="shared" si="27"/>
        <v>8</v>
      </c>
      <c r="I47" s="106">
        <v>7.62</v>
      </c>
      <c r="J47" s="106">
        <v>2080</v>
      </c>
      <c r="K47" s="12">
        <v>359.4</v>
      </c>
      <c r="L47" s="27">
        <v>262</v>
      </c>
      <c r="M47" s="27">
        <v>52</v>
      </c>
      <c r="N47" s="27">
        <v>11</v>
      </c>
      <c r="O47" s="106">
        <v>708</v>
      </c>
      <c r="P47" s="106">
        <v>33</v>
      </c>
      <c r="Q47" s="21">
        <v>160.4</v>
      </c>
      <c r="R47" s="21">
        <v>65.92</v>
      </c>
      <c r="S47" s="21">
        <v>253.6</v>
      </c>
      <c r="T47" s="21">
        <v>27.77</v>
      </c>
      <c r="U47" s="21">
        <v>11.23</v>
      </c>
      <c r="V47" s="81">
        <v>0.2</v>
      </c>
      <c r="W47" s="81">
        <v>0.02</v>
      </c>
      <c r="X47" s="81">
        <v>0.02</v>
      </c>
      <c r="Y47" s="11">
        <v>0.2</v>
      </c>
      <c r="Z47" s="81">
        <v>0.04</v>
      </c>
      <c r="AA47" s="18">
        <v>2.46</v>
      </c>
      <c r="AC47" s="25">
        <f t="shared" si="18"/>
        <v>23.573061087923374</v>
      </c>
      <c r="AD47" s="25">
        <f t="shared" si="4"/>
        <v>24.743139916367326</v>
      </c>
      <c r="AE47" s="25">
        <f t="shared" si="5"/>
        <v>2.4217111530354867</v>
      </c>
      <c r="AG47" s="101">
        <v>7.62</v>
      </c>
      <c r="AH47" s="101">
        <v>3.38795</v>
      </c>
      <c r="AI47" s="101">
        <v>0.69730000000000003</v>
      </c>
      <c r="AJ47" s="101">
        <v>-0.76090000000000002</v>
      </c>
      <c r="AK47" s="101">
        <v>-1.0104</v>
      </c>
      <c r="AL47" s="101">
        <v>-2.0392999999999999</v>
      </c>
      <c r="AM47" s="101">
        <v>0.8387</v>
      </c>
      <c r="AN47" s="101">
        <v>-0.27429999999999999</v>
      </c>
      <c r="AO47" s="101">
        <v>-1.8533999999999999</v>
      </c>
      <c r="AP47" s="101">
        <v>-0.45860000000000001</v>
      </c>
      <c r="AR47" s="50">
        <f t="shared" si="22"/>
        <v>0.26200000000000001</v>
      </c>
      <c r="AS47" s="50">
        <f t="shared" si="19"/>
        <v>0.86396243357155933</v>
      </c>
      <c r="AT47" s="50">
        <f t="shared" si="23"/>
        <v>-1.9417999999999998E-2</v>
      </c>
      <c r="AU47" s="50">
        <f t="shared" si="26"/>
        <v>0.47146429999999989</v>
      </c>
      <c r="AV47" s="50">
        <f t="shared" si="20"/>
        <v>3.2975665403494632</v>
      </c>
    </row>
    <row r="48" spans="1:48" s="106" customFormat="1" x14ac:dyDescent="0.35">
      <c r="A48" s="106">
        <v>14</v>
      </c>
      <c r="B48" s="28">
        <v>43706</v>
      </c>
      <c r="C48" s="106">
        <v>31</v>
      </c>
      <c r="D48" s="106">
        <v>135</v>
      </c>
      <c r="E48" s="106">
        <f t="shared" si="24"/>
        <v>4131</v>
      </c>
      <c r="F48" s="25">
        <f t="shared" si="21"/>
        <v>1.0150375939849625</v>
      </c>
      <c r="G48" s="25">
        <f t="shared" si="25"/>
        <v>31.062631578947371</v>
      </c>
      <c r="H48" s="25">
        <f t="shared" si="27"/>
        <v>9.0150375939849621</v>
      </c>
      <c r="I48" s="106">
        <v>7.76</v>
      </c>
      <c r="J48" s="106">
        <v>2050</v>
      </c>
      <c r="K48" s="12">
        <v>360.6</v>
      </c>
      <c r="L48" s="27">
        <v>263</v>
      </c>
      <c r="M48" s="27">
        <v>52</v>
      </c>
      <c r="N48" s="27">
        <v>12</v>
      </c>
      <c r="O48" s="106">
        <v>706</v>
      </c>
      <c r="P48" s="106">
        <v>32</v>
      </c>
      <c r="Q48" s="21">
        <v>170.2</v>
      </c>
      <c r="R48" s="21">
        <v>65.98</v>
      </c>
      <c r="S48" s="21">
        <v>259.39999999999998</v>
      </c>
      <c r="T48" s="21">
        <v>29.01</v>
      </c>
      <c r="U48" s="21">
        <v>11.38</v>
      </c>
      <c r="V48" s="81">
        <v>0.2</v>
      </c>
      <c r="W48" s="81">
        <v>0.02</v>
      </c>
      <c r="X48" s="81">
        <v>0.02</v>
      </c>
      <c r="Y48" s="11">
        <v>0.108</v>
      </c>
      <c r="Z48" s="81">
        <v>0.04</v>
      </c>
      <c r="AA48" s="18">
        <v>2.4569999999999999</v>
      </c>
      <c r="AC48" s="25">
        <f t="shared" si="18"/>
        <v>23.571549478915564</v>
      </c>
      <c r="AD48" s="25">
        <f t="shared" si="4"/>
        <v>25.49321600168291</v>
      </c>
      <c r="AE48" s="25">
        <f t="shared" si="5"/>
        <v>3.9165916802908685</v>
      </c>
      <c r="AG48" s="101">
        <v>7.76</v>
      </c>
      <c r="AH48" s="101">
        <v>5.1909700000000001</v>
      </c>
      <c r="AI48" s="101">
        <v>0.8599</v>
      </c>
      <c r="AJ48" s="101">
        <v>-0.74150000000000005</v>
      </c>
      <c r="AK48" s="101">
        <v>-0.99109999999999998</v>
      </c>
      <c r="AL48" s="101">
        <v>-2.1819000000000002</v>
      </c>
      <c r="AM48" s="101">
        <v>1.1388</v>
      </c>
      <c r="AN48" s="101">
        <v>-0.4052</v>
      </c>
      <c r="AO48" s="101">
        <v>-1.8293999999999999</v>
      </c>
      <c r="AP48" s="101">
        <v>-0.32119999999999999</v>
      </c>
      <c r="AR48" s="50">
        <f t="shared" si="22"/>
        <v>0.26300000000000001</v>
      </c>
      <c r="AS48" s="50">
        <f t="shared" si="19"/>
        <v>0.89930236393622853</v>
      </c>
      <c r="AT48" s="50">
        <f t="shared" si="23"/>
        <v>-1.9284999999999997E-2</v>
      </c>
      <c r="AU48" s="50">
        <f t="shared" si="26"/>
        <v>0.49074929999999989</v>
      </c>
      <c r="AV48" s="50">
        <f t="shared" si="20"/>
        <v>3.4194006233316672</v>
      </c>
    </row>
    <row r="49" spans="1:48" s="164" customFormat="1" x14ac:dyDescent="0.35">
      <c r="B49" s="28"/>
      <c r="F49" s="25"/>
      <c r="G49" s="25"/>
      <c r="H49" s="25"/>
      <c r="L49" s="27"/>
      <c r="M49" s="27"/>
      <c r="N49" s="26"/>
      <c r="Q49" s="103"/>
      <c r="R49" s="27"/>
      <c r="S49" s="103"/>
      <c r="T49" s="103"/>
      <c r="U49" s="103"/>
      <c r="V49" s="81"/>
      <c r="W49" s="81"/>
      <c r="X49" s="81"/>
      <c r="Y49" s="103"/>
      <c r="Z49" s="26"/>
      <c r="AA49" s="103"/>
      <c r="AC49" s="25"/>
      <c r="AD49" s="25"/>
      <c r="AE49" s="25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R49" s="176"/>
      <c r="AS49" s="176"/>
      <c r="AT49" s="176"/>
      <c r="AU49" s="176"/>
      <c r="AV49" s="176"/>
    </row>
    <row r="50" spans="1:48" s="110" customFormat="1" x14ac:dyDescent="0.35">
      <c r="A50" s="188" t="s">
        <v>273</v>
      </c>
      <c r="B50" s="197"/>
      <c r="C50" s="197"/>
      <c r="D50" s="197"/>
      <c r="E50" s="197"/>
      <c r="F50" s="25"/>
      <c r="G50" s="25"/>
      <c r="H50" s="25"/>
      <c r="I50" s="25" t="s">
        <v>274</v>
      </c>
      <c r="J50" s="12">
        <f>'Influent Results Master'!D60</f>
        <v>498</v>
      </c>
      <c r="K50" s="12">
        <f>'Influent Results Master'!F60</f>
        <v>98.424999999999997</v>
      </c>
      <c r="L50" s="6">
        <f>'Influent Results Master'!G60</f>
        <v>3.0750000000000002</v>
      </c>
      <c r="M50" s="6">
        <f>'Influent Results Master'!H60</f>
        <v>3.875</v>
      </c>
      <c r="N50" s="18">
        <f>'Influent Results Master'!I60</f>
        <v>1.825</v>
      </c>
      <c r="O50" s="12">
        <f>'Influent Results Master'!J60</f>
        <v>137</v>
      </c>
      <c r="P50" s="12">
        <f>'Influent Results Master'!K60</f>
        <v>11.5</v>
      </c>
      <c r="Q50" s="12">
        <f>'Influent Results Master'!L60</f>
        <v>63.497500000000002</v>
      </c>
      <c r="R50" s="12">
        <f>'Influent Results Master'!M60</f>
        <v>16.197500000000002</v>
      </c>
      <c r="S50" s="12">
        <f>'Influent Results Master'!N60</f>
        <v>22.785</v>
      </c>
      <c r="T50" s="12">
        <f>'Influent Results Master'!O60</f>
        <v>14.3</v>
      </c>
      <c r="U50" s="6">
        <f>'Influent Results Master'!P60</f>
        <v>2.0294999999999996</v>
      </c>
      <c r="V50" s="169">
        <f>'Influent Results Master'!Q60</f>
        <v>0.2</v>
      </c>
      <c r="W50" s="81">
        <f>'Influent Results Master'!R60</f>
        <v>0.02</v>
      </c>
      <c r="X50" s="81">
        <f>'Influent Results Master'!S60</f>
        <v>0.02</v>
      </c>
      <c r="Y50" s="81">
        <f>'Influent Results Master'!T60</f>
        <v>0.02</v>
      </c>
      <c r="Z50" s="81">
        <f>'Influent Results Master'!U60</f>
        <v>0.04</v>
      </c>
      <c r="AA50" s="25">
        <f>'Influent Results Master'!V60</f>
        <v>0.56574999999999998</v>
      </c>
      <c r="AC50" s="25"/>
      <c r="AD50" s="25"/>
      <c r="AE50" s="25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R50" s="150">
        <v>3.0999999999999999E-3</v>
      </c>
      <c r="AS50" s="150"/>
      <c r="AT50" s="150"/>
      <c r="AU50" s="150"/>
      <c r="AV50" s="150"/>
    </row>
    <row r="51" spans="1:48" s="164" customFormat="1" x14ac:dyDescent="0.35">
      <c r="B51" s="162"/>
      <c r="C51" s="162"/>
      <c r="D51" s="162"/>
      <c r="E51" s="162"/>
      <c r="F51" s="25"/>
      <c r="G51" s="25"/>
      <c r="H51" s="25"/>
      <c r="L51" s="27"/>
      <c r="M51" s="27"/>
      <c r="N51" s="26"/>
      <c r="Q51" s="18"/>
      <c r="R51" s="27"/>
      <c r="S51" s="11"/>
      <c r="T51" s="11"/>
      <c r="U51" s="11"/>
      <c r="V51" s="27"/>
      <c r="W51" s="27"/>
      <c r="X51" s="27"/>
      <c r="Y51" s="27"/>
      <c r="Z51" s="27"/>
      <c r="AA51" s="27"/>
      <c r="AC51" s="25"/>
      <c r="AD51" s="25"/>
      <c r="AE51" s="25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</row>
    <row r="52" spans="1:48" s="106" customFormat="1" x14ac:dyDescent="0.35">
      <c r="A52" s="106">
        <v>14</v>
      </c>
      <c r="B52" s="28">
        <v>43711</v>
      </c>
      <c r="C52" s="106">
        <v>32</v>
      </c>
      <c r="D52" s="106">
        <v>134</v>
      </c>
      <c r="E52" s="106">
        <f>E48+D52</f>
        <v>4265</v>
      </c>
      <c r="F52" s="25">
        <f t="shared" si="21"/>
        <v>1.0075187969924813</v>
      </c>
      <c r="G52" s="25">
        <f>G48+F52</f>
        <v>32.070150375939853</v>
      </c>
      <c r="H52" s="25">
        <f>F52+H48</f>
        <v>10.022556390977444</v>
      </c>
      <c r="I52" s="106">
        <v>7.76</v>
      </c>
      <c r="J52" s="106">
        <v>2110</v>
      </c>
      <c r="K52" s="12">
        <v>359.4</v>
      </c>
      <c r="L52" s="27">
        <v>258</v>
      </c>
      <c r="M52" s="27">
        <v>50</v>
      </c>
      <c r="N52" s="27">
        <v>9.6</v>
      </c>
      <c r="O52" s="106">
        <v>724</v>
      </c>
      <c r="P52" s="110">
        <v>34</v>
      </c>
      <c r="Q52" s="21">
        <v>167.4</v>
      </c>
      <c r="R52" s="21">
        <v>66.959999999999994</v>
      </c>
      <c r="S52" s="21">
        <v>262.5</v>
      </c>
      <c r="T52" s="21">
        <v>29.78</v>
      </c>
      <c r="U52" s="21">
        <v>10.91</v>
      </c>
      <c r="V52" s="169">
        <v>0.2</v>
      </c>
      <c r="W52" s="81">
        <v>0.02</v>
      </c>
      <c r="X52" s="81">
        <v>0.02</v>
      </c>
      <c r="Y52" s="81">
        <v>0.02</v>
      </c>
      <c r="Z52" s="81">
        <v>0.04</v>
      </c>
      <c r="AA52" s="18">
        <v>2.4140000000000001</v>
      </c>
      <c r="AC52" s="25">
        <f t="shared" ref="AC52:AC60" si="28">((K52/50)+(M52/35.45)+(N52/62)+(O52/48.03))</f>
        <v>23.827188083467366</v>
      </c>
      <c r="AD52" s="25">
        <f t="shared" si="4"/>
        <v>25.556908323025485</v>
      </c>
      <c r="AE52" s="25">
        <f t="shared" si="5"/>
        <v>3.5025855800222798</v>
      </c>
      <c r="AG52" s="101">
        <v>7.76</v>
      </c>
      <c r="AH52" s="101">
        <v>4.5946899999999999</v>
      </c>
      <c r="AI52" s="101">
        <v>0.84809999999999997</v>
      </c>
      <c r="AJ52" s="101">
        <v>-0.74070000000000003</v>
      </c>
      <c r="AK52" s="101">
        <v>-0.99019999999999997</v>
      </c>
      <c r="AL52" s="101">
        <v>-2.1833</v>
      </c>
      <c r="AM52" s="101">
        <v>1.129</v>
      </c>
      <c r="AN52" s="101">
        <v>-1.1418999999999999</v>
      </c>
      <c r="AO52" s="101">
        <v>-1.8408</v>
      </c>
      <c r="AP52" s="101">
        <v>-0.31909999999999999</v>
      </c>
      <c r="AR52" s="50">
        <f>L52/1000</f>
        <v>0.25800000000000001</v>
      </c>
      <c r="AS52" s="50">
        <f t="shared" ref="AS52:AS60" si="29">AU52/($AT$7)</f>
        <v>0.83717720359171699</v>
      </c>
      <c r="AT52" s="50">
        <f>(AR52-$AR$50)*0.133</f>
        <v>3.3901700000000007E-2</v>
      </c>
      <c r="AU52" s="50">
        <f>AU48-AT52</f>
        <v>0.45684759999999991</v>
      </c>
      <c r="AV52" s="50">
        <f t="shared" ref="AV52:AV60" si="30">AS52/AR52</f>
        <v>3.2448728821384378</v>
      </c>
    </row>
    <row r="53" spans="1:48" s="106" customFormat="1" x14ac:dyDescent="0.35">
      <c r="A53" s="106">
        <v>14</v>
      </c>
      <c r="B53" s="28">
        <v>43712</v>
      </c>
      <c r="C53" s="106">
        <v>33</v>
      </c>
      <c r="D53" s="106">
        <v>133</v>
      </c>
      <c r="E53" s="106">
        <f t="shared" si="24"/>
        <v>4398</v>
      </c>
      <c r="F53" s="25">
        <f t="shared" si="21"/>
        <v>1</v>
      </c>
      <c r="G53" s="25">
        <f>G52+F53</f>
        <v>33.070150375939853</v>
      </c>
      <c r="H53" s="25">
        <f t="shared" si="27"/>
        <v>11.022556390977444</v>
      </c>
      <c r="I53" s="106">
        <v>7.7</v>
      </c>
      <c r="J53" s="106">
        <v>1452</v>
      </c>
      <c r="K53" s="12">
        <v>309.2</v>
      </c>
      <c r="L53" s="27">
        <v>189</v>
      </c>
      <c r="M53" s="21">
        <v>21.6</v>
      </c>
      <c r="N53" s="18">
        <v>4</v>
      </c>
      <c r="O53" s="106">
        <v>407</v>
      </c>
      <c r="P53" s="106">
        <v>32</v>
      </c>
      <c r="Q53" s="21">
        <v>91.78</v>
      </c>
      <c r="R53" s="21">
        <v>36.479999999999997</v>
      </c>
      <c r="S53" s="21">
        <v>187.5</v>
      </c>
      <c r="T53" s="21">
        <v>28.02</v>
      </c>
      <c r="U53" s="18">
        <v>8.2270000000000003</v>
      </c>
      <c r="V53" s="169">
        <v>0.2</v>
      </c>
      <c r="W53" s="81">
        <v>0.02</v>
      </c>
      <c r="X53" s="81">
        <v>0.02</v>
      </c>
      <c r="Y53" s="81">
        <v>0.02</v>
      </c>
      <c r="Z53" s="81">
        <v>0.04</v>
      </c>
      <c r="AA53" s="18">
        <v>1.3340000000000001</v>
      </c>
      <c r="AC53" s="25">
        <f t="shared" si="28"/>
        <v>15.331695512392505</v>
      </c>
      <c r="AD53" s="25">
        <f t="shared" si="4"/>
        <v>15.94596940473032</v>
      </c>
      <c r="AE53" s="25">
        <f t="shared" si="5"/>
        <v>1.9639378258110736</v>
      </c>
      <c r="AG53" s="101">
        <v>7.7</v>
      </c>
      <c r="AH53" s="101">
        <v>2.4520499999999998</v>
      </c>
      <c r="AI53" s="101">
        <v>0.55759999999999998</v>
      </c>
      <c r="AJ53" s="101">
        <v>-1.101</v>
      </c>
      <c r="AK53" s="101">
        <v>-1.3507</v>
      </c>
      <c r="AL53" s="101">
        <v>-2.1682999999999999</v>
      </c>
      <c r="AM53" s="101">
        <v>0.54079999999999995</v>
      </c>
      <c r="AN53" s="101">
        <v>-1.1589</v>
      </c>
      <c r="AO53" s="101">
        <v>-1.9799</v>
      </c>
      <c r="AP53" s="101">
        <v>-0.61680000000000001</v>
      </c>
      <c r="AR53" s="50">
        <f t="shared" ref="AR53:AR60" si="31">L53/1000</f>
        <v>0.189</v>
      </c>
      <c r="AS53" s="50">
        <f t="shared" si="29"/>
        <v>0.79186897562763414</v>
      </c>
      <c r="AT53" s="50">
        <f t="shared" ref="AT53:AT60" si="32">(AR53-$AR$50)*0.133</f>
        <v>2.4724700000000002E-2</v>
      </c>
      <c r="AU53" s="50">
        <f>AU52-AT53</f>
        <v>0.43212289999999992</v>
      </c>
      <c r="AV53" s="50">
        <f t="shared" si="30"/>
        <v>4.1897829398287518</v>
      </c>
    </row>
    <row r="54" spans="1:48" s="106" customFormat="1" x14ac:dyDescent="0.35">
      <c r="A54" s="110">
        <v>14</v>
      </c>
      <c r="B54" s="28">
        <v>43713</v>
      </c>
      <c r="C54" s="110">
        <v>34</v>
      </c>
      <c r="D54" s="106">
        <v>132</v>
      </c>
      <c r="E54" s="110">
        <f t="shared" ref="E54:E60" si="33">E53+D54</f>
        <v>4530</v>
      </c>
      <c r="F54" s="25">
        <f t="shared" ref="F54:F60" si="34">D54/133</f>
        <v>0.99248120300751874</v>
      </c>
      <c r="G54" s="25">
        <f t="shared" ref="G54:G60" si="35">G53+F54</f>
        <v>34.062631578947375</v>
      </c>
      <c r="H54" s="25">
        <f t="shared" si="27"/>
        <v>12.015037593984962</v>
      </c>
      <c r="I54" s="106">
        <v>7.82</v>
      </c>
      <c r="J54" s="106">
        <v>877</v>
      </c>
      <c r="K54" s="12">
        <v>226.2</v>
      </c>
      <c r="L54" s="27">
        <v>104</v>
      </c>
      <c r="M54" s="27">
        <v>8.1</v>
      </c>
      <c r="N54" s="27">
        <v>1.8</v>
      </c>
      <c r="O54" s="106">
        <v>215</v>
      </c>
      <c r="P54" s="106">
        <v>25</v>
      </c>
      <c r="Q54" s="21">
        <v>41.25</v>
      </c>
      <c r="R54" s="21">
        <v>16.329999999999998</v>
      </c>
      <c r="S54" s="21">
        <v>126.3</v>
      </c>
      <c r="T54" s="21">
        <v>25.9</v>
      </c>
      <c r="U54" s="18">
        <v>5.601</v>
      </c>
      <c r="V54" s="169">
        <v>0.2</v>
      </c>
      <c r="W54" s="103">
        <v>5.0999999999999997E-2</v>
      </c>
      <c r="X54" s="81">
        <v>0.02</v>
      </c>
      <c r="Y54" s="81">
        <v>0.02</v>
      </c>
      <c r="Z54" s="81">
        <v>0.04</v>
      </c>
      <c r="AA54" s="11">
        <v>0.58899999999999997</v>
      </c>
      <c r="AC54" s="25">
        <f t="shared" si="28"/>
        <v>9.257892026304102</v>
      </c>
      <c r="AD54" s="25">
        <f t="shared" si="4"/>
        <v>9.038251856914167</v>
      </c>
      <c r="AE54" s="25">
        <f t="shared" si="5"/>
        <v>1.2004724645360658</v>
      </c>
      <c r="AG54" s="101">
        <v>7.82</v>
      </c>
      <c r="AH54" s="101">
        <v>-1.5221199999999999</v>
      </c>
      <c r="AI54" s="101">
        <v>0.28820000000000001</v>
      </c>
      <c r="AJ54" s="101">
        <v>-1.5682</v>
      </c>
      <c r="AK54" s="101">
        <v>-1.8180000000000001</v>
      </c>
      <c r="AL54" s="101">
        <v>-2.4070999999999998</v>
      </c>
      <c r="AM54" s="101">
        <v>-4.7999999999999996E-3</v>
      </c>
      <c r="AN54" s="101">
        <v>-1.0706</v>
      </c>
      <c r="AO54" s="101">
        <v>-1.7957000000000001</v>
      </c>
      <c r="AP54" s="101">
        <v>-0.8931</v>
      </c>
      <c r="AR54" s="50">
        <f t="shared" si="31"/>
        <v>0.104</v>
      </c>
      <c r="AS54" s="50">
        <f t="shared" si="29"/>
        <v>0.76727725856697815</v>
      </c>
      <c r="AT54" s="50">
        <f t="shared" si="32"/>
        <v>1.34197E-2</v>
      </c>
      <c r="AU54" s="50">
        <f t="shared" ref="AU54:AU60" si="36">AU53-AT54</f>
        <v>0.41870319999999994</v>
      </c>
      <c r="AV54" s="50">
        <f t="shared" si="30"/>
        <v>7.3776659477594055</v>
      </c>
    </row>
    <row r="55" spans="1:48" s="110" customFormat="1" x14ac:dyDescent="0.35">
      <c r="A55" s="110">
        <v>14</v>
      </c>
      <c r="B55" s="28">
        <v>43714</v>
      </c>
      <c r="C55" s="110">
        <v>35</v>
      </c>
      <c r="D55" s="110">
        <v>137</v>
      </c>
      <c r="E55" s="110">
        <f t="shared" si="33"/>
        <v>4667</v>
      </c>
      <c r="F55" s="25">
        <f t="shared" si="34"/>
        <v>1.0300751879699248</v>
      </c>
      <c r="G55" s="25">
        <f t="shared" si="35"/>
        <v>35.092706766917303</v>
      </c>
      <c r="H55" s="25">
        <f t="shared" si="27"/>
        <v>13.045112781954886</v>
      </c>
      <c r="I55" s="110">
        <v>8.07</v>
      </c>
      <c r="J55" s="110">
        <v>715</v>
      </c>
      <c r="K55" s="12">
        <v>183.2</v>
      </c>
      <c r="L55" s="27">
        <v>82</v>
      </c>
      <c r="M55" s="18">
        <v>4.9000000000000004</v>
      </c>
      <c r="N55" s="27">
        <v>1.5</v>
      </c>
      <c r="O55" s="110">
        <v>159</v>
      </c>
      <c r="P55" s="106">
        <v>20</v>
      </c>
      <c r="Q55" s="21">
        <v>32.96</v>
      </c>
      <c r="R55" s="21">
        <v>12.89</v>
      </c>
      <c r="S55" s="21">
        <v>103.7</v>
      </c>
      <c r="T55" s="21">
        <v>25.29</v>
      </c>
      <c r="U55" s="18">
        <v>4.7249999999999996</v>
      </c>
      <c r="V55" s="169">
        <v>0.1</v>
      </c>
      <c r="W55" s="33">
        <v>0.08</v>
      </c>
      <c r="X55" s="81">
        <v>0.01</v>
      </c>
      <c r="Y55" s="81">
        <v>0.01</v>
      </c>
      <c r="Z55" s="81">
        <v>0.02</v>
      </c>
      <c r="AA55" s="11">
        <v>0.442</v>
      </c>
      <c r="AC55" s="25">
        <f t="shared" si="28"/>
        <v>7.1368473781074151</v>
      </c>
      <c r="AD55" s="25">
        <f t="shared" si="4"/>
        <v>7.3362442706565041</v>
      </c>
      <c r="AE55" s="25">
        <f t="shared" si="5"/>
        <v>1.3777076618326989</v>
      </c>
      <c r="AG55" s="101">
        <v>8.07</v>
      </c>
      <c r="AH55" s="101">
        <v>2.4086500000000002</v>
      </c>
      <c r="AI55" s="101">
        <v>0.38200000000000001</v>
      </c>
      <c r="AJ55" s="101">
        <v>-1.7399</v>
      </c>
      <c r="AK55" s="101">
        <v>-1.9897</v>
      </c>
      <c r="AL55" s="101">
        <v>-2.7475000000000001</v>
      </c>
      <c r="AM55" s="101">
        <v>0.17530000000000001</v>
      </c>
      <c r="AN55" s="101">
        <v>-1.1757</v>
      </c>
      <c r="AO55" s="101">
        <v>-1.6468</v>
      </c>
      <c r="AP55" s="101">
        <v>-0.80669999999999997</v>
      </c>
      <c r="AR55" s="50">
        <f t="shared" si="31"/>
        <v>8.2000000000000003E-2</v>
      </c>
      <c r="AS55" s="50">
        <f t="shared" si="29"/>
        <v>0.74804746197544436</v>
      </c>
      <c r="AT55" s="50">
        <f t="shared" si="32"/>
        <v>1.04937E-2</v>
      </c>
      <c r="AU55" s="50">
        <f t="shared" si="36"/>
        <v>0.40820949999999995</v>
      </c>
      <c r="AV55" s="50">
        <f t="shared" si="30"/>
        <v>9.1225300240907838</v>
      </c>
    </row>
    <row r="56" spans="1:48" s="110" customFormat="1" x14ac:dyDescent="0.35">
      <c r="A56" s="110">
        <v>14</v>
      </c>
      <c r="B56" s="28">
        <v>43715</v>
      </c>
      <c r="C56" s="110">
        <v>36</v>
      </c>
      <c r="D56" s="110">
        <v>133</v>
      </c>
      <c r="E56" s="110">
        <f t="shared" si="33"/>
        <v>4800</v>
      </c>
      <c r="F56" s="25">
        <f t="shared" si="34"/>
        <v>1</v>
      </c>
      <c r="G56" s="25">
        <f t="shared" si="35"/>
        <v>36.092706766917303</v>
      </c>
      <c r="H56" s="25">
        <f t="shared" si="27"/>
        <v>14.045112781954886</v>
      </c>
      <c r="I56" s="110">
        <v>8.01</v>
      </c>
      <c r="J56" s="110">
        <v>672</v>
      </c>
      <c r="K56" s="12">
        <v>158.4</v>
      </c>
      <c r="L56" s="27">
        <v>66</v>
      </c>
      <c r="M56" s="18">
        <v>4.2</v>
      </c>
      <c r="N56" s="27">
        <v>1.5</v>
      </c>
      <c r="O56" s="110">
        <v>145</v>
      </c>
      <c r="P56" s="110">
        <v>19</v>
      </c>
      <c r="Q56" s="21">
        <v>28.7</v>
      </c>
      <c r="R56" s="21">
        <v>11.27</v>
      </c>
      <c r="S56" s="21">
        <v>94.25</v>
      </c>
      <c r="T56" s="21">
        <v>24.84</v>
      </c>
      <c r="U56" s="18">
        <v>4.4480000000000004</v>
      </c>
      <c r="V56" s="169">
        <v>0.1</v>
      </c>
      <c r="W56" s="103">
        <v>5.7000000000000002E-2</v>
      </c>
      <c r="X56" s="81">
        <v>0.01</v>
      </c>
      <c r="Y56" s="81">
        <v>0.01</v>
      </c>
      <c r="Z56" s="81">
        <v>0.02</v>
      </c>
      <c r="AA56" s="11">
        <v>0.39900000000000002</v>
      </c>
      <c r="AC56" s="25">
        <f t="shared" si="28"/>
        <v>6.3296167679486839</v>
      </c>
      <c r="AD56" s="25">
        <f t="shared" si="4"/>
        <v>6.5723130553079141</v>
      </c>
      <c r="AE56" s="25">
        <f t="shared" si="5"/>
        <v>1.8810851607776828</v>
      </c>
      <c r="AG56" s="101">
        <v>8.01</v>
      </c>
      <c r="AH56" s="101">
        <v>2.8713000000000002</v>
      </c>
      <c r="AI56" s="101">
        <v>0.21690000000000001</v>
      </c>
      <c r="AJ56" s="101">
        <v>-1.8142</v>
      </c>
      <c r="AK56" s="101">
        <v>-2.0640000000000001</v>
      </c>
      <c r="AL56" s="101">
        <v>-2.7464</v>
      </c>
      <c r="AM56" s="101">
        <v>-0.15509999999999999</v>
      </c>
      <c r="AN56" s="101">
        <v>-1.2806999999999999</v>
      </c>
      <c r="AO56" s="101">
        <v>-1.8322000000000001</v>
      </c>
      <c r="AP56" s="101">
        <v>-0.97199999999999998</v>
      </c>
      <c r="AR56" s="50">
        <f t="shared" si="31"/>
        <v>6.6000000000000003E-2</v>
      </c>
      <c r="AS56" s="50">
        <f t="shared" si="29"/>
        <v>0.73271724390690851</v>
      </c>
      <c r="AT56" s="50">
        <f t="shared" si="32"/>
        <v>8.3657000000000002E-3</v>
      </c>
      <c r="AU56" s="50">
        <f t="shared" si="36"/>
        <v>0.39984379999999997</v>
      </c>
      <c r="AV56" s="50">
        <f t="shared" si="30"/>
        <v>11.101776422831946</v>
      </c>
    </row>
    <row r="57" spans="1:48" s="110" customFormat="1" x14ac:dyDescent="0.35">
      <c r="A57" s="110">
        <v>14</v>
      </c>
      <c r="B57" s="28">
        <v>43716</v>
      </c>
      <c r="C57" s="110">
        <v>37</v>
      </c>
      <c r="D57" s="110">
        <v>134</v>
      </c>
      <c r="E57" s="110">
        <f t="shared" si="33"/>
        <v>4934</v>
      </c>
      <c r="F57" s="25">
        <f t="shared" si="34"/>
        <v>1.0075187969924813</v>
      </c>
      <c r="G57" s="25">
        <f t="shared" si="35"/>
        <v>37.100225563909781</v>
      </c>
      <c r="H57" s="25">
        <f t="shared" si="27"/>
        <v>15.052631578947368</v>
      </c>
      <c r="I57" s="25">
        <v>8</v>
      </c>
      <c r="J57" s="110">
        <v>599</v>
      </c>
      <c r="K57" s="12">
        <v>137.80000000000001</v>
      </c>
      <c r="L57" s="27">
        <v>59</v>
      </c>
      <c r="M57" s="18">
        <v>3.9</v>
      </c>
      <c r="N57" s="27">
        <v>1.5</v>
      </c>
      <c r="O57" s="110">
        <v>137</v>
      </c>
      <c r="P57" s="110">
        <v>17</v>
      </c>
      <c r="Q57" s="21">
        <v>29.15</v>
      </c>
      <c r="R57" s="21">
        <v>11.33</v>
      </c>
      <c r="S57" s="21">
        <v>83.68</v>
      </c>
      <c r="T57" s="21">
        <v>24.86</v>
      </c>
      <c r="U57" s="18">
        <v>4.516</v>
      </c>
      <c r="V57" s="169">
        <v>0.1</v>
      </c>
      <c r="W57" s="103">
        <v>3.6999999999999998E-2</v>
      </c>
      <c r="X57" s="81">
        <v>0.01</v>
      </c>
      <c r="Y57" s="81">
        <v>0.01</v>
      </c>
      <c r="Z57" s="81">
        <v>0.02</v>
      </c>
      <c r="AA57" s="11">
        <v>0.39900000000000002</v>
      </c>
      <c r="AC57" s="25">
        <f t="shared" si="28"/>
        <v>5.7425915794719238</v>
      </c>
      <c r="AD57" s="25">
        <f t="shared" si="4"/>
        <v>6.1416763708218651</v>
      </c>
      <c r="AE57" s="25">
        <f t="shared" si="5"/>
        <v>3.358093178470245</v>
      </c>
      <c r="AG57" s="101">
        <v>8</v>
      </c>
      <c r="AH57" s="101">
        <v>4.4737799999999996</v>
      </c>
      <c r="AI57" s="101">
        <v>0.1643</v>
      </c>
      <c r="AJ57" s="101">
        <v>-1.8184</v>
      </c>
      <c r="AK57" s="101">
        <v>-2.0682999999999998</v>
      </c>
      <c r="AL57" s="101">
        <v>-2.7957000000000001</v>
      </c>
      <c r="AM57" s="101">
        <v>-0.26690000000000003</v>
      </c>
      <c r="AN57" s="101">
        <v>-1.3407</v>
      </c>
      <c r="AO57" s="101">
        <v>-1.9983</v>
      </c>
      <c r="AP57" s="101">
        <v>-1.0310999999999999</v>
      </c>
      <c r="AR57" s="50">
        <f t="shared" si="31"/>
        <v>5.8999999999999997E-2</v>
      </c>
      <c r="AS57" s="50">
        <f t="shared" si="29"/>
        <v>0.71909309144218436</v>
      </c>
      <c r="AT57" s="50">
        <f t="shared" si="32"/>
        <v>7.4346999999999998E-3</v>
      </c>
      <c r="AU57" s="50">
        <f t="shared" si="36"/>
        <v>0.39240909999999996</v>
      </c>
      <c r="AV57" s="50">
        <f t="shared" si="30"/>
        <v>12.188018499020075</v>
      </c>
    </row>
    <row r="58" spans="1:48" s="110" customFormat="1" x14ac:dyDescent="0.35">
      <c r="A58" s="110">
        <v>14</v>
      </c>
      <c r="B58" s="28">
        <v>43717</v>
      </c>
      <c r="C58" s="110">
        <v>38</v>
      </c>
      <c r="D58" s="110">
        <v>132</v>
      </c>
      <c r="E58" s="110">
        <f t="shared" si="33"/>
        <v>5066</v>
      </c>
      <c r="F58" s="25">
        <f t="shared" si="34"/>
        <v>0.99248120300751874</v>
      </c>
      <c r="G58" s="25">
        <f t="shared" si="35"/>
        <v>38.092706766917303</v>
      </c>
      <c r="H58" s="25">
        <f t="shared" si="27"/>
        <v>16.045112781954888</v>
      </c>
      <c r="I58" s="110">
        <v>7.76</v>
      </c>
      <c r="J58" s="110">
        <v>570</v>
      </c>
      <c r="K58" s="12">
        <v>129.6</v>
      </c>
      <c r="L58" s="27">
        <v>62</v>
      </c>
      <c r="M58" s="18">
        <v>4</v>
      </c>
      <c r="N58" s="27">
        <v>1.5</v>
      </c>
      <c r="O58" s="110">
        <v>137</v>
      </c>
      <c r="P58" s="110">
        <v>15</v>
      </c>
      <c r="Q58" s="21">
        <v>45.59</v>
      </c>
      <c r="R58" s="21">
        <v>17.149999999999999</v>
      </c>
      <c r="S58" s="21">
        <v>54.22</v>
      </c>
      <c r="T58" s="21">
        <v>25.68</v>
      </c>
      <c r="U58" s="18">
        <v>4.7</v>
      </c>
      <c r="V58" s="169">
        <v>0.1</v>
      </c>
      <c r="W58" s="103">
        <v>2.7E-2</v>
      </c>
      <c r="X58" s="81">
        <v>0.01</v>
      </c>
      <c r="Y58" s="81">
        <v>0.01</v>
      </c>
      <c r="Z58" s="81">
        <v>0.02</v>
      </c>
      <c r="AA58" s="11">
        <v>0.60499999999999998</v>
      </c>
      <c r="AC58" s="25">
        <f t="shared" si="28"/>
        <v>5.5814124539430097</v>
      </c>
      <c r="AD58" s="25">
        <f t="shared" si="4"/>
        <v>6.1639332484005358</v>
      </c>
      <c r="AE58" s="25">
        <f t="shared" si="5"/>
        <v>4.9595883273260828</v>
      </c>
      <c r="AG58" s="101">
        <v>7.76</v>
      </c>
      <c r="AH58" s="101">
        <v>6.3974900000000003</v>
      </c>
      <c r="AI58" s="101">
        <v>9.4E-2</v>
      </c>
      <c r="AJ58" s="101">
        <v>-1.6440999999999999</v>
      </c>
      <c r="AK58" s="101">
        <v>-1.8939999999999999</v>
      </c>
      <c r="AL58" s="101">
        <v>-2.5825</v>
      </c>
      <c r="AM58" s="101">
        <v>-0.42280000000000001</v>
      </c>
      <c r="AN58" s="101">
        <v>-1.6076999999999999</v>
      </c>
      <c r="AO58" s="101">
        <v>-1.9415</v>
      </c>
      <c r="AP58" s="101">
        <v>-1.1167</v>
      </c>
      <c r="AR58" s="50">
        <f t="shared" si="31"/>
        <v>6.2E-2</v>
      </c>
      <c r="AS58" s="50">
        <f t="shared" si="29"/>
        <v>0.70473776800439802</v>
      </c>
      <c r="AT58" s="50">
        <f t="shared" si="32"/>
        <v>7.8337000000000007E-3</v>
      </c>
      <c r="AU58" s="50">
        <f t="shared" si="36"/>
        <v>0.38457539999999996</v>
      </c>
      <c r="AV58" s="50">
        <f t="shared" si="30"/>
        <v>11.366738193619323</v>
      </c>
    </row>
    <row r="59" spans="1:48" s="106" customFormat="1" x14ac:dyDescent="0.35">
      <c r="A59" s="110">
        <v>14</v>
      </c>
      <c r="B59" s="28">
        <v>43718</v>
      </c>
      <c r="C59" s="110">
        <v>39</v>
      </c>
      <c r="D59" s="106">
        <v>133</v>
      </c>
      <c r="E59" s="110">
        <f t="shared" si="33"/>
        <v>5199</v>
      </c>
      <c r="F59" s="25">
        <f t="shared" si="34"/>
        <v>1</v>
      </c>
      <c r="G59" s="25">
        <f t="shared" si="35"/>
        <v>39.092706766917303</v>
      </c>
      <c r="H59" s="25">
        <f t="shared" si="27"/>
        <v>17.045112781954888</v>
      </c>
      <c r="I59" s="106">
        <v>7.78</v>
      </c>
      <c r="J59" s="106">
        <v>553</v>
      </c>
      <c r="K59" s="12">
        <v>124.2</v>
      </c>
      <c r="L59" s="27">
        <v>70</v>
      </c>
      <c r="M59" s="18">
        <v>3.8</v>
      </c>
      <c r="N59" s="27">
        <v>1.6</v>
      </c>
      <c r="O59" s="106">
        <v>138</v>
      </c>
      <c r="P59" s="106">
        <v>15</v>
      </c>
      <c r="Q59" s="21">
        <v>55.76</v>
      </c>
      <c r="R59" s="21">
        <v>21.23</v>
      </c>
      <c r="S59" s="21">
        <v>35.79</v>
      </c>
      <c r="T59" s="21">
        <v>25.21</v>
      </c>
      <c r="U59" s="18">
        <v>4.4939999999999998</v>
      </c>
      <c r="V59" s="169">
        <v>0.1</v>
      </c>
      <c r="W59" s="103">
        <v>2.1000000000000001E-2</v>
      </c>
      <c r="X59" s="81">
        <v>0.01</v>
      </c>
      <c r="Y59" s="81">
        <v>0.01</v>
      </c>
      <c r="Z59" s="81">
        <v>0.02</v>
      </c>
      <c r="AA59" s="11">
        <v>0.71799999999999997</v>
      </c>
      <c r="AC59" s="25">
        <f t="shared" si="28"/>
        <v>5.4902039288595814</v>
      </c>
      <c r="AD59" s="25">
        <f t="shared" si="4"/>
        <v>6.2000231593686568</v>
      </c>
      <c r="AE59" s="25">
        <f t="shared" si="5"/>
        <v>6.0719028394567749</v>
      </c>
      <c r="AG59" s="101">
        <v>7.78</v>
      </c>
      <c r="AH59" s="101">
        <v>7.7370599999999996</v>
      </c>
      <c r="AI59" s="101">
        <v>0.18010000000000001</v>
      </c>
      <c r="AJ59" s="101">
        <v>-1.5672999999999999</v>
      </c>
      <c r="AK59" s="101">
        <v>-1.8171999999999999</v>
      </c>
      <c r="AL59" s="101">
        <v>-2.6240000000000001</v>
      </c>
      <c r="AM59" s="101">
        <v>-0.246</v>
      </c>
      <c r="AN59" s="101">
        <v>-1.6101000000000001</v>
      </c>
      <c r="AO59" s="101">
        <v>-1.9653</v>
      </c>
      <c r="AP59" s="101">
        <v>-1.0261</v>
      </c>
      <c r="AR59" s="50">
        <f t="shared" si="31"/>
        <v>7.0000000000000007E-2</v>
      </c>
      <c r="AS59" s="50">
        <f t="shared" si="29"/>
        <v>0.68843265530511266</v>
      </c>
      <c r="AT59" s="50">
        <f t="shared" si="32"/>
        <v>8.8977000000000014E-3</v>
      </c>
      <c r="AU59" s="50">
        <f t="shared" si="36"/>
        <v>0.37567769999999995</v>
      </c>
      <c r="AV59" s="50">
        <f t="shared" si="30"/>
        <v>9.834752218644466</v>
      </c>
    </row>
    <row r="60" spans="1:48" s="106" customFormat="1" x14ac:dyDescent="0.35">
      <c r="A60" s="110">
        <v>14</v>
      </c>
      <c r="B60" s="28">
        <v>43719</v>
      </c>
      <c r="C60" s="110">
        <v>40</v>
      </c>
      <c r="D60" s="106">
        <v>134</v>
      </c>
      <c r="E60" s="110">
        <f t="shared" si="33"/>
        <v>5333</v>
      </c>
      <c r="F60" s="25">
        <f t="shared" si="34"/>
        <v>1.0075187969924813</v>
      </c>
      <c r="G60" s="25">
        <f t="shared" si="35"/>
        <v>40.100225563909781</v>
      </c>
      <c r="H60" s="25">
        <f t="shared" si="27"/>
        <v>18.05263157894737</v>
      </c>
      <c r="I60" s="106">
        <v>7.81</v>
      </c>
      <c r="J60" s="106">
        <v>554</v>
      </c>
      <c r="K60" s="106">
        <v>125</v>
      </c>
      <c r="L60" s="27">
        <v>65</v>
      </c>
      <c r="M60" s="18">
        <v>3.8</v>
      </c>
      <c r="N60" s="27">
        <v>1.5</v>
      </c>
      <c r="O60" s="106">
        <v>137</v>
      </c>
      <c r="P60" s="106">
        <v>14</v>
      </c>
      <c r="Q60" s="21">
        <v>60.01</v>
      </c>
      <c r="R60" s="21">
        <v>22.45</v>
      </c>
      <c r="S60" s="21">
        <v>29.11</v>
      </c>
      <c r="T60" s="21">
        <v>25.62</v>
      </c>
      <c r="U60" s="18">
        <v>4.4950000000000001</v>
      </c>
      <c r="V60" s="169">
        <v>0.1</v>
      </c>
      <c r="W60" s="81">
        <v>0.01</v>
      </c>
      <c r="X60" s="81">
        <v>0.01</v>
      </c>
      <c r="Y60" s="81">
        <v>0.01</v>
      </c>
      <c r="Z60" s="81">
        <v>0.02</v>
      </c>
      <c r="AA60" s="11">
        <v>0.75900000000000001</v>
      </c>
      <c r="AC60" s="25">
        <f t="shared" si="28"/>
        <v>5.483770705000838</v>
      </c>
      <c r="AD60" s="25">
        <f t="shared" si="4"/>
        <v>6.2218924169604204</v>
      </c>
      <c r="AE60" s="25">
        <f t="shared" si="5"/>
        <v>6.3056804579893946</v>
      </c>
      <c r="AG60" s="101">
        <v>7.81</v>
      </c>
      <c r="AH60" s="101">
        <v>8.0106699999999993</v>
      </c>
      <c r="AI60" s="101">
        <v>0.24279999999999999</v>
      </c>
      <c r="AJ60" s="101">
        <v>-1.5441</v>
      </c>
      <c r="AK60" s="101">
        <v>-1.794</v>
      </c>
      <c r="AL60" s="101">
        <v>-2.6526999999999998</v>
      </c>
      <c r="AM60" s="101">
        <v>-0.12790000000000001</v>
      </c>
      <c r="AN60" s="101">
        <v>-1.5791999999999999</v>
      </c>
      <c r="AO60" s="101">
        <v>-2.2568999999999999</v>
      </c>
      <c r="AP60" s="101">
        <v>-0.97070000000000001</v>
      </c>
      <c r="AR60" s="50">
        <f t="shared" si="31"/>
        <v>6.5000000000000002E-2</v>
      </c>
      <c r="AS60" s="50">
        <f t="shared" si="29"/>
        <v>0.67334616089426425</v>
      </c>
      <c r="AT60" s="50">
        <f t="shared" si="32"/>
        <v>8.2327000000000008E-3</v>
      </c>
      <c r="AU60" s="50">
        <f t="shared" si="36"/>
        <v>0.36744499999999997</v>
      </c>
      <c r="AV60" s="50">
        <f t="shared" si="30"/>
        <v>10.359171706065604</v>
      </c>
    </row>
    <row r="61" spans="1:48" s="114" customFormat="1" x14ac:dyDescent="0.35">
      <c r="B61" s="28"/>
      <c r="F61" s="25"/>
      <c r="G61" s="25"/>
      <c r="H61" s="25"/>
      <c r="L61" s="27"/>
      <c r="M61" s="27"/>
      <c r="Q61" s="6"/>
      <c r="S61" s="13"/>
      <c r="T61" s="13"/>
      <c r="U61" s="13"/>
      <c r="V61" s="26"/>
      <c r="AC61" s="25"/>
      <c r="AD61" s="25"/>
      <c r="AE61" s="25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R61" s="50"/>
      <c r="AS61" s="50"/>
      <c r="AT61" s="50"/>
      <c r="AU61" s="50"/>
      <c r="AV61" s="50"/>
    </row>
    <row r="62" spans="1:48" x14ac:dyDescent="0.35">
      <c r="B62" s="28"/>
      <c r="F62" s="25"/>
      <c r="G62" s="25"/>
      <c r="H62" s="25"/>
      <c r="L62" s="27"/>
      <c r="M62" s="27"/>
      <c r="Q62" s="18"/>
      <c r="R62" s="27"/>
      <c r="S62" s="11"/>
      <c r="T62" s="11"/>
      <c r="U62" s="11"/>
      <c r="V62" s="26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R62" s="50"/>
      <c r="AS62" s="50"/>
      <c r="AT62" s="50"/>
      <c r="AU62" s="50"/>
      <c r="AV62" s="50"/>
    </row>
    <row r="63" spans="1:48" x14ac:dyDescent="0.35">
      <c r="A63" s="31" t="s">
        <v>33</v>
      </c>
      <c r="F63" s="25"/>
      <c r="G63" s="25"/>
      <c r="H63" s="25"/>
      <c r="Q63" s="27"/>
      <c r="R63" s="27"/>
      <c r="S63" s="27"/>
      <c r="T63" s="27"/>
      <c r="U63" s="27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R63" s="50"/>
      <c r="AS63" s="50"/>
      <c r="AT63" s="50"/>
      <c r="AU63" s="50"/>
      <c r="AV63" s="50"/>
    </row>
    <row r="64" spans="1:48" x14ac:dyDescent="0.35">
      <c r="Q64" s="27"/>
      <c r="R64" s="27"/>
      <c r="S64" s="27"/>
      <c r="T64" s="27"/>
      <c r="U64" s="27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R64" s="110"/>
      <c r="AS64" s="110"/>
      <c r="AT64" s="110"/>
      <c r="AU64" s="110"/>
      <c r="AV64" s="110"/>
    </row>
    <row r="65" spans="1:48" x14ac:dyDescent="0.35">
      <c r="A65" s="31" t="s">
        <v>10</v>
      </c>
      <c r="B65" s="198" t="s">
        <v>14</v>
      </c>
      <c r="Q65" s="27"/>
      <c r="R65" s="27"/>
      <c r="S65" s="27"/>
      <c r="T65" s="27"/>
      <c r="U65" s="27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R65" s="106"/>
      <c r="AS65" s="106"/>
      <c r="AT65" s="106"/>
      <c r="AU65" s="106"/>
      <c r="AV65" s="106"/>
    </row>
    <row r="66" spans="1:48" x14ac:dyDescent="0.35">
      <c r="A66" s="28">
        <v>43680</v>
      </c>
      <c r="B66" s="31">
        <v>7.68</v>
      </c>
      <c r="Q66" s="27"/>
      <c r="R66" s="27"/>
      <c r="S66" s="27"/>
      <c r="T66" s="27"/>
      <c r="U66" s="27"/>
      <c r="AR66" s="106"/>
      <c r="AS66" s="106"/>
      <c r="AT66" s="106"/>
      <c r="AU66" s="106"/>
      <c r="AV66" s="106"/>
    </row>
    <row r="67" spans="1:48" x14ac:dyDescent="0.35">
      <c r="A67" s="28">
        <v>43681</v>
      </c>
      <c r="B67" s="31">
        <v>7.7</v>
      </c>
      <c r="AR67" s="114"/>
      <c r="AS67" s="114"/>
      <c r="AT67" s="114"/>
      <c r="AU67" s="114"/>
      <c r="AV67" s="114"/>
    </row>
    <row r="68" spans="1:48" x14ac:dyDescent="0.35">
      <c r="A68" s="28">
        <v>43682</v>
      </c>
      <c r="B68" s="31">
        <v>7.42</v>
      </c>
      <c r="E68" s="28"/>
    </row>
    <row r="69" spans="1:48" x14ac:dyDescent="0.35">
      <c r="A69" s="28">
        <v>43683</v>
      </c>
      <c r="B69" s="31">
        <v>7.56</v>
      </c>
      <c r="E69" s="28"/>
    </row>
    <row r="70" spans="1:48" x14ac:dyDescent="0.35">
      <c r="A70" s="28">
        <v>43684</v>
      </c>
      <c r="B70" s="31">
        <v>7.7</v>
      </c>
      <c r="E70" s="28"/>
    </row>
    <row r="71" spans="1:48" x14ac:dyDescent="0.35">
      <c r="A71" s="28">
        <v>43685</v>
      </c>
      <c r="B71" s="31">
        <v>7.69</v>
      </c>
      <c r="E71" s="28"/>
    </row>
    <row r="72" spans="1:48" x14ac:dyDescent="0.35">
      <c r="A72" s="28">
        <v>43697</v>
      </c>
      <c r="B72" s="31">
        <v>7</v>
      </c>
      <c r="E72" s="28"/>
    </row>
    <row r="73" spans="1:48" x14ac:dyDescent="0.35">
      <c r="A73" s="28">
        <v>43698</v>
      </c>
      <c r="B73" s="31">
        <v>6.99</v>
      </c>
      <c r="E73" s="28"/>
    </row>
    <row r="74" spans="1:48" x14ac:dyDescent="0.35">
      <c r="A74" s="28">
        <v>43699</v>
      </c>
      <c r="E74" s="28"/>
    </row>
    <row r="75" spans="1:48" x14ac:dyDescent="0.35">
      <c r="A75" s="28">
        <v>43700</v>
      </c>
      <c r="B75" s="31">
        <v>7.05</v>
      </c>
      <c r="E75" s="28"/>
    </row>
    <row r="76" spans="1:48" x14ac:dyDescent="0.35">
      <c r="A76" s="28">
        <v>43701</v>
      </c>
      <c r="B76" s="31">
        <v>7.15</v>
      </c>
      <c r="E76" s="28"/>
    </row>
    <row r="77" spans="1:48" x14ac:dyDescent="0.35">
      <c r="A77" s="28">
        <v>43702</v>
      </c>
      <c r="B77" s="31">
        <v>7.2</v>
      </c>
      <c r="E77" s="28"/>
    </row>
    <row r="78" spans="1:48" x14ac:dyDescent="0.35">
      <c r="A78" s="28">
        <v>43703</v>
      </c>
      <c r="E78" s="28"/>
    </row>
    <row r="79" spans="1:48" x14ac:dyDescent="0.35">
      <c r="A79" s="28">
        <v>43704</v>
      </c>
      <c r="B79" s="31">
        <v>7.12</v>
      </c>
      <c r="E79" s="28"/>
    </row>
    <row r="80" spans="1:48" x14ac:dyDescent="0.35">
      <c r="A80" s="28">
        <v>43705</v>
      </c>
      <c r="B80" s="31">
        <v>7.15</v>
      </c>
      <c r="E80" s="28"/>
    </row>
    <row r="81" spans="1:26" x14ac:dyDescent="0.35">
      <c r="A81" s="28">
        <v>43706</v>
      </c>
      <c r="B81" s="31">
        <v>7.25</v>
      </c>
      <c r="F81" s="25"/>
      <c r="G81" s="25"/>
      <c r="H81" s="25"/>
    </row>
    <row r="82" spans="1:26" x14ac:dyDescent="0.35">
      <c r="A82" s="28">
        <v>43707</v>
      </c>
      <c r="F82" s="25"/>
      <c r="G82" s="25"/>
      <c r="H82" s="25"/>
    </row>
    <row r="83" spans="1:26" x14ac:dyDescent="0.35">
      <c r="A83" s="28"/>
      <c r="F83" s="25"/>
      <c r="G83" s="25"/>
      <c r="H83" s="25"/>
    </row>
    <row r="84" spans="1:26" x14ac:dyDescent="0.35">
      <c r="A84" s="28"/>
    </row>
    <row r="85" spans="1:26" x14ac:dyDescent="0.35">
      <c r="A85" s="28"/>
      <c r="B85" s="85"/>
      <c r="F85" s="25"/>
      <c r="G85" s="25"/>
      <c r="H85" s="25"/>
    </row>
    <row r="86" spans="1:26" x14ac:dyDescent="0.35">
      <c r="A86" s="28"/>
      <c r="F86" s="25"/>
      <c r="G86" s="25"/>
      <c r="H86" s="25"/>
    </row>
    <row r="87" spans="1:26" x14ac:dyDescent="0.35">
      <c r="A87" s="28"/>
      <c r="F87" s="25"/>
      <c r="G87" s="25"/>
      <c r="H87" s="25"/>
    </row>
    <row r="88" spans="1:26" x14ac:dyDescent="0.35">
      <c r="A88" s="28"/>
      <c r="F88" s="25"/>
      <c r="G88" s="25"/>
      <c r="H88" s="25"/>
    </row>
    <row r="89" spans="1:26" x14ac:dyDescent="0.35">
      <c r="A89" s="28"/>
      <c r="F89" s="25"/>
      <c r="G89" s="25"/>
      <c r="H89" s="25"/>
    </row>
    <row r="90" spans="1:26" x14ac:dyDescent="0.35">
      <c r="A90" s="28"/>
      <c r="F90" s="25"/>
      <c r="G90" s="25"/>
      <c r="H90" s="25"/>
    </row>
    <row r="91" spans="1:26" x14ac:dyDescent="0.35">
      <c r="A91" s="28"/>
      <c r="F91" s="25"/>
      <c r="G91" s="25"/>
      <c r="H91" s="25"/>
      <c r="N91" s="27"/>
      <c r="O91" s="27"/>
      <c r="P91" s="27"/>
      <c r="Q91" s="27"/>
      <c r="R91" s="27"/>
      <c r="S91" s="26"/>
      <c r="T91" s="26"/>
      <c r="U91" s="26"/>
      <c r="V91" s="26"/>
      <c r="W91" s="27"/>
      <c r="X91" s="18"/>
      <c r="Y91" s="26"/>
      <c r="Z91" s="27"/>
    </row>
    <row r="92" spans="1:26" x14ac:dyDescent="0.35">
      <c r="A92" s="28"/>
      <c r="F92" s="25"/>
      <c r="G92" s="25"/>
      <c r="H92" s="25"/>
      <c r="N92" s="27"/>
      <c r="O92" s="27"/>
      <c r="P92" s="27"/>
      <c r="Q92" s="27"/>
      <c r="R92" s="27"/>
      <c r="S92" s="26"/>
      <c r="T92" s="26"/>
      <c r="U92" s="26"/>
      <c r="V92" s="26"/>
      <c r="W92" s="27"/>
      <c r="X92" s="18"/>
      <c r="Y92" s="26"/>
      <c r="Z92" s="27"/>
    </row>
    <row r="93" spans="1:26" x14ac:dyDescent="0.35">
      <c r="A93" s="28"/>
      <c r="F93" s="25"/>
      <c r="G93" s="25"/>
      <c r="H93" s="25"/>
      <c r="S93" s="26"/>
      <c r="T93" s="26"/>
      <c r="U93" s="26"/>
      <c r="V93" s="27"/>
      <c r="X93" s="6"/>
      <c r="Y93" s="26"/>
      <c r="Z93" s="27"/>
    </row>
    <row r="94" spans="1:26" x14ac:dyDescent="0.35">
      <c r="A94" s="28"/>
      <c r="F94" s="25"/>
      <c r="G94" s="25"/>
      <c r="H94" s="25"/>
    </row>
    <row r="95" spans="1:26" x14ac:dyDescent="0.35">
      <c r="A95" s="28"/>
      <c r="F95" s="25"/>
      <c r="G95" s="25"/>
      <c r="H95" s="25"/>
    </row>
    <row r="96" spans="1:26" x14ac:dyDescent="0.35">
      <c r="A96" s="28"/>
      <c r="F96" s="25"/>
      <c r="G96" s="25"/>
      <c r="H96" s="25"/>
    </row>
    <row r="97" spans="1:26" x14ac:dyDescent="0.35">
      <c r="A97" s="28"/>
      <c r="B97" s="25"/>
      <c r="F97" s="25"/>
      <c r="G97" s="25"/>
      <c r="H97" s="25"/>
    </row>
    <row r="98" spans="1:26" x14ac:dyDescent="0.35">
      <c r="A98" s="28"/>
      <c r="B98" s="85"/>
      <c r="F98" s="25"/>
      <c r="G98" s="25"/>
      <c r="H98" s="25"/>
      <c r="Y98" s="26"/>
      <c r="Z98" s="26"/>
    </row>
    <row r="99" spans="1:26" x14ac:dyDescent="0.35">
      <c r="A99" s="28"/>
      <c r="B99" s="25"/>
      <c r="F99" s="25"/>
      <c r="G99" s="25"/>
      <c r="H99" s="25"/>
      <c r="I99" s="25"/>
      <c r="L99" s="27"/>
      <c r="M99" s="27"/>
      <c r="V99" s="26"/>
      <c r="Y99" s="26"/>
      <c r="Z99" s="26"/>
    </row>
    <row r="100" spans="1:26" x14ac:dyDescent="0.35">
      <c r="A100" s="28"/>
      <c r="B100" s="25"/>
      <c r="F100" s="25"/>
      <c r="G100" s="25"/>
      <c r="H100" s="25"/>
      <c r="L100" s="27"/>
      <c r="M100" s="27"/>
      <c r="S100" s="27"/>
      <c r="T100" s="27"/>
      <c r="U100" s="27"/>
      <c r="V100" s="13"/>
      <c r="Y100" s="26"/>
      <c r="Z100" s="26"/>
    </row>
    <row r="101" spans="1:26" x14ac:dyDescent="0.35">
      <c r="A101" s="28"/>
      <c r="B101" s="25"/>
      <c r="F101" s="25"/>
      <c r="G101" s="25"/>
      <c r="H101" s="25"/>
      <c r="L101" s="27"/>
      <c r="M101" s="27"/>
      <c r="P101" s="6"/>
      <c r="S101" s="27"/>
      <c r="T101" s="27"/>
      <c r="U101" s="27"/>
      <c r="V101" s="13"/>
      <c r="W101" s="6"/>
      <c r="Y101" s="26"/>
    </row>
    <row r="102" spans="1:26" x14ac:dyDescent="0.35">
      <c r="A102" s="28"/>
      <c r="B102" s="25"/>
      <c r="F102" s="25"/>
      <c r="G102" s="25"/>
      <c r="H102" s="25"/>
      <c r="K102" s="27"/>
      <c r="L102" s="27"/>
      <c r="M102" s="27"/>
      <c r="S102" s="27"/>
      <c r="T102" s="27"/>
      <c r="U102" s="27"/>
      <c r="V102" s="13"/>
      <c r="X102" s="12"/>
      <c r="Y102" s="26"/>
    </row>
    <row r="103" spans="1:26" x14ac:dyDescent="0.35">
      <c r="A103" s="28"/>
      <c r="B103" s="25"/>
      <c r="F103" s="25"/>
      <c r="G103" s="25"/>
      <c r="H103" s="25"/>
      <c r="K103" s="27"/>
      <c r="L103" s="27"/>
      <c r="M103" s="27"/>
      <c r="P103" s="27"/>
      <c r="S103" s="27"/>
      <c r="T103" s="27"/>
      <c r="U103" s="27"/>
      <c r="V103" s="13"/>
      <c r="W103" s="18"/>
      <c r="Y103" s="26"/>
    </row>
    <row r="104" spans="1:26" x14ac:dyDescent="0.35">
      <c r="A104" s="28"/>
      <c r="B104" s="25"/>
      <c r="F104" s="25"/>
      <c r="G104" s="25"/>
      <c r="H104" s="25"/>
      <c r="K104" s="27"/>
      <c r="L104" s="27"/>
      <c r="M104" s="27"/>
      <c r="P104" s="27"/>
      <c r="S104" s="27"/>
      <c r="T104" s="27"/>
      <c r="U104" s="27"/>
      <c r="V104" s="13"/>
      <c r="W104" s="18"/>
      <c r="Y104" s="26"/>
    </row>
    <row r="105" spans="1:26" x14ac:dyDescent="0.35">
      <c r="A105" s="28"/>
      <c r="B105" s="25"/>
      <c r="F105" s="25"/>
      <c r="G105" s="25"/>
      <c r="H105" s="25"/>
      <c r="K105" s="27"/>
      <c r="L105" s="27"/>
      <c r="M105" s="27"/>
      <c r="P105" s="27"/>
      <c r="S105" s="27"/>
      <c r="T105" s="27"/>
      <c r="U105" s="27"/>
      <c r="V105" s="13"/>
      <c r="W105" s="18"/>
      <c r="Y105" s="26"/>
    </row>
    <row r="106" spans="1:26" x14ac:dyDescent="0.35">
      <c r="B106" s="28"/>
      <c r="F106" s="25"/>
      <c r="G106" s="25"/>
      <c r="H106" s="25"/>
      <c r="K106" s="27"/>
      <c r="L106" s="27"/>
      <c r="M106" s="27"/>
      <c r="P106" s="27"/>
      <c r="S106" s="27"/>
      <c r="T106" s="27"/>
      <c r="U106" s="27"/>
      <c r="V106" s="13"/>
      <c r="W106" s="18"/>
      <c r="Y106" s="26"/>
    </row>
    <row r="107" spans="1:26" x14ac:dyDescent="0.35">
      <c r="B107" s="28"/>
      <c r="F107" s="25"/>
      <c r="G107" s="25"/>
      <c r="H107" s="25"/>
      <c r="K107" s="27"/>
      <c r="L107" s="27"/>
      <c r="M107" s="27"/>
      <c r="P107" s="27"/>
      <c r="S107" s="26"/>
      <c r="T107" s="26"/>
      <c r="U107" s="26"/>
      <c r="V107" s="13"/>
      <c r="W107" s="18"/>
      <c r="Y107" s="26"/>
    </row>
    <row r="108" spans="1:26" x14ac:dyDescent="0.35">
      <c r="F108" s="25"/>
      <c r="G108" s="25"/>
      <c r="H108" s="25"/>
    </row>
    <row r="109" spans="1:26" x14ac:dyDescent="0.35">
      <c r="F109" s="25"/>
      <c r="G109" s="25"/>
      <c r="H109" s="25"/>
    </row>
    <row r="110" spans="1:26" x14ac:dyDescent="0.35">
      <c r="F110" s="25"/>
      <c r="G110" s="25"/>
      <c r="H110" s="25"/>
    </row>
    <row r="117" spans="1:11" x14ac:dyDescent="0.35">
      <c r="A117" s="28"/>
      <c r="E117" s="28"/>
      <c r="K117" s="28"/>
    </row>
    <row r="118" spans="1:11" x14ac:dyDescent="0.35">
      <c r="A118" s="28"/>
      <c r="E118" s="28"/>
    </row>
    <row r="119" spans="1:11" x14ac:dyDescent="0.35">
      <c r="A119" s="28"/>
      <c r="E119" s="28"/>
      <c r="K119" s="28"/>
    </row>
    <row r="120" spans="1:11" x14ac:dyDescent="0.35">
      <c r="A120" s="28"/>
      <c r="E120" s="28"/>
      <c r="K120" s="28"/>
    </row>
    <row r="121" spans="1:11" x14ac:dyDescent="0.35">
      <c r="A121" s="28"/>
      <c r="E121" s="28"/>
      <c r="K121" s="28"/>
    </row>
    <row r="122" spans="1:11" x14ac:dyDescent="0.35">
      <c r="A122" s="28"/>
      <c r="E122" s="28"/>
      <c r="K122" s="28"/>
    </row>
    <row r="123" spans="1:11" x14ac:dyDescent="0.35">
      <c r="A123" s="28"/>
      <c r="E123" s="28"/>
      <c r="K123" s="28"/>
    </row>
    <row r="124" spans="1:11" x14ac:dyDescent="0.35">
      <c r="A124" s="28"/>
      <c r="E124" s="28"/>
      <c r="K124" s="28"/>
    </row>
    <row r="125" spans="1:11" x14ac:dyDescent="0.35">
      <c r="A125" s="28"/>
      <c r="E125" s="28"/>
      <c r="K125" s="28"/>
    </row>
    <row r="126" spans="1:11" x14ac:dyDescent="0.35">
      <c r="A126" s="28"/>
      <c r="E126" s="28"/>
      <c r="K126" s="28"/>
    </row>
    <row r="127" spans="1:11" x14ac:dyDescent="0.35">
      <c r="A127" s="28"/>
      <c r="E127" s="28"/>
      <c r="K127" s="28"/>
    </row>
    <row r="128" spans="1:11" x14ac:dyDescent="0.35">
      <c r="A128" s="28"/>
      <c r="E128" s="28"/>
      <c r="K128" s="28"/>
    </row>
    <row r="129" spans="1:11" x14ac:dyDescent="0.35">
      <c r="A129" s="28"/>
      <c r="E129" s="28"/>
      <c r="K129" s="28"/>
    </row>
    <row r="130" spans="1:11" x14ac:dyDescent="0.35">
      <c r="A130" s="28"/>
      <c r="F130" s="25"/>
      <c r="G130" s="25"/>
      <c r="H130" s="25"/>
    </row>
    <row r="131" spans="1:11" x14ac:dyDescent="0.35">
      <c r="A131" s="28"/>
      <c r="F131" s="25"/>
      <c r="G131" s="25"/>
      <c r="H131" s="25"/>
    </row>
    <row r="132" spans="1:11" x14ac:dyDescent="0.35">
      <c r="A132" s="22"/>
      <c r="F132" s="25"/>
      <c r="G132" s="25"/>
      <c r="H132" s="25"/>
    </row>
  </sheetData>
  <mergeCells count="1">
    <mergeCell ref="A37:E37"/>
  </mergeCells>
  <pageMargins left="0.7" right="0.7" top="0.75" bottom="0.75" header="0.3" footer="0.3"/>
  <pageSetup orientation="portrait" r:id="rId1"/>
  <ignoredErrors>
    <ignoredError sqref="I37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V134"/>
  <sheetViews>
    <sheetView zoomScaleNormal="100" workbookViewId="0">
      <selection activeCell="A9" sqref="A9"/>
    </sheetView>
  </sheetViews>
  <sheetFormatPr defaultColWidth="9.1796875" defaultRowHeight="14.5" x14ac:dyDescent="0.35"/>
  <cols>
    <col min="1" max="1" width="9.7265625" style="31" bestFit="1" customWidth="1"/>
    <col min="2" max="2" width="10.54296875" style="31" bestFit="1" customWidth="1"/>
    <col min="3" max="3" width="3.54296875" style="31" bestFit="1" customWidth="1"/>
    <col min="4" max="4" width="8.7265625" style="31" bestFit="1" customWidth="1"/>
    <col min="5" max="5" width="9.54296875" style="31" bestFit="1" customWidth="1"/>
    <col min="6" max="6" width="10.1796875" style="31" bestFit="1" customWidth="1"/>
    <col min="7" max="7" width="8.7265625" style="31" bestFit="1" customWidth="1"/>
    <col min="8" max="8" width="17.1796875" style="145" bestFit="1" customWidth="1"/>
    <col min="9" max="9" width="5.54296875" style="31" bestFit="1" customWidth="1"/>
    <col min="10" max="10" width="17.1796875" style="31" bestFit="1" customWidth="1"/>
    <col min="11" max="11" width="16.7265625" style="31" bestFit="1" customWidth="1"/>
    <col min="12" max="12" width="6.7265625" style="31" bestFit="1" customWidth="1"/>
    <col min="13" max="13" width="7.26953125" style="31" customWidth="1"/>
    <col min="14" max="15" width="7.26953125" style="31" bestFit="1" customWidth="1"/>
    <col min="16" max="16" width="7.26953125" style="31" customWidth="1"/>
    <col min="17" max="19" width="7.26953125" style="31" bestFit="1" customWidth="1"/>
    <col min="20" max="20" width="7.26953125" style="31" customWidth="1"/>
    <col min="21" max="21" width="7.26953125" style="31" bestFit="1" customWidth="1"/>
    <col min="22" max="22" width="7.26953125" style="31" customWidth="1"/>
    <col min="23" max="23" width="7.26953125" style="31" bestFit="1" customWidth="1"/>
    <col min="24" max="24" width="7.26953125" style="31" customWidth="1"/>
    <col min="25" max="25" width="7.26953125" style="31" bestFit="1" customWidth="1"/>
    <col min="26" max="27" width="7.26953125" style="31" customWidth="1"/>
    <col min="28" max="28" width="11.453125" style="31" customWidth="1"/>
    <col min="29" max="29" width="7.1796875" style="31" bestFit="1" customWidth="1"/>
    <col min="30" max="30" width="7.54296875" style="31" bestFit="1" customWidth="1"/>
    <col min="31" max="31" width="14.54296875" style="31" bestFit="1" customWidth="1"/>
    <col min="32" max="32" width="11.7265625" style="31" bestFit="1" customWidth="1"/>
    <col min="33" max="33" width="12.26953125" style="31" customWidth="1"/>
    <col min="34" max="16384" width="9.1796875" style="31"/>
  </cols>
  <sheetData>
    <row r="1" spans="1:48" x14ac:dyDescent="0.35">
      <c r="A1" s="31" t="s">
        <v>46</v>
      </c>
      <c r="F1" s="25"/>
      <c r="G1" s="25"/>
      <c r="H1" s="25"/>
    </row>
    <row r="2" spans="1:48" x14ac:dyDescent="0.35">
      <c r="F2" s="25"/>
      <c r="G2" s="25"/>
      <c r="H2" s="25"/>
    </row>
    <row r="3" spans="1:48" x14ac:dyDescent="0.35">
      <c r="A3" s="31" t="s">
        <v>8</v>
      </c>
      <c r="F3" s="25"/>
      <c r="G3" s="25"/>
      <c r="H3" s="25"/>
    </row>
    <row r="4" spans="1:48" x14ac:dyDescent="0.35">
      <c r="A4" s="31" t="s">
        <v>187</v>
      </c>
      <c r="F4" s="25"/>
      <c r="G4" s="25"/>
      <c r="H4" s="25"/>
    </row>
    <row r="5" spans="1:48" x14ac:dyDescent="0.35">
      <c r="A5" s="102" t="s">
        <v>188</v>
      </c>
      <c r="F5" s="25"/>
      <c r="G5" s="25"/>
      <c r="H5" s="25"/>
    </row>
    <row r="6" spans="1:48" s="202" customFormat="1" x14ac:dyDescent="0.35">
      <c r="A6" s="26" t="s">
        <v>358</v>
      </c>
      <c r="F6" s="25"/>
      <c r="G6" s="25"/>
      <c r="H6" s="25"/>
    </row>
    <row r="7" spans="1:48" x14ac:dyDescent="0.35">
      <c r="F7" s="25"/>
      <c r="G7" s="25"/>
      <c r="H7" s="25"/>
      <c r="AR7" s="101" t="s">
        <v>254</v>
      </c>
      <c r="AS7" s="101"/>
      <c r="AT7" s="101">
        <v>0.4103</v>
      </c>
      <c r="AU7" s="101" t="s">
        <v>255</v>
      </c>
      <c r="AV7" s="101"/>
    </row>
    <row r="8" spans="1:48" x14ac:dyDescent="0.35">
      <c r="A8" s="19" t="s">
        <v>379</v>
      </c>
      <c r="F8" s="25"/>
      <c r="G8" s="25"/>
      <c r="H8" s="35"/>
      <c r="I8" s="19"/>
      <c r="J8" s="19"/>
      <c r="K8" s="19"/>
      <c r="L8" s="19"/>
      <c r="M8" s="19"/>
      <c r="AG8" s="26" t="s">
        <v>170</v>
      </c>
      <c r="AR8" s="71"/>
      <c r="AS8" s="71"/>
      <c r="AT8" s="71"/>
      <c r="AU8" s="71"/>
      <c r="AV8" s="71"/>
    </row>
    <row r="9" spans="1:48" x14ac:dyDescent="0.35">
      <c r="F9" s="25"/>
      <c r="G9" s="25"/>
      <c r="H9" s="25"/>
      <c r="AR9" s="101"/>
      <c r="AS9" s="101"/>
      <c r="AT9" s="101"/>
      <c r="AU9" s="101"/>
      <c r="AV9" s="101"/>
    </row>
    <row r="10" spans="1:48" x14ac:dyDescent="0.35">
      <c r="A10" s="31" t="s">
        <v>9</v>
      </c>
      <c r="B10" s="31" t="s">
        <v>10</v>
      </c>
      <c r="C10" s="31" t="s">
        <v>11</v>
      </c>
      <c r="D10" s="31" t="s">
        <v>7</v>
      </c>
      <c r="E10" s="31" t="s">
        <v>12</v>
      </c>
      <c r="F10" s="25" t="s">
        <v>13</v>
      </c>
      <c r="G10" s="25" t="s">
        <v>81</v>
      </c>
      <c r="H10" s="25" t="s">
        <v>244</v>
      </c>
      <c r="I10" s="31" t="s">
        <v>14</v>
      </c>
      <c r="J10" s="31" t="s">
        <v>15</v>
      </c>
      <c r="K10" s="31" t="s">
        <v>16</v>
      </c>
      <c r="L10" s="31" t="s">
        <v>3</v>
      </c>
      <c r="M10" s="31" t="s">
        <v>31</v>
      </c>
      <c r="N10" s="31" t="s">
        <v>30</v>
      </c>
      <c r="O10" s="31" t="s">
        <v>18</v>
      </c>
      <c r="P10" s="31" t="s">
        <v>17</v>
      </c>
      <c r="Q10" s="31" t="s">
        <v>20</v>
      </c>
      <c r="R10" s="31" t="s">
        <v>19</v>
      </c>
      <c r="S10" s="31" t="s">
        <v>21</v>
      </c>
      <c r="T10" s="31" t="s">
        <v>47</v>
      </c>
      <c r="U10" s="31" t="s">
        <v>24</v>
      </c>
      <c r="V10" s="31" t="s">
        <v>48</v>
      </c>
      <c r="W10" s="31" t="s">
        <v>4</v>
      </c>
      <c r="X10" s="31" t="s">
        <v>22</v>
      </c>
      <c r="Y10" s="31" t="s">
        <v>23</v>
      </c>
      <c r="Z10" s="31" t="s">
        <v>25</v>
      </c>
      <c r="AA10" s="31" t="s">
        <v>49</v>
      </c>
      <c r="AB10" s="31" t="s">
        <v>26</v>
      </c>
      <c r="AC10" s="31" t="s">
        <v>123</v>
      </c>
      <c r="AD10" s="31" t="s">
        <v>124</v>
      </c>
      <c r="AE10" s="31" t="s">
        <v>27</v>
      </c>
      <c r="AG10" s="101" t="s">
        <v>171</v>
      </c>
      <c r="AH10" s="101" t="s">
        <v>172</v>
      </c>
      <c r="AI10" s="101" t="s">
        <v>173</v>
      </c>
      <c r="AJ10" s="101" t="s">
        <v>174</v>
      </c>
      <c r="AK10" s="101" t="s">
        <v>175</v>
      </c>
      <c r="AL10" s="101" t="s">
        <v>176</v>
      </c>
      <c r="AM10" s="101" t="s">
        <v>177</v>
      </c>
      <c r="AN10" s="101" t="s">
        <v>178</v>
      </c>
      <c r="AO10" s="101" t="s">
        <v>179</v>
      </c>
      <c r="AP10" s="101" t="s">
        <v>180</v>
      </c>
      <c r="AR10" s="151" t="s">
        <v>247</v>
      </c>
      <c r="AS10" s="151" t="s">
        <v>248</v>
      </c>
      <c r="AT10" s="151" t="s">
        <v>253</v>
      </c>
      <c r="AU10" s="151" t="s">
        <v>251</v>
      </c>
      <c r="AV10" s="151" t="s">
        <v>245</v>
      </c>
    </row>
    <row r="11" spans="1:48" x14ac:dyDescent="0.35">
      <c r="D11" s="31" t="s">
        <v>6</v>
      </c>
      <c r="E11" s="31" t="s">
        <v>6</v>
      </c>
      <c r="F11" s="25"/>
      <c r="G11" s="25"/>
      <c r="H11" s="25"/>
      <c r="J11" s="203" t="s">
        <v>357</v>
      </c>
      <c r="K11" s="31" t="s">
        <v>28</v>
      </c>
      <c r="L11" s="27" t="s">
        <v>352</v>
      </c>
      <c r="M11" s="31" t="s">
        <v>5</v>
      </c>
      <c r="N11" s="31" t="s">
        <v>5</v>
      </c>
      <c r="O11" s="31" t="s">
        <v>5</v>
      </c>
      <c r="P11" s="31" t="s">
        <v>5</v>
      </c>
      <c r="Q11" s="31" t="s">
        <v>5</v>
      </c>
      <c r="R11" s="31" t="s">
        <v>5</v>
      </c>
      <c r="S11" s="31" t="s">
        <v>5</v>
      </c>
      <c r="T11" s="31" t="s">
        <v>5</v>
      </c>
      <c r="U11" s="31" t="s">
        <v>5</v>
      </c>
      <c r="V11" s="31" t="s">
        <v>5</v>
      </c>
      <c r="W11" s="31" t="s">
        <v>5</v>
      </c>
      <c r="X11" s="31" t="s">
        <v>5</v>
      </c>
      <c r="Y11" s="31" t="s">
        <v>5</v>
      </c>
      <c r="Z11" s="31" t="s">
        <v>5</v>
      </c>
      <c r="AA11" s="31" t="s">
        <v>5</v>
      </c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R11" s="151" t="s">
        <v>246</v>
      </c>
      <c r="AS11" s="151" t="s">
        <v>249</v>
      </c>
      <c r="AT11" s="151" t="s">
        <v>252</v>
      </c>
      <c r="AU11" s="151" t="s">
        <v>252</v>
      </c>
      <c r="AV11" s="151" t="s">
        <v>250</v>
      </c>
    </row>
    <row r="12" spans="1:48" x14ac:dyDescent="0.35">
      <c r="F12" s="25"/>
      <c r="G12" s="25"/>
      <c r="H12" s="25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R12" s="151"/>
      <c r="AS12" s="151"/>
      <c r="AT12" s="151"/>
      <c r="AU12" s="151"/>
      <c r="AV12" s="151"/>
    </row>
    <row r="13" spans="1:48" x14ac:dyDescent="0.35">
      <c r="A13" s="31" t="s">
        <v>184</v>
      </c>
      <c r="F13" s="25"/>
      <c r="G13" s="25"/>
      <c r="H13" s="25"/>
      <c r="I13" s="6">
        <v>7</v>
      </c>
      <c r="J13" s="6">
        <v>0</v>
      </c>
      <c r="K13" s="6">
        <v>0</v>
      </c>
      <c r="L13" s="6">
        <v>0</v>
      </c>
      <c r="M13" s="6">
        <v>0</v>
      </c>
      <c r="N13" s="18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C13" s="25"/>
      <c r="AD13" s="25"/>
      <c r="AE13" s="25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R13" s="50">
        <v>0</v>
      </c>
      <c r="AS13" s="50">
        <f>(4.18-0.36)</f>
        <v>3.82</v>
      </c>
      <c r="AT13" s="50"/>
      <c r="AU13" s="50">
        <f>AT7*AS13</f>
        <v>1.5673459999999999</v>
      </c>
      <c r="AV13" s="50"/>
    </row>
    <row r="14" spans="1:48" x14ac:dyDescent="0.35">
      <c r="F14" s="25"/>
      <c r="G14" s="25"/>
      <c r="H14" s="25"/>
      <c r="N14" s="27"/>
      <c r="O14" s="27"/>
      <c r="P14" s="27"/>
      <c r="Q14" s="27"/>
      <c r="R14" s="27"/>
      <c r="S14" s="26"/>
      <c r="T14" s="26"/>
      <c r="U14" s="26"/>
      <c r="V14" s="26"/>
      <c r="W14" s="27"/>
      <c r="X14" s="18"/>
      <c r="Y14" s="26"/>
      <c r="Z14" s="27"/>
      <c r="AC14" s="25"/>
      <c r="AD14" s="25"/>
      <c r="AE14" s="25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R14" s="50"/>
      <c r="AS14" s="50"/>
      <c r="AT14" s="50"/>
      <c r="AU14" s="50"/>
      <c r="AV14" s="50"/>
    </row>
    <row r="15" spans="1:48" x14ac:dyDescent="0.35">
      <c r="A15" s="31">
        <v>15</v>
      </c>
      <c r="B15" s="28">
        <v>43676</v>
      </c>
      <c r="C15" s="31">
        <v>1</v>
      </c>
      <c r="D15" s="31">
        <v>106</v>
      </c>
      <c r="E15" s="31">
        <v>106</v>
      </c>
      <c r="F15" s="25">
        <f>D15/104</f>
        <v>1.0192307692307692</v>
      </c>
      <c r="G15" s="25">
        <v>1.02</v>
      </c>
      <c r="H15" s="25"/>
      <c r="I15" s="31">
        <v>7.95</v>
      </c>
      <c r="J15" s="31">
        <v>15090</v>
      </c>
      <c r="K15" s="12">
        <v>166.6</v>
      </c>
      <c r="L15" s="31">
        <v>869</v>
      </c>
      <c r="M15" s="31">
        <v>848</v>
      </c>
      <c r="N15" s="27">
        <v>200</v>
      </c>
      <c r="O15" s="189">
        <v>8053</v>
      </c>
      <c r="P15" s="31">
        <v>161</v>
      </c>
      <c r="Q15" s="21">
        <v>450.2</v>
      </c>
      <c r="R15" s="21">
        <v>582.1</v>
      </c>
      <c r="S15" s="21">
        <v>3145</v>
      </c>
      <c r="T15" s="21">
        <v>21.07</v>
      </c>
      <c r="U15" s="21">
        <v>61.75</v>
      </c>
      <c r="V15" s="11">
        <v>0.65800000000000003</v>
      </c>
      <c r="W15" s="11">
        <v>0.77700000000000002</v>
      </c>
      <c r="X15" s="81">
        <v>0.02</v>
      </c>
      <c r="Y15" s="103">
        <v>7.3999999999999996E-2</v>
      </c>
      <c r="Z15" s="81">
        <v>0.04</v>
      </c>
      <c r="AA15" s="18">
        <v>8.5030000000000001</v>
      </c>
      <c r="AC15" s="25">
        <f t="shared" ref="AC15:AC36" si="0">((K15/50)+(M15/35.45)+(N15/62)+(O15/48.03))</f>
        <v>198.14486402347015</v>
      </c>
      <c r="AD15" s="25">
        <f t="shared" ref="AD15" si="1">((Q15/20.04)+(R15/12.16)+(S15/22.99)+(U15/39.1))</f>
        <v>208.71302762769528</v>
      </c>
      <c r="AE15" s="25">
        <f t="shared" ref="AE15" si="2">ABS((AC15-AD15)/(AC15+AD15)*100)</f>
        <v>2.5975073412822325</v>
      </c>
      <c r="AG15" s="101">
        <v>7.95</v>
      </c>
      <c r="AH15" s="101">
        <v>0.361655</v>
      </c>
      <c r="AI15" s="101">
        <v>0.61639999999999995</v>
      </c>
      <c r="AJ15" s="101">
        <v>2.3199999999999998E-2</v>
      </c>
      <c r="AK15" s="101">
        <v>-0.2228</v>
      </c>
      <c r="AL15" s="101">
        <v>-2.8085</v>
      </c>
      <c r="AM15" s="101">
        <v>1.1967000000000001</v>
      </c>
      <c r="AN15" s="101">
        <v>-1.4552</v>
      </c>
      <c r="AO15" s="101">
        <v>-0.46500000000000002</v>
      </c>
      <c r="AP15" s="101">
        <v>-1.9599999999999999E-2</v>
      </c>
      <c r="AR15" s="50">
        <f>L15/1000</f>
        <v>0.86899999999999999</v>
      </c>
      <c r="AS15" s="50">
        <f>AU15/($AT$7)</f>
        <v>3.5997319034852544</v>
      </c>
      <c r="AT15" s="50">
        <f>(AR15-$AR$13)*0.104</f>
        <v>9.0375999999999998E-2</v>
      </c>
      <c r="AU15" s="50">
        <f>AU13-AT15</f>
        <v>1.4769699999999999</v>
      </c>
      <c r="AV15" s="50">
        <f>AS15/AR15</f>
        <v>4.1423842387632384</v>
      </c>
    </row>
    <row r="16" spans="1:48" x14ac:dyDescent="0.35">
      <c r="A16" s="104">
        <v>15</v>
      </c>
      <c r="B16" s="28">
        <v>43677</v>
      </c>
      <c r="C16" s="31">
        <v>2</v>
      </c>
      <c r="D16" s="31">
        <v>104</v>
      </c>
      <c r="E16" s="31">
        <f>E15+D16</f>
        <v>210</v>
      </c>
      <c r="F16" s="25">
        <f t="shared" ref="F16:F36" si="3">D16/104</f>
        <v>1</v>
      </c>
      <c r="G16" s="25">
        <f>G15+F16</f>
        <v>2.02</v>
      </c>
      <c r="H16" s="25"/>
      <c r="I16" s="25">
        <v>7.77</v>
      </c>
      <c r="J16" s="31">
        <v>4580</v>
      </c>
      <c r="K16" s="12">
        <v>66.400000000000006</v>
      </c>
      <c r="L16" s="31">
        <v>294</v>
      </c>
      <c r="M16" s="31">
        <v>23</v>
      </c>
      <c r="N16" s="27">
        <v>7.5</v>
      </c>
      <c r="O16" s="31">
        <v>2916</v>
      </c>
      <c r="P16" s="31">
        <v>33</v>
      </c>
      <c r="Q16" s="21">
        <v>478.2</v>
      </c>
      <c r="R16" s="21">
        <v>243.3</v>
      </c>
      <c r="S16" s="21">
        <v>562.4</v>
      </c>
      <c r="T16" s="21">
        <v>20.95</v>
      </c>
      <c r="U16" s="21">
        <v>25.24</v>
      </c>
      <c r="V16" s="169">
        <v>0.2</v>
      </c>
      <c r="W16" s="11">
        <v>0.36099999999999999</v>
      </c>
      <c r="X16" s="81">
        <v>0.02</v>
      </c>
      <c r="Y16" s="103">
        <v>8.3000000000000004E-2</v>
      </c>
      <c r="Z16" s="81">
        <v>0.04</v>
      </c>
      <c r="AA16" s="18">
        <v>6.0970000000000004</v>
      </c>
      <c r="AC16" s="25">
        <f t="shared" si="0"/>
        <v>62.809823835931738</v>
      </c>
      <c r="AD16" s="25">
        <f t="shared" ref="AD16:AD61" si="4">((Q16/20.04)+(R16/12.16)+(S16/22.99)+(U16/39.1))</f>
        <v>68.978833347342885</v>
      </c>
      <c r="AE16" s="25">
        <f t="shared" ref="AE16:AE61" si="5">ABS((AC16-AD16)/(AC16+AD16)*100)</f>
        <v>4.6809866973848031</v>
      </c>
      <c r="AG16" s="101">
        <v>7.77</v>
      </c>
      <c r="AH16" s="101">
        <v>6.7865500000000001</v>
      </c>
      <c r="AI16" s="101">
        <v>0.32740000000000002</v>
      </c>
      <c r="AJ16" s="101">
        <v>-4.6600000000000003E-2</v>
      </c>
      <c r="AK16" s="101">
        <v>-0.29549999999999998</v>
      </c>
      <c r="AL16" s="101">
        <v>-2.9779</v>
      </c>
      <c r="AM16" s="101">
        <v>0.19919999999999999</v>
      </c>
      <c r="AN16" s="101">
        <v>-1.5481</v>
      </c>
      <c r="AO16" s="101">
        <v>-0.44269999999999998</v>
      </c>
      <c r="AP16" s="101">
        <v>-0.72819999999999996</v>
      </c>
      <c r="AR16" s="50">
        <f t="shared" ref="AR16:AR36" si="6">L16/1000</f>
        <v>0.29399999999999998</v>
      </c>
      <c r="AS16" s="50">
        <f t="shared" ref="AS16:AS26" si="7">AU16/($AT$7)</f>
        <v>3.5252108213502313</v>
      </c>
      <c r="AT16" s="50">
        <f t="shared" ref="AT16:AT36" si="8">(AR16-$AR$13)*0.104</f>
        <v>3.0575999999999996E-2</v>
      </c>
      <c r="AU16" s="50">
        <f>AU15-AT16</f>
        <v>1.446394</v>
      </c>
      <c r="AV16" s="50">
        <f t="shared" ref="AV16:AV26" si="9">AS16/AR16</f>
        <v>11.990512997789903</v>
      </c>
    </row>
    <row r="17" spans="1:48" x14ac:dyDescent="0.35">
      <c r="A17" s="104">
        <v>15</v>
      </c>
      <c r="B17" s="28">
        <v>43678</v>
      </c>
      <c r="C17" s="31">
        <v>3</v>
      </c>
      <c r="D17" s="31">
        <v>105</v>
      </c>
      <c r="E17" s="31">
        <f t="shared" ref="E17:E36" si="10">E16+D17</f>
        <v>315</v>
      </c>
      <c r="F17" s="25">
        <f t="shared" si="3"/>
        <v>1.0096153846153846</v>
      </c>
      <c r="G17" s="25">
        <f t="shared" ref="G17:G20" si="11">G16+F17</f>
        <v>3.0296153846153846</v>
      </c>
      <c r="H17" s="25"/>
      <c r="I17" s="31">
        <v>7.62</v>
      </c>
      <c r="J17" s="31">
        <v>3020</v>
      </c>
      <c r="K17" s="12">
        <v>55.6</v>
      </c>
      <c r="L17" s="27">
        <v>260</v>
      </c>
      <c r="M17" s="27">
        <v>1.2</v>
      </c>
      <c r="N17" s="169">
        <v>0.5</v>
      </c>
      <c r="O17" s="31">
        <v>2082</v>
      </c>
      <c r="P17" s="31">
        <v>22</v>
      </c>
      <c r="Q17" s="21">
        <v>507.6</v>
      </c>
      <c r="R17" s="21">
        <v>226.9</v>
      </c>
      <c r="S17" s="21">
        <v>100.4</v>
      </c>
      <c r="T17" s="21">
        <v>20.38</v>
      </c>
      <c r="U17" s="21">
        <v>14.71</v>
      </c>
      <c r="V17" s="169">
        <v>0.2</v>
      </c>
      <c r="W17" s="11">
        <v>0.32800000000000001</v>
      </c>
      <c r="X17" s="81">
        <v>0.02</v>
      </c>
      <c r="Y17" s="11">
        <v>0.27200000000000002</v>
      </c>
      <c r="Z17" s="81">
        <v>0.04</v>
      </c>
      <c r="AA17" s="18">
        <v>5.9939999999999998</v>
      </c>
      <c r="AC17" s="25">
        <f t="shared" si="0"/>
        <v>44.501822567558456</v>
      </c>
      <c r="AD17" s="25">
        <f t="shared" si="4"/>
        <v>48.732211762260135</v>
      </c>
      <c r="AE17" s="25">
        <f t="shared" si="5"/>
        <v>4.5373872589665405</v>
      </c>
      <c r="AG17" s="101">
        <v>7.62</v>
      </c>
      <c r="AH17" s="101">
        <v>7.0650700000000004</v>
      </c>
      <c r="AI17" s="101">
        <v>0.2122</v>
      </c>
      <c r="AJ17" s="101">
        <v>-7.6999999999999999E-2</v>
      </c>
      <c r="AK17" s="101">
        <v>-0.32640000000000002</v>
      </c>
      <c r="AL17" s="101">
        <v>-2.8959000000000001</v>
      </c>
      <c r="AM17" s="101">
        <v>-9.2499999999999999E-2</v>
      </c>
      <c r="AN17" s="101">
        <v>-1.1531</v>
      </c>
      <c r="AO17" s="101">
        <v>-0.3427</v>
      </c>
      <c r="AP17" s="101">
        <v>-0.90469999999999995</v>
      </c>
      <c r="AR17" s="50">
        <f t="shared" si="6"/>
        <v>0.26</v>
      </c>
      <c r="AS17" s="50">
        <f t="shared" si="7"/>
        <v>3.4593078235437487</v>
      </c>
      <c r="AT17" s="50">
        <f t="shared" si="8"/>
        <v>2.7039999999999998E-2</v>
      </c>
      <c r="AU17" s="50">
        <f t="shared" ref="AU17:AU26" si="12">AU16-AT17</f>
        <v>1.419354</v>
      </c>
      <c r="AV17" s="50">
        <f t="shared" si="9"/>
        <v>13.305030090552879</v>
      </c>
    </row>
    <row r="18" spans="1:48" x14ac:dyDescent="0.35">
      <c r="A18" s="104">
        <v>15</v>
      </c>
      <c r="B18" s="28">
        <v>43679</v>
      </c>
      <c r="C18" s="31">
        <v>4</v>
      </c>
      <c r="D18" s="31">
        <v>103</v>
      </c>
      <c r="E18" s="31">
        <f t="shared" si="10"/>
        <v>418</v>
      </c>
      <c r="F18" s="25">
        <f t="shared" si="3"/>
        <v>0.99038461538461542</v>
      </c>
      <c r="G18" s="25">
        <f t="shared" si="11"/>
        <v>4.0199999999999996</v>
      </c>
      <c r="H18" s="25"/>
      <c r="I18" s="31">
        <v>7.72</v>
      </c>
      <c r="J18" s="31">
        <v>2820</v>
      </c>
      <c r="K18" s="12">
        <v>51</v>
      </c>
      <c r="L18" s="27">
        <v>235</v>
      </c>
      <c r="M18" s="27">
        <v>0.68</v>
      </c>
      <c r="N18" s="169">
        <v>0.5</v>
      </c>
      <c r="O18" s="31">
        <v>1862</v>
      </c>
      <c r="P18" s="31">
        <v>9.3000000000000007</v>
      </c>
      <c r="Q18" s="21">
        <v>517</v>
      </c>
      <c r="R18" s="21">
        <v>204.1</v>
      </c>
      <c r="S18" s="21">
        <v>58.49</v>
      </c>
      <c r="T18" s="21">
        <v>20.25</v>
      </c>
      <c r="U18" s="21">
        <v>11.6</v>
      </c>
      <c r="V18" s="169">
        <v>0.2</v>
      </c>
      <c r="W18" s="11">
        <v>0.34</v>
      </c>
      <c r="X18" s="81">
        <v>0.02</v>
      </c>
      <c r="Y18" s="11">
        <v>0.75</v>
      </c>
      <c r="Z18" s="81">
        <v>0.04</v>
      </c>
      <c r="AA18" s="18">
        <v>5.61</v>
      </c>
      <c r="AC18" s="25">
        <f t="shared" si="0"/>
        <v>39.814683481062502</v>
      </c>
      <c r="AD18" s="25">
        <f t="shared" si="4"/>
        <v>45.423767489386876</v>
      </c>
      <c r="AE18" s="25">
        <f t="shared" si="5"/>
        <v>6.5804621558279388</v>
      </c>
      <c r="AG18" s="101">
        <v>7.72</v>
      </c>
      <c r="AH18" s="101">
        <v>10.167899999999999</v>
      </c>
      <c r="AI18" s="101">
        <v>0.30259999999999998</v>
      </c>
      <c r="AJ18" s="101">
        <v>-9.1300000000000006E-2</v>
      </c>
      <c r="AK18" s="101">
        <v>-0.34079999999999999</v>
      </c>
      <c r="AL18" s="101">
        <v>-3.0358000000000001</v>
      </c>
      <c r="AM18" s="101">
        <v>3.2599999999999997E-2</v>
      </c>
      <c r="AN18" s="101">
        <v>-0.62719999999999998</v>
      </c>
      <c r="AO18" s="101">
        <v>-0.28710000000000002</v>
      </c>
      <c r="AP18" s="101">
        <v>-0.87</v>
      </c>
      <c r="AR18" s="50">
        <f t="shared" si="6"/>
        <v>0.23499999999999999</v>
      </c>
      <c r="AS18" s="50">
        <f t="shared" si="7"/>
        <v>3.3997416524494271</v>
      </c>
      <c r="AT18" s="50">
        <f t="shared" si="8"/>
        <v>2.4439999999999996E-2</v>
      </c>
      <c r="AU18" s="50">
        <f t="shared" si="12"/>
        <v>1.394914</v>
      </c>
      <c r="AV18" s="50">
        <f t="shared" si="9"/>
        <v>14.466985755103945</v>
      </c>
    </row>
    <row r="19" spans="1:48" x14ac:dyDescent="0.35">
      <c r="A19" s="104">
        <v>15</v>
      </c>
      <c r="B19" s="28">
        <v>43680</v>
      </c>
      <c r="C19" s="31">
        <v>5</v>
      </c>
      <c r="D19" s="31">
        <v>103</v>
      </c>
      <c r="E19" s="31">
        <f t="shared" si="10"/>
        <v>521</v>
      </c>
      <c r="F19" s="25">
        <f t="shared" si="3"/>
        <v>0.99038461538461542</v>
      </c>
      <c r="G19" s="25">
        <f t="shared" si="11"/>
        <v>5.0103846153846145</v>
      </c>
      <c r="H19" s="25"/>
      <c r="I19" s="31">
        <v>7.94</v>
      </c>
      <c r="J19" s="31">
        <v>2450</v>
      </c>
      <c r="K19" s="12">
        <v>44.5</v>
      </c>
      <c r="L19" s="27">
        <v>231</v>
      </c>
      <c r="M19" s="169">
        <v>0.5</v>
      </c>
      <c r="N19" s="169">
        <v>0.5</v>
      </c>
      <c r="O19" s="31">
        <v>1540</v>
      </c>
      <c r="P19" s="31">
        <v>13</v>
      </c>
      <c r="Q19" s="21">
        <v>488.5</v>
      </c>
      <c r="R19" s="21">
        <v>150.4</v>
      </c>
      <c r="S19" s="21">
        <v>28.48</v>
      </c>
      <c r="T19" s="21">
        <v>20.47</v>
      </c>
      <c r="U19" s="18">
        <v>9.4659999999999993</v>
      </c>
      <c r="V19" s="169">
        <v>0.2</v>
      </c>
      <c r="W19" s="11">
        <v>0.22800000000000001</v>
      </c>
      <c r="X19" s="81">
        <v>0.02</v>
      </c>
      <c r="Y19" s="11">
        <v>0.751</v>
      </c>
      <c r="Z19" s="81">
        <v>0.04</v>
      </c>
      <c r="AA19" s="18">
        <v>4.8869999999999996</v>
      </c>
      <c r="AC19" s="25">
        <f t="shared" si="0"/>
        <v>32.975462663208596</v>
      </c>
      <c r="AD19" s="25">
        <f t="shared" si="4"/>
        <v>38.225565222356295</v>
      </c>
      <c r="AE19" s="25">
        <f t="shared" si="5"/>
        <v>7.3736330992099228</v>
      </c>
      <c r="AG19" s="101">
        <v>7.94</v>
      </c>
      <c r="AH19" s="101">
        <v>11.2386</v>
      </c>
      <c r="AI19" s="101">
        <v>0.4677</v>
      </c>
      <c r="AJ19" s="101">
        <v>-0.14219999999999999</v>
      </c>
      <c r="AK19" s="101">
        <v>-0.39179999999999998</v>
      </c>
      <c r="AL19" s="101">
        <v>-3.3191000000000002</v>
      </c>
      <c r="AM19" s="101">
        <v>0.25280000000000002</v>
      </c>
      <c r="AN19" s="101">
        <v>-0.42799999999999999</v>
      </c>
      <c r="AO19" s="101">
        <v>-0.43309999999999998</v>
      </c>
      <c r="AP19" s="101">
        <v>-0.81489999999999996</v>
      </c>
      <c r="AR19" s="50">
        <f t="shared" si="6"/>
        <v>0.23100000000000001</v>
      </c>
      <c r="AS19" s="50">
        <f t="shared" si="7"/>
        <v>3.3411893736290517</v>
      </c>
      <c r="AT19" s="50">
        <f t="shared" si="8"/>
        <v>2.4024E-2</v>
      </c>
      <c r="AU19" s="50">
        <f t="shared" si="12"/>
        <v>1.3708899999999999</v>
      </c>
      <c r="AV19" s="50">
        <f t="shared" si="9"/>
        <v>14.464023262463426</v>
      </c>
    </row>
    <row r="20" spans="1:48" x14ac:dyDescent="0.35">
      <c r="A20" s="104">
        <v>15</v>
      </c>
      <c r="B20" s="28">
        <v>43681</v>
      </c>
      <c r="C20" s="31">
        <v>6</v>
      </c>
      <c r="D20" s="31">
        <v>104</v>
      </c>
      <c r="E20" s="31">
        <f t="shared" si="10"/>
        <v>625</v>
      </c>
      <c r="F20" s="25">
        <f t="shared" si="3"/>
        <v>1</v>
      </c>
      <c r="G20" s="25">
        <f t="shared" si="11"/>
        <v>6.0103846153846145</v>
      </c>
      <c r="H20" s="25"/>
      <c r="I20" s="31">
        <v>7.78</v>
      </c>
      <c r="J20" s="31">
        <v>1996</v>
      </c>
      <c r="K20" s="12">
        <v>47.2</v>
      </c>
      <c r="L20" s="27">
        <v>230</v>
      </c>
      <c r="M20" s="11">
        <v>0.6</v>
      </c>
      <c r="N20" s="169">
        <v>0.5</v>
      </c>
      <c r="O20" s="31">
        <v>1097</v>
      </c>
      <c r="P20" s="31">
        <v>13</v>
      </c>
      <c r="Q20" s="21">
        <v>398.7</v>
      </c>
      <c r="R20" s="21">
        <v>76.3</v>
      </c>
      <c r="S20" s="21">
        <v>20.99</v>
      </c>
      <c r="T20" s="21">
        <v>20.68</v>
      </c>
      <c r="U20" s="18">
        <v>7.4340000000000002</v>
      </c>
      <c r="V20" s="169">
        <v>0.2</v>
      </c>
      <c r="W20" s="11">
        <v>0.14000000000000001</v>
      </c>
      <c r="X20" s="81">
        <v>0.02</v>
      </c>
      <c r="Y20" s="11">
        <v>0.52300000000000002</v>
      </c>
      <c r="Z20" s="81">
        <v>0.04</v>
      </c>
      <c r="AA20" s="18">
        <v>3.5680000000000001</v>
      </c>
      <c r="AC20" s="25">
        <f t="shared" si="0"/>
        <v>23.808881497288258</v>
      </c>
      <c r="AD20" s="25">
        <f t="shared" si="4"/>
        <v>27.273014165340204</v>
      </c>
      <c r="AE20" s="25">
        <f t="shared" si="5"/>
        <v>6.7815272380079392</v>
      </c>
      <c r="AG20" s="101">
        <v>7.78</v>
      </c>
      <c r="AH20" s="101">
        <v>9.9418799999999994</v>
      </c>
      <c r="AI20" s="101">
        <v>0.32250000000000001</v>
      </c>
      <c r="AJ20" s="101">
        <v>-0.27110000000000001</v>
      </c>
      <c r="AK20" s="101">
        <v>-0.52070000000000005</v>
      </c>
      <c r="AL20" s="101">
        <v>-3.1091000000000002</v>
      </c>
      <c r="AM20" s="101">
        <v>-0.2467</v>
      </c>
      <c r="AN20" s="101">
        <v>-0.62749999999999995</v>
      </c>
      <c r="AO20" s="101">
        <v>-0.64559999999999995</v>
      </c>
      <c r="AP20" s="101">
        <v>-1.1692</v>
      </c>
      <c r="AR20" s="50">
        <f t="shared" si="6"/>
        <v>0.23</v>
      </c>
      <c r="AS20" s="50">
        <f t="shared" si="7"/>
        <v>3.2828905678771632</v>
      </c>
      <c r="AT20" s="50">
        <f t="shared" si="8"/>
        <v>2.392E-2</v>
      </c>
      <c r="AU20" s="50">
        <f t="shared" si="12"/>
        <v>1.34697</v>
      </c>
      <c r="AV20" s="50">
        <f t="shared" si="9"/>
        <v>14.273437251639839</v>
      </c>
    </row>
    <row r="21" spans="1:48" x14ac:dyDescent="0.35">
      <c r="A21" s="104">
        <v>15</v>
      </c>
      <c r="B21" s="28">
        <v>43682</v>
      </c>
      <c r="C21" s="31">
        <v>7</v>
      </c>
      <c r="D21" s="31">
        <v>105</v>
      </c>
      <c r="E21" s="31">
        <f t="shared" si="10"/>
        <v>730</v>
      </c>
      <c r="F21" s="25">
        <f t="shared" si="3"/>
        <v>1.0096153846153846</v>
      </c>
      <c r="G21" s="25">
        <f>G20+F21</f>
        <v>7.02</v>
      </c>
      <c r="H21" s="25"/>
      <c r="I21" s="31">
        <v>7.82</v>
      </c>
      <c r="J21" s="31">
        <v>1263</v>
      </c>
      <c r="K21" s="12">
        <v>51.7</v>
      </c>
      <c r="L21" s="27">
        <v>188</v>
      </c>
      <c r="M21" s="169">
        <v>0.5</v>
      </c>
      <c r="N21" s="169">
        <v>0.5</v>
      </c>
      <c r="O21" s="31">
        <v>657</v>
      </c>
      <c r="P21" s="31">
        <v>15</v>
      </c>
      <c r="Q21" s="21">
        <v>261.2</v>
      </c>
      <c r="R21" s="21">
        <v>34.69</v>
      </c>
      <c r="S21" s="21">
        <v>11.95</v>
      </c>
      <c r="T21" s="21">
        <v>21.22</v>
      </c>
      <c r="U21" s="18">
        <v>5.3979999999999997</v>
      </c>
      <c r="V21" s="169">
        <v>0.2</v>
      </c>
      <c r="W21" s="33">
        <v>7.5999999999999998E-2</v>
      </c>
      <c r="X21" s="81">
        <v>0.02</v>
      </c>
      <c r="Y21" s="11">
        <v>0.29099999999999998</v>
      </c>
      <c r="Z21" s="81">
        <v>0.04</v>
      </c>
      <c r="AA21" s="18">
        <v>2.2040000000000002</v>
      </c>
      <c r="AC21" s="25">
        <f t="shared" si="0"/>
        <v>14.735119544324562</v>
      </c>
      <c r="AD21" s="25">
        <f t="shared" si="4"/>
        <v>16.544575667915897</v>
      </c>
      <c r="AE21" s="25">
        <f t="shared" si="5"/>
        <v>5.7847626433497146</v>
      </c>
      <c r="AG21" s="101">
        <v>7.82</v>
      </c>
      <c r="AH21" s="101">
        <v>7.9373899999999997</v>
      </c>
      <c r="AI21" s="101">
        <v>0.31359999999999999</v>
      </c>
      <c r="AJ21" s="101">
        <v>-0.52749999999999997</v>
      </c>
      <c r="AK21" s="101">
        <v>-0.77729999999999999</v>
      </c>
      <c r="AL21" s="101">
        <v>-3.0882000000000001</v>
      </c>
      <c r="AM21" s="101">
        <v>-0.42709999999999998</v>
      </c>
      <c r="AN21" s="101">
        <v>-0.69299999999999995</v>
      </c>
      <c r="AO21" s="101">
        <v>-0.97399999999999998</v>
      </c>
      <c r="AP21" s="101">
        <v>-1.3407</v>
      </c>
      <c r="AR21" s="50">
        <f t="shared" si="6"/>
        <v>0.188</v>
      </c>
      <c r="AS21" s="50">
        <f t="shared" si="7"/>
        <v>3.2352376310017061</v>
      </c>
      <c r="AT21" s="50">
        <f t="shared" si="8"/>
        <v>1.9552E-2</v>
      </c>
      <c r="AU21" s="50">
        <f t="shared" si="12"/>
        <v>1.327418</v>
      </c>
      <c r="AV21" s="50">
        <f t="shared" si="9"/>
        <v>17.208710803200564</v>
      </c>
    </row>
    <row r="22" spans="1:48" x14ac:dyDescent="0.35">
      <c r="A22" s="104">
        <v>15</v>
      </c>
      <c r="B22" s="28">
        <v>43683</v>
      </c>
      <c r="C22" s="31">
        <v>8</v>
      </c>
      <c r="D22" s="31">
        <v>103</v>
      </c>
      <c r="E22" s="31">
        <f t="shared" si="10"/>
        <v>833</v>
      </c>
      <c r="F22" s="25">
        <f t="shared" si="3"/>
        <v>0.99038461538461542</v>
      </c>
      <c r="G22" s="25">
        <f>F22+G21</f>
        <v>8.0103846153846145</v>
      </c>
      <c r="H22" s="25"/>
      <c r="I22" s="31">
        <v>7.97</v>
      </c>
      <c r="J22" s="31">
        <v>769</v>
      </c>
      <c r="K22" s="12">
        <v>55.4</v>
      </c>
      <c r="L22" s="31">
        <v>145</v>
      </c>
      <c r="M22" s="169">
        <v>0.5</v>
      </c>
      <c r="N22" s="169">
        <v>0.5</v>
      </c>
      <c r="O22" s="141">
        <v>304</v>
      </c>
      <c r="P22" s="141">
        <v>8.8000000000000007</v>
      </c>
      <c r="Q22" s="21">
        <v>142.4</v>
      </c>
      <c r="R22" s="21">
        <v>15.3</v>
      </c>
      <c r="S22" s="18">
        <v>8.0980000000000008</v>
      </c>
      <c r="T22" s="21">
        <v>21.22</v>
      </c>
      <c r="U22" s="18">
        <v>4.2469999999999999</v>
      </c>
      <c r="V22" s="169">
        <v>0.2</v>
      </c>
      <c r="W22" s="33">
        <v>3.5000000000000003E-2</v>
      </c>
      <c r="X22" s="81">
        <v>0.02</v>
      </c>
      <c r="Y22" s="11">
        <v>0.13500000000000001</v>
      </c>
      <c r="Z22" s="81">
        <v>0.04</v>
      </c>
      <c r="AA22" s="18">
        <v>1.2490000000000001</v>
      </c>
      <c r="AC22" s="25">
        <f t="shared" si="0"/>
        <v>7.4595463608975372</v>
      </c>
      <c r="AD22" s="25">
        <f t="shared" si="4"/>
        <v>8.8248711375886355</v>
      </c>
      <c r="AE22" s="25">
        <f t="shared" si="5"/>
        <v>8.3842408045484049</v>
      </c>
      <c r="AG22" s="101">
        <v>7.97</v>
      </c>
      <c r="AH22" s="101">
        <v>10.363300000000001</v>
      </c>
      <c r="AI22" s="101">
        <v>0.34470000000000001</v>
      </c>
      <c r="AJ22" s="101">
        <v>-0.94289999999999996</v>
      </c>
      <c r="AK22" s="101">
        <v>-1.1928000000000001</v>
      </c>
      <c r="AL22" s="101">
        <v>-3.1882999999999999</v>
      </c>
      <c r="AM22" s="101">
        <v>-0.46310000000000001</v>
      </c>
      <c r="AN22" s="101">
        <v>-0.7228</v>
      </c>
      <c r="AO22" s="101">
        <v>-1.425</v>
      </c>
      <c r="AP22" s="101">
        <v>-1.4077999999999999</v>
      </c>
      <c r="AR22" s="50">
        <f t="shared" si="6"/>
        <v>0.14499999999999999</v>
      </c>
      <c r="AS22" s="50">
        <f t="shared" si="7"/>
        <v>3.1984840360711675</v>
      </c>
      <c r="AT22" s="50">
        <f t="shared" si="8"/>
        <v>1.5079999999999998E-2</v>
      </c>
      <c r="AU22" s="50">
        <f t="shared" si="12"/>
        <v>1.312338</v>
      </c>
      <c r="AV22" s="50">
        <f t="shared" si="9"/>
        <v>22.05851059359426</v>
      </c>
    </row>
    <row r="23" spans="1:48" x14ac:dyDescent="0.35">
      <c r="A23" s="104">
        <v>15</v>
      </c>
      <c r="B23" s="28">
        <v>43684</v>
      </c>
      <c r="C23" s="31">
        <v>9</v>
      </c>
      <c r="D23" s="31">
        <v>103</v>
      </c>
      <c r="E23" s="31">
        <f t="shared" si="10"/>
        <v>936</v>
      </c>
      <c r="F23" s="25">
        <f t="shared" si="3"/>
        <v>0.99038461538461542</v>
      </c>
      <c r="G23" s="25">
        <f>G22+F23</f>
        <v>9.0007692307692295</v>
      </c>
      <c r="H23" s="25"/>
      <c r="I23" s="31">
        <v>8.18</v>
      </c>
      <c r="J23" s="31">
        <v>465</v>
      </c>
      <c r="K23" s="12">
        <v>57.3</v>
      </c>
      <c r="L23" s="27">
        <v>120</v>
      </c>
      <c r="M23" s="169">
        <v>0.5</v>
      </c>
      <c r="N23" s="169">
        <v>0.5</v>
      </c>
      <c r="O23" s="31">
        <v>152</v>
      </c>
      <c r="P23" s="31">
        <v>14</v>
      </c>
      <c r="Q23" s="21">
        <v>75.94</v>
      </c>
      <c r="R23" s="18">
        <v>8.0359999999999996</v>
      </c>
      <c r="S23" s="18">
        <v>7.3369999999999997</v>
      </c>
      <c r="T23" s="21">
        <v>19.91</v>
      </c>
      <c r="U23" s="18">
        <v>2.5979999999999999</v>
      </c>
      <c r="V23" s="169">
        <v>0.1</v>
      </c>
      <c r="W23" s="33">
        <v>4.1000000000000002E-2</v>
      </c>
      <c r="X23" s="81">
        <v>0.02</v>
      </c>
      <c r="Y23" s="103">
        <v>7.3999999999999996E-2</v>
      </c>
      <c r="Z23" s="81">
        <v>0.02</v>
      </c>
      <c r="AA23" s="11">
        <v>0.79</v>
      </c>
      <c r="AC23" s="25">
        <f t="shared" si="0"/>
        <v>4.332857624691</v>
      </c>
      <c r="AD23" s="25">
        <f t="shared" si="4"/>
        <v>4.8358601896111102</v>
      </c>
      <c r="AE23" s="25">
        <f t="shared" si="5"/>
        <v>5.4860731359349506</v>
      </c>
      <c r="AG23" s="101">
        <v>8.18</v>
      </c>
      <c r="AH23" s="101">
        <v>6.2122900000000003</v>
      </c>
      <c r="AI23" s="101">
        <v>0.3765</v>
      </c>
      <c r="AJ23" s="101">
        <v>-1.3745000000000001</v>
      </c>
      <c r="AK23" s="101">
        <v>-1.6245000000000001</v>
      </c>
      <c r="AL23" s="101">
        <v>-3.3711000000000002</v>
      </c>
      <c r="AM23" s="101">
        <v>-0.4103</v>
      </c>
      <c r="AN23" s="101">
        <v>-0.67400000000000004</v>
      </c>
      <c r="AO23" s="101">
        <v>-1.5202</v>
      </c>
      <c r="AP23" s="101">
        <v>-1.3868</v>
      </c>
      <c r="AR23" s="50">
        <f t="shared" si="6"/>
        <v>0.12</v>
      </c>
      <c r="AS23" s="50">
        <f t="shared" si="7"/>
        <v>3.1680672678527904</v>
      </c>
      <c r="AT23" s="50">
        <f t="shared" si="8"/>
        <v>1.248E-2</v>
      </c>
      <c r="AU23" s="50">
        <f t="shared" si="12"/>
        <v>1.299858</v>
      </c>
      <c r="AV23" s="50">
        <f t="shared" si="9"/>
        <v>26.400560565439921</v>
      </c>
    </row>
    <row r="24" spans="1:48" x14ac:dyDescent="0.35">
      <c r="A24" s="104">
        <v>15</v>
      </c>
      <c r="B24" s="28">
        <v>43685</v>
      </c>
      <c r="C24" s="31">
        <v>10</v>
      </c>
      <c r="D24" s="31">
        <v>105</v>
      </c>
      <c r="E24" s="31">
        <f t="shared" si="10"/>
        <v>1041</v>
      </c>
      <c r="F24" s="25">
        <f t="shared" si="3"/>
        <v>1.0096153846153846</v>
      </c>
      <c r="G24" s="25">
        <f t="shared" ref="G24:G36" si="13">G23+F24</f>
        <v>10.010384615384615</v>
      </c>
      <c r="H24" s="25"/>
      <c r="I24" s="31">
        <v>8.14</v>
      </c>
      <c r="J24" s="31">
        <v>331</v>
      </c>
      <c r="K24" s="12">
        <v>56.7</v>
      </c>
      <c r="L24" s="27">
        <v>98</v>
      </c>
      <c r="M24" s="169">
        <v>0.5</v>
      </c>
      <c r="N24" s="169">
        <v>0.5</v>
      </c>
      <c r="O24" s="31">
        <v>83</v>
      </c>
      <c r="P24" s="116">
        <v>13</v>
      </c>
      <c r="Q24" s="21">
        <v>49.73</v>
      </c>
      <c r="R24" s="18">
        <v>5.2750000000000004</v>
      </c>
      <c r="S24" s="18">
        <v>6.4669999999999996</v>
      </c>
      <c r="T24" s="21">
        <v>19.760000000000002</v>
      </c>
      <c r="U24" s="18">
        <v>2.218</v>
      </c>
      <c r="V24" s="169">
        <v>0.1</v>
      </c>
      <c r="W24" s="33">
        <v>2.4E-2</v>
      </c>
      <c r="X24" s="81">
        <v>0.01</v>
      </c>
      <c r="Y24" s="103">
        <v>4.9000000000000002E-2</v>
      </c>
      <c r="Z24" s="81">
        <v>0.02</v>
      </c>
      <c r="AA24" s="11">
        <v>0.55400000000000005</v>
      </c>
      <c r="AC24" s="25">
        <f t="shared" si="0"/>
        <v>2.8842555010182958</v>
      </c>
      <c r="AD24" s="25">
        <f t="shared" si="4"/>
        <v>3.2533588267099418</v>
      </c>
      <c r="AE24" s="25">
        <f t="shared" si="5"/>
        <v>6.0137914502729126</v>
      </c>
      <c r="AG24" s="101">
        <v>8.14</v>
      </c>
      <c r="AH24" s="101">
        <v>6.3555099999999998</v>
      </c>
      <c r="AI24" s="101">
        <v>0.20649999999999999</v>
      </c>
      <c r="AJ24" s="101">
        <v>-1.7331000000000001</v>
      </c>
      <c r="AK24" s="101">
        <v>-1.9830000000000001</v>
      </c>
      <c r="AL24" s="101">
        <v>-3.3222999999999998</v>
      </c>
      <c r="AM24" s="101">
        <v>-0.75270000000000004</v>
      </c>
      <c r="AN24" s="101">
        <v>-0.83840000000000003</v>
      </c>
      <c r="AO24" s="101">
        <v>-1.8662000000000001</v>
      </c>
      <c r="AP24" s="101">
        <v>-1.5591999999999999</v>
      </c>
      <c r="AR24" s="50">
        <f t="shared" si="6"/>
        <v>9.8000000000000004E-2</v>
      </c>
      <c r="AS24" s="50">
        <f t="shared" si="7"/>
        <v>3.1432269071411163</v>
      </c>
      <c r="AT24" s="50">
        <f t="shared" si="8"/>
        <v>1.0192E-2</v>
      </c>
      <c r="AU24" s="50">
        <f t="shared" si="12"/>
        <v>1.289666</v>
      </c>
      <c r="AV24" s="50">
        <f t="shared" si="9"/>
        <v>32.073743950419555</v>
      </c>
    </row>
    <row r="25" spans="1:48" x14ac:dyDescent="0.35">
      <c r="A25" s="104">
        <v>15</v>
      </c>
      <c r="B25" s="28">
        <v>43686</v>
      </c>
      <c r="C25" s="31">
        <v>11</v>
      </c>
      <c r="D25" s="31">
        <v>101</v>
      </c>
      <c r="E25" s="31">
        <f t="shared" si="10"/>
        <v>1142</v>
      </c>
      <c r="F25" s="25">
        <f t="shared" si="3"/>
        <v>0.97115384615384615</v>
      </c>
      <c r="G25" s="25">
        <f t="shared" si="13"/>
        <v>10.981538461538461</v>
      </c>
      <c r="H25" s="25"/>
      <c r="I25" s="31">
        <v>8.31</v>
      </c>
      <c r="J25" s="31">
        <v>274</v>
      </c>
      <c r="K25" s="12">
        <v>56.7</v>
      </c>
      <c r="L25" s="27">
        <v>81</v>
      </c>
      <c r="M25" s="169">
        <v>0.5</v>
      </c>
      <c r="N25" s="169">
        <v>0.5</v>
      </c>
      <c r="O25" s="31">
        <v>54</v>
      </c>
      <c r="P25" s="31">
        <v>13</v>
      </c>
      <c r="Q25" s="21">
        <v>38.42</v>
      </c>
      <c r="R25" s="18">
        <v>3.9809999999999999</v>
      </c>
      <c r="S25" s="18">
        <v>5.9320000000000004</v>
      </c>
      <c r="T25" s="21">
        <v>19.54</v>
      </c>
      <c r="U25" s="18">
        <v>2.016</v>
      </c>
      <c r="V25" s="169">
        <v>0.1</v>
      </c>
      <c r="W25" s="161">
        <v>1.4999999999999999E-2</v>
      </c>
      <c r="X25" s="81">
        <v>0.01</v>
      </c>
      <c r="Y25" s="161">
        <v>0.04</v>
      </c>
      <c r="Z25" s="81">
        <v>0.02</v>
      </c>
      <c r="AA25" s="25">
        <v>0.45100000000000001</v>
      </c>
      <c r="AC25" s="25">
        <f t="shared" si="0"/>
        <v>2.2804662026631011</v>
      </c>
      <c r="AD25" s="25">
        <f t="shared" si="4"/>
        <v>2.5541358677456745</v>
      </c>
      <c r="AE25" s="25">
        <f t="shared" si="5"/>
        <v>5.660645097507147</v>
      </c>
      <c r="AG25" s="101">
        <v>8.31</v>
      </c>
      <c r="AH25" s="101">
        <v>5.7235699999999996</v>
      </c>
      <c r="AI25" s="101">
        <v>0.28739999999999999</v>
      </c>
      <c r="AJ25" s="101">
        <v>-1.9851000000000001</v>
      </c>
      <c r="AK25" s="101">
        <v>-2.2349999999999999</v>
      </c>
      <c r="AL25" s="101">
        <v>-3.4923000000000002</v>
      </c>
      <c r="AM25" s="101">
        <v>-0.60240000000000005</v>
      </c>
      <c r="AN25" s="101">
        <v>-0.73260000000000003</v>
      </c>
      <c r="AO25" s="101">
        <v>-2.1454</v>
      </c>
      <c r="AP25" s="101">
        <v>-1.4898</v>
      </c>
      <c r="AR25" s="50">
        <f t="shared" si="6"/>
        <v>8.1000000000000003E-2</v>
      </c>
      <c r="AS25" s="50">
        <f t="shared" si="7"/>
        <v>3.1226955885937118</v>
      </c>
      <c r="AT25" s="50">
        <f t="shared" si="8"/>
        <v>8.4239999999999992E-3</v>
      </c>
      <c r="AU25" s="50">
        <f t="shared" si="12"/>
        <v>1.281242</v>
      </c>
      <c r="AV25" s="50">
        <f t="shared" si="9"/>
        <v>38.55179739004582</v>
      </c>
    </row>
    <row r="26" spans="1:48" x14ac:dyDescent="0.35">
      <c r="A26" s="104">
        <v>15</v>
      </c>
      <c r="B26" s="28">
        <v>43687</v>
      </c>
      <c r="C26" s="31">
        <v>12</v>
      </c>
      <c r="D26" s="31">
        <v>102</v>
      </c>
      <c r="E26" s="31">
        <f t="shared" si="10"/>
        <v>1244</v>
      </c>
      <c r="F26" s="25">
        <f t="shared" si="3"/>
        <v>0.98076923076923073</v>
      </c>
      <c r="G26" s="25">
        <f t="shared" si="13"/>
        <v>11.962307692307691</v>
      </c>
      <c r="H26" s="25"/>
      <c r="I26" s="31">
        <v>8.3800000000000008</v>
      </c>
      <c r="J26" s="31">
        <v>214</v>
      </c>
      <c r="K26" s="12">
        <v>55.7</v>
      </c>
      <c r="L26" s="27">
        <v>73</v>
      </c>
      <c r="M26" s="169">
        <v>0.5</v>
      </c>
      <c r="N26" s="169">
        <v>0.5</v>
      </c>
      <c r="O26" s="31">
        <v>38</v>
      </c>
      <c r="P26" s="124">
        <v>8.6999999999999993</v>
      </c>
      <c r="Q26" s="21">
        <v>30.9</v>
      </c>
      <c r="R26" s="18">
        <v>3.121</v>
      </c>
      <c r="S26" s="18">
        <v>5.5110000000000001</v>
      </c>
      <c r="T26" s="21">
        <v>19.36</v>
      </c>
      <c r="U26" s="18">
        <v>1.952</v>
      </c>
      <c r="V26" s="169">
        <v>0.1</v>
      </c>
      <c r="W26" s="81">
        <v>0.01</v>
      </c>
      <c r="X26" s="81">
        <v>0.01</v>
      </c>
      <c r="Y26" s="85">
        <v>3.1E-2</v>
      </c>
      <c r="Z26" s="81">
        <v>0.02</v>
      </c>
      <c r="AA26" s="25">
        <v>0.36699999999999999</v>
      </c>
      <c r="AC26" s="25">
        <f t="shared" si="0"/>
        <v>1.9273410725360969</v>
      </c>
      <c r="AD26" s="25">
        <f t="shared" si="4"/>
        <v>2.0882135441927727</v>
      </c>
      <c r="AE26" s="25">
        <f t="shared" si="5"/>
        <v>4.0062329369516823</v>
      </c>
      <c r="AG26" s="101">
        <v>8.3800000000000008</v>
      </c>
      <c r="AH26" s="101">
        <v>3.77461</v>
      </c>
      <c r="AI26" s="101">
        <v>0.27289999999999998</v>
      </c>
      <c r="AJ26" s="101">
        <v>-2.1983999999999999</v>
      </c>
      <c r="AK26" s="101">
        <v>-2.4483000000000001</v>
      </c>
      <c r="AL26" s="101">
        <v>-3.5680999999999998</v>
      </c>
      <c r="AM26" s="101">
        <v>-0.64329999999999998</v>
      </c>
      <c r="AN26" s="101">
        <v>-0.76249999999999996</v>
      </c>
      <c r="AO26" s="101">
        <v>-2.39</v>
      </c>
      <c r="AP26" s="101">
        <v>-1.5162</v>
      </c>
      <c r="AR26" s="50">
        <f t="shared" si="6"/>
        <v>7.2999999999999995E-2</v>
      </c>
      <c r="AS26" s="50">
        <f t="shared" si="7"/>
        <v>3.1041920545941992</v>
      </c>
      <c r="AT26" s="50">
        <f t="shared" si="8"/>
        <v>7.5919999999999989E-3</v>
      </c>
      <c r="AU26" s="50">
        <f t="shared" si="12"/>
        <v>1.2736499999999999</v>
      </c>
      <c r="AV26" s="50">
        <f t="shared" si="9"/>
        <v>42.523178830057525</v>
      </c>
    </row>
    <row r="27" spans="1:48" x14ac:dyDescent="0.35">
      <c r="A27" s="104">
        <v>15</v>
      </c>
      <c r="B27" s="28">
        <v>43688</v>
      </c>
      <c r="C27" s="31">
        <v>13</v>
      </c>
      <c r="D27" s="31">
        <v>106</v>
      </c>
      <c r="E27" s="31">
        <f t="shared" si="10"/>
        <v>1350</v>
      </c>
      <c r="F27" s="25">
        <f t="shared" si="3"/>
        <v>1.0192307692307692</v>
      </c>
      <c r="G27" s="25">
        <f t="shared" si="13"/>
        <v>12.981538461538459</v>
      </c>
      <c r="H27" s="25"/>
      <c r="I27" s="31">
        <v>8.34</v>
      </c>
      <c r="J27" s="31">
        <v>184.6</v>
      </c>
      <c r="K27" s="12">
        <v>54.9</v>
      </c>
      <c r="L27" s="27">
        <v>64</v>
      </c>
      <c r="M27" s="169">
        <v>0.5</v>
      </c>
      <c r="N27" s="169">
        <v>0.5</v>
      </c>
      <c r="O27" s="31">
        <v>28</v>
      </c>
      <c r="P27" s="31">
        <v>11</v>
      </c>
      <c r="Q27" s="21">
        <v>25.76</v>
      </c>
      <c r="R27" s="18">
        <v>2.5790000000000002</v>
      </c>
      <c r="S27" s="18">
        <v>5.1870000000000003</v>
      </c>
      <c r="T27" s="21">
        <v>18.95</v>
      </c>
      <c r="U27" s="18">
        <v>1.8</v>
      </c>
      <c r="V27" s="169">
        <v>0.1</v>
      </c>
      <c r="W27" s="81">
        <v>0.01</v>
      </c>
      <c r="X27" s="81">
        <v>0.01</v>
      </c>
      <c r="Y27" s="103">
        <v>2.5999999999999999E-2</v>
      </c>
      <c r="Z27" s="81">
        <v>0.02</v>
      </c>
      <c r="AA27" s="11">
        <v>0.31</v>
      </c>
      <c r="AC27" s="25">
        <f t="shared" si="0"/>
        <v>1.7031378662067191</v>
      </c>
      <c r="AD27" s="25">
        <f t="shared" si="4"/>
        <v>1.7691735978433831</v>
      </c>
      <c r="AE27" s="25">
        <f t="shared" si="5"/>
        <v>1.9017801922538349</v>
      </c>
      <c r="AG27" s="101">
        <v>8.34</v>
      </c>
      <c r="AH27" s="101">
        <v>1.4272</v>
      </c>
      <c r="AI27" s="101">
        <v>0.16569999999999999</v>
      </c>
      <c r="AJ27" s="101">
        <v>-2.3841000000000001</v>
      </c>
      <c r="AK27" s="101">
        <v>-2.6341000000000001</v>
      </c>
      <c r="AL27" s="101">
        <v>-3.5287999999999999</v>
      </c>
      <c r="AM27" s="101">
        <v>-0.86250000000000004</v>
      </c>
      <c r="AN27" s="101">
        <v>-0.86719999999999997</v>
      </c>
      <c r="AO27" s="101">
        <v>-2.4487999999999999</v>
      </c>
      <c r="AP27" s="101">
        <v>-1.6282000000000001</v>
      </c>
      <c r="AR27" s="50">
        <f t="shared" si="6"/>
        <v>6.4000000000000001E-2</v>
      </c>
      <c r="AS27" s="50">
        <f t="shared" ref="AS27:AS36" si="14">AU27/($AT$7)</f>
        <v>3.0879697782110651</v>
      </c>
      <c r="AT27" s="50">
        <f t="shared" si="8"/>
        <v>6.6559999999999996E-3</v>
      </c>
      <c r="AU27" s="50">
        <f t="shared" ref="AU27:AU36" si="15">AU26-AT27</f>
        <v>1.266994</v>
      </c>
      <c r="AV27" s="50">
        <f t="shared" ref="AV27:AV36" si="16">AS27/AR27</f>
        <v>48.249527784547894</v>
      </c>
    </row>
    <row r="28" spans="1:48" x14ac:dyDescent="0.35">
      <c r="A28" s="104">
        <v>15</v>
      </c>
      <c r="B28" s="28">
        <v>43689</v>
      </c>
      <c r="C28" s="31">
        <v>14</v>
      </c>
      <c r="D28" s="31">
        <v>104</v>
      </c>
      <c r="E28" s="31">
        <f t="shared" si="10"/>
        <v>1454</v>
      </c>
      <c r="F28" s="25">
        <f t="shared" si="3"/>
        <v>1</v>
      </c>
      <c r="G28" s="25">
        <f t="shared" si="13"/>
        <v>13.981538461538459</v>
      </c>
      <c r="H28" s="25"/>
      <c r="I28" s="31">
        <v>8.27</v>
      </c>
      <c r="J28" s="31">
        <v>164.9</v>
      </c>
      <c r="K28" s="12">
        <v>53.5</v>
      </c>
      <c r="L28" s="27">
        <v>58</v>
      </c>
      <c r="M28" s="169">
        <v>0.5</v>
      </c>
      <c r="N28" s="169">
        <v>0.5</v>
      </c>
      <c r="O28" s="31">
        <v>23</v>
      </c>
      <c r="P28" s="31">
        <v>13</v>
      </c>
      <c r="Q28" s="21">
        <v>23.67</v>
      </c>
      <c r="R28" s="18">
        <v>2.34</v>
      </c>
      <c r="S28" s="18">
        <v>5.0570000000000004</v>
      </c>
      <c r="T28" s="21">
        <v>19.43</v>
      </c>
      <c r="U28" s="18">
        <v>1.7350000000000001</v>
      </c>
      <c r="V28" s="169">
        <v>0.1</v>
      </c>
      <c r="W28" s="81">
        <v>0.01</v>
      </c>
      <c r="X28" s="81">
        <v>0.01</v>
      </c>
      <c r="Y28" s="85">
        <v>2.4E-2</v>
      </c>
      <c r="Z28" s="81">
        <v>0.02</v>
      </c>
      <c r="AA28" s="25">
        <v>0.28499999999999998</v>
      </c>
      <c r="AC28" s="25">
        <f t="shared" si="0"/>
        <v>1.5710362630420307</v>
      </c>
      <c r="AD28" s="25">
        <f t="shared" si="4"/>
        <v>1.6379105388735939</v>
      </c>
      <c r="AE28" s="25">
        <f t="shared" si="5"/>
        <v>2.0839945302814535</v>
      </c>
      <c r="AG28" s="101">
        <v>8.27</v>
      </c>
      <c r="AH28" s="101">
        <v>1.53617</v>
      </c>
      <c r="AI28" s="101">
        <v>5.9299999999999999E-2</v>
      </c>
      <c r="AJ28" s="101">
        <v>-2.4929000000000001</v>
      </c>
      <c r="AK28" s="101">
        <v>-2.7427999999999999</v>
      </c>
      <c r="AL28" s="101">
        <v>-3.4657</v>
      </c>
      <c r="AM28" s="101">
        <v>-1.0817000000000001</v>
      </c>
      <c r="AN28" s="101">
        <v>-0.97230000000000005</v>
      </c>
      <c r="AO28" s="101">
        <v>-2.4744999999999999</v>
      </c>
      <c r="AP28" s="101">
        <v>-1.7410000000000001</v>
      </c>
      <c r="AR28" s="50">
        <f t="shared" si="6"/>
        <v>5.8000000000000003E-2</v>
      </c>
      <c r="AS28" s="50">
        <f t="shared" si="14"/>
        <v>3.0732683402388496</v>
      </c>
      <c r="AT28" s="50">
        <f t="shared" si="8"/>
        <v>6.032E-3</v>
      </c>
      <c r="AU28" s="50">
        <f t="shared" si="15"/>
        <v>1.2609619999999999</v>
      </c>
      <c r="AV28" s="50">
        <f t="shared" si="16"/>
        <v>52.987385176531888</v>
      </c>
    </row>
    <row r="29" spans="1:48" x14ac:dyDescent="0.35">
      <c r="A29" s="104">
        <v>15</v>
      </c>
      <c r="B29" s="28">
        <v>43690</v>
      </c>
      <c r="C29" s="31">
        <v>15</v>
      </c>
      <c r="D29" s="31">
        <v>104</v>
      </c>
      <c r="E29" s="31">
        <f t="shared" si="10"/>
        <v>1558</v>
      </c>
      <c r="F29" s="25">
        <f t="shared" si="3"/>
        <v>1</v>
      </c>
      <c r="G29" s="25">
        <f t="shared" si="13"/>
        <v>14.981538461538459</v>
      </c>
      <c r="H29" s="25"/>
      <c r="I29" s="31">
        <v>8.31</v>
      </c>
      <c r="J29" s="31">
        <v>139.19999999999999</v>
      </c>
      <c r="K29" s="12">
        <v>44.7</v>
      </c>
      <c r="L29" s="27">
        <v>53</v>
      </c>
      <c r="M29" s="169">
        <v>0.5</v>
      </c>
      <c r="N29" s="169">
        <v>0.5</v>
      </c>
      <c r="O29" s="31">
        <v>19</v>
      </c>
      <c r="P29" s="31">
        <v>13</v>
      </c>
      <c r="Q29" s="21">
        <v>20.68</v>
      </c>
      <c r="R29" s="18">
        <v>2.04</v>
      </c>
      <c r="S29" s="18">
        <v>4.7839999999999998</v>
      </c>
      <c r="T29" s="21">
        <v>18.71</v>
      </c>
      <c r="U29" s="18">
        <v>1.6379999999999999</v>
      </c>
      <c r="V29" s="169">
        <v>0.1</v>
      </c>
      <c r="W29" s="81">
        <v>0.01</v>
      </c>
      <c r="X29" s="81">
        <v>0.01</v>
      </c>
      <c r="Y29" s="85">
        <v>2.1999999999999999E-2</v>
      </c>
      <c r="Z29" s="81">
        <v>0.02</v>
      </c>
      <c r="AA29" s="25">
        <v>0.25900000000000001</v>
      </c>
      <c r="AC29" s="25">
        <f t="shared" si="0"/>
        <v>1.3117549805102797</v>
      </c>
      <c r="AD29" s="25">
        <f t="shared" si="4"/>
        <v>1.4496823428786345</v>
      </c>
      <c r="AE29" s="25">
        <f t="shared" si="5"/>
        <v>4.9947670801771604</v>
      </c>
      <c r="AG29" s="101">
        <v>8.31</v>
      </c>
      <c r="AH29" s="101">
        <v>4.3757999999999999</v>
      </c>
      <c r="AI29" s="101">
        <v>-2.7199999999999998E-2</v>
      </c>
      <c r="AJ29" s="101">
        <v>-2.6154999999999999</v>
      </c>
      <c r="AK29" s="101">
        <v>-2.8654000000000002</v>
      </c>
      <c r="AL29" s="101">
        <v>-3.5828000000000002</v>
      </c>
      <c r="AM29" s="101">
        <v>-1.2565</v>
      </c>
      <c r="AN29" s="101">
        <v>-1.0379</v>
      </c>
      <c r="AO29" s="101">
        <v>-2.5177</v>
      </c>
      <c r="AP29" s="101">
        <v>-1.8292999999999999</v>
      </c>
      <c r="AR29" s="50">
        <f t="shared" si="6"/>
        <v>5.2999999999999999E-2</v>
      </c>
      <c r="AS29" s="50">
        <f t="shared" si="14"/>
        <v>3.0598342676090664</v>
      </c>
      <c r="AT29" s="50">
        <f t="shared" si="8"/>
        <v>5.5119999999999995E-3</v>
      </c>
      <c r="AU29" s="50">
        <f t="shared" si="15"/>
        <v>1.25545</v>
      </c>
      <c r="AV29" s="50">
        <f t="shared" si="16"/>
        <v>57.732722030359746</v>
      </c>
    </row>
    <row r="30" spans="1:48" x14ac:dyDescent="0.35">
      <c r="A30" s="104">
        <v>15</v>
      </c>
      <c r="B30" s="28">
        <v>43691</v>
      </c>
      <c r="C30" s="31">
        <v>16</v>
      </c>
      <c r="D30" s="31">
        <v>102</v>
      </c>
      <c r="E30" s="31">
        <f t="shared" si="10"/>
        <v>1660</v>
      </c>
      <c r="F30" s="25">
        <f t="shared" si="3"/>
        <v>0.98076923076923073</v>
      </c>
      <c r="G30" s="25">
        <f t="shared" si="13"/>
        <v>15.962307692307689</v>
      </c>
      <c r="H30" s="25"/>
      <c r="I30" s="31">
        <v>8.2200000000000006</v>
      </c>
      <c r="J30" s="31">
        <v>138.9</v>
      </c>
      <c r="K30" s="12">
        <v>50.3</v>
      </c>
      <c r="L30" s="27">
        <v>52</v>
      </c>
      <c r="M30" s="169">
        <v>0.5</v>
      </c>
      <c r="N30" s="169">
        <v>0.5</v>
      </c>
      <c r="O30" s="31">
        <v>17</v>
      </c>
      <c r="P30" s="31">
        <v>13</v>
      </c>
      <c r="Q30" s="21">
        <v>20.04</v>
      </c>
      <c r="R30" s="18">
        <v>1.921</v>
      </c>
      <c r="S30" s="18">
        <v>4.6150000000000002</v>
      </c>
      <c r="T30" s="21">
        <v>18.48</v>
      </c>
      <c r="U30" s="18">
        <v>1.577</v>
      </c>
      <c r="V30" s="169">
        <v>0.1</v>
      </c>
      <c r="W30" s="81">
        <v>0.01</v>
      </c>
      <c r="X30" s="81">
        <v>0.01</v>
      </c>
      <c r="Y30" s="85">
        <v>1.9E-2</v>
      </c>
      <c r="Z30" s="81">
        <v>0.02</v>
      </c>
      <c r="AA30" s="25">
        <v>0.24299999999999999</v>
      </c>
      <c r="AC30" s="25">
        <f t="shared" si="0"/>
        <v>1.3821143392444042</v>
      </c>
      <c r="AD30" s="25">
        <f t="shared" si="4"/>
        <v>1.399048906438249</v>
      </c>
      <c r="AE30" s="25">
        <f t="shared" si="5"/>
        <v>0.60890230805880274</v>
      </c>
      <c r="AG30" s="101">
        <v>8.2200000000000006</v>
      </c>
      <c r="AH30" s="101">
        <v>-0.123846</v>
      </c>
      <c r="AI30" s="101">
        <v>-7.4800000000000005E-2</v>
      </c>
      <c r="AJ30" s="101">
        <v>-2.6745999999999999</v>
      </c>
      <c r="AK30" s="101">
        <v>-2.9245999999999999</v>
      </c>
      <c r="AL30" s="101">
        <v>-3.4380999999999999</v>
      </c>
      <c r="AM30" s="101">
        <v>-1.3642000000000001</v>
      </c>
      <c r="AN30" s="101">
        <v>-1.1357999999999999</v>
      </c>
      <c r="AO30" s="101">
        <v>-2.5297000000000001</v>
      </c>
      <c r="AP30" s="101">
        <v>-1.8894</v>
      </c>
      <c r="AR30" s="50">
        <f t="shared" si="6"/>
        <v>5.1999999999999998E-2</v>
      </c>
      <c r="AS30" s="50">
        <f t="shared" si="14"/>
        <v>3.0466536680477696</v>
      </c>
      <c r="AT30" s="50">
        <f t="shared" si="8"/>
        <v>5.4079999999999996E-3</v>
      </c>
      <c r="AU30" s="50">
        <f t="shared" si="15"/>
        <v>1.2500419999999999</v>
      </c>
      <c r="AV30" s="50">
        <f t="shared" si="16"/>
        <v>58.589493616303265</v>
      </c>
    </row>
    <row r="31" spans="1:48" x14ac:dyDescent="0.35">
      <c r="A31" s="104">
        <v>15</v>
      </c>
      <c r="B31" s="28">
        <v>43692</v>
      </c>
      <c r="C31" s="31">
        <v>17</v>
      </c>
      <c r="D31" s="31">
        <v>104</v>
      </c>
      <c r="E31" s="31">
        <f t="shared" si="10"/>
        <v>1764</v>
      </c>
      <c r="F31" s="25">
        <f t="shared" si="3"/>
        <v>1</v>
      </c>
      <c r="G31" s="25">
        <f t="shared" si="13"/>
        <v>16.962307692307689</v>
      </c>
      <c r="H31" s="25"/>
      <c r="I31" s="31">
        <v>8.3699999999999992</v>
      </c>
      <c r="J31" s="31">
        <v>131.1</v>
      </c>
      <c r="K31" s="12">
        <v>49.3</v>
      </c>
      <c r="L31" s="27">
        <v>45</v>
      </c>
      <c r="M31" s="169">
        <v>0.5</v>
      </c>
      <c r="N31" s="169">
        <v>0.5</v>
      </c>
      <c r="O31" s="31">
        <v>15</v>
      </c>
      <c r="P31" s="31">
        <v>12</v>
      </c>
      <c r="Q31" s="21">
        <v>18.329999999999998</v>
      </c>
      <c r="R31" s="18">
        <v>1.7869999999999999</v>
      </c>
      <c r="S31" s="18">
        <v>4.4850000000000003</v>
      </c>
      <c r="T31" s="21">
        <v>18.53</v>
      </c>
      <c r="U31" s="18">
        <v>1.6020000000000001</v>
      </c>
      <c r="V31" s="169">
        <v>0.1</v>
      </c>
      <c r="W31" s="81">
        <v>0.01</v>
      </c>
      <c r="X31" s="81">
        <v>0.01</v>
      </c>
      <c r="Y31" s="85">
        <v>1.7000000000000001E-2</v>
      </c>
      <c r="Z31" s="81">
        <v>0.02</v>
      </c>
      <c r="AA31" s="25">
        <v>0.23</v>
      </c>
      <c r="AC31" s="25">
        <f t="shared" si="0"/>
        <v>1.3204736979785285</v>
      </c>
      <c r="AD31" s="25">
        <f t="shared" si="4"/>
        <v>1.2976845820191458</v>
      </c>
      <c r="AE31" s="25">
        <f t="shared" si="5"/>
        <v>0.87042544881598816</v>
      </c>
      <c r="AG31" s="101">
        <v>8.3699999999999992</v>
      </c>
      <c r="AH31" s="101">
        <v>-1.6962999999999999</v>
      </c>
      <c r="AI31" s="101">
        <v>2.6599999999999999E-2</v>
      </c>
      <c r="AJ31" s="101">
        <v>-2.76</v>
      </c>
      <c r="AK31" s="101">
        <v>-3.0099</v>
      </c>
      <c r="AL31" s="101">
        <v>-3.6004999999999998</v>
      </c>
      <c r="AM31" s="101">
        <v>-1.1537999999999999</v>
      </c>
      <c r="AN31" s="101">
        <v>-1.0430999999999999</v>
      </c>
      <c r="AO31" s="101">
        <v>-2.5630000000000002</v>
      </c>
      <c r="AP31" s="101">
        <v>-1.7804</v>
      </c>
      <c r="AR31" s="50">
        <f t="shared" si="6"/>
        <v>4.4999999999999998E-2</v>
      </c>
      <c r="AS31" s="50">
        <f t="shared" si="14"/>
        <v>3.0352473799658783</v>
      </c>
      <c r="AT31" s="50">
        <f t="shared" si="8"/>
        <v>4.6799999999999993E-3</v>
      </c>
      <c r="AU31" s="50">
        <f t="shared" si="15"/>
        <v>1.2453619999999999</v>
      </c>
      <c r="AV31" s="50">
        <f t="shared" si="16"/>
        <v>67.449941777019518</v>
      </c>
    </row>
    <row r="32" spans="1:48" x14ac:dyDescent="0.35">
      <c r="A32" s="104">
        <v>15</v>
      </c>
      <c r="B32" s="28">
        <v>43693</v>
      </c>
      <c r="C32" s="31">
        <v>18</v>
      </c>
      <c r="D32" s="31">
        <v>102</v>
      </c>
      <c r="E32" s="31">
        <f t="shared" si="10"/>
        <v>1866</v>
      </c>
      <c r="F32" s="25">
        <f t="shared" si="3"/>
        <v>0.98076923076923073</v>
      </c>
      <c r="G32" s="25">
        <f t="shared" si="13"/>
        <v>17.943076923076919</v>
      </c>
      <c r="H32" s="25"/>
      <c r="I32" s="31">
        <v>8.43</v>
      </c>
      <c r="J32" s="31">
        <v>126.1</v>
      </c>
      <c r="K32" s="12">
        <v>48.8</v>
      </c>
      <c r="L32" s="27">
        <v>45</v>
      </c>
      <c r="M32" s="169">
        <v>0.5</v>
      </c>
      <c r="N32" s="169">
        <v>0.5</v>
      </c>
      <c r="O32" s="31">
        <v>14</v>
      </c>
      <c r="P32" s="31">
        <v>12</v>
      </c>
      <c r="Q32" s="21">
        <v>17.399999999999999</v>
      </c>
      <c r="R32" s="18">
        <v>1.7</v>
      </c>
      <c r="S32" s="18">
        <v>4.3179999999999996</v>
      </c>
      <c r="T32" s="21">
        <v>18.23</v>
      </c>
      <c r="U32" s="18">
        <v>1.49</v>
      </c>
      <c r="V32" s="169">
        <v>0.1</v>
      </c>
      <c r="W32" s="81">
        <v>0.01</v>
      </c>
      <c r="X32" s="81">
        <v>0.01</v>
      </c>
      <c r="Y32" s="161">
        <v>0.01</v>
      </c>
      <c r="Z32" s="81">
        <v>0.02</v>
      </c>
      <c r="AA32" s="25">
        <v>0.219</v>
      </c>
      <c r="AC32" s="25">
        <f t="shared" si="0"/>
        <v>1.2896533773455907</v>
      </c>
      <c r="AD32" s="25">
        <f t="shared" si="4"/>
        <v>1.2339943131611779</v>
      </c>
      <c r="AE32" s="25">
        <f t="shared" si="5"/>
        <v>2.2055005694252046</v>
      </c>
      <c r="AG32" s="101">
        <v>8.43</v>
      </c>
      <c r="AH32" s="101">
        <v>-3.1073400000000002</v>
      </c>
      <c r="AI32" s="101">
        <v>5.9299999999999999E-2</v>
      </c>
      <c r="AJ32" s="101">
        <v>-2.8079999999999998</v>
      </c>
      <c r="AK32" s="101">
        <v>-3.0579999999999998</v>
      </c>
      <c r="AL32" s="101">
        <v>-3.6665999999999999</v>
      </c>
      <c r="AM32" s="101">
        <v>-1.0871999999999999</v>
      </c>
      <c r="AN32" s="101">
        <v>-1.2176</v>
      </c>
      <c r="AO32" s="101">
        <v>-2.5823999999999998</v>
      </c>
      <c r="AP32" s="101">
        <v>-1.7464999999999999</v>
      </c>
      <c r="AR32" s="50">
        <f t="shared" si="6"/>
        <v>4.4999999999999998E-2</v>
      </c>
      <c r="AS32" s="50">
        <f t="shared" si="14"/>
        <v>3.0238410918839871</v>
      </c>
      <c r="AT32" s="50">
        <f t="shared" si="8"/>
        <v>4.6799999999999993E-3</v>
      </c>
      <c r="AU32" s="50">
        <f t="shared" si="15"/>
        <v>1.2406819999999998</v>
      </c>
      <c r="AV32" s="50">
        <f t="shared" si="16"/>
        <v>67.196468708533047</v>
      </c>
    </row>
    <row r="33" spans="1:48" x14ac:dyDescent="0.35">
      <c r="A33" s="104">
        <v>15</v>
      </c>
      <c r="B33" s="28">
        <v>43694</v>
      </c>
      <c r="C33" s="31">
        <v>19</v>
      </c>
      <c r="D33" s="31">
        <v>103</v>
      </c>
      <c r="E33" s="31">
        <f t="shared" si="10"/>
        <v>1969</v>
      </c>
      <c r="F33" s="25">
        <f t="shared" si="3"/>
        <v>0.99038461538461542</v>
      </c>
      <c r="G33" s="25">
        <f t="shared" si="13"/>
        <v>18.933461538461536</v>
      </c>
      <c r="H33" s="25"/>
      <c r="I33" s="31">
        <v>8.36</v>
      </c>
      <c r="J33" s="31">
        <v>118.5</v>
      </c>
      <c r="K33" s="12">
        <v>48.3</v>
      </c>
      <c r="L33" s="27">
        <v>42</v>
      </c>
      <c r="M33" s="169">
        <v>0.5</v>
      </c>
      <c r="N33" s="169">
        <v>0.5</v>
      </c>
      <c r="O33" s="31">
        <v>12</v>
      </c>
      <c r="P33" s="31">
        <v>13</v>
      </c>
      <c r="Q33" s="12">
        <v>17.600000000000001</v>
      </c>
      <c r="R33" s="6">
        <v>1.6319999999999999</v>
      </c>
      <c r="S33" s="18">
        <v>4.2290000000000001</v>
      </c>
      <c r="T33" s="21">
        <v>18.02</v>
      </c>
      <c r="U33" s="18">
        <v>1.589</v>
      </c>
      <c r="V33" s="169">
        <v>0.1</v>
      </c>
      <c r="W33" s="81">
        <v>0.01</v>
      </c>
      <c r="X33" s="81">
        <v>0.01</v>
      </c>
      <c r="Y33" s="81">
        <v>0.01</v>
      </c>
      <c r="Z33" s="81">
        <v>0.02</v>
      </c>
      <c r="AA33" s="11">
        <v>0.21099999999999999</v>
      </c>
      <c r="AC33" s="25">
        <f t="shared" si="0"/>
        <v>1.2380127360797153</v>
      </c>
      <c r="AD33" s="25">
        <f t="shared" si="4"/>
        <v>1.2370429687587867</v>
      </c>
      <c r="AE33" s="25">
        <f t="shared" si="5"/>
        <v>3.9181636156017316E-2</v>
      </c>
      <c r="AG33" s="101">
        <v>8.36</v>
      </c>
      <c r="AH33" s="101">
        <v>-0.92173099999999997</v>
      </c>
      <c r="AI33" s="101">
        <v>-4.1999999999999997E-3</v>
      </c>
      <c r="AJ33" s="101">
        <v>-2.8666999999999998</v>
      </c>
      <c r="AK33" s="101">
        <v>-3.1166</v>
      </c>
      <c r="AL33" s="101">
        <v>-3.5981000000000001</v>
      </c>
      <c r="AM33" s="101">
        <v>-1.2376</v>
      </c>
      <c r="AN33" s="101">
        <v>-1.2868999999999999</v>
      </c>
      <c r="AO33" s="101">
        <v>-2.5737999999999999</v>
      </c>
      <c r="AP33" s="101">
        <v>-1.8333999999999999</v>
      </c>
      <c r="AR33" s="50">
        <f t="shared" si="6"/>
        <v>4.2000000000000003E-2</v>
      </c>
      <c r="AS33" s="50">
        <f t="shared" si="14"/>
        <v>3.0131952230075552</v>
      </c>
      <c r="AT33" s="50">
        <f t="shared" si="8"/>
        <v>4.3680000000000004E-3</v>
      </c>
      <c r="AU33" s="50">
        <f t="shared" si="15"/>
        <v>1.2363139999999999</v>
      </c>
      <c r="AV33" s="50">
        <f t="shared" si="16"/>
        <v>71.742743404941791</v>
      </c>
    </row>
    <row r="34" spans="1:48" x14ac:dyDescent="0.35">
      <c r="A34" s="104">
        <v>15</v>
      </c>
      <c r="B34" s="28">
        <v>43695</v>
      </c>
      <c r="C34" s="31">
        <v>20</v>
      </c>
      <c r="D34" s="31">
        <v>104</v>
      </c>
      <c r="E34" s="31">
        <f t="shared" si="10"/>
        <v>2073</v>
      </c>
      <c r="F34" s="25">
        <f t="shared" si="3"/>
        <v>1</v>
      </c>
      <c r="G34" s="25">
        <f t="shared" si="13"/>
        <v>19.933461538461536</v>
      </c>
      <c r="H34" s="25"/>
      <c r="I34" s="31">
        <v>8.4</v>
      </c>
      <c r="J34" s="31">
        <v>116.7</v>
      </c>
      <c r="K34" s="12">
        <v>48.3</v>
      </c>
      <c r="L34" s="27">
        <v>41</v>
      </c>
      <c r="M34" s="27">
        <v>0.84</v>
      </c>
      <c r="N34" s="169">
        <v>0.5</v>
      </c>
      <c r="O34" s="31">
        <v>12</v>
      </c>
      <c r="P34" s="31">
        <v>13</v>
      </c>
      <c r="Q34" s="12">
        <v>17.13</v>
      </c>
      <c r="R34" s="6">
        <v>1.7809999999999999</v>
      </c>
      <c r="S34" s="18">
        <v>3.9910000000000001</v>
      </c>
      <c r="T34" s="21">
        <v>19.420000000000002</v>
      </c>
      <c r="U34" s="18">
        <v>1.542</v>
      </c>
      <c r="V34" s="169">
        <v>0.1</v>
      </c>
      <c r="W34" s="81">
        <v>0.01</v>
      </c>
      <c r="X34" s="81">
        <v>0.01</v>
      </c>
      <c r="Y34" s="81">
        <v>0.01</v>
      </c>
      <c r="Z34" s="81">
        <v>0.02</v>
      </c>
      <c r="AA34" s="11">
        <v>0.219</v>
      </c>
      <c r="AC34" s="25">
        <f t="shared" si="0"/>
        <v>1.2476037092814078</v>
      </c>
      <c r="AD34" s="25">
        <f t="shared" si="4"/>
        <v>1.2142887912855513</v>
      </c>
      <c r="AE34" s="25">
        <f t="shared" si="5"/>
        <v>1.3532239116120741</v>
      </c>
      <c r="AG34" s="101">
        <v>8.4</v>
      </c>
      <c r="AH34" s="101">
        <v>-1.86944</v>
      </c>
      <c r="AI34" s="101">
        <v>2.2499999999999999E-2</v>
      </c>
      <c r="AJ34" s="101">
        <v>-2.8778000000000001</v>
      </c>
      <c r="AK34" s="101">
        <v>-3.1278000000000001</v>
      </c>
      <c r="AL34" s="101">
        <v>-3.6395</v>
      </c>
      <c r="AM34" s="101">
        <v>-1.1342000000000001</v>
      </c>
      <c r="AN34" s="101">
        <v>-1.2481</v>
      </c>
      <c r="AO34" s="101">
        <v>-2.5853000000000002</v>
      </c>
      <c r="AP34" s="101">
        <v>-1.7566999999999999</v>
      </c>
      <c r="AR34" s="50">
        <f t="shared" si="6"/>
        <v>4.1000000000000002E-2</v>
      </c>
      <c r="AS34" s="50">
        <f t="shared" si="14"/>
        <v>3.0028028271996097</v>
      </c>
      <c r="AT34" s="50">
        <f t="shared" si="8"/>
        <v>4.2639999999999996E-3</v>
      </c>
      <c r="AU34" s="50">
        <f t="shared" si="15"/>
        <v>1.2320499999999999</v>
      </c>
      <c r="AV34" s="50">
        <f t="shared" si="16"/>
        <v>73.239093346331941</v>
      </c>
    </row>
    <row r="35" spans="1:48" x14ac:dyDescent="0.35">
      <c r="A35" s="104">
        <v>15</v>
      </c>
      <c r="B35" s="28">
        <v>43696</v>
      </c>
      <c r="C35" s="31">
        <v>21</v>
      </c>
      <c r="D35" s="31">
        <v>104</v>
      </c>
      <c r="E35" s="31">
        <f t="shared" si="10"/>
        <v>2177</v>
      </c>
      <c r="F35" s="25">
        <f t="shared" si="3"/>
        <v>1</v>
      </c>
      <c r="G35" s="25">
        <f t="shared" si="13"/>
        <v>20.933461538461536</v>
      </c>
      <c r="H35" s="25"/>
      <c r="I35" s="31">
        <v>8.2899999999999991</v>
      </c>
      <c r="J35" s="31">
        <v>111.5</v>
      </c>
      <c r="K35" s="12">
        <v>46.7</v>
      </c>
      <c r="L35" s="27">
        <v>38</v>
      </c>
      <c r="M35" s="169">
        <v>0.5</v>
      </c>
      <c r="N35" s="169">
        <v>0.5</v>
      </c>
      <c r="O35" s="31">
        <v>11</v>
      </c>
      <c r="P35" s="31">
        <v>12</v>
      </c>
      <c r="Q35" s="12">
        <v>16.329999999999998</v>
      </c>
      <c r="R35" s="6">
        <v>1.702</v>
      </c>
      <c r="S35" s="6">
        <v>3.54</v>
      </c>
      <c r="T35" s="12">
        <v>19.39</v>
      </c>
      <c r="U35" s="6">
        <v>1.403</v>
      </c>
      <c r="V35" s="169">
        <v>0.1</v>
      </c>
      <c r="W35" s="81">
        <v>0.01</v>
      </c>
      <c r="X35" s="81">
        <v>0.01</v>
      </c>
      <c r="Y35" s="81">
        <v>0.01</v>
      </c>
      <c r="Z35" s="81">
        <v>0.02</v>
      </c>
      <c r="AA35" s="11">
        <v>0.21</v>
      </c>
      <c r="AC35" s="25">
        <f t="shared" si="0"/>
        <v>1.1851924154467777</v>
      </c>
      <c r="AD35" s="25">
        <f t="shared" si="4"/>
        <v>1.1446997089859376</v>
      </c>
      <c r="AE35" s="25">
        <f t="shared" si="5"/>
        <v>1.7379648626735984</v>
      </c>
      <c r="AG35" s="101">
        <v>8.2899999999999991</v>
      </c>
      <c r="AH35" s="101">
        <v>-2.6976900000000001</v>
      </c>
      <c r="AI35" s="101">
        <v>-0.11409999999999999</v>
      </c>
      <c r="AJ35" s="101">
        <v>-2.9295</v>
      </c>
      <c r="AK35" s="101">
        <v>-3.1795</v>
      </c>
      <c r="AL35" s="101">
        <v>-3.5392999999999999</v>
      </c>
      <c r="AM35" s="101">
        <v>-1.4072</v>
      </c>
      <c r="AN35" s="101">
        <v>-1.3647</v>
      </c>
      <c r="AO35" s="101">
        <v>-2.6002000000000001</v>
      </c>
      <c r="AP35" s="101">
        <v>-1.893</v>
      </c>
      <c r="AR35" s="50">
        <f t="shared" si="6"/>
        <v>3.7999999999999999E-2</v>
      </c>
      <c r="AS35" s="50">
        <f t="shared" si="14"/>
        <v>2.993170850597124</v>
      </c>
      <c r="AT35" s="50">
        <f t="shared" si="8"/>
        <v>3.9519999999999998E-3</v>
      </c>
      <c r="AU35" s="50">
        <f t="shared" si="15"/>
        <v>1.2280979999999999</v>
      </c>
      <c r="AV35" s="50">
        <f t="shared" si="16"/>
        <v>78.767653963082211</v>
      </c>
    </row>
    <row r="36" spans="1:48" x14ac:dyDescent="0.35">
      <c r="A36" s="104">
        <v>15</v>
      </c>
      <c r="B36" s="28">
        <v>43697</v>
      </c>
      <c r="C36" s="31">
        <v>22</v>
      </c>
      <c r="D36" s="31">
        <v>104</v>
      </c>
      <c r="E36" s="31">
        <f t="shared" si="10"/>
        <v>2281</v>
      </c>
      <c r="F36" s="25">
        <f t="shared" si="3"/>
        <v>1</v>
      </c>
      <c r="G36" s="25">
        <f t="shared" si="13"/>
        <v>21.933461538461536</v>
      </c>
      <c r="H36" s="25"/>
      <c r="I36" s="31">
        <v>8.48</v>
      </c>
      <c r="J36" s="31">
        <v>110.7</v>
      </c>
      <c r="K36" s="12">
        <v>47.2</v>
      </c>
      <c r="L36" s="27">
        <v>35</v>
      </c>
      <c r="M36" s="169">
        <v>0.5</v>
      </c>
      <c r="N36" s="169">
        <v>0.5</v>
      </c>
      <c r="O36" s="31">
        <v>11</v>
      </c>
      <c r="P36" s="31">
        <v>13</v>
      </c>
      <c r="Q36" s="12">
        <v>16.53</v>
      </c>
      <c r="R36" s="6">
        <v>1.6870000000000001</v>
      </c>
      <c r="S36" s="6">
        <v>3.4180000000000001</v>
      </c>
      <c r="T36" s="12">
        <v>18.260000000000002</v>
      </c>
      <c r="U36" s="6">
        <v>1.4379999999999999</v>
      </c>
      <c r="V36" s="169">
        <v>0.1</v>
      </c>
      <c r="W36" s="81">
        <v>0.01</v>
      </c>
      <c r="X36" s="33">
        <v>1.2999999999999999E-2</v>
      </c>
      <c r="Y36" s="81">
        <v>0.01</v>
      </c>
      <c r="Z36" s="81">
        <v>0.02</v>
      </c>
      <c r="AA36" s="11">
        <v>0.21</v>
      </c>
      <c r="AC36" s="25">
        <f t="shared" si="0"/>
        <v>1.1951924154467777</v>
      </c>
      <c r="AD36" s="25">
        <f t="shared" si="4"/>
        <v>1.1490346818720596</v>
      </c>
      <c r="AE36" s="25">
        <f t="shared" si="5"/>
        <v>1.9689958207338387</v>
      </c>
      <c r="AG36" s="101">
        <v>8.48</v>
      </c>
      <c r="AH36" s="101">
        <v>-2.9364599999999998</v>
      </c>
      <c r="AI36" s="101">
        <v>7.5600000000000001E-2</v>
      </c>
      <c r="AJ36" s="101">
        <v>-2.927</v>
      </c>
      <c r="AK36" s="101">
        <v>-3.1768999999999998</v>
      </c>
      <c r="AL36" s="101">
        <v>-3.7324000000000002</v>
      </c>
      <c r="AM36" s="101">
        <v>-1.0359</v>
      </c>
      <c r="AN36" s="101">
        <v>-1.1789000000000001</v>
      </c>
      <c r="AO36" s="101">
        <v>-2.5975999999999999</v>
      </c>
      <c r="AP36" s="101">
        <v>-1.7115</v>
      </c>
      <c r="AR36" s="50">
        <f t="shared" si="6"/>
        <v>3.5000000000000003E-2</v>
      </c>
      <c r="AS36" s="50">
        <f t="shared" si="14"/>
        <v>2.9842992932000971</v>
      </c>
      <c r="AT36" s="50">
        <f t="shared" si="8"/>
        <v>3.64E-3</v>
      </c>
      <c r="AU36" s="50">
        <f t="shared" si="15"/>
        <v>1.2244579999999998</v>
      </c>
      <c r="AV36" s="50">
        <f t="shared" si="16"/>
        <v>85.265694091431342</v>
      </c>
    </row>
    <row r="37" spans="1:48" s="164" customFormat="1" x14ac:dyDescent="0.35">
      <c r="B37" s="28"/>
      <c r="F37" s="25"/>
      <c r="G37" s="25"/>
      <c r="H37" s="25"/>
      <c r="L37" s="27"/>
      <c r="M37" s="26"/>
      <c r="N37" s="26"/>
      <c r="Q37" s="85"/>
      <c r="R37" s="85"/>
      <c r="S37" s="85"/>
      <c r="T37" s="85"/>
      <c r="U37" s="85"/>
      <c r="V37" s="81"/>
      <c r="W37" s="26"/>
      <c r="X37" s="103"/>
      <c r="Y37" s="26"/>
      <c r="Z37" s="26"/>
      <c r="AA37" s="103"/>
      <c r="AC37" s="25"/>
      <c r="AD37" s="25"/>
      <c r="AE37" s="25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R37" s="176"/>
      <c r="AS37" s="176"/>
      <c r="AT37" s="176"/>
      <c r="AU37" s="176"/>
      <c r="AV37" s="176"/>
    </row>
    <row r="38" spans="1:48" s="107" customFormat="1" x14ac:dyDescent="0.35">
      <c r="A38" s="188" t="s">
        <v>275</v>
      </c>
      <c r="B38" s="197"/>
      <c r="C38" s="197"/>
      <c r="D38" s="197"/>
      <c r="E38" s="189"/>
      <c r="F38" s="25"/>
      <c r="G38" s="25"/>
      <c r="H38" s="25"/>
      <c r="I38" s="6">
        <f>AVERAGE(B68:B80)</f>
        <v>7.0299999999999985</v>
      </c>
      <c r="J38" s="12">
        <f>'Influent Results Master'!D58</f>
        <v>2666.25</v>
      </c>
      <c r="K38" s="12">
        <f>'Influent Results Master'!F58</f>
        <v>340.375</v>
      </c>
      <c r="L38" s="12">
        <f>'Influent Results Master'!G58</f>
        <v>595.25</v>
      </c>
      <c r="M38" s="12">
        <f>'Influent Results Master'!H58</f>
        <v>83</v>
      </c>
      <c r="N38" s="169">
        <f>'Influent Results Master'!I58</f>
        <v>0.5</v>
      </c>
      <c r="O38" s="12">
        <f>'Influent Results Master'!J58</f>
        <v>1120</v>
      </c>
      <c r="P38" s="12">
        <f>'Influent Results Master'!K58</f>
        <v>31.5</v>
      </c>
      <c r="Q38" s="12">
        <f>'Influent Results Master'!L58</f>
        <v>290.3</v>
      </c>
      <c r="R38" s="12">
        <f>'Influent Results Master'!M58</f>
        <v>112.95</v>
      </c>
      <c r="S38" s="12">
        <f>'Influent Results Master'!N58</f>
        <v>238.57500000000002</v>
      </c>
      <c r="T38" s="12">
        <f>'Influent Results Master'!O58</f>
        <v>22.385000000000002</v>
      </c>
      <c r="U38" s="6">
        <f>'Influent Results Master'!P58</f>
        <v>8.1567499999999988</v>
      </c>
      <c r="V38" s="169">
        <f>'Influent Results Master'!Q58</f>
        <v>0.20000000000000004</v>
      </c>
      <c r="W38" s="161">
        <f>'Influent Results Master'!R58</f>
        <v>2.1000000000000001E-2</v>
      </c>
      <c r="X38" s="81">
        <f>'Influent Results Master'!S58</f>
        <v>0.02</v>
      </c>
      <c r="Y38" s="25">
        <f>'Influent Results Master'!T58</f>
        <v>0.19499999999999998</v>
      </c>
      <c r="Z38" s="81">
        <f>'Influent Results Master'!U58</f>
        <v>0.04</v>
      </c>
      <c r="AA38" s="6">
        <f>'Influent Results Master'!V58</f>
        <v>2.5666666666666669</v>
      </c>
      <c r="AC38" s="25"/>
      <c r="AD38" s="25"/>
      <c r="AE38" s="25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R38" s="107">
        <v>0.58799999999999997</v>
      </c>
    </row>
    <row r="39" spans="1:48" s="164" customFormat="1" x14ac:dyDescent="0.35">
      <c r="B39" s="162"/>
      <c r="C39" s="162"/>
      <c r="D39" s="162"/>
      <c r="F39" s="25"/>
      <c r="G39" s="25"/>
      <c r="H39" s="25"/>
      <c r="L39" s="27"/>
      <c r="M39" s="26"/>
      <c r="N39" s="26"/>
      <c r="V39" s="27"/>
      <c r="W39" s="27"/>
      <c r="X39" s="33"/>
      <c r="Y39" s="27"/>
      <c r="Z39" s="27"/>
      <c r="AA39" s="27"/>
      <c r="AC39" s="25"/>
      <c r="AD39" s="25"/>
      <c r="AE39" s="25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</row>
    <row r="40" spans="1:48" s="106" customFormat="1" x14ac:dyDescent="0.35">
      <c r="A40" s="106">
        <v>15</v>
      </c>
      <c r="B40" s="28">
        <v>43698</v>
      </c>
      <c r="C40" s="106">
        <v>23</v>
      </c>
      <c r="D40" s="106">
        <v>104</v>
      </c>
      <c r="E40" s="106">
        <f>E36+D40</f>
        <v>2385</v>
      </c>
      <c r="F40" s="25">
        <f t="shared" ref="F40:F50" si="17">D40/104</f>
        <v>1</v>
      </c>
      <c r="G40" s="25">
        <f>G36+F40</f>
        <v>22.933461538461536</v>
      </c>
      <c r="H40" s="25">
        <v>0</v>
      </c>
      <c r="I40" s="106">
        <v>8.48</v>
      </c>
      <c r="J40" s="106">
        <v>113.4</v>
      </c>
      <c r="K40" s="106">
        <v>46.4</v>
      </c>
      <c r="L40" s="27">
        <v>34</v>
      </c>
      <c r="M40" s="169">
        <v>0.5</v>
      </c>
      <c r="N40" s="169">
        <v>0.5</v>
      </c>
      <c r="O40" s="106">
        <v>12</v>
      </c>
      <c r="P40" s="106">
        <v>9.8000000000000007</v>
      </c>
      <c r="Q40" s="12">
        <v>16.5</v>
      </c>
      <c r="R40" s="6">
        <v>1.708</v>
      </c>
      <c r="S40" s="6">
        <v>3.31</v>
      </c>
      <c r="T40" s="12">
        <v>17.62</v>
      </c>
      <c r="U40" s="6">
        <v>1.429</v>
      </c>
      <c r="V40" s="169">
        <v>0.1</v>
      </c>
      <c r="W40" s="81">
        <v>0.01</v>
      </c>
      <c r="X40" s="103">
        <v>1.4999999999999999E-2</v>
      </c>
      <c r="Y40" s="33">
        <v>0.01</v>
      </c>
      <c r="Z40" s="81">
        <v>0.02</v>
      </c>
      <c r="AA40" s="11">
        <v>0.21099999999999999</v>
      </c>
      <c r="AC40" s="25">
        <f t="shared" ref="AC40:AC52" si="18">((K40/50)+(M40/35.45)+(N40/62)+(O40/48.03))</f>
        <v>1.2000127360797153</v>
      </c>
      <c r="AD40" s="25">
        <f t="shared" si="4"/>
        <v>1.1443367758902654</v>
      </c>
      <c r="AE40" s="25">
        <f t="shared" si="5"/>
        <v>2.3749001548265216</v>
      </c>
      <c r="AG40" s="101">
        <v>8.48</v>
      </c>
      <c r="AH40" s="101">
        <v>-3.3501599999999998</v>
      </c>
      <c r="AI40" s="101">
        <v>6.6699999999999995E-2</v>
      </c>
      <c r="AJ40" s="101">
        <v>-2.8906999999999998</v>
      </c>
      <c r="AK40" s="101">
        <v>-3.1406999999999998</v>
      </c>
      <c r="AL40" s="101">
        <v>-3.7399</v>
      </c>
      <c r="AM40" s="101">
        <v>-1.0475000000000001</v>
      </c>
      <c r="AN40" s="101">
        <v>-1.1870000000000001</v>
      </c>
      <c r="AO40" s="101">
        <v>-2.5992000000000002</v>
      </c>
      <c r="AP40" s="101">
        <v>-1.7141999999999999</v>
      </c>
      <c r="AR40" s="50">
        <f>L40/1000</f>
        <v>3.4000000000000002E-2</v>
      </c>
      <c r="AS40" s="50">
        <f>AU40/($AT$7)</f>
        <v>3.1247233731416029</v>
      </c>
      <c r="AT40" s="50">
        <f>(AR40-$AR$38)*0.104</f>
        <v>-5.7615999999999994E-2</v>
      </c>
      <c r="AU40" s="50">
        <f>AU36-AT40</f>
        <v>1.2820739999999997</v>
      </c>
      <c r="AV40" s="50">
        <f>AS40/AR40</f>
        <v>91.903628621811848</v>
      </c>
    </row>
    <row r="41" spans="1:48" s="106" customFormat="1" x14ac:dyDescent="0.35">
      <c r="A41" s="106">
        <v>15</v>
      </c>
      <c r="B41" s="28">
        <v>43699</v>
      </c>
      <c r="C41" s="106">
        <v>24</v>
      </c>
      <c r="D41" s="106">
        <v>104</v>
      </c>
      <c r="E41" s="106">
        <f t="shared" ref="E41:E50" si="19">E40+D41</f>
        <v>2489</v>
      </c>
      <c r="F41" s="25">
        <f t="shared" si="17"/>
        <v>1</v>
      </c>
      <c r="G41" s="25">
        <f t="shared" ref="G41:G50" si="20">G40+F41</f>
        <v>23.933461538461536</v>
      </c>
      <c r="H41" s="25">
        <f>0+F41</f>
        <v>1</v>
      </c>
      <c r="I41" s="106">
        <v>7.84</v>
      </c>
      <c r="J41" s="106">
        <v>1154</v>
      </c>
      <c r="K41" s="106">
        <v>28.1</v>
      </c>
      <c r="L41" s="27">
        <v>33</v>
      </c>
      <c r="M41" s="27">
        <v>48</v>
      </c>
      <c r="N41" s="169">
        <v>0.5</v>
      </c>
      <c r="O41" s="106">
        <v>544</v>
      </c>
      <c r="P41" s="106">
        <v>11</v>
      </c>
      <c r="Q41" s="12">
        <v>234.4</v>
      </c>
      <c r="R41" s="12">
        <v>24.7</v>
      </c>
      <c r="S41" s="12">
        <v>10.15</v>
      </c>
      <c r="T41" s="12">
        <v>17.77</v>
      </c>
      <c r="U41" s="6">
        <v>4.5010000000000003</v>
      </c>
      <c r="V41" s="169">
        <v>0.1</v>
      </c>
      <c r="W41" s="81">
        <v>0.01</v>
      </c>
      <c r="X41" s="81">
        <v>0.01</v>
      </c>
      <c r="Y41" s="103">
        <v>7.2999999999999995E-2</v>
      </c>
      <c r="Z41" s="81">
        <v>0.02</v>
      </c>
      <c r="AA41" s="18">
        <v>2.9279999999999999</v>
      </c>
      <c r="AC41" s="25">
        <f t="shared" si="18"/>
        <v>13.250338686568465</v>
      </c>
      <c r="AD41" s="25">
        <f t="shared" si="4"/>
        <v>14.284468178681536</v>
      </c>
      <c r="AE41" s="25">
        <f t="shared" si="5"/>
        <v>3.7557172533437377</v>
      </c>
      <c r="AG41" s="101">
        <v>7.84</v>
      </c>
      <c r="AH41" s="101">
        <v>5.0850799999999996</v>
      </c>
      <c r="AI41" s="101">
        <v>5.2900000000000003E-2</v>
      </c>
      <c r="AJ41" s="101">
        <v>-0.61229999999999996</v>
      </c>
      <c r="AK41" s="101">
        <v>-0.86209999999999998</v>
      </c>
      <c r="AL41" s="101">
        <v>-3.3677999999999999</v>
      </c>
      <c r="AM41" s="101">
        <v>-1.0518000000000001</v>
      </c>
      <c r="AN41" s="101">
        <v>-1.5065999999999999</v>
      </c>
      <c r="AO41" s="101">
        <v>-1.8644000000000001</v>
      </c>
      <c r="AP41" s="101">
        <v>-1.7045999999999999</v>
      </c>
      <c r="AR41" s="50">
        <f t="shared" ref="AR41:AR52" si="21">L41/1000</f>
        <v>3.3000000000000002E-2</v>
      </c>
      <c r="AS41" s="50">
        <f t="shared" ref="AS41:AS52" si="22">AU41/($AT$7)</f>
        <v>3.2654009261515955</v>
      </c>
      <c r="AT41" s="50">
        <f t="shared" ref="AT41:AT52" si="23">(AR41-$AR$38)*0.104</f>
        <v>-5.7719999999999994E-2</v>
      </c>
      <c r="AU41" s="50">
        <f>AU40-AT41</f>
        <v>1.3397939999999997</v>
      </c>
      <c r="AV41" s="50">
        <f t="shared" ref="AV41" si="24">AS41/AR41</f>
        <v>98.95154321671501</v>
      </c>
    </row>
    <row r="42" spans="1:48" s="106" customFormat="1" x14ac:dyDescent="0.35">
      <c r="A42" s="106">
        <v>15</v>
      </c>
      <c r="B42" s="28">
        <v>43700</v>
      </c>
      <c r="C42" s="106">
        <v>25</v>
      </c>
      <c r="D42" s="106">
        <v>104</v>
      </c>
      <c r="E42" s="106">
        <f t="shared" si="19"/>
        <v>2593</v>
      </c>
      <c r="F42" s="25">
        <f t="shared" si="17"/>
        <v>1</v>
      </c>
      <c r="G42" s="25">
        <f t="shared" si="20"/>
        <v>24.933461538461536</v>
      </c>
      <c r="H42" s="25">
        <f>F42+H41</f>
        <v>2</v>
      </c>
      <c r="I42" s="106">
        <v>7.93</v>
      </c>
      <c r="J42" s="106">
        <v>1918</v>
      </c>
      <c r="K42" s="106">
        <v>132</v>
      </c>
      <c r="L42" s="27">
        <v>904</v>
      </c>
      <c r="M42" s="27">
        <v>76</v>
      </c>
      <c r="N42" s="169">
        <v>0.5</v>
      </c>
      <c r="O42" s="141">
        <v>866</v>
      </c>
      <c r="P42" s="141">
        <v>25</v>
      </c>
      <c r="Q42" s="12">
        <v>375.1</v>
      </c>
      <c r="R42" s="12">
        <v>41.51</v>
      </c>
      <c r="S42" s="12">
        <v>59.35</v>
      </c>
      <c r="T42" s="12">
        <v>24.43</v>
      </c>
      <c r="U42" s="6">
        <v>7.569</v>
      </c>
      <c r="V42" s="169">
        <v>0.2</v>
      </c>
      <c r="W42" s="81">
        <v>0.02</v>
      </c>
      <c r="X42" s="81">
        <v>0.02</v>
      </c>
      <c r="Y42" s="11">
        <v>0.16700000000000001</v>
      </c>
      <c r="Z42" s="81">
        <v>0.04</v>
      </c>
      <c r="AA42" s="18">
        <v>4.4029999999999996</v>
      </c>
      <c r="AC42" s="25">
        <f t="shared" si="18"/>
        <v>22.822326782278509</v>
      </c>
      <c r="AD42" s="25">
        <f t="shared" si="4"/>
        <v>24.906353947490881</v>
      </c>
      <c r="AE42" s="25">
        <f t="shared" si="5"/>
        <v>4.3664042947504322</v>
      </c>
      <c r="AG42" s="101">
        <v>7.93</v>
      </c>
      <c r="AH42" s="101">
        <v>6.0798300000000003</v>
      </c>
      <c r="AI42" s="101">
        <v>0.9143</v>
      </c>
      <c r="AJ42" s="101">
        <v>-0.35780000000000001</v>
      </c>
      <c r="AK42" s="101">
        <v>-0.60740000000000005</v>
      </c>
      <c r="AL42" s="101">
        <v>-2.8149000000000002</v>
      </c>
      <c r="AM42" s="101">
        <v>0.69830000000000003</v>
      </c>
      <c r="AN42" s="101">
        <v>-0.50549999999999995</v>
      </c>
      <c r="AO42" s="101">
        <v>-1.4843999999999999</v>
      </c>
      <c r="AP42" s="101">
        <v>-0.81610000000000005</v>
      </c>
      <c r="AR42" s="50">
        <f t="shared" si="21"/>
        <v>0.90400000000000003</v>
      </c>
      <c r="AS42" s="50">
        <f t="shared" si="22"/>
        <v>3.1853034365098702</v>
      </c>
      <c r="AT42" s="50">
        <f t="shared" si="23"/>
        <v>3.2864000000000004E-2</v>
      </c>
      <c r="AU42" s="50">
        <f t="shared" ref="AU42:AU52" si="25">AU41-AT42</f>
        <v>1.3069299999999997</v>
      </c>
      <c r="AV42" s="50">
        <f t="shared" ref="AV42:AV52" si="26">AS42/AR42</f>
        <v>3.5235657483516261</v>
      </c>
    </row>
    <row r="43" spans="1:48" s="106" customFormat="1" x14ac:dyDescent="0.35">
      <c r="A43" s="106">
        <v>15</v>
      </c>
      <c r="B43" s="28">
        <v>43701</v>
      </c>
      <c r="C43" s="106">
        <v>26</v>
      </c>
      <c r="D43" s="106">
        <v>105</v>
      </c>
      <c r="E43" s="106">
        <f t="shared" si="19"/>
        <v>2698</v>
      </c>
      <c r="F43" s="25">
        <f t="shared" si="17"/>
        <v>1.0096153846153846</v>
      </c>
      <c r="G43" s="25">
        <f t="shared" si="20"/>
        <v>25.943076923076919</v>
      </c>
      <c r="H43" s="25">
        <f t="shared" ref="H43:H49" si="27">F43+H42</f>
        <v>3.0096153846153846</v>
      </c>
      <c r="I43" s="106">
        <v>7.69</v>
      </c>
      <c r="J43" s="106">
        <v>2370</v>
      </c>
      <c r="K43" s="106">
        <v>270.39999999999998</v>
      </c>
      <c r="L43" s="27">
        <v>1710</v>
      </c>
      <c r="M43" s="27">
        <v>79</v>
      </c>
      <c r="N43" s="169">
        <v>0.5</v>
      </c>
      <c r="O43" s="106">
        <v>1002</v>
      </c>
      <c r="P43" s="198">
        <v>26</v>
      </c>
      <c r="Q43" s="12">
        <v>383.8</v>
      </c>
      <c r="R43" s="12">
        <v>46.73</v>
      </c>
      <c r="S43" s="12">
        <v>151</v>
      </c>
      <c r="T43" s="12">
        <v>24.43</v>
      </c>
      <c r="U43" s="12">
        <v>13.14</v>
      </c>
      <c r="V43" s="169">
        <v>0.2</v>
      </c>
      <c r="W43" s="81">
        <v>0.02</v>
      </c>
      <c r="X43" s="81">
        <v>0.02</v>
      </c>
      <c r="Y43" s="11">
        <v>0.20399999999999999</v>
      </c>
      <c r="Z43" s="81">
        <v>0.04</v>
      </c>
      <c r="AA43" s="18">
        <v>4.5720000000000001</v>
      </c>
      <c r="AC43" s="25">
        <f t="shared" si="18"/>
        <v>28.506516622490622</v>
      </c>
      <c r="AD43" s="25">
        <f t="shared" si="4"/>
        <v>29.898758694689654</v>
      </c>
      <c r="AE43" s="25">
        <f t="shared" si="5"/>
        <v>2.3837608240663415</v>
      </c>
      <c r="AF43" s="118" t="s">
        <v>194</v>
      </c>
      <c r="AG43" s="101">
        <v>7.69</v>
      </c>
      <c r="AH43" s="101">
        <v>3.33372</v>
      </c>
      <c r="AI43" s="101">
        <v>0.96699999999999997</v>
      </c>
      <c r="AJ43" s="101">
        <v>-0.32979999999999998</v>
      </c>
      <c r="AK43" s="101">
        <v>-0.57930000000000004</v>
      </c>
      <c r="AL43" s="101">
        <v>-2.2572999999999999</v>
      </c>
      <c r="AM43" s="101">
        <v>0.84919999999999995</v>
      </c>
      <c r="AN43" s="101">
        <v>-0.38279999999999997</v>
      </c>
      <c r="AO43" s="101">
        <v>-1.528</v>
      </c>
      <c r="AP43" s="101">
        <v>-0.7177</v>
      </c>
      <c r="AR43" s="50">
        <f t="shared" si="21"/>
        <v>1.71</v>
      </c>
      <c r="AS43" s="50">
        <f t="shared" si="22"/>
        <v>2.9009066536680472</v>
      </c>
      <c r="AT43" s="50">
        <f t="shared" si="23"/>
        <v>0.11668799999999999</v>
      </c>
      <c r="AU43" s="50">
        <f t="shared" si="25"/>
        <v>1.1902419999999998</v>
      </c>
      <c r="AV43" s="50">
        <f t="shared" si="26"/>
        <v>1.6964366395719574</v>
      </c>
    </row>
    <row r="44" spans="1:48" s="106" customFormat="1" x14ac:dyDescent="0.35">
      <c r="A44" s="106">
        <v>15</v>
      </c>
      <c r="B44" s="28">
        <v>43702</v>
      </c>
      <c r="C44" s="106">
        <v>27</v>
      </c>
      <c r="D44" s="106">
        <v>104</v>
      </c>
      <c r="E44" s="106">
        <f t="shared" si="19"/>
        <v>2802</v>
      </c>
      <c r="F44" s="25">
        <f t="shared" si="17"/>
        <v>1</v>
      </c>
      <c r="G44" s="25">
        <f t="shared" si="20"/>
        <v>26.943076923076919</v>
      </c>
      <c r="H44" s="25">
        <f t="shared" si="27"/>
        <v>4.009615384615385</v>
      </c>
      <c r="I44" s="106">
        <v>7.72</v>
      </c>
      <c r="J44" s="106">
        <v>2510</v>
      </c>
      <c r="K44" s="106">
        <v>338.4</v>
      </c>
      <c r="L44" s="27">
        <v>1610</v>
      </c>
      <c r="M44" s="27">
        <v>79</v>
      </c>
      <c r="N44" s="169">
        <v>0.5</v>
      </c>
      <c r="O44" s="106">
        <v>1041</v>
      </c>
      <c r="P44" s="198">
        <v>29</v>
      </c>
      <c r="Q44" s="12">
        <v>380.6</v>
      </c>
      <c r="R44" s="12">
        <v>49.79</v>
      </c>
      <c r="S44" s="12">
        <v>202.7</v>
      </c>
      <c r="T44" s="12">
        <v>26.03</v>
      </c>
      <c r="U44" s="12">
        <v>15.67</v>
      </c>
      <c r="V44" s="169">
        <v>0.2</v>
      </c>
      <c r="W44" s="81">
        <v>0.02</v>
      </c>
      <c r="X44" s="81">
        <v>0.02</v>
      </c>
      <c r="Y44" s="11">
        <v>0.29899999999999999</v>
      </c>
      <c r="Z44" s="81">
        <v>0.04</v>
      </c>
      <c r="AA44" s="18">
        <v>4.3920000000000003</v>
      </c>
      <c r="AC44" s="25">
        <f t="shared" si="18"/>
        <v>30.678509127175197</v>
      </c>
      <c r="AD44" s="25">
        <f t="shared" si="4"/>
        <v>32.304232502913344</v>
      </c>
      <c r="AE44" s="25">
        <f t="shared" si="5"/>
        <v>2.5812204004810986</v>
      </c>
      <c r="AF44" s="118" t="s">
        <v>195</v>
      </c>
      <c r="AG44" s="101">
        <v>7.72</v>
      </c>
      <c r="AH44" s="101">
        <v>3.5236999999999998</v>
      </c>
      <c r="AI44" s="101">
        <v>1.0771999999999999</v>
      </c>
      <c r="AJ44" s="101">
        <v>-0.33279999999999998</v>
      </c>
      <c r="AK44" s="101">
        <v>-0.58230000000000004</v>
      </c>
      <c r="AL44" s="101">
        <v>-2.1909000000000001</v>
      </c>
      <c r="AM44" s="101">
        <v>1.1026</v>
      </c>
      <c r="AN44" s="101">
        <v>-0.1057</v>
      </c>
      <c r="AO44" s="101">
        <v>-1.5512999999999999</v>
      </c>
      <c r="AP44" s="101">
        <v>-0.5746</v>
      </c>
      <c r="AR44" s="50">
        <f t="shared" si="21"/>
        <v>1.61</v>
      </c>
      <c r="AS44" s="50">
        <f t="shared" si="22"/>
        <v>2.6418571776748716</v>
      </c>
      <c r="AT44" s="50">
        <f t="shared" si="23"/>
        <v>0.10628800000000002</v>
      </c>
      <c r="AU44" s="50">
        <f t="shared" si="25"/>
        <v>1.0839539999999999</v>
      </c>
      <c r="AV44" s="50">
        <f t="shared" si="26"/>
        <v>1.6409050793011624</v>
      </c>
    </row>
    <row r="45" spans="1:48" s="106" customFormat="1" x14ac:dyDescent="0.35">
      <c r="A45" s="106">
        <v>15</v>
      </c>
      <c r="B45" s="28">
        <v>43703</v>
      </c>
      <c r="C45" s="106">
        <v>28</v>
      </c>
      <c r="D45" s="106">
        <v>105</v>
      </c>
      <c r="E45" s="106">
        <f t="shared" si="19"/>
        <v>2907</v>
      </c>
      <c r="F45" s="25">
        <f t="shared" si="17"/>
        <v>1.0096153846153846</v>
      </c>
      <c r="G45" s="25">
        <f t="shared" si="20"/>
        <v>27.952692307692303</v>
      </c>
      <c r="H45" s="25">
        <f t="shared" si="27"/>
        <v>5.0192307692307701</v>
      </c>
      <c r="I45" s="106">
        <v>7.74</v>
      </c>
      <c r="J45" s="106">
        <v>2540</v>
      </c>
      <c r="K45" s="106">
        <v>357.8</v>
      </c>
      <c r="L45" s="27">
        <v>1330</v>
      </c>
      <c r="M45" s="27">
        <v>81</v>
      </c>
      <c r="N45" s="169">
        <v>0.5</v>
      </c>
      <c r="O45" s="106">
        <v>1044</v>
      </c>
      <c r="P45" s="198">
        <v>32</v>
      </c>
      <c r="Q45" s="12">
        <v>357.8</v>
      </c>
      <c r="R45" s="12">
        <v>52.78</v>
      </c>
      <c r="S45" s="12">
        <v>216.1</v>
      </c>
      <c r="T45" s="12">
        <v>25.95</v>
      </c>
      <c r="U45" s="12">
        <v>16.61</v>
      </c>
      <c r="V45" s="169">
        <v>0.2</v>
      </c>
      <c r="W45" s="81">
        <v>0.02</v>
      </c>
      <c r="X45" s="81">
        <v>0.02</v>
      </c>
      <c r="Y45" s="11">
        <v>0.34799999999999998</v>
      </c>
      <c r="Z45" s="81">
        <v>0.04</v>
      </c>
      <c r="AA45" s="18">
        <v>4.3490000000000002</v>
      </c>
      <c r="AC45" s="25">
        <f t="shared" si="18"/>
        <v>31.185387578495732</v>
      </c>
      <c r="AD45" s="25">
        <f t="shared" si="4"/>
        <v>32.01929914458858</v>
      </c>
      <c r="AE45" s="25">
        <f t="shared" si="5"/>
        <v>1.3193824846350792</v>
      </c>
      <c r="AF45" s="118" t="s">
        <v>196</v>
      </c>
      <c r="AG45" s="101">
        <v>7.74</v>
      </c>
      <c r="AH45" s="101">
        <v>1.88917</v>
      </c>
      <c r="AI45" s="101">
        <v>1.093</v>
      </c>
      <c r="AJ45" s="101">
        <v>-0.35630000000000001</v>
      </c>
      <c r="AK45" s="101">
        <v>-0.60570000000000002</v>
      </c>
      <c r="AL45" s="101">
        <v>-2.1848999999999998</v>
      </c>
      <c r="AM45" s="101">
        <v>1.1872</v>
      </c>
      <c r="AN45" s="101">
        <v>3.5999999999999999E-3</v>
      </c>
      <c r="AO45" s="101">
        <v>-1.5814999999999999</v>
      </c>
      <c r="AP45" s="101">
        <v>-0.50580000000000003</v>
      </c>
      <c r="AR45" s="50">
        <f t="shared" si="21"/>
        <v>1.33</v>
      </c>
      <c r="AS45" s="50">
        <f t="shared" si="22"/>
        <v>2.4537801608579088</v>
      </c>
      <c r="AT45" s="50">
        <f t="shared" si="23"/>
        <v>7.7168E-2</v>
      </c>
      <c r="AU45" s="50">
        <f t="shared" si="25"/>
        <v>1.006786</v>
      </c>
      <c r="AV45" s="50">
        <f t="shared" si="26"/>
        <v>1.8449474893668487</v>
      </c>
    </row>
    <row r="46" spans="1:48" s="106" customFormat="1" x14ac:dyDescent="0.35">
      <c r="A46" s="106">
        <v>15</v>
      </c>
      <c r="B46" s="28">
        <v>43704</v>
      </c>
      <c r="C46" s="106">
        <v>29</v>
      </c>
      <c r="D46" s="106">
        <v>104</v>
      </c>
      <c r="E46" s="106">
        <f t="shared" si="19"/>
        <v>3011</v>
      </c>
      <c r="F46" s="25">
        <f t="shared" si="17"/>
        <v>1</v>
      </c>
      <c r="G46" s="25">
        <f t="shared" si="20"/>
        <v>28.952692307692303</v>
      </c>
      <c r="H46" s="25">
        <f t="shared" si="27"/>
        <v>6.0192307692307701</v>
      </c>
      <c r="I46" s="106">
        <v>7.64</v>
      </c>
      <c r="J46" s="106">
        <v>2570</v>
      </c>
      <c r="K46" s="106">
        <v>371.4</v>
      </c>
      <c r="L46" s="27">
        <v>1220</v>
      </c>
      <c r="M46" s="27">
        <v>81</v>
      </c>
      <c r="N46" s="169">
        <v>0.5</v>
      </c>
      <c r="O46" s="106">
        <v>1055</v>
      </c>
      <c r="P46" s="198">
        <v>32</v>
      </c>
      <c r="Q46" s="12">
        <v>368.1</v>
      </c>
      <c r="R46" s="12">
        <v>52.57</v>
      </c>
      <c r="S46" s="12">
        <v>221.1</v>
      </c>
      <c r="T46" s="12">
        <v>26.33</v>
      </c>
      <c r="U46" s="12">
        <v>17.09</v>
      </c>
      <c r="V46" s="169">
        <v>0.2</v>
      </c>
      <c r="W46" s="81">
        <v>0.02</v>
      </c>
      <c r="X46" s="81">
        <v>0.02</v>
      </c>
      <c r="Y46" s="11">
        <v>0.49399999999999999</v>
      </c>
      <c r="Z46" s="81">
        <v>0.04</v>
      </c>
      <c r="AA46" s="18">
        <v>4.2759999999999998</v>
      </c>
      <c r="AC46" s="25">
        <f t="shared" si="18"/>
        <v>31.686411105458046</v>
      </c>
      <c r="AD46" s="25">
        <f t="shared" si="4"/>
        <v>32.745763541887335</v>
      </c>
      <c r="AE46" s="25">
        <f t="shared" si="5"/>
        <v>1.6441357787897282</v>
      </c>
      <c r="AF46" s="118" t="s">
        <v>197</v>
      </c>
      <c r="AG46" s="101">
        <v>7.64</v>
      </c>
      <c r="AH46" s="101">
        <v>2.3035000000000001</v>
      </c>
      <c r="AI46" s="101">
        <v>1.0215000000000001</v>
      </c>
      <c r="AJ46" s="101">
        <v>-0.34499999999999997</v>
      </c>
      <c r="AK46" s="101">
        <v>-0.59440000000000004</v>
      </c>
      <c r="AL46" s="101">
        <v>-2.0670000000000002</v>
      </c>
      <c r="AM46" s="101">
        <v>1.0302</v>
      </c>
      <c r="AN46" s="101">
        <v>7.0199999999999999E-2</v>
      </c>
      <c r="AO46" s="101">
        <v>-1.573</v>
      </c>
      <c r="AP46" s="101">
        <v>-0.59140000000000004</v>
      </c>
      <c r="AR46" s="50">
        <f t="shared" si="21"/>
        <v>1.22</v>
      </c>
      <c r="AS46" s="50">
        <f t="shared" si="22"/>
        <v>2.2935851815744575</v>
      </c>
      <c r="AT46" s="50">
        <f t="shared" si="23"/>
        <v>6.5727999999999995E-2</v>
      </c>
      <c r="AU46" s="50">
        <f t="shared" si="25"/>
        <v>0.94105799999999995</v>
      </c>
      <c r="AV46" s="50">
        <f t="shared" si="26"/>
        <v>1.8799878537495553</v>
      </c>
    </row>
    <row r="47" spans="1:48" s="106" customFormat="1" x14ac:dyDescent="0.35">
      <c r="A47" s="106">
        <v>15</v>
      </c>
      <c r="B47" s="28">
        <v>43705</v>
      </c>
      <c r="C47" s="106">
        <v>30</v>
      </c>
      <c r="D47" s="106">
        <v>103</v>
      </c>
      <c r="E47" s="106">
        <f t="shared" si="19"/>
        <v>3114</v>
      </c>
      <c r="F47" s="25">
        <f t="shared" si="17"/>
        <v>0.99038461538461542</v>
      </c>
      <c r="G47" s="25">
        <f t="shared" si="20"/>
        <v>29.943076923076919</v>
      </c>
      <c r="H47" s="25">
        <f t="shared" si="27"/>
        <v>7.009615384615385</v>
      </c>
      <c r="I47" s="106">
        <v>7.63</v>
      </c>
      <c r="J47" s="106">
        <v>2570</v>
      </c>
      <c r="K47" s="106">
        <v>374.4</v>
      </c>
      <c r="L47" s="27">
        <v>863</v>
      </c>
      <c r="M47" s="27">
        <v>81</v>
      </c>
      <c r="N47" s="169">
        <v>0.5</v>
      </c>
      <c r="O47" s="106">
        <v>1052</v>
      </c>
      <c r="P47" s="198">
        <v>31</v>
      </c>
      <c r="Q47" s="12">
        <v>364.9</v>
      </c>
      <c r="R47" s="12">
        <v>55.26</v>
      </c>
      <c r="S47" s="12">
        <v>217.5</v>
      </c>
      <c r="T47" s="12">
        <v>26.27</v>
      </c>
      <c r="U47" s="12">
        <v>17.440000000000001</v>
      </c>
      <c r="V47" s="169">
        <v>0.2</v>
      </c>
      <c r="W47" s="81">
        <v>0.02</v>
      </c>
      <c r="X47" s="81">
        <v>0.02</v>
      </c>
      <c r="Y47" s="11">
        <v>0.53400000000000003</v>
      </c>
      <c r="Z47" s="81">
        <v>0.04</v>
      </c>
      <c r="AA47" s="18">
        <v>4.2619999999999996</v>
      </c>
      <c r="AC47" s="25">
        <f t="shared" si="18"/>
        <v>31.68395014355923</v>
      </c>
      <c r="AD47" s="25">
        <f t="shared" si="4"/>
        <v>32.659661593415969</v>
      </c>
      <c r="AE47" s="25">
        <f t="shared" si="5"/>
        <v>1.516407648742609</v>
      </c>
      <c r="AF47" s="118" t="s">
        <v>198</v>
      </c>
      <c r="AG47" s="101">
        <v>7.63</v>
      </c>
      <c r="AH47" s="101">
        <v>2.13829</v>
      </c>
      <c r="AI47" s="101">
        <v>1.0124</v>
      </c>
      <c r="AJ47" s="101">
        <v>-0.3498</v>
      </c>
      <c r="AK47" s="101">
        <v>-0.59919999999999995</v>
      </c>
      <c r="AL47" s="101">
        <v>-2.0527000000000002</v>
      </c>
      <c r="AM47" s="101">
        <v>1.0373000000000001</v>
      </c>
      <c r="AN47" s="101">
        <v>9.8599999999999993E-2</v>
      </c>
      <c r="AO47" s="101">
        <v>-1.5764</v>
      </c>
      <c r="AP47" s="101">
        <v>-0.57509999999999994</v>
      </c>
      <c r="AR47" s="50">
        <f t="shared" si="21"/>
        <v>0.86299999999999999</v>
      </c>
      <c r="AS47" s="50">
        <f t="shared" si="22"/>
        <v>2.2238800877406777</v>
      </c>
      <c r="AT47" s="50">
        <f t="shared" si="23"/>
        <v>2.86E-2</v>
      </c>
      <c r="AU47" s="50">
        <f t="shared" si="25"/>
        <v>0.91245799999999999</v>
      </c>
      <c r="AV47" s="50">
        <f t="shared" si="26"/>
        <v>2.576917830522222</v>
      </c>
    </row>
    <row r="48" spans="1:48" s="106" customFormat="1" x14ac:dyDescent="0.35">
      <c r="A48" s="106">
        <v>15</v>
      </c>
      <c r="B48" s="28">
        <v>43706</v>
      </c>
      <c r="C48" s="106">
        <v>31</v>
      </c>
      <c r="D48" s="106">
        <v>104</v>
      </c>
      <c r="E48" s="106">
        <f t="shared" si="19"/>
        <v>3218</v>
      </c>
      <c r="F48" s="25">
        <f t="shared" si="17"/>
        <v>1</v>
      </c>
      <c r="G48" s="25">
        <f t="shared" si="20"/>
        <v>30.943076923076919</v>
      </c>
      <c r="H48" s="25">
        <f t="shared" si="27"/>
        <v>8.009615384615385</v>
      </c>
      <c r="I48" s="106">
        <v>7.66</v>
      </c>
      <c r="J48" s="106">
        <v>2500</v>
      </c>
      <c r="K48" s="106">
        <v>373.6</v>
      </c>
      <c r="L48" s="27">
        <v>730</v>
      </c>
      <c r="M48" s="27">
        <v>82</v>
      </c>
      <c r="N48" s="169">
        <v>0.5</v>
      </c>
      <c r="O48" s="106">
        <v>1059</v>
      </c>
      <c r="P48" s="198">
        <v>28</v>
      </c>
      <c r="Q48" s="12">
        <v>344</v>
      </c>
      <c r="R48" s="12">
        <v>57.98</v>
      </c>
      <c r="S48" s="12">
        <v>217.4</v>
      </c>
      <c r="T48" s="12">
        <v>25.77</v>
      </c>
      <c r="U48" s="12">
        <v>17.04</v>
      </c>
      <c r="V48" s="169">
        <v>0.2</v>
      </c>
      <c r="W48" s="81">
        <v>0.02</v>
      </c>
      <c r="X48" s="81">
        <v>0.02</v>
      </c>
      <c r="Y48" s="11">
        <v>0.47699999999999998</v>
      </c>
      <c r="Z48" s="81">
        <v>0.04</v>
      </c>
      <c r="AA48" s="18">
        <v>4.1440000000000001</v>
      </c>
      <c r="AC48" s="25">
        <f t="shared" si="18"/>
        <v>31.841901132700656</v>
      </c>
      <c r="AD48" s="25">
        <f t="shared" si="4"/>
        <v>31.825851735989083</v>
      </c>
      <c r="AE48" s="25">
        <f t="shared" si="5"/>
        <v>2.5208046441773178E-2</v>
      </c>
      <c r="AG48" s="101">
        <v>7.66</v>
      </c>
      <c r="AH48" s="101">
        <v>0.17042199999999999</v>
      </c>
      <c r="AI48" s="101">
        <v>1.0152000000000001</v>
      </c>
      <c r="AJ48" s="101">
        <v>-0.36849999999999999</v>
      </c>
      <c r="AK48" s="101">
        <v>-0.6179</v>
      </c>
      <c r="AL48" s="101">
        <v>-2.0823</v>
      </c>
      <c r="AM48" s="101">
        <v>1.0898000000000001</v>
      </c>
      <c r="AN48" s="101">
        <v>7.9600000000000004E-2</v>
      </c>
      <c r="AO48" s="101">
        <v>-1.6028</v>
      </c>
      <c r="AP48" s="101">
        <v>-0.52529999999999999</v>
      </c>
      <c r="AR48" s="50">
        <f t="shared" si="21"/>
        <v>0.73</v>
      </c>
      <c r="AS48" s="50">
        <f t="shared" si="22"/>
        <v>2.1878869120155984</v>
      </c>
      <c r="AT48" s="50">
        <f t="shared" si="23"/>
        <v>1.4768000000000002E-2</v>
      </c>
      <c r="AU48" s="50">
        <f t="shared" si="25"/>
        <v>0.89768999999999999</v>
      </c>
      <c r="AV48" s="50">
        <f t="shared" si="26"/>
        <v>2.9971053589254772</v>
      </c>
    </row>
    <row r="49" spans="1:48" x14ac:dyDescent="0.35">
      <c r="A49" s="106">
        <v>15</v>
      </c>
      <c r="B49" s="28">
        <v>43711</v>
      </c>
      <c r="C49" s="106">
        <v>32</v>
      </c>
      <c r="D49" s="31">
        <v>104</v>
      </c>
      <c r="E49" s="106">
        <f t="shared" si="19"/>
        <v>3322</v>
      </c>
      <c r="F49" s="25">
        <f t="shared" si="17"/>
        <v>1</v>
      </c>
      <c r="G49" s="25">
        <f t="shared" si="20"/>
        <v>31.943076923076919</v>
      </c>
      <c r="H49" s="25">
        <f t="shared" si="27"/>
        <v>9.009615384615385</v>
      </c>
      <c r="I49" s="31">
        <v>7.57</v>
      </c>
      <c r="J49" s="31">
        <v>2550</v>
      </c>
      <c r="K49" s="31">
        <v>353</v>
      </c>
      <c r="L49" s="27">
        <v>716</v>
      </c>
      <c r="M49" s="27">
        <v>81</v>
      </c>
      <c r="N49" s="169">
        <v>0.5</v>
      </c>
      <c r="O49" s="31">
        <v>1035</v>
      </c>
      <c r="P49" s="198">
        <v>20</v>
      </c>
      <c r="Q49" s="21">
        <v>346.2</v>
      </c>
      <c r="R49" s="21">
        <v>63.99</v>
      </c>
      <c r="S49" s="21">
        <v>215</v>
      </c>
      <c r="T49" s="21">
        <v>26.63</v>
      </c>
      <c r="U49" s="21">
        <v>16.940000000000001</v>
      </c>
      <c r="V49" s="169">
        <v>0.2</v>
      </c>
      <c r="W49" s="81">
        <v>0.02</v>
      </c>
      <c r="X49" s="81">
        <v>0.02</v>
      </c>
      <c r="Y49" s="11">
        <v>0.26400000000000001</v>
      </c>
      <c r="Z49" s="81">
        <v>0.04</v>
      </c>
      <c r="AA49" s="18">
        <v>4.0129999999999999</v>
      </c>
      <c r="AB49" s="27"/>
      <c r="AC49" s="25">
        <f t="shared" si="18"/>
        <v>30.902004692799288</v>
      </c>
      <c r="AD49" s="25">
        <f t="shared" si="4"/>
        <v>32.322924836965377</v>
      </c>
      <c r="AE49" s="25">
        <f t="shared" si="5"/>
        <v>2.2474048681970569</v>
      </c>
      <c r="AG49" s="101">
        <v>7.57</v>
      </c>
      <c r="AH49" s="101">
        <v>3.0316100000000001</v>
      </c>
      <c r="AI49" s="101">
        <v>0.91020000000000001</v>
      </c>
      <c r="AJ49" s="101">
        <v>-0.37390000000000001</v>
      </c>
      <c r="AK49" s="101">
        <v>-0.62339999999999995</v>
      </c>
      <c r="AL49" s="101">
        <v>-2.0158999999999998</v>
      </c>
      <c r="AM49" s="101">
        <v>0.91879999999999995</v>
      </c>
      <c r="AN49" s="101">
        <v>-0.28649999999999998</v>
      </c>
      <c r="AO49" s="101">
        <v>-1.5938000000000001</v>
      </c>
      <c r="AP49" s="101">
        <v>-0.59140000000000004</v>
      </c>
      <c r="AR49" s="50">
        <f t="shared" si="21"/>
        <v>0.71599999999999997</v>
      </c>
      <c r="AS49" s="50">
        <f t="shared" si="22"/>
        <v>2.1554423592493297</v>
      </c>
      <c r="AT49" s="50">
        <f t="shared" si="23"/>
        <v>1.3311999999999999E-2</v>
      </c>
      <c r="AU49" s="50">
        <f t="shared" si="25"/>
        <v>0.884378</v>
      </c>
      <c r="AV49" s="50">
        <f t="shared" si="26"/>
        <v>3.0103943564934772</v>
      </c>
    </row>
    <row r="50" spans="1:48" s="106" customFormat="1" x14ac:dyDescent="0.35">
      <c r="A50" s="106">
        <v>15</v>
      </c>
      <c r="B50" s="28">
        <v>43712</v>
      </c>
      <c r="C50" s="106">
        <v>33</v>
      </c>
      <c r="D50" s="106">
        <v>104</v>
      </c>
      <c r="E50" s="106">
        <f t="shared" si="19"/>
        <v>3426</v>
      </c>
      <c r="F50" s="25">
        <f t="shared" si="17"/>
        <v>1</v>
      </c>
      <c r="G50" s="25">
        <f t="shared" si="20"/>
        <v>32.943076923076916</v>
      </c>
      <c r="H50" s="25"/>
      <c r="I50" s="106">
        <v>7.6</v>
      </c>
      <c r="J50" s="106">
        <v>2580</v>
      </c>
      <c r="K50" s="106">
        <v>360.8</v>
      </c>
      <c r="L50" s="27">
        <v>697</v>
      </c>
      <c r="M50" s="27">
        <v>81</v>
      </c>
      <c r="N50" s="169">
        <v>0.5</v>
      </c>
      <c r="O50" s="106">
        <v>1018</v>
      </c>
      <c r="P50" s="198">
        <v>34</v>
      </c>
      <c r="Q50" s="21">
        <v>337.5</v>
      </c>
      <c r="R50" s="21">
        <v>69.36</v>
      </c>
      <c r="S50" s="21">
        <v>216.9</v>
      </c>
      <c r="T50" s="21">
        <v>26.05</v>
      </c>
      <c r="U50" s="21">
        <v>17.010000000000002</v>
      </c>
      <c r="V50" s="169">
        <v>0.2</v>
      </c>
      <c r="W50" s="81">
        <v>0.02</v>
      </c>
      <c r="X50" s="81">
        <v>0.02</v>
      </c>
      <c r="Y50" s="11">
        <v>0.27800000000000002</v>
      </c>
      <c r="Z50" s="81">
        <v>0.04</v>
      </c>
      <c r="AA50" s="18">
        <v>4.03</v>
      </c>
      <c r="AB50" s="27"/>
      <c r="AC50" s="25">
        <f t="shared" si="18"/>
        <v>30.704059242039349</v>
      </c>
      <c r="AD50" s="25">
        <f t="shared" si="4"/>
        <v>32.414839851972786</v>
      </c>
      <c r="AE50" s="25">
        <f t="shared" si="5"/>
        <v>2.7104094565802281</v>
      </c>
      <c r="AG50" s="101">
        <v>7.6</v>
      </c>
      <c r="AH50" s="101">
        <v>3.61131</v>
      </c>
      <c r="AI50" s="101">
        <v>0.93969999999999998</v>
      </c>
      <c r="AJ50" s="101">
        <v>-0.39069999999999999</v>
      </c>
      <c r="AK50" s="101">
        <v>-0.6401</v>
      </c>
      <c r="AL50" s="101">
        <v>-2.0367999999999999</v>
      </c>
      <c r="AM50" s="101">
        <v>1.0239</v>
      </c>
      <c r="AN50" s="101">
        <v>-0.22370000000000001</v>
      </c>
      <c r="AO50" s="101">
        <v>-1.6031</v>
      </c>
      <c r="AP50" s="101">
        <v>-0.51580000000000004</v>
      </c>
      <c r="AR50" s="50">
        <f t="shared" si="21"/>
        <v>0.69699999999999995</v>
      </c>
      <c r="AS50" s="50">
        <f t="shared" si="22"/>
        <v>2.1278137947843043</v>
      </c>
      <c r="AT50" s="50">
        <f t="shared" si="23"/>
        <v>1.1335999999999999E-2</v>
      </c>
      <c r="AU50" s="50">
        <f t="shared" si="25"/>
        <v>0.87304199999999998</v>
      </c>
      <c r="AV50" s="50">
        <f t="shared" si="26"/>
        <v>3.0528174961037369</v>
      </c>
    </row>
    <row r="51" spans="1:48" s="110" customFormat="1" x14ac:dyDescent="0.35">
      <c r="A51" s="110">
        <v>15</v>
      </c>
      <c r="B51" s="28">
        <v>43713</v>
      </c>
      <c r="C51" s="110">
        <v>34</v>
      </c>
      <c r="D51" s="110">
        <v>105</v>
      </c>
      <c r="E51" s="110">
        <f t="shared" ref="E51:E62" si="28">E50+D51</f>
        <v>3531</v>
      </c>
      <c r="F51" s="25">
        <f t="shared" ref="F51:F62" si="29">D51/104</f>
        <v>1.0096153846153846</v>
      </c>
      <c r="G51" s="25">
        <f t="shared" ref="G51:G62" si="30">G50+F51</f>
        <v>33.952692307692303</v>
      </c>
      <c r="H51" s="25"/>
      <c r="I51" s="110">
        <v>7.57</v>
      </c>
      <c r="J51" s="110">
        <v>2570</v>
      </c>
      <c r="K51" s="110">
        <v>364.2</v>
      </c>
      <c r="L51" s="27">
        <v>656</v>
      </c>
      <c r="M51" s="27">
        <v>81</v>
      </c>
      <c r="N51" s="169">
        <v>0.5</v>
      </c>
      <c r="O51" s="110">
        <v>1013</v>
      </c>
      <c r="P51" s="198">
        <v>34</v>
      </c>
      <c r="Q51" s="21">
        <v>318.39999999999998</v>
      </c>
      <c r="R51" s="21">
        <v>71.5</v>
      </c>
      <c r="S51" s="21">
        <v>213.6</v>
      </c>
      <c r="T51" s="21">
        <v>25.24</v>
      </c>
      <c r="U51" s="21">
        <v>16.61</v>
      </c>
      <c r="V51" s="169">
        <v>0.2</v>
      </c>
      <c r="W51" s="81">
        <v>0.02</v>
      </c>
      <c r="X51" s="81">
        <v>0.02</v>
      </c>
      <c r="Y51" s="11">
        <v>0.29399999999999998</v>
      </c>
      <c r="Z51" s="81">
        <v>0.04</v>
      </c>
      <c r="AA51" s="18">
        <v>3.8490000000000002</v>
      </c>
      <c r="AB51" s="27"/>
      <c r="AC51" s="25">
        <f t="shared" si="18"/>
        <v>30.667957638874661</v>
      </c>
      <c r="AD51" s="25">
        <f t="shared" si="4"/>
        <v>31.483962032818209</v>
      </c>
      <c r="AE51" s="25">
        <f t="shared" si="5"/>
        <v>1.3129190510187849</v>
      </c>
      <c r="AG51" s="101">
        <v>7.57</v>
      </c>
      <c r="AH51" s="101">
        <v>1.83267</v>
      </c>
      <c r="AI51" s="101">
        <v>0.89090000000000003</v>
      </c>
      <c r="AJ51" s="101">
        <v>-0.41239999999999999</v>
      </c>
      <c r="AK51" s="101">
        <v>-0.66190000000000004</v>
      </c>
      <c r="AL51" s="101">
        <v>-2.0003000000000002</v>
      </c>
      <c r="AM51" s="101">
        <v>0.96499999999999997</v>
      </c>
      <c r="AN51" s="101">
        <v>-0.2218</v>
      </c>
      <c r="AO51" s="101">
        <v>-1.6269</v>
      </c>
      <c r="AP51" s="101">
        <v>-0.52590000000000003</v>
      </c>
      <c r="AR51" s="50">
        <f t="shared" si="21"/>
        <v>0.65600000000000003</v>
      </c>
      <c r="AS51" s="50">
        <f t="shared" si="22"/>
        <v>2.110577626127224</v>
      </c>
      <c r="AT51" s="50">
        <f t="shared" si="23"/>
        <v>7.0720000000000062E-3</v>
      </c>
      <c r="AU51" s="50">
        <f t="shared" si="25"/>
        <v>0.86597000000000002</v>
      </c>
      <c r="AV51" s="50">
        <f t="shared" si="26"/>
        <v>3.2173439422671097</v>
      </c>
    </row>
    <row r="52" spans="1:48" s="110" customFormat="1" x14ac:dyDescent="0.35">
      <c r="A52" s="110">
        <v>15</v>
      </c>
      <c r="B52" s="28">
        <v>43714</v>
      </c>
      <c r="C52" s="110">
        <v>35</v>
      </c>
      <c r="D52" s="110">
        <v>106</v>
      </c>
      <c r="E52" s="110">
        <f t="shared" si="28"/>
        <v>3637</v>
      </c>
      <c r="F52" s="25">
        <f t="shared" si="29"/>
        <v>1.0192307692307692</v>
      </c>
      <c r="G52" s="25">
        <f t="shared" si="30"/>
        <v>34.971923076923069</v>
      </c>
      <c r="H52" s="25"/>
      <c r="I52" s="110">
        <v>7.63</v>
      </c>
      <c r="J52" s="110">
        <v>2560</v>
      </c>
      <c r="K52" s="110">
        <v>364.2</v>
      </c>
      <c r="L52" s="27">
        <v>622</v>
      </c>
      <c r="M52" s="27">
        <v>81</v>
      </c>
      <c r="N52" s="169">
        <v>0.5</v>
      </c>
      <c r="O52" s="110">
        <v>1005</v>
      </c>
      <c r="P52" s="198">
        <v>34</v>
      </c>
      <c r="Q52" s="21">
        <v>341.8</v>
      </c>
      <c r="R52" s="21">
        <v>91.92</v>
      </c>
      <c r="S52" s="21">
        <v>240.4</v>
      </c>
      <c r="T52" s="21">
        <v>28.28</v>
      </c>
      <c r="U52" s="21">
        <v>17.329999999999998</v>
      </c>
      <c r="V52" s="169">
        <v>0.2</v>
      </c>
      <c r="W52" s="81">
        <v>0.02</v>
      </c>
      <c r="X52" s="81">
        <v>0.02</v>
      </c>
      <c r="Y52" s="11">
        <v>0.33500000000000002</v>
      </c>
      <c r="Z52" s="81">
        <v>0.04</v>
      </c>
      <c r="AA52" s="18">
        <v>3.7629999999999999</v>
      </c>
      <c r="AB52" s="27"/>
      <c r="AC52" s="25">
        <f t="shared" si="18"/>
        <v>30.50139507381116</v>
      </c>
      <c r="AD52" s="25">
        <f t="shared" si="4"/>
        <v>35.515041569442189</v>
      </c>
      <c r="AE52" s="25">
        <f t="shared" si="5"/>
        <v>7.5945427389913611</v>
      </c>
      <c r="AG52" s="101">
        <v>7.63</v>
      </c>
      <c r="AH52" s="101">
        <v>9.7624399999999998</v>
      </c>
      <c r="AI52" s="101">
        <v>0.9768</v>
      </c>
      <c r="AJ52" s="101">
        <v>-0.40379999999999999</v>
      </c>
      <c r="AK52" s="101">
        <v>-0.6532</v>
      </c>
      <c r="AL52" s="101">
        <v>-2.0668000000000002</v>
      </c>
      <c r="AM52" s="101">
        <v>1.2139</v>
      </c>
      <c r="AN52" s="101">
        <v>-0.11609999999999999</v>
      </c>
      <c r="AO52" s="101">
        <v>-1.6012</v>
      </c>
      <c r="AP52" s="101">
        <v>-0.3629</v>
      </c>
      <c r="AR52" s="50">
        <f t="shared" si="21"/>
        <v>0.622</v>
      </c>
      <c r="AS52" s="50">
        <f t="shared" si="22"/>
        <v>2.1019595417986841</v>
      </c>
      <c r="AT52" s="50">
        <f t="shared" si="23"/>
        <v>3.5360000000000031E-3</v>
      </c>
      <c r="AU52" s="50">
        <f t="shared" si="25"/>
        <v>0.86243400000000003</v>
      </c>
      <c r="AV52" s="50">
        <f t="shared" si="26"/>
        <v>3.3793561765252154</v>
      </c>
    </row>
    <row r="53" spans="1:48" s="164" customFormat="1" x14ac:dyDescent="0.35">
      <c r="B53" s="28"/>
      <c r="F53" s="25"/>
      <c r="G53" s="25"/>
      <c r="H53" s="25"/>
      <c r="L53" s="27"/>
      <c r="M53" s="27"/>
      <c r="N53" s="26"/>
      <c r="P53" s="198"/>
      <c r="Q53" s="103"/>
      <c r="R53" s="103"/>
      <c r="S53" s="103"/>
      <c r="T53" s="103"/>
      <c r="U53" s="103"/>
      <c r="V53" s="26"/>
      <c r="W53" s="26"/>
      <c r="X53" s="81"/>
      <c r="Y53" s="103"/>
      <c r="Z53" s="26"/>
      <c r="AA53" s="103"/>
      <c r="AB53" s="27"/>
      <c r="AC53" s="25"/>
      <c r="AD53" s="25"/>
      <c r="AE53" s="25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R53" s="176"/>
      <c r="AS53" s="176"/>
      <c r="AT53" s="176"/>
      <c r="AU53" s="176"/>
      <c r="AV53" s="176"/>
    </row>
    <row r="54" spans="1:48" s="113" customFormat="1" x14ac:dyDescent="0.35">
      <c r="A54" s="206" t="s">
        <v>184</v>
      </c>
      <c r="B54" s="207"/>
      <c r="C54" s="207"/>
      <c r="D54" s="207"/>
      <c r="F54" s="25"/>
      <c r="G54" s="25"/>
      <c r="H54" s="25"/>
      <c r="I54" s="6">
        <v>7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27"/>
      <c r="AC54" s="25"/>
      <c r="AD54" s="25"/>
      <c r="AE54" s="25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R54" s="113">
        <v>0</v>
      </c>
    </row>
    <row r="55" spans="1:48" s="164" customFormat="1" x14ac:dyDescent="0.35">
      <c r="B55" s="162"/>
      <c r="C55" s="162"/>
      <c r="D55" s="162"/>
      <c r="F55" s="25"/>
      <c r="G55" s="25"/>
      <c r="H55" s="25"/>
      <c r="L55" s="27"/>
      <c r="M55" s="27"/>
      <c r="N55" s="26"/>
      <c r="P55" s="198"/>
      <c r="Q55" s="18"/>
      <c r="R55" s="27"/>
      <c r="S55" s="11"/>
      <c r="T55" s="11"/>
      <c r="U55" s="11"/>
      <c r="V55" s="27"/>
      <c r="W55" s="27"/>
      <c r="X55" s="27"/>
      <c r="Y55" s="27"/>
      <c r="Z55" s="27"/>
      <c r="AA55" s="27"/>
      <c r="AB55" s="27"/>
      <c r="AC55" s="25"/>
      <c r="AD55" s="25"/>
      <c r="AE55" s="25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</row>
    <row r="56" spans="1:48" s="110" customFormat="1" x14ac:dyDescent="0.35">
      <c r="A56" s="110">
        <v>15</v>
      </c>
      <c r="B56" s="28">
        <v>43715</v>
      </c>
      <c r="C56" s="110">
        <v>36</v>
      </c>
      <c r="D56" s="110">
        <v>104</v>
      </c>
      <c r="E56" s="110">
        <f>E52+D56</f>
        <v>3741</v>
      </c>
      <c r="F56" s="25">
        <f t="shared" si="29"/>
        <v>1</v>
      </c>
      <c r="G56" s="25">
        <f>G52+F56</f>
        <v>35.971923076923069</v>
      </c>
      <c r="H56" s="25">
        <f>F56+H49</f>
        <v>10.009615384615385</v>
      </c>
      <c r="I56" s="110">
        <v>7.55</v>
      </c>
      <c r="J56" s="110">
        <v>2640</v>
      </c>
      <c r="K56" s="110">
        <v>360.6</v>
      </c>
      <c r="L56" s="27">
        <v>608</v>
      </c>
      <c r="M56" s="27">
        <v>76</v>
      </c>
      <c r="N56" s="169">
        <v>0.5</v>
      </c>
      <c r="O56" s="110">
        <v>1036</v>
      </c>
      <c r="P56" s="198">
        <v>34</v>
      </c>
      <c r="Q56" s="21">
        <v>336.2</v>
      </c>
      <c r="R56" s="21">
        <v>95.09</v>
      </c>
      <c r="S56" s="21">
        <v>239.7</v>
      </c>
      <c r="T56" s="21">
        <v>28.98</v>
      </c>
      <c r="U56" s="21">
        <v>17.43</v>
      </c>
      <c r="V56" s="169">
        <v>0.2</v>
      </c>
      <c r="W56" s="103">
        <v>2.5999999999999999E-2</v>
      </c>
      <c r="X56" s="81">
        <v>0.02</v>
      </c>
      <c r="Y56" s="11">
        <v>0.26400000000000001</v>
      </c>
      <c r="Z56" s="81">
        <v>0.04</v>
      </c>
      <c r="AA56" s="18">
        <v>3.5270000000000001</v>
      </c>
      <c r="AB56" s="27"/>
      <c r="AC56" s="25">
        <f t="shared" ref="AC56:AC62" si="31">((K56/50)+(M56/35.45)+(N56/62)+(O56/48.03))</f>
        <v>30.933781289877924</v>
      </c>
      <c r="AD56" s="25">
        <f t="shared" si="4"/>
        <v>35.468400765029791</v>
      </c>
      <c r="AE56" s="25">
        <f t="shared" si="5"/>
        <v>6.8290217803418081</v>
      </c>
      <c r="AG56" s="101">
        <v>7.55</v>
      </c>
      <c r="AH56" s="101">
        <v>8.8027899999999999</v>
      </c>
      <c r="AI56" s="101">
        <v>0.88370000000000004</v>
      </c>
      <c r="AJ56" s="101">
        <v>-0.40060000000000001</v>
      </c>
      <c r="AK56" s="101">
        <v>-0.65</v>
      </c>
      <c r="AL56" s="101">
        <v>-1.9890000000000001</v>
      </c>
      <c r="AM56" s="101">
        <v>1.0499000000000001</v>
      </c>
      <c r="AN56" s="101">
        <v>-0.30520000000000003</v>
      </c>
      <c r="AO56" s="101">
        <v>-1.4988999999999999</v>
      </c>
      <c r="AP56" s="101">
        <v>-0.43380000000000002</v>
      </c>
      <c r="AR56" s="50">
        <f>L56/1000</f>
        <v>0.60799999999999998</v>
      </c>
      <c r="AS56" s="50">
        <f>AU56/($AT$7)</f>
        <v>1.9478479161589084</v>
      </c>
      <c r="AT56" s="50">
        <f>(AR56-$AR$54)*0.104</f>
        <v>6.3231999999999997E-2</v>
      </c>
      <c r="AU56" s="50">
        <f>AU52-AT56</f>
        <v>0.79920200000000008</v>
      </c>
      <c r="AV56" s="50">
        <f>AS56/AR56</f>
        <v>3.2036972305245204</v>
      </c>
    </row>
    <row r="57" spans="1:48" s="110" customFormat="1" x14ac:dyDescent="0.35">
      <c r="A57" s="110">
        <v>15</v>
      </c>
      <c r="B57" s="28">
        <v>43716</v>
      </c>
      <c r="C57" s="110">
        <v>37</v>
      </c>
      <c r="D57" s="110">
        <v>104</v>
      </c>
      <c r="E57" s="110">
        <f t="shared" si="28"/>
        <v>3845</v>
      </c>
      <c r="F57" s="25">
        <f t="shared" si="29"/>
        <v>1</v>
      </c>
      <c r="G57" s="25">
        <f t="shared" si="30"/>
        <v>36.971923076923069</v>
      </c>
      <c r="H57" s="25">
        <f>F57+H56</f>
        <v>11.009615384615385</v>
      </c>
      <c r="I57" s="110">
        <v>7.76</v>
      </c>
      <c r="J57" s="110">
        <v>2514</v>
      </c>
      <c r="K57" s="110">
        <v>260.2</v>
      </c>
      <c r="L57" s="27">
        <v>340</v>
      </c>
      <c r="M57" s="27">
        <v>31</v>
      </c>
      <c r="N57" s="169">
        <v>0.5</v>
      </c>
      <c r="O57" s="110">
        <v>496</v>
      </c>
      <c r="P57" s="198">
        <v>33</v>
      </c>
      <c r="Q57" s="21">
        <v>150.1</v>
      </c>
      <c r="R57" s="21">
        <v>46.9</v>
      </c>
      <c r="S57" s="21">
        <v>154.9</v>
      </c>
      <c r="T57" s="21">
        <v>25.49</v>
      </c>
      <c r="U57" s="21">
        <v>11.73</v>
      </c>
      <c r="V57" s="169">
        <v>0.2</v>
      </c>
      <c r="W57" s="103">
        <v>4.5999999999999999E-2</v>
      </c>
      <c r="X57" s="81">
        <v>0.02</v>
      </c>
      <c r="Y57" s="11">
        <v>0.115</v>
      </c>
      <c r="Z57" s="81">
        <v>0.04</v>
      </c>
      <c r="AA57" s="18">
        <v>1.601</v>
      </c>
      <c r="AB57" s="27"/>
      <c r="AC57" s="25">
        <f t="shared" si="31"/>
        <v>16.413414636102829</v>
      </c>
      <c r="AD57" s="25">
        <f t="shared" si="4"/>
        <v>18.384639903533518</v>
      </c>
      <c r="AE57" s="25">
        <f t="shared" si="5"/>
        <v>5.6647571064221038</v>
      </c>
      <c r="AG57" s="101">
        <v>7.76</v>
      </c>
      <c r="AH57" s="101">
        <v>6.7261899999999999</v>
      </c>
      <c r="AI57" s="101">
        <v>0.7298</v>
      </c>
      <c r="AJ57" s="101">
        <v>-0.85680000000000001</v>
      </c>
      <c r="AK57" s="101">
        <v>-1.1064000000000001</v>
      </c>
      <c r="AL57" s="101">
        <v>-2.3144</v>
      </c>
      <c r="AM57" s="101">
        <v>0.78</v>
      </c>
      <c r="AN57" s="101">
        <v>-0.44440000000000002</v>
      </c>
      <c r="AO57" s="101">
        <v>-1.4328000000000001</v>
      </c>
      <c r="AP57" s="101">
        <v>-0.54990000000000006</v>
      </c>
      <c r="AR57" s="50">
        <f t="shared" ref="AR57:AR62" si="32">L57/1000</f>
        <v>0.34</v>
      </c>
      <c r="AS57" s="50">
        <f t="shared" ref="AS57:AS62" si="33">AU57/($AT$7)</f>
        <v>1.8616670728735074</v>
      </c>
      <c r="AT57" s="50">
        <f t="shared" ref="AT57:AT62" si="34">(AR57-$AR$54)*0.104</f>
        <v>3.5360000000000003E-2</v>
      </c>
      <c r="AU57" s="50">
        <f>AU56-AT57</f>
        <v>0.76384200000000013</v>
      </c>
      <c r="AV57" s="50">
        <f t="shared" ref="AV57" si="35">AS57/AR57</f>
        <v>5.4754913908044331</v>
      </c>
    </row>
    <row r="58" spans="1:48" s="110" customFormat="1" x14ac:dyDescent="0.35">
      <c r="A58" s="110">
        <v>15</v>
      </c>
      <c r="B58" s="28">
        <v>43717</v>
      </c>
      <c r="C58" s="110">
        <v>38</v>
      </c>
      <c r="D58" s="110">
        <v>103</v>
      </c>
      <c r="E58" s="110">
        <f t="shared" si="28"/>
        <v>3948</v>
      </c>
      <c r="F58" s="25">
        <f t="shared" si="29"/>
        <v>0.99038461538461542</v>
      </c>
      <c r="G58" s="25">
        <f t="shared" si="30"/>
        <v>37.962307692307682</v>
      </c>
      <c r="H58" s="25">
        <f t="shared" ref="H58:H62" si="36">F58+H57</f>
        <v>12</v>
      </c>
      <c r="I58" s="110">
        <v>7.8</v>
      </c>
      <c r="J58" s="110">
        <v>820</v>
      </c>
      <c r="K58" s="110">
        <v>194.4</v>
      </c>
      <c r="L58" s="27">
        <v>204</v>
      </c>
      <c r="M58" s="27">
        <v>9.6999999999999993</v>
      </c>
      <c r="N58" s="169">
        <v>0.5</v>
      </c>
      <c r="O58" s="110">
        <v>221</v>
      </c>
      <c r="P58" s="198">
        <v>20</v>
      </c>
      <c r="Q58" s="21">
        <v>64.180000000000007</v>
      </c>
      <c r="R58" s="21">
        <v>19.850000000000001</v>
      </c>
      <c r="S58" s="21">
        <v>93.02</v>
      </c>
      <c r="T58" s="21">
        <v>23.55</v>
      </c>
      <c r="U58" s="18">
        <v>7.5759999999999996</v>
      </c>
      <c r="V58" s="169">
        <v>0.2</v>
      </c>
      <c r="W58" s="103">
        <v>7.1999999999999995E-2</v>
      </c>
      <c r="X58" s="81">
        <v>0.02</v>
      </c>
      <c r="Y58" s="103">
        <v>4.2000000000000003E-2</v>
      </c>
      <c r="Z58" s="81">
        <v>0.04</v>
      </c>
      <c r="AA58" s="11">
        <v>0.77</v>
      </c>
      <c r="AB58" s="27"/>
      <c r="AC58" s="25">
        <f t="shared" si="31"/>
        <v>8.7709801997036188</v>
      </c>
      <c r="AD58" s="25">
        <f t="shared" si="4"/>
        <v>9.0748627200063563</v>
      </c>
      <c r="AE58" s="25">
        <f t="shared" si="5"/>
        <v>1.70281965200485</v>
      </c>
      <c r="AG58" s="101">
        <v>7.8</v>
      </c>
      <c r="AH58" s="101">
        <v>1.4411</v>
      </c>
      <c r="AI58" s="101">
        <v>0.39419999999999999</v>
      </c>
      <c r="AJ58" s="101">
        <v>-1.3797999999999999</v>
      </c>
      <c r="AK58" s="101">
        <v>-1.6295999999999999</v>
      </c>
      <c r="AL58" s="101">
        <v>-2.4567999999999999</v>
      </c>
      <c r="AM58" s="101">
        <v>9.8199999999999996E-2</v>
      </c>
      <c r="AN58" s="101">
        <v>-0.83560000000000001</v>
      </c>
      <c r="AO58" s="101">
        <v>-1.4514</v>
      </c>
      <c r="AP58" s="101">
        <v>-0.89600000000000002</v>
      </c>
      <c r="AR58" s="50">
        <f t="shared" si="32"/>
        <v>0.20399999999999999</v>
      </c>
      <c r="AS58" s="50">
        <f t="shared" si="33"/>
        <v>1.8099585669022669</v>
      </c>
      <c r="AT58" s="50">
        <f t="shared" si="34"/>
        <v>2.1215999999999999E-2</v>
      </c>
      <c r="AU58" s="50">
        <f t="shared" ref="AU58:AU62" si="37">AU57-AT58</f>
        <v>0.74262600000000012</v>
      </c>
      <c r="AV58" s="50">
        <f t="shared" ref="AV58:AV62" si="38">AS58/AR58</f>
        <v>8.8723459161875837</v>
      </c>
    </row>
    <row r="59" spans="1:48" s="110" customFormat="1" x14ac:dyDescent="0.35">
      <c r="A59" s="110">
        <v>15</v>
      </c>
      <c r="B59" s="28">
        <v>43718</v>
      </c>
      <c r="C59" s="110">
        <v>39</v>
      </c>
      <c r="D59" s="110">
        <v>105</v>
      </c>
      <c r="E59" s="110">
        <f t="shared" si="28"/>
        <v>4053</v>
      </c>
      <c r="F59" s="25">
        <f t="shared" si="29"/>
        <v>1.0096153846153846</v>
      </c>
      <c r="G59" s="25">
        <f t="shared" si="30"/>
        <v>38.971923076923069</v>
      </c>
      <c r="H59" s="25">
        <f t="shared" si="36"/>
        <v>13.009615384615385</v>
      </c>
      <c r="I59" s="110">
        <v>7.84</v>
      </c>
      <c r="J59" s="110">
        <v>512</v>
      </c>
      <c r="K59" s="110">
        <v>144.6</v>
      </c>
      <c r="L59" s="27">
        <v>128</v>
      </c>
      <c r="M59" s="27">
        <v>2.8</v>
      </c>
      <c r="N59" s="169">
        <v>0.5</v>
      </c>
      <c r="O59" s="110">
        <v>96</v>
      </c>
      <c r="P59" s="198">
        <v>18</v>
      </c>
      <c r="Q59" s="21">
        <v>35.619999999999997</v>
      </c>
      <c r="R59" s="21">
        <v>10.97</v>
      </c>
      <c r="S59" s="21">
        <v>59.22</v>
      </c>
      <c r="T59" s="21">
        <v>20.85</v>
      </c>
      <c r="U59" s="18">
        <v>5.3360000000000003</v>
      </c>
      <c r="V59" s="169">
        <v>0.2</v>
      </c>
      <c r="W59" s="103">
        <v>7.2999999999999995E-2</v>
      </c>
      <c r="X59" s="81">
        <v>0.02</v>
      </c>
      <c r="Y59" s="103">
        <v>1.9E-2</v>
      </c>
      <c r="Z59" s="81">
        <v>0.04</v>
      </c>
      <c r="AA59" s="11">
        <v>0.47299999999999998</v>
      </c>
      <c r="AB59" s="27"/>
      <c r="AC59" s="25">
        <f t="shared" si="31"/>
        <v>4.9777997820814655</v>
      </c>
      <c r="AD59" s="25">
        <f t="shared" si="4"/>
        <v>5.3919564222436591</v>
      </c>
      <c r="AE59" s="25">
        <f t="shared" si="5"/>
        <v>3.9938898466046187</v>
      </c>
      <c r="AG59" s="101">
        <v>7.84</v>
      </c>
      <c r="AH59" s="101">
        <v>4.76553</v>
      </c>
      <c r="AI59" s="101">
        <v>0.13850000000000001</v>
      </c>
      <c r="AJ59" s="101">
        <v>-1.8614999999999999</v>
      </c>
      <c r="AK59" s="101">
        <v>-2.1114000000000002</v>
      </c>
      <c r="AL59" s="101">
        <v>-2.6114000000000002</v>
      </c>
      <c r="AM59" s="101">
        <v>-0.4214</v>
      </c>
      <c r="AN59" s="101">
        <v>-1.1763999999999999</v>
      </c>
      <c r="AO59" s="101">
        <v>-1.5846</v>
      </c>
      <c r="AP59" s="101">
        <v>-1.1598999999999999</v>
      </c>
      <c r="AR59" s="50">
        <f t="shared" si="32"/>
        <v>0.128</v>
      </c>
      <c r="AS59" s="50">
        <f t="shared" si="33"/>
        <v>1.7775140141359984</v>
      </c>
      <c r="AT59" s="50">
        <f t="shared" si="34"/>
        <v>1.3311999999999999E-2</v>
      </c>
      <c r="AU59" s="50">
        <f t="shared" si="37"/>
        <v>0.72931400000000013</v>
      </c>
      <c r="AV59" s="50">
        <f t="shared" si="38"/>
        <v>13.886828235437488</v>
      </c>
    </row>
    <row r="60" spans="1:48" s="110" customFormat="1" x14ac:dyDescent="0.35">
      <c r="A60" s="110">
        <v>15</v>
      </c>
      <c r="B60" s="28">
        <v>43719</v>
      </c>
      <c r="C60" s="110">
        <v>40</v>
      </c>
      <c r="D60" s="110">
        <v>104</v>
      </c>
      <c r="E60" s="110">
        <f t="shared" si="28"/>
        <v>4157</v>
      </c>
      <c r="F60" s="25">
        <f t="shared" si="29"/>
        <v>1</v>
      </c>
      <c r="G60" s="25">
        <f t="shared" si="30"/>
        <v>39.971923076923069</v>
      </c>
      <c r="H60" s="25">
        <f t="shared" si="36"/>
        <v>14.009615384615385</v>
      </c>
      <c r="I60" s="110">
        <v>7.95</v>
      </c>
      <c r="J60" s="110">
        <v>377</v>
      </c>
      <c r="K60" s="110">
        <v>120.1</v>
      </c>
      <c r="L60" s="27">
        <v>95</v>
      </c>
      <c r="M60" s="27">
        <v>1.4</v>
      </c>
      <c r="N60" s="169">
        <v>0.5</v>
      </c>
      <c r="O60" s="110">
        <v>60</v>
      </c>
      <c r="P60" s="198">
        <v>12</v>
      </c>
      <c r="Q60" s="21">
        <v>27.17</v>
      </c>
      <c r="R60" s="18">
        <v>8.3819999999999997</v>
      </c>
      <c r="S60" s="21">
        <v>42.97</v>
      </c>
      <c r="T60" s="21">
        <v>19.86</v>
      </c>
      <c r="U60" s="18">
        <v>4.3840000000000003</v>
      </c>
      <c r="V60" s="169">
        <v>0.2</v>
      </c>
      <c r="W60" s="103">
        <v>6.2E-2</v>
      </c>
      <c r="X60" s="81">
        <v>0.02</v>
      </c>
      <c r="Y60" s="103">
        <v>1.2999999999999999E-2</v>
      </c>
      <c r="Z60" s="81">
        <v>0.04</v>
      </c>
      <c r="AA60" s="11">
        <v>0.38300000000000001</v>
      </c>
      <c r="AB60" s="27"/>
      <c r="AC60" s="25">
        <f t="shared" si="31"/>
        <v>3.6987759967005012</v>
      </c>
      <c r="AD60" s="25">
        <f t="shared" si="4"/>
        <v>4.0262939060501814</v>
      </c>
      <c r="AE60" s="25">
        <f t="shared" si="5"/>
        <v>4.23967567248887</v>
      </c>
      <c r="AG60" s="101">
        <v>7.95</v>
      </c>
      <c r="AH60" s="101">
        <v>4.5451800000000002</v>
      </c>
      <c r="AI60" s="101">
        <v>8.6599999999999996E-2</v>
      </c>
      <c r="AJ60" s="101">
        <v>-2.1246</v>
      </c>
      <c r="AK60" s="101">
        <v>-2.3746</v>
      </c>
      <c r="AL60" s="101">
        <v>-2.7976000000000001</v>
      </c>
      <c r="AM60" s="101">
        <v>-0.52710000000000001</v>
      </c>
      <c r="AN60" s="101">
        <v>-1.2739</v>
      </c>
      <c r="AO60" s="101">
        <v>-1.7224999999999999</v>
      </c>
      <c r="AP60" s="101">
        <v>-1.2137</v>
      </c>
      <c r="AR60" s="50">
        <f t="shared" si="32"/>
        <v>9.5000000000000001E-2</v>
      </c>
      <c r="AS60" s="50">
        <f t="shared" si="33"/>
        <v>1.7534340726297835</v>
      </c>
      <c r="AT60" s="50">
        <f t="shared" si="34"/>
        <v>9.8799999999999999E-3</v>
      </c>
      <c r="AU60" s="50">
        <f t="shared" si="37"/>
        <v>0.71943400000000013</v>
      </c>
      <c r="AV60" s="50">
        <f t="shared" si="38"/>
        <v>18.457200764524035</v>
      </c>
    </row>
    <row r="61" spans="1:48" s="110" customFormat="1" x14ac:dyDescent="0.35">
      <c r="A61" s="110">
        <v>15</v>
      </c>
      <c r="B61" s="28">
        <v>43720</v>
      </c>
      <c r="C61" s="110">
        <v>41</v>
      </c>
      <c r="D61" s="110">
        <v>105</v>
      </c>
      <c r="E61" s="110">
        <f t="shared" si="28"/>
        <v>4262</v>
      </c>
      <c r="F61" s="25">
        <f t="shared" si="29"/>
        <v>1.0096153846153846</v>
      </c>
      <c r="G61" s="25">
        <f t="shared" si="30"/>
        <v>40.981538461538456</v>
      </c>
      <c r="H61" s="25">
        <f t="shared" si="36"/>
        <v>15.01923076923077</v>
      </c>
      <c r="I61" s="110">
        <v>7.94</v>
      </c>
      <c r="J61" s="110">
        <v>292</v>
      </c>
      <c r="K61" s="110">
        <v>107.4</v>
      </c>
      <c r="L61" s="27">
        <v>75</v>
      </c>
      <c r="M61" s="27">
        <v>0.55000000000000004</v>
      </c>
      <c r="N61" s="169">
        <v>0.5</v>
      </c>
      <c r="O61" s="110">
        <v>38</v>
      </c>
      <c r="P61" s="198">
        <v>12</v>
      </c>
      <c r="Q61" s="21">
        <v>22.22</v>
      </c>
      <c r="R61" s="18">
        <v>6.7709999999999999</v>
      </c>
      <c r="S61" s="21">
        <v>31.55</v>
      </c>
      <c r="T61" s="21">
        <v>18.96</v>
      </c>
      <c r="U61" s="18">
        <v>3.806</v>
      </c>
      <c r="V61" s="169">
        <v>0.2</v>
      </c>
      <c r="W61" s="103">
        <v>4.7E-2</v>
      </c>
      <c r="X61" s="81">
        <v>0.02</v>
      </c>
      <c r="Y61" s="81">
        <v>0.01</v>
      </c>
      <c r="Z61" s="81">
        <v>0.04</v>
      </c>
      <c r="AA61" s="11">
        <v>0.33</v>
      </c>
      <c r="AB61" s="27"/>
      <c r="AC61" s="25">
        <f t="shared" si="31"/>
        <v>2.9627515097716404</v>
      </c>
      <c r="AD61" s="25">
        <f t="shared" si="4"/>
        <v>3.1352840446502812</v>
      </c>
      <c r="AE61" s="25">
        <f t="shared" si="5"/>
        <v>2.8293133639329282</v>
      </c>
      <c r="AG61" s="101">
        <v>7.94</v>
      </c>
      <c r="AH61" s="101">
        <v>2.6303000000000001</v>
      </c>
      <c r="AI61" s="101">
        <v>-3.09E-2</v>
      </c>
      <c r="AJ61" s="101">
        <v>-2.3675000000000002</v>
      </c>
      <c r="AK61" s="101">
        <v>-2.6173999999999999</v>
      </c>
      <c r="AL61" s="101">
        <v>-2.8313999999999999</v>
      </c>
      <c r="AM61" s="101">
        <v>-0.76970000000000005</v>
      </c>
      <c r="AN61" s="101">
        <v>-1.4177999999999999</v>
      </c>
      <c r="AO61" s="101">
        <v>-1.8928</v>
      </c>
      <c r="AP61" s="101">
        <v>-1.3387</v>
      </c>
      <c r="AR61" s="50">
        <f t="shared" si="32"/>
        <v>7.4999999999999997E-2</v>
      </c>
      <c r="AS61" s="50">
        <f t="shared" si="33"/>
        <v>1.7344235924932978</v>
      </c>
      <c r="AT61" s="50">
        <f t="shared" si="34"/>
        <v>7.7999999999999996E-3</v>
      </c>
      <c r="AU61" s="50">
        <f t="shared" si="37"/>
        <v>0.7116340000000001</v>
      </c>
      <c r="AV61" s="50">
        <f t="shared" si="38"/>
        <v>23.125647899910639</v>
      </c>
    </row>
    <row r="62" spans="1:48" s="110" customFormat="1" x14ac:dyDescent="0.35">
      <c r="A62" s="110">
        <v>15</v>
      </c>
      <c r="B62" s="28">
        <v>43721</v>
      </c>
      <c r="C62" s="110">
        <v>42</v>
      </c>
      <c r="D62" s="110">
        <v>105</v>
      </c>
      <c r="E62" s="110">
        <f t="shared" si="28"/>
        <v>4367</v>
      </c>
      <c r="F62" s="25">
        <f t="shared" si="29"/>
        <v>1.0096153846153846</v>
      </c>
      <c r="G62" s="25">
        <f t="shared" si="30"/>
        <v>41.991153846153843</v>
      </c>
      <c r="H62" s="25">
        <f t="shared" si="36"/>
        <v>16.028846153846153</v>
      </c>
      <c r="I62" s="110">
        <v>7.88</v>
      </c>
      <c r="J62" s="110">
        <v>237</v>
      </c>
      <c r="K62" s="110">
        <v>95</v>
      </c>
      <c r="L62" s="27">
        <v>64</v>
      </c>
      <c r="M62" s="169">
        <v>0.5</v>
      </c>
      <c r="N62" s="169">
        <v>0.5</v>
      </c>
      <c r="O62" s="110">
        <v>22</v>
      </c>
      <c r="P62" s="198">
        <v>6.1</v>
      </c>
      <c r="Q62" s="21">
        <v>19.11</v>
      </c>
      <c r="R62" s="18">
        <v>5.806</v>
      </c>
      <c r="S62" s="21">
        <v>24.06</v>
      </c>
      <c r="T62" s="21">
        <v>19.010000000000002</v>
      </c>
      <c r="U62" s="18">
        <v>3.4159999999999999</v>
      </c>
      <c r="V62" s="169">
        <v>0.2</v>
      </c>
      <c r="W62" s="103">
        <v>3.2000000000000001E-2</v>
      </c>
      <c r="X62" s="103">
        <v>2.7E-2</v>
      </c>
      <c r="Y62" s="81">
        <v>0.01</v>
      </c>
      <c r="Z62" s="81">
        <v>0.04</v>
      </c>
      <c r="AA62" s="11">
        <v>0.28799999999999998</v>
      </c>
      <c r="AB62" s="27"/>
      <c r="AC62" s="25">
        <f t="shared" si="31"/>
        <v>2.3802159424090927</v>
      </c>
      <c r="AD62" s="25">
        <f t="shared" ref="AD62" si="39">((Q62/20.04)+(R62/12.16)+(S62/22.99)+(U62/39.1))</f>
        <v>2.5649676233063108</v>
      </c>
      <c r="AE62" s="25">
        <f t="shared" ref="AE62" si="40">ABS((AC62-AD62)/(AC62+AD62)*100)</f>
        <v>3.7359923740361825</v>
      </c>
      <c r="AG62" s="101">
        <v>7.88</v>
      </c>
      <c r="AH62" s="101">
        <v>3.4144800000000002</v>
      </c>
      <c r="AI62" s="101">
        <v>-0.185</v>
      </c>
      <c r="AJ62" s="101">
        <v>-2.6354000000000002</v>
      </c>
      <c r="AK62" s="101">
        <v>-2.8853</v>
      </c>
      <c r="AL62" s="101">
        <v>-2.8203999999999998</v>
      </c>
      <c r="AM62" s="101">
        <v>-1.0812999999999999</v>
      </c>
      <c r="AN62" s="101">
        <v>-1.5068999999999999</v>
      </c>
      <c r="AO62" s="101">
        <v>-2.0937000000000001</v>
      </c>
      <c r="AP62" s="101">
        <v>-1.4963</v>
      </c>
      <c r="AR62" s="50">
        <f t="shared" si="32"/>
        <v>6.4000000000000001E-2</v>
      </c>
      <c r="AS62" s="50">
        <f t="shared" si="33"/>
        <v>1.7182013161101635</v>
      </c>
      <c r="AT62" s="50">
        <f t="shared" si="34"/>
        <v>6.6559999999999996E-3</v>
      </c>
      <c r="AU62" s="50">
        <f t="shared" si="37"/>
        <v>0.7049780000000001</v>
      </c>
      <c r="AV62" s="50">
        <f t="shared" si="38"/>
        <v>26.846895564221303</v>
      </c>
    </row>
    <row r="63" spans="1:48" s="119" customFormat="1" x14ac:dyDescent="0.35">
      <c r="B63" s="28"/>
      <c r="F63" s="25"/>
      <c r="G63" s="25"/>
      <c r="H63" s="25"/>
      <c r="L63" s="27"/>
      <c r="M63" s="26"/>
      <c r="N63" s="26"/>
      <c r="Q63" s="18"/>
      <c r="R63" s="27"/>
      <c r="S63" s="11"/>
      <c r="T63" s="11"/>
      <c r="U63" s="11"/>
      <c r="V63" s="27"/>
      <c r="W63" s="27"/>
      <c r="X63" s="27"/>
      <c r="Y63" s="27"/>
      <c r="Z63" s="27"/>
      <c r="AA63" s="27"/>
      <c r="AB63" s="27"/>
      <c r="AC63" s="25"/>
      <c r="AD63" s="25"/>
      <c r="AE63" s="25"/>
      <c r="AG63" s="71"/>
      <c r="AH63" s="71"/>
      <c r="AI63" s="71"/>
      <c r="AJ63" s="71"/>
      <c r="AK63" s="71"/>
      <c r="AL63" s="71"/>
      <c r="AM63" s="71"/>
      <c r="AN63" s="71"/>
      <c r="AO63" s="71"/>
      <c r="AP63" s="71"/>
    </row>
    <row r="64" spans="1:48" s="119" customFormat="1" x14ac:dyDescent="0.35">
      <c r="B64" s="28"/>
      <c r="F64" s="25"/>
      <c r="G64" s="25"/>
      <c r="H64" s="25"/>
      <c r="L64" s="27"/>
      <c r="M64" s="26"/>
      <c r="N64" s="26"/>
      <c r="X64" s="27"/>
      <c r="Y64" s="27"/>
      <c r="Z64" s="27"/>
      <c r="AA64" s="27"/>
      <c r="AB64" s="27"/>
      <c r="AC64" s="25"/>
      <c r="AD64" s="25"/>
      <c r="AE64" s="25"/>
      <c r="AG64" s="71"/>
      <c r="AH64" s="71"/>
      <c r="AI64" s="71"/>
      <c r="AJ64" s="71"/>
      <c r="AK64" s="71"/>
      <c r="AL64" s="71"/>
      <c r="AM64" s="71"/>
      <c r="AN64" s="71"/>
      <c r="AO64" s="71"/>
      <c r="AP64" s="71"/>
    </row>
    <row r="65" spans="1:42" x14ac:dyDescent="0.35">
      <c r="A65" s="31" t="s">
        <v>33</v>
      </c>
      <c r="F65" s="25"/>
      <c r="G65" s="25"/>
      <c r="H65" s="25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G65" s="71"/>
      <c r="AH65" s="71"/>
      <c r="AI65" s="71"/>
      <c r="AJ65" s="71"/>
      <c r="AK65" s="71"/>
      <c r="AL65" s="71"/>
      <c r="AM65" s="71"/>
      <c r="AN65" s="71"/>
      <c r="AO65" s="71"/>
      <c r="AP65" s="71"/>
    </row>
    <row r="66" spans="1:42" x14ac:dyDescent="0.35"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G66" s="71"/>
      <c r="AH66" s="71"/>
      <c r="AI66" s="71"/>
      <c r="AJ66" s="71"/>
      <c r="AK66" s="71"/>
      <c r="AL66" s="71"/>
      <c r="AM66" s="71"/>
      <c r="AN66" s="71"/>
      <c r="AO66" s="71"/>
      <c r="AP66" s="71"/>
    </row>
    <row r="67" spans="1:42" x14ac:dyDescent="0.35">
      <c r="A67" s="31" t="s">
        <v>10</v>
      </c>
      <c r="B67" s="31" t="s">
        <v>14</v>
      </c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G67" s="71"/>
      <c r="AH67" s="71"/>
      <c r="AI67" s="71"/>
      <c r="AJ67" s="71"/>
      <c r="AK67" s="71"/>
      <c r="AL67" s="71"/>
      <c r="AM67" s="71"/>
      <c r="AN67" s="71"/>
      <c r="AO67" s="71"/>
      <c r="AP67" s="71"/>
    </row>
    <row r="68" spans="1:42" x14ac:dyDescent="0.35">
      <c r="A68" s="28">
        <v>43698</v>
      </c>
      <c r="B68" s="31">
        <v>6.88</v>
      </c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</row>
    <row r="69" spans="1:42" x14ac:dyDescent="0.35">
      <c r="A69" s="28">
        <v>43699</v>
      </c>
      <c r="B69" s="31">
        <v>6.83</v>
      </c>
      <c r="V69" s="27"/>
      <c r="W69" s="27"/>
      <c r="X69" s="27"/>
      <c r="Y69" s="27"/>
      <c r="Z69" s="27"/>
      <c r="AA69" s="27"/>
    </row>
    <row r="70" spans="1:42" x14ac:dyDescent="0.35">
      <c r="A70" s="28">
        <v>43700</v>
      </c>
      <c r="B70" s="31">
        <v>6.92</v>
      </c>
      <c r="E70" s="28"/>
      <c r="V70" s="27"/>
      <c r="W70" s="27"/>
      <c r="X70" s="27"/>
      <c r="Y70" s="27"/>
      <c r="Z70" s="27"/>
      <c r="AA70" s="27"/>
    </row>
    <row r="71" spans="1:42" x14ac:dyDescent="0.35">
      <c r="A71" s="28">
        <v>43701</v>
      </c>
      <c r="B71" s="31">
        <v>6.97</v>
      </c>
      <c r="E71" s="28"/>
      <c r="V71" s="27"/>
      <c r="W71" s="27"/>
      <c r="X71" s="27"/>
      <c r="Y71" s="27"/>
      <c r="Z71" s="27"/>
      <c r="AA71" s="27"/>
    </row>
    <row r="72" spans="1:42" x14ac:dyDescent="0.35">
      <c r="A72" s="28">
        <v>43702</v>
      </c>
      <c r="B72" s="31">
        <v>6.98</v>
      </c>
      <c r="E72" s="28"/>
      <c r="V72" s="27"/>
      <c r="W72" s="27"/>
      <c r="X72" s="27"/>
      <c r="Y72" s="27"/>
      <c r="Z72" s="27"/>
      <c r="AA72" s="27"/>
    </row>
    <row r="73" spans="1:42" x14ac:dyDescent="0.35">
      <c r="A73" s="28">
        <v>43703</v>
      </c>
      <c r="E73" s="28"/>
      <c r="V73" s="27"/>
      <c r="W73" s="27"/>
      <c r="X73" s="27"/>
      <c r="Y73" s="27"/>
      <c r="Z73" s="27"/>
      <c r="AA73" s="27"/>
    </row>
    <row r="74" spans="1:42" x14ac:dyDescent="0.35">
      <c r="A74" s="28">
        <v>43704</v>
      </c>
      <c r="B74" s="31">
        <v>7.06</v>
      </c>
      <c r="E74" s="28"/>
      <c r="V74" s="27"/>
      <c r="W74" s="27"/>
      <c r="X74" s="27"/>
      <c r="Y74" s="27"/>
      <c r="Z74" s="27"/>
      <c r="AA74" s="27"/>
    </row>
    <row r="75" spans="1:42" x14ac:dyDescent="0.35">
      <c r="A75" s="28">
        <v>43705</v>
      </c>
      <c r="B75" s="31">
        <v>7.09</v>
      </c>
      <c r="E75" s="28"/>
      <c r="V75" s="27"/>
      <c r="W75" s="27"/>
      <c r="X75" s="27"/>
      <c r="Y75" s="27"/>
      <c r="Z75" s="27"/>
      <c r="AA75" s="27"/>
    </row>
    <row r="76" spans="1:42" x14ac:dyDescent="0.35">
      <c r="A76" s="28">
        <v>43706</v>
      </c>
      <c r="B76" s="31">
        <v>7.11</v>
      </c>
      <c r="E76" s="28"/>
      <c r="V76" s="27"/>
      <c r="W76" s="27"/>
      <c r="X76" s="27"/>
      <c r="Y76" s="27"/>
      <c r="Z76" s="27"/>
      <c r="AA76" s="27"/>
    </row>
    <row r="77" spans="1:42" x14ac:dyDescent="0.35">
      <c r="A77" s="28">
        <v>43711</v>
      </c>
      <c r="B77" s="31">
        <v>7.12</v>
      </c>
      <c r="E77" s="28"/>
      <c r="V77" s="27"/>
      <c r="W77" s="27"/>
      <c r="X77" s="27"/>
      <c r="Y77" s="27"/>
      <c r="Z77" s="27"/>
      <c r="AA77" s="27"/>
    </row>
    <row r="78" spans="1:42" x14ac:dyDescent="0.35">
      <c r="A78" s="28">
        <v>43712</v>
      </c>
      <c r="B78" s="31">
        <v>7.14</v>
      </c>
      <c r="E78" s="28"/>
      <c r="V78" s="27"/>
      <c r="W78" s="27"/>
      <c r="X78" s="27"/>
      <c r="Y78" s="27"/>
      <c r="Z78" s="27"/>
      <c r="AA78" s="27"/>
    </row>
    <row r="79" spans="1:42" x14ac:dyDescent="0.35">
      <c r="A79" s="28">
        <v>43713</v>
      </c>
      <c r="B79" s="31">
        <v>7.13</v>
      </c>
      <c r="E79" s="28"/>
      <c r="V79" s="27"/>
      <c r="W79" s="27"/>
      <c r="X79" s="27"/>
      <c r="Y79" s="27"/>
      <c r="Z79" s="27"/>
      <c r="AA79" s="27"/>
    </row>
    <row r="80" spans="1:42" x14ac:dyDescent="0.35">
      <c r="A80" s="28">
        <v>43714</v>
      </c>
      <c r="B80" s="31">
        <v>7.13</v>
      </c>
      <c r="E80" s="28"/>
      <c r="V80" s="27"/>
      <c r="W80" s="27"/>
      <c r="X80" s="27"/>
      <c r="Y80" s="27"/>
      <c r="Z80" s="27"/>
      <c r="AA80" s="27"/>
    </row>
    <row r="81" spans="1:27" x14ac:dyDescent="0.35">
      <c r="A81" s="28"/>
      <c r="E81" s="28"/>
      <c r="V81" s="27"/>
      <c r="W81" s="27"/>
      <c r="X81" s="27"/>
      <c r="Y81" s="27"/>
      <c r="Z81" s="27"/>
      <c r="AA81" s="27"/>
    </row>
    <row r="82" spans="1:27" x14ac:dyDescent="0.35">
      <c r="A82" s="28"/>
      <c r="E82" s="28"/>
      <c r="V82" s="27"/>
      <c r="W82" s="27"/>
      <c r="X82" s="27"/>
      <c r="Y82" s="27"/>
      <c r="Z82" s="27"/>
      <c r="AA82" s="27"/>
    </row>
    <row r="83" spans="1:27" x14ac:dyDescent="0.35">
      <c r="A83" s="28"/>
      <c r="F83" s="25"/>
      <c r="G83" s="25"/>
      <c r="H83" s="25"/>
      <c r="V83" s="27"/>
      <c r="W83" s="27"/>
      <c r="X83" s="27"/>
      <c r="Y83" s="27"/>
      <c r="Z83" s="27"/>
      <c r="AA83" s="27"/>
    </row>
    <row r="84" spans="1:27" x14ac:dyDescent="0.35">
      <c r="A84" s="28"/>
      <c r="F84" s="25"/>
      <c r="G84" s="25"/>
      <c r="H84" s="25"/>
      <c r="V84" s="27"/>
      <c r="W84" s="27"/>
      <c r="X84" s="27"/>
      <c r="Y84" s="27"/>
      <c r="Z84" s="27"/>
      <c r="AA84" s="27"/>
    </row>
    <row r="85" spans="1:27" x14ac:dyDescent="0.35">
      <c r="A85" s="28"/>
      <c r="F85" s="25"/>
      <c r="G85" s="25"/>
      <c r="H85" s="25"/>
      <c r="V85" s="27"/>
      <c r="W85" s="27"/>
      <c r="X85" s="27"/>
      <c r="Y85" s="27"/>
      <c r="Z85" s="27"/>
      <c r="AA85" s="27"/>
    </row>
    <row r="86" spans="1:27" x14ac:dyDescent="0.35">
      <c r="A86" s="28"/>
      <c r="V86" s="27"/>
      <c r="W86" s="27"/>
      <c r="X86" s="27"/>
      <c r="Y86" s="27"/>
      <c r="Z86" s="27"/>
      <c r="AA86" s="27"/>
    </row>
    <row r="87" spans="1:27" x14ac:dyDescent="0.35">
      <c r="A87" s="28"/>
      <c r="B87" s="85"/>
      <c r="F87" s="25"/>
      <c r="G87" s="25"/>
      <c r="H87" s="25"/>
      <c r="V87" s="27"/>
      <c r="W87" s="27"/>
      <c r="X87" s="27"/>
      <c r="Y87" s="27"/>
      <c r="Z87" s="27"/>
      <c r="AA87" s="27"/>
    </row>
    <row r="88" spans="1:27" x14ac:dyDescent="0.35">
      <c r="A88" s="28"/>
      <c r="F88" s="25"/>
      <c r="G88" s="25"/>
      <c r="H88" s="25"/>
      <c r="V88" s="27"/>
      <c r="W88" s="27"/>
      <c r="X88" s="27"/>
      <c r="Y88" s="27"/>
      <c r="Z88" s="27"/>
      <c r="AA88" s="27"/>
    </row>
    <row r="89" spans="1:27" x14ac:dyDescent="0.35">
      <c r="A89" s="28"/>
      <c r="F89" s="25"/>
      <c r="G89" s="25"/>
      <c r="H89" s="25"/>
      <c r="V89" s="27"/>
      <c r="W89" s="27"/>
      <c r="X89" s="27"/>
      <c r="Y89" s="27"/>
      <c r="Z89" s="27"/>
      <c r="AA89" s="27"/>
    </row>
    <row r="90" spans="1:27" x14ac:dyDescent="0.35">
      <c r="A90" s="28"/>
      <c r="F90" s="25"/>
      <c r="G90" s="25"/>
      <c r="H90" s="25"/>
      <c r="V90" s="27"/>
      <c r="W90" s="27"/>
      <c r="X90" s="27"/>
      <c r="Y90" s="27"/>
      <c r="Z90" s="27"/>
      <c r="AA90" s="27"/>
    </row>
    <row r="91" spans="1:27" x14ac:dyDescent="0.35">
      <c r="A91" s="28"/>
      <c r="F91" s="25"/>
      <c r="G91" s="25"/>
      <c r="H91" s="25"/>
      <c r="V91" s="27"/>
      <c r="W91" s="27"/>
      <c r="X91" s="27"/>
      <c r="Y91" s="27"/>
      <c r="Z91" s="27"/>
      <c r="AA91" s="27"/>
    </row>
    <row r="92" spans="1:27" x14ac:dyDescent="0.35">
      <c r="A92" s="28"/>
      <c r="F92" s="25"/>
      <c r="G92" s="25"/>
      <c r="H92" s="25"/>
      <c r="V92" s="27"/>
      <c r="W92" s="27"/>
      <c r="X92" s="27"/>
      <c r="Y92" s="27"/>
      <c r="Z92" s="27"/>
      <c r="AA92" s="27"/>
    </row>
    <row r="93" spans="1:27" x14ac:dyDescent="0.35">
      <c r="A93" s="28"/>
      <c r="F93" s="25"/>
      <c r="G93" s="25"/>
      <c r="H93" s="25"/>
      <c r="N93" s="27"/>
      <c r="O93" s="27"/>
      <c r="P93" s="27"/>
      <c r="Q93" s="27"/>
      <c r="R93" s="27"/>
      <c r="S93" s="26"/>
      <c r="T93" s="26"/>
      <c r="U93" s="26"/>
      <c r="V93" s="27"/>
      <c r="W93" s="27"/>
      <c r="X93" s="18"/>
      <c r="Y93" s="27"/>
      <c r="Z93" s="27"/>
      <c r="AA93" s="27"/>
    </row>
    <row r="94" spans="1:27" x14ac:dyDescent="0.35">
      <c r="A94" s="28"/>
      <c r="F94" s="25"/>
      <c r="G94" s="25"/>
      <c r="H94" s="25"/>
      <c r="N94" s="27"/>
      <c r="O94" s="27"/>
      <c r="P94" s="27"/>
      <c r="Q94" s="27"/>
      <c r="R94" s="27"/>
      <c r="S94" s="26"/>
      <c r="T94" s="26"/>
      <c r="U94" s="26"/>
      <c r="V94" s="27"/>
      <c r="W94" s="27"/>
      <c r="X94" s="18"/>
      <c r="Y94" s="27"/>
      <c r="Z94" s="27"/>
      <c r="AA94" s="27"/>
    </row>
    <row r="95" spans="1:27" x14ac:dyDescent="0.35">
      <c r="A95" s="28"/>
      <c r="F95" s="25"/>
      <c r="G95" s="25"/>
      <c r="H95" s="25"/>
      <c r="S95" s="26"/>
      <c r="T95" s="26"/>
      <c r="U95" s="26"/>
      <c r="V95" s="27"/>
      <c r="W95" s="27"/>
      <c r="X95" s="18"/>
      <c r="Y95" s="27"/>
      <c r="Z95" s="27"/>
      <c r="AA95" s="27"/>
    </row>
    <row r="96" spans="1:27" x14ac:dyDescent="0.35">
      <c r="A96" s="28"/>
      <c r="F96" s="25"/>
      <c r="G96" s="25"/>
      <c r="H96" s="25"/>
      <c r="V96" s="27"/>
      <c r="W96" s="27"/>
      <c r="X96" s="27"/>
      <c r="Y96" s="27"/>
      <c r="Z96" s="27"/>
      <c r="AA96" s="27"/>
    </row>
    <row r="97" spans="1:27" x14ac:dyDescent="0.35">
      <c r="A97" s="28"/>
      <c r="F97" s="25"/>
      <c r="G97" s="25"/>
      <c r="H97" s="25"/>
      <c r="V97" s="27"/>
      <c r="W97" s="27"/>
      <c r="X97" s="27"/>
      <c r="Y97" s="27"/>
      <c r="Z97" s="27"/>
      <c r="AA97" s="27"/>
    </row>
    <row r="98" spans="1:27" x14ac:dyDescent="0.35">
      <c r="A98" s="28"/>
      <c r="F98" s="25"/>
      <c r="G98" s="25"/>
      <c r="H98" s="25"/>
      <c r="V98" s="27"/>
      <c r="W98" s="27"/>
      <c r="X98" s="27"/>
      <c r="Y98" s="27"/>
      <c r="Z98" s="27"/>
      <c r="AA98" s="27"/>
    </row>
    <row r="99" spans="1:27" x14ac:dyDescent="0.35">
      <c r="A99" s="28"/>
      <c r="B99" s="25"/>
      <c r="F99" s="25"/>
      <c r="G99" s="25"/>
      <c r="H99" s="25"/>
      <c r="V99" s="27"/>
      <c r="W99" s="27"/>
      <c r="X99" s="27"/>
      <c r="Y99" s="27"/>
      <c r="Z99" s="27"/>
      <c r="AA99" s="27"/>
    </row>
    <row r="100" spans="1:27" x14ac:dyDescent="0.35">
      <c r="A100" s="28"/>
      <c r="B100" s="85"/>
      <c r="F100" s="25"/>
      <c r="G100" s="25"/>
      <c r="H100" s="25"/>
      <c r="V100" s="27"/>
      <c r="W100" s="27"/>
      <c r="X100" s="27"/>
      <c r="Y100" s="27"/>
      <c r="Z100" s="27"/>
      <c r="AA100" s="27"/>
    </row>
    <row r="101" spans="1:27" x14ac:dyDescent="0.35">
      <c r="A101" s="28"/>
      <c r="B101" s="25"/>
      <c r="F101" s="25"/>
      <c r="G101" s="25"/>
      <c r="H101" s="25"/>
      <c r="I101" s="25"/>
      <c r="L101" s="27"/>
      <c r="M101" s="27"/>
      <c r="V101" s="27"/>
      <c r="W101" s="27"/>
      <c r="X101" s="27"/>
      <c r="Y101" s="27"/>
      <c r="Z101" s="27"/>
      <c r="AA101" s="27"/>
    </row>
    <row r="102" spans="1:27" x14ac:dyDescent="0.35">
      <c r="A102" s="28"/>
      <c r="B102" s="25"/>
      <c r="F102" s="25"/>
      <c r="G102" s="25"/>
      <c r="H102" s="25"/>
      <c r="L102" s="27"/>
      <c r="M102" s="27"/>
      <c r="S102" s="27"/>
      <c r="T102" s="27"/>
      <c r="U102" s="27"/>
      <c r="V102" s="11"/>
      <c r="W102" s="27"/>
      <c r="X102" s="27"/>
      <c r="Y102" s="27"/>
      <c r="Z102" s="27"/>
      <c r="AA102" s="27"/>
    </row>
    <row r="103" spans="1:27" x14ac:dyDescent="0.35">
      <c r="A103" s="28"/>
      <c r="B103" s="25"/>
      <c r="F103" s="25"/>
      <c r="G103" s="25"/>
      <c r="H103" s="25"/>
      <c r="L103" s="27"/>
      <c r="M103" s="27"/>
      <c r="P103" s="6"/>
      <c r="S103" s="27"/>
      <c r="T103" s="27"/>
      <c r="U103" s="27"/>
      <c r="V103" s="11"/>
      <c r="W103" s="18"/>
      <c r="X103" s="27"/>
      <c r="Y103" s="27"/>
      <c r="Z103" s="27"/>
      <c r="AA103" s="27"/>
    </row>
    <row r="104" spans="1:27" x14ac:dyDescent="0.35">
      <c r="A104" s="28"/>
      <c r="B104" s="25"/>
      <c r="F104" s="25"/>
      <c r="G104" s="25"/>
      <c r="H104" s="25"/>
      <c r="K104" s="27"/>
      <c r="L104" s="27"/>
      <c r="M104" s="27"/>
      <c r="S104" s="27"/>
      <c r="T104" s="27"/>
      <c r="U104" s="27"/>
      <c r="V104" s="11"/>
      <c r="W104" s="27"/>
      <c r="X104" s="21"/>
      <c r="Y104" s="27"/>
      <c r="Z104" s="27"/>
      <c r="AA104" s="27"/>
    </row>
    <row r="105" spans="1:27" x14ac:dyDescent="0.35">
      <c r="A105" s="28"/>
      <c r="B105" s="25"/>
      <c r="F105" s="25"/>
      <c r="G105" s="25"/>
      <c r="H105" s="25"/>
      <c r="K105" s="27"/>
      <c r="L105" s="27"/>
      <c r="M105" s="27"/>
      <c r="P105" s="27"/>
      <c r="S105" s="27"/>
      <c r="T105" s="27"/>
      <c r="U105" s="27"/>
      <c r="V105" s="11"/>
      <c r="W105" s="18"/>
      <c r="X105" s="27"/>
      <c r="Y105" s="27"/>
      <c r="Z105" s="27"/>
      <c r="AA105" s="27"/>
    </row>
    <row r="106" spans="1:27" x14ac:dyDescent="0.35">
      <c r="A106" s="28"/>
      <c r="B106" s="25"/>
      <c r="F106" s="25"/>
      <c r="G106" s="25"/>
      <c r="H106" s="25"/>
      <c r="K106" s="27"/>
      <c r="L106" s="27"/>
      <c r="M106" s="27"/>
      <c r="P106" s="27"/>
      <c r="S106" s="27"/>
      <c r="T106" s="27"/>
      <c r="U106" s="27"/>
      <c r="V106" s="11"/>
      <c r="W106" s="18"/>
      <c r="X106" s="27"/>
      <c r="Y106" s="27"/>
      <c r="Z106" s="27"/>
      <c r="AA106" s="27"/>
    </row>
    <row r="107" spans="1:27" x14ac:dyDescent="0.35">
      <c r="A107" s="28"/>
      <c r="B107" s="25"/>
      <c r="F107" s="25"/>
      <c r="G107" s="25"/>
      <c r="H107" s="25"/>
      <c r="K107" s="27"/>
      <c r="L107" s="27"/>
      <c r="M107" s="27"/>
      <c r="P107" s="27"/>
      <c r="S107" s="27"/>
      <c r="T107" s="27"/>
      <c r="U107" s="27"/>
      <c r="V107" s="11"/>
      <c r="W107" s="18"/>
      <c r="X107" s="27"/>
      <c r="Y107" s="27"/>
      <c r="Z107" s="27"/>
      <c r="AA107" s="27"/>
    </row>
    <row r="108" spans="1:27" x14ac:dyDescent="0.35">
      <c r="B108" s="28"/>
      <c r="F108" s="25"/>
      <c r="G108" s="25"/>
      <c r="H108" s="25"/>
      <c r="K108" s="27"/>
      <c r="L108" s="27"/>
      <c r="M108" s="27"/>
      <c r="P108" s="27"/>
      <c r="S108" s="27"/>
      <c r="T108" s="27"/>
      <c r="U108" s="27"/>
      <c r="V108" s="11"/>
      <c r="W108" s="18"/>
      <c r="X108" s="27"/>
      <c r="Y108" s="27"/>
      <c r="Z108" s="27"/>
      <c r="AA108" s="27"/>
    </row>
    <row r="109" spans="1:27" x14ac:dyDescent="0.35">
      <c r="B109" s="28"/>
      <c r="F109" s="25"/>
      <c r="G109" s="25"/>
      <c r="H109" s="25"/>
      <c r="K109" s="27"/>
      <c r="L109" s="27"/>
      <c r="M109" s="27"/>
      <c r="P109" s="27"/>
      <c r="S109" s="26"/>
      <c r="T109" s="26"/>
      <c r="U109" s="26"/>
      <c r="V109" s="11"/>
      <c r="W109" s="18"/>
      <c r="X109" s="27"/>
      <c r="Y109" s="27"/>
      <c r="Z109" s="27"/>
      <c r="AA109" s="27"/>
    </row>
    <row r="110" spans="1:27" x14ac:dyDescent="0.35">
      <c r="F110" s="25"/>
      <c r="G110" s="25"/>
      <c r="H110" s="25"/>
      <c r="V110" s="27"/>
      <c r="W110" s="27"/>
      <c r="X110" s="27"/>
      <c r="Y110" s="27"/>
      <c r="Z110" s="27"/>
      <c r="AA110" s="27"/>
    </row>
    <row r="111" spans="1:27" x14ac:dyDescent="0.35">
      <c r="F111" s="25"/>
      <c r="G111" s="25"/>
      <c r="H111" s="25"/>
      <c r="V111" s="27"/>
      <c r="W111" s="27"/>
      <c r="X111" s="27"/>
      <c r="Y111" s="27"/>
      <c r="Z111" s="27"/>
      <c r="AA111" s="27"/>
    </row>
    <row r="112" spans="1:27" x14ac:dyDescent="0.35">
      <c r="F112" s="25"/>
      <c r="G112" s="25"/>
      <c r="H112" s="25"/>
      <c r="V112" s="27"/>
      <c r="W112" s="27"/>
      <c r="X112" s="27"/>
      <c r="Y112" s="27"/>
      <c r="Z112" s="27"/>
      <c r="AA112" s="27"/>
    </row>
    <row r="113" spans="1:27" x14ac:dyDescent="0.35">
      <c r="V113" s="27"/>
      <c r="W113" s="27"/>
      <c r="X113" s="27"/>
      <c r="Y113" s="27"/>
      <c r="Z113" s="27"/>
      <c r="AA113" s="27"/>
    </row>
    <row r="114" spans="1:27" x14ac:dyDescent="0.35">
      <c r="V114" s="27"/>
      <c r="W114" s="27"/>
      <c r="X114" s="27"/>
      <c r="Y114" s="27"/>
      <c r="Z114" s="27"/>
      <c r="AA114" s="27"/>
    </row>
    <row r="115" spans="1:27" x14ac:dyDescent="0.35">
      <c r="V115" s="27"/>
      <c r="W115" s="27"/>
      <c r="X115" s="27"/>
      <c r="Y115" s="27"/>
      <c r="Z115" s="27"/>
      <c r="AA115" s="27"/>
    </row>
    <row r="116" spans="1:27" x14ac:dyDescent="0.35">
      <c r="V116" s="27"/>
      <c r="W116" s="27"/>
      <c r="X116" s="27"/>
      <c r="Y116" s="27"/>
      <c r="Z116" s="27"/>
      <c r="AA116" s="27"/>
    </row>
    <row r="117" spans="1:27" x14ac:dyDescent="0.35">
      <c r="V117" s="27"/>
      <c r="W117" s="27"/>
      <c r="X117" s="27"/>
      <c r="Y117" s="27"/>
      <c r="Z117" s="27"/>
      <c r="AA117" s="27"/>
    </row>
    <row r="118" spans="1:27" x14ac:dyDescent="0.35">
      <c r="V118" s="27"/>
      <c r="W118" s="27"/>
      <c r="X118" s="27"/>
      <c r="Y118" s="27"/>
      <c r="Z118" s="27"/>
      <c r="AA118" s="27"/>
    </row>
    <row r="119" spans="1:27" x14ac:dyDescent="0.35">
      <c r="A119" s="28"/>
      <c r="E119" s="28"/>
      <c r="K119" s="28"/>
      <c r="V119" s="27"/>
      <c r="W119" s="27"/>
      <c r="X119" s="27"/>
      <c r="Y119" s="27"/>
      <c r="Z119" s="27"/>
      <c r="AA119" s="27"/>
    </row>
    <row r="120" spans="1:27" x14ac:dyDescent="0.35">
      <c r="A120" s="28"/>
      <c r="E120" s="28"/>
      <c r="V120" s="27"/>
      <c r="W120" s="27"/>
      <c r="X120" s="27"/>
      <c r="Y120" s="27"/>
      <c r="Z120" s="27"/>
      <c r="AA120" s="27"/>
    </row>
    <row r="121" spans="1:27" x14ac:dyDescent="0.35">
      <c r="A121" s="28"/>
      <c r="E121" s="28"/>
      <c r="K121" s="28"/>
      <c r="V121" s="27"/>
      <c r="W121" s="27"/>
      <c r="X121" s="27"/>
      <c r="Y121" s="27"/>
      <c r="Z121" s="27"/>
      <c r="AA121" s="27"/>
    </row>
    <row r="122" spans="1:27" x14ac:dyDescent="0.35">
      <c r="A122" s="28"/>
      <c r="E122" s="28"/>
      <c r="K122" s="28"/>
      <c r="V122" s="27"/>
      <c r="W122" s="27"/>
      <c r="X122" s="27"/>
      <c r="Y122" s="27"/>
      <c r="Z122" s="27"/>
      <c r="AA122" s="27"/>
    </row>
    <row r="123" spans="1:27" x14ac:dyDescent="0.35">
      <c r="A123" s="28"/>
      <c r="E123" s="28"/>
      <c r="K123" s="28"/>
      <c r="V123" s="27"/>
      <c r="W123" s="27"/>
      <c r="X123" s="27"/>
      <c r="Y123" s="27"/>
      <c r="Z123" s="27"/>
      <c r="AA123" s="27"/>
    </row>
    <row r="124" spans="1:27" x14ac:dyDescent="0.35">
      <c r="A124" s="28"/>
      <c r="E124" s="28"/>
      <c r="K124" s="28"/>
      <c r="V124" s="27"/>
      <c r="W124" s="27"/>
      <c r="X124" s="27"/>
      <c r="Y124" s="27"/>
      <c r="Z124" s="27"/>
      <c r="AA124" s="27"/>
    </row>
    <row r="125" spans="1:27" x14ac:dyDescent="0.35">
      <c r="A125" s="28"/>
      <c r="E125" s="28"/>
      <c r="K125" s="28"/>
      <c r="V125" s="27"/>
      <c r="W125" s="27"/>
      <c r="X125" s="27"/>
      <c r="Y125" s="27"/>
      <c r="Z125" s="27"/>
      <c r="AA125" s="27"/>
    </row>
    <row r="126" spans="1:27" x14ac:dyDescent="0.35">
      <c r="A126" s="28"/>
      <c r="E126" s="28"/>
      <c r="K126" s="28"/>
      <c r="V126" s="27"/>
      <c r="W126" s="27"/>
      <c r="X126" s="27"/>
      <c r="Y126" s="27"/>
      <c r="Z126" s="27"/>
      <c r="AA126" s="27"/>
    </row>
    <row r="127" spans="1:27" x14ac:dyDescent="0.35">
      <c r="A127" s="28"/>
      <c r="E127" s="28"/>
      <c r="K127" s="28"/>
      <c r="V127" s="27"/>
      <c r="W127" s="27"/>
      <c r="X127" s="27"/>
      <c r="Y127" s="27"/>
      <c r="Z127" s="27"/>
      <c r="AA127" s="27"/>
    </row>
    <row r="128" spans="1:27" x14ac:dyDescent="0.35">
      <c r="A128" s="28"/>
      <c r="E128" s="28"/>
      <c r="K128" s="28"/>
      <c r="V128" s="27"/>
      <c r="W128" s="27"/>
      <c r="X128" s="27"/>
      <c r="Y128" s="27"/>
      <c r="Z128" s="27"/>
      <c r="AA128" s="27"/>
    </row>
    <row r="129" spans="1:27" x14ac:dyDescent="0.35">
      <c r="A129" s="28"/>
      <c r="E129" s="28"/>
      <c r="K129" s="28"/>
      <c r="V129" s="27"/>
      <c r="W129" s="27"/>
      <c r="X129" s="27"/>
      <c r="Y129" s="27"/>
      <c r="Z129" s="27"/>
      <c r="AA129" s="27"/>
    </row>
    <row r="130" spans="1:27" x14ac:dyDescent="0.35">
      <c r="A130" s="28"/>
      <c r="E130" s="28"/>
      <c r="K130" s="28"/>
      <c r="V130" s="27"/>
      <c r="W130" s="27"/>
      <c r="X130" s="27"/>
      <c r="Y130" s="27"/>
      <c r="Z130" s="27"/>
      <c r="AA130" s="27"/>
    </row>
    <row r="131" spans="1:27" x14ac:dyDescent="0.35">
      <c r="A131" s="28"/>
      <c r="E131" s="28"/>
      <c r="K131" s="28"/>
    </row>
    <row r="132" spans="1:27" x14ac:dyDescent="0.35">
      <c r="A132" s="28"/>
      <c r="F132" s="25"/>
      <c r="G132" s="25"/>
      <c r="H132" s="25"/>
    </row>
    <row r="133" spans="1:27" x14ac:dyDescent="0.35">
      <c r="A133" s="28"/>
      <c r="F133" s="25"/>
      <c r="G133" s="25"/>
      <c r="H133" s="25"/>
    </row>
    <row r="134" spans="1:27" x14ac:dyDescent="0.35">
      <c r="A134" s="22"/>
      <c r="F134" s="25"/>
      <c r="G134" s="25"/>
      <c r="H134" s="25"/>
    </row>
  </sheetData>
  <mergeCells count="1">
    <mergeCell ref="A54:D54"/>
  </mergeCells>
  <pageMargins left="0.7" right="0.7" top="0.75" bottom="0.75" header="0.3" footer="0.3"/>
  <pageSetup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V134"/>
  <sheetViews>
    <sheetView zoomScaleNormal="100" workbookViewId="0">
      <selection activeCell="A9" sqref="A9"/>
    </sheetView>
  </sheetViews>
  <sheetFormatPr defaultColWidth="9.1796875" defaultRowHeight="14.5" x14ac:dyDescent="0.35"/>
  <cols>
    <col min="1" max="1" width="9.7265625" style="31" bestFit="1" customWidth="1"/>
    <col min="2" max="2" width="10.453125" style="31" bestFit="1" customWidth="1"/>
    <col min="3" max="3" width="3.453125" style="31" bestFit="1" customWidth="1"/>
    <col min="4" max="4" width="8" style="31" bestFit="1" customWidth="1"/>
    <col min="5" max="5" width="9" style="31" bestFit="1" customWidth="1"/>
    <col min="6" max="6" width="9.453125" style="31" bestFit="1" customWidth="1"/>
    <col min="7" max="7" width="8.453125" style="31" bestFit="1" customWidth="1"/>
    <col min="8" max="8" width="15.7265625" style="147" bestFit="1" customWidth="1"/>
    <col min="9" max="9" width="8.1796875" style="31" bestFit="1" customWidth="1"/>
    <col min="10" max="10" width="15.7265625" style="31" customWidth="1"/>
    <col min="11" max="11" width="15.453125" style="31" customWidth="1"/>
    <col min="12" max="12" width="6.26953125" style="31" bestFit="1" customWidth="1"/>
    <col min="13" max="18" width="6.81640625" style="31" bestFit="1" customWidth="1"/>
    <col min="19" max="19" width="7.26953125" style="31" bestFit="1" customWidth="1"/>
    <col min="20" max="27" width="6.81640625" style="31" bestFit="1" customWidth="1"/>
    <col min="28" max="28" width="11.453125" style="31" customWidth="1"/>
    <col min="29" max="29" width="7.1796875" style="31" bestFit="1" customWidth="1"/>
    <col min="30" max="30" width="7.54296875" style="31" bestFit="1" customWidth="1"/>
    <col min="31" max="31" width="14.54296875" style="31" bestFit="1" customWidth="1"/>
    <col min="32" max="32" width="11.7265625" style="31" bestFit="1" customWidth="1"/>
    <col min="33" max="33" width="12.26953125" style="31" customWidth="1"/>
    <col min="34" max="16384" width="9.1796875" style="31"/>
  </cols>
  <sheetData>
    <row r="1" spans="1:48" x14ac:dyDescent="0.35">
      <c r="A1" s="31" t="s">
        <v>46</v>
      </c>
      <c r="F1" s="25"/>
      <c r="G1" s="25"/>
      <c r="H1" s="25"/>
    </row>
    <row r="2" spans="1:48" x14ac:dyDescent="0.35">
      <c r="F2" s="25"/>
      <c r="G2" s="25"/>
      <c r="H2" s="25"/>
    </row>
    <row r="3" spans="1:48" x14ac:dyDescent="0.35">
      <c r="A3" s="31" t="s">
        <v>8</v>
      </c>
      <c r="F3" s="25"/>
      <c r="G3" s="25"/>
      <c r="H3" s="25"/>
    </row>
    <row r="4" spans="1:48" x14ac:dyDescent="0.35">
      <c r="A4" s="31" t="s">
        <v>187</v>
      </c>
      <c r="F4" s="25"/>
      <c r="G4" s="25"/>
      <c r="H4" s="25"/>
    </row>
    <row r="5" spans="1:48" x14ac:dyDescent="0.35">
      <c r="A5" s="102" t="s">
        <v>189</v>
      </c>
      <c r="F5" s="25"/>
      <c r="G5" s="25"/>
      <c r="H5" s="25"/>
    </row>
    <row r="6" spans="1:48" s="202" customFormat="1" x14ac:dyDescent="0.35">
      <c r="A6" s="26" t="s">
        <v>358</v>
      </c>
      <c r="F6" s="25"/>
      <c r="G6" s="25"/>
      <c r="H6" s="25"/>
    </row>
    <row r="7" spans="1:48" x14ac:dyDescent="0.35">
      <c r="F7" s="25"/>
      <c r="G7" s="25"/>
      <c r="H7" s="25"/>
      <c r="AR7" s="101" t="s">
        <v>254</v>
      </c>
      <c r="AS7" s="101"/>
      <c r="AT7" s="101">
        <v>0.40579999999999999</v>
      </c>
      <c r="AU7" s="101" t="s">
        <v>255</v>
      </c>
      <c r="AV7" s="101"/>
    </row>
    <row r="8" spans="1:48" x14ac:dyDescent="0.35">
      <c r="A8" s="19" t="s">
        <v>380</v>
      </c>
      <c r="F8" s="25"/>
      <c r="G8" s="25"/>
      <c r="H8" s="25"/>
      <c r="AG8" s="26" t="s">
        <v>170</v>
      </c>
      <c r="AR8" s="71"/>
      <c r="AS8" s="71"/>
      <c r="AT8" s="71"/>
      <c r="AU8" s="71"/>
      <c r="AV8" s="71"/>
    </row>
    <row r="9" spans="1:48" x14ac:dyDescent="0.35">
      <c r="F9" s="25"/>
      <c r="G9" s="25"/>
      <c r="H9" s="25"/>
      <c r="AR9" s="101"/>
      <c r="AS9" s="101"/>
      <c r="AT9" s="101"/>
      <c r="AU9" s="101"/>
      <c r="AV9" s="101"/>
    </row>
    <row r="10" spans="1:48" x14ac:dyDescent="0.35">
      <c r="A10" s="31" t="s">
        <v>9</v>
      </c>
      <c r="B10" s="31" t="s">
        <v>10</v>
      </c>
      <c r="C10" s="31" t="s">
        <v>11</v>
      </c>
      <c r="D10" s="31" t="s">
        <v>7</v>
      </c>
      <c r="E10" s="31" t="s">
        <v>12</v>
      </c>
      <c r="F10" s="25" t="s">
        <v>13</v>
      </c>
      <c r="G10" s="25" t="s">
        <v>81</v>
      </c>
      <c r="H10" s="25" t="s">
        <v>244</v>
      </c>
      <c r="I10" s="31" t="s">
        <v>14</v>
      </c>
      <c r="J10" s="31" t="s">
        <v>15</v>
      </c>
      <c r="K10" s="31" t="s">
        <v>16</v>
      </c>
      <c r="L10" s="31" t="s">
        <v>3</v>
      </c>
      <c r="M10" s="31" t="s">
        <v>31</v>
      </c>
      <c r="N10" s="31" t="s">
        <v>30</v>
      </c>
      <c r="O10" s="31" t="s">
        <v>18</v>
      </c>
      <c r="P10" s="31" t="s">
        <v>17</v>
      </c>
      <c r="Q10" s="31" t="s">
        <v>20</v>
      </c>
      <c r="R10" s="31" t="s">
        <v>19</v>
      </c>
      <c r="S10" s="31" t="s">
        <v>21</v>
      </c>
      <c r="T10" s="31" t="s">
        <v>47</v>
      </c>
      <c r="U10" s="31" t="s">
        <v>24</v>
      </c>
      <c r="V10" s="31" t="s">
        <v>48</v>
      </c>
      <c r="W10" s="31" t="s">
        <v>4</v>
      </c>
      <c r="X10" s="31" t="s">
        <v>22</v>
      </c>
      <c r="Y10" s="31" t="s">
        <v>23</v>
      </c>
      <c r="Z10" s="31" t="s">
        <v>25</v>
      </c>
      <c r="AA10" s="31" t="s">
        <v>49</v>
      </c>
      <c r="AB10" s="31" t="s">
        <v>26</v>
      </c>
      <c r="AC10" s="31" t="s">
        <v>123</v>
      </c>
      <c r="AD10" s="31" t="s">
        <v>124</v>
      </c>
      <c r="AE10" s="31" t="s">
        <v>27</v>
      </c>
      <c r="AG10" s="101" t="s">
        <v>171</v>
      </c>
      <c r="AH10" s="101" t="s">
        <v>172</v>
      </c>
      <c r="AI10" s="101" t="s">
        <v>173</v>
      </c>
      <c r="AJ10" s="101" t="s">
        <v>174</v>
      </c>
      <c r="AK10" s="101" t="s">
        <v>175</v>
      </c>
      <c r="AL10" s="101" t="s">
        <v>176</v>
      </c>
      <c r="AM10" s="101" t="s">
        <v>177</v>
      </c>
      <c r="AN10" s="101" t="s">
        <v>178</v>
      </c>
      <c r="AO10" s="101" t="s">
        <v>179</v>
      </c>
      <c r="AP10" s="101" t="s">
        <v>180</v>
      </c>
      <c r="AR10" s="151" t="s">
        <v>247</v>
      </c>
      <c r="AS10" s="151" t="s">
        <v>248</v>
      </c>
      <c r="AT10" s="151" t="s">
        <v>253</v>
      </c>
      <c r="AU10" s="151" t="s">
        <v>251</v>
      </c>
      <c r="AV10" s="151" t="s">
        <v>245</v>
      </c>
    </row>
    <row r="11" spans="1:48" x14ac:dyDescent="0.35">
      <c r="D11" s="31" t="s">
        <v>6</v>
      </c>
      <c r="E11" s="31" t="s">
        <v>6</v>
      </c>
      <c r="F11" s="25"/>
      <c r="G11" s="25"/>
      <c r="H11" s="25"/>
      <c r="J11" s="203" t="s">
        <v>357</v>
      </c>
      <c r="K11" s="31" t="s">
        <v>28</v>
      </c>
      <c r="L11" s="27" t="s">
        <v>352</v>
      </c>
      <c r="M11" s="31" t="s">
        <v>5</v>
      </c>
      <c r="N11" s="31" t="s">
        <v>5</v>
      </c>
      <c r="O11" s="31" t="s">
        <v>5</v>
      </c>
      <c r="P11" s="31" t="s">
        <v>5</v>
      </c>
      <c r="Q11" s="31" t="s">
        <v>5</v>
      </c>
      <c r="R11" s="31" t="s">
        <v>5</v>
      </c>
      <c r="S11" s="31" t="s">
        <v>5</v>
      </c>
      <c r="T11" s="31" t="s">
        <v>5</v>
      </c>
      <c r="U11" s="31" t="s">
        <v>5</v>
      </c>
      <c r="V11" s="31" t="s">
        <v>5</v>
      </c>
      <c r="W11" s="31" t="s">
        <v>5</v>
      </c>
      <c r="X11" s="31" t="s">
        <v>5</v>
      </c>
      <c r="Y11" s="31" t="s">
        <v>5</v>
      </c>
      <c r="Z11" s="31" t="s">
        <v>5</v>
      </c>
      <c r="AA11" s="31" t="s">
        <v>5</v>
      </c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R11" s="151" t="s">
        <v>246</v>
      </c>
      <c r="AS11" s="151" t="s">
        <v>249</v>
      </c>
      <c r="AT11" s="151" t="s">
        <v>252</v>
      </c>
      <c r="AU11" s="151" t="s">
        <v>252</v>
      </c>
      <c r="AV11" s="151" t="s">
        <v>250</v>
      </c>
    </row>
    <row r="12" spans="1:48" x14ac:dyDescent="0.35">
      <c r="F12" s="25"/>
      <c r="G12" s="25"/>
      <c r="H12" s="25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R12" s="151"/>
      <c r="AS12" s="151"/>
      <c r="AT12" s="151"/>
      <c r="AU12" s="151"/>
      <c r="AV12" s="151"/>
    </row>
    <row r="13" spans="1:48" x14ac:dyDescent="0.35">
      <c r="A13" s="31" t="s">
        <v>186</v>
      </c>
      <c r="F13" s="25"/>
      <c r="G13" s="25"/>
      <c r="H13" s="25"/>
      <c r="I13" s="6">
        <f>AVERAGE(B67:B72)</f>
        <v>7.6883333333333326</v>
      </c>
      <c r="J13" s="12">
        <f>'Influent Results Master'!D60</f>
        <v>498</v>
      </c>
      <c r="K13" s="12">
        <f>'Influent Results Master'!F60</f>
        <v>98.424999999999997</v>
      </c>
      <c r="L13" s="6">
        <f>'Influent Results Master'!G60</f>
        <v>3.0750000000000002</v>
      </c>
      <c r="M13" s="18">
        <f>'Influent Results Master'!H60</f>
        <v>3.875</v>
      </c>
      <c r="N13" s="18">
        <f>'Influent Results Master'!I60</f>
        <v>1.825</v>
      </c>
      <c r="O13" s="12">
        <f>'Influent Results Master'!J60</f>
        <v>137</v>
      </c>
      <c r="P13" s="12">
        <f>'Influent Results Master'!K60</f>
        <v>11.5</v>
      </c>
      <c r="Q13" s="12">
        <f>'Influent Results Master'!L60</f>
        <v>63.497500000000002</v>
      </c>
      <c r="R13" s="12">
        <f>'Influent Results Master'!M60</f>
        <v>16.197500000000002</v>
      </c>
      <c r="S13" s="12">
        <f>'Influent Results Master'!N60</f>
        <v>22.785</v>
      </c>
      <c r="T13" s="12">
        <f>'Influent Results Master'!O60</f>
        <v>14.3</v>
      </c>
      <c r="U13" s="6">
        <f>'Influent Results Master'!P60</f>
        <v>2.0294999999999996</v>
      </c>
      <c r="V13" s="169">
        <f>'Influent Results Master'!Q60</f>
        <v>0.2</v>
      </c>
      <c r="W13" s="81">
        <f>'Influent Results Master'!R60</f>
        <v>0.02</v>
      </c>
      <c r="X13" s="81">
        <f>'Influent Results Master'!S60</f>
        <v>0.02</v>
      </c>
      <c r="Y13" s="81">
        <f>'Influent Results Master'!T60</f>
        <v>0.02</v>
      </c>
      <c r="Z13" s="81">
        <f>'Influent Results Master'!U60</f>
        <v>0.04</v>
      </c>
      <c r="AA13" s="25">
        <f>'Influent Results Master'!V60</f>
        <v>0.56574999999999998</v>
      </c>
      <c r="AC13" s="25"/>
      <c r="AD13" s="25"/>
      <c r="AE13" s="25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R13" s="50">
        <v>3.0999999999999999E-3</v>
      </c>
      <c r="AS13" s="50">
        <f>(4.18-0.36)</f>
        <v>3.82</v>
      </c>
      <c r="AT13" s="50"/>
      <c r="AU13" s="50">
        <f>AT7*AS13</f>
        <v>1.5501559999999999</v>
      </c>
      <c r="AV13" s="50"/>
    </row>
    <row r="14" spans="1:48" x14ac:dyDescent="0.35">
      <c r="F14" s="25"/>
      <c r="G14" s="25"/>
      <c r="H14" s="25"/>
      <c r="N14" s="27"/>
      <c r="O14" s="27"/>
      <c r="P14" s="27"/>
      <c r="Q14" s="27"/>
      <c r="R14" s="27"/>
      <c r="S14" s="26"/>
      <c r="T14" s="26"/>
      <c r="U14" s="26"/>
      <c r="V14" s="26"/>
      <c r="W14" s="27"/>
      <c r="X14" s="18"/>
      <c r="Y14" s="26"/>
      <c r="Z14" s="27"/>
      <c r="AC14" s="25"/>
      <c r="AD14" s="25"/>
      <c r="AE14" s="25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R14" s="50"/>
      <c r="AS14" s="50"/>
      <c r="AT14" s="50"/>
      <c r="AU14" s="50"/>
      <c r="AV14" s="50"/>
    </row>
    <row r="15" spans="1:48" x14ac:dyDescent="0.35">
      <c r="A15" s="31">
        <v>16</v>
      </c>
      <c r="B15" s="28">
        <v>43676</v>
      </c>
      <c r="C15" s="31">
        <v>1</v>
      </c>
      <c r="D15" s="31">
        <v>104</v>
      </c>
      <c r="E15" s="31">
        <v>104</v>
      </c>
      <c r="F15" s="25">
        <f>D15/104</f>
        <v>1</v>
      </c>
      <c r="G15" s="25">
        <v>1</v>
      </c>
      <c r="H15" s="25"/>
      <c r="I15" s="31">
        <v>7.95</v>
      </c>
      <c r="J15" s="31">
        <v>15330</v>
      </c>
      <c r="K15" s="12">
        <v>164.6</v>
      </c>
      <c r="L15" s="31">
        <v>883</v>
      </c>
      <c r="M15" s="141">
        <v>870</v>
      </c>
      <c r="N15" s="27">
        <v>270</v>
      </c>
      <c r="O15" s="189">
        <v>9146</v>
      </c>
      <c r="P15" s="31">
        <v>164</v>
      </c>
      <c r="Q15" s="21">
        <v>436.1</v>
      </c>
      <c r="R15" s="21">
        <v>632.79999999999995</v>
      </c>
      <c r="S15" s="21">
        <v>3351</v>
      </c>
      <c r="T15" s="21">
        <v>20.11</v>
      </c>
      <c r="U15" s="21">
        <v>56.33</v>
      </c>
      <c r="V15" s="11">
        <v>0.68899999999999995</v>
      </c>
      <c r="W15" s="103">
        <v>0.81</v>
      </c>
      <c r="X15" s="81">
        <v>0.02</v>
      </c>
      <c r="Y15" s="103">
        <v>8.2000000000000003E-2</v>
      </c>
      <c r="Z15" s="81">
        <v>0.04</v>
      </c>
      <c r="AA15" s="18">
        <v>8.6999999999999993</v>
      </c>
      <c r="AB15" s="27"/>
      <c r="AC15" s="25">
        <f t="shared" ref="AC15:AC38" si="0">((K15/50)+(M15/35.45)+(N15/62)+(O15/48.03))</f>
        <v>222.61109911697457</v>
      </c>
      <c r="AD15" s="25">
        <f t="shared" ref="AD15" si="1">((Q15/20.04)+(R15/12.16)+(S15/22.99)+(U15/39.1))</f>
        <v>221.00064135508742</v>
      </c>
      <c r="AE15" s="25">
        <f t="shared" ref="AE15" si="2">ABS((AC15-AD15)/(AC15+AD15)*100)</f>
        <v>0.36303316953996878</v>
      </c>
      <c r="AF15" s="141" t="s">
        <v>235</v>
      </c>
      <c r="AG15" s="101">
        <v>7.95</v>
      </c>
      <c r="AH15" s="101">
        <v>0.90278899999999995</v>
      </c>
      <c r="AI15" s="101">
        <v>0.5696</v>
      </c>
      <c r="AJ15" s="101">
        <v>3.4200000000000001E-2</v>
      </c>
      <c r="AK15" s="101">
        <v>-0.2117</v>
      </c>
      <c r="AL15" s="101">
        <v>-2.8153000000000001</v>
      </c>
      <c r="AM15" s="101">
        <v>1.1528</v>
      </c>
      <c r="AN15" s="101">
        <v>-1.4491000000000001</v>
      </c>
      <c r="AO15" s="101">
        <v>-0.49059999999999998</v>
      </c>
      <c r="AP15" s="101">
        <v>-1.67E-2</v>
      </c>
      <c r="AR15" s="50">
        <f>L15/1000</f>
        <v>0.88300000000000001</v>
      </c>
      <c r="AS15" s="50">
        <f>AU15/($AT$7)</f>
        <v>3.5944958107442089</v>
      </c>
      <c r="AT15" s="50">
        <f>(AR15-$AR$13)*0.104</f>
        <v>9.1509599999999997E-2</v>
      </c>
      <c r="AU15" s="50">
        <f>AU13-AT15</f>
        <v>1.4586463999999999</v>
      </c>
      <c r="AV15" s="50">
        <f>AS15/AR15</f>
        <v>4.0707766826095231</v>
      </c>
    </row>
    <row r="16" spans="1:48" x14ac:dyDescent="0.35">
      <c r="A16" s="104">
        <v>16</v>
      </c>
      <c r="B16" s="28">
        <v>43677</v>
      </c>
      <c r="C16" s="31">
        <v>2</v>
      </c>
      <c r="D16" s="31">
        <v>104</v>
      </c>
      <c r="E16" s="31">
        <f>E15+D16</f>
        <v>208</v>
      </c>
      <c r="F16" s="25">
        <f t="shared" ref="F16:F36" si="3">D16/104</f>
        <v>1</v>
      </c>
      <c r="G16" s="25">
        <f>G15+F16</f>
        <v>2</v>
      </c>
      <c r="H16" s="25"/>
      <c r="I16" s="25">
        <v>7.82</v>
      </c>
      <c r="J16" s="31">
        <v>4540</v>
      </c>
      <c r="K16" s="12">
        <v>77</v>
      </c>
      <c r="L16" s="31">
        <v>509</v>
      </c>
      <c r="M16" s="31">
        <v>20</v>
      </c>
      <c r="N16" s="27">
        <v>2.1</v>
      </c>
      <c r="O16" s="31">
        <v>2968</v>
      </c>
      <c r="P16" s="31">
        <v>36</v>
      </c>
      <c r="Q16" s="21">
        <v>486.1</v>
      </c>
      <c r="R16" s="21">
        <v>237.5</v>
      </c>
      <c r="S16" s="21">
        <v>560.29999999999995</v>
      </c>
      <c r="T16" s="21">
        <v>21.45</v>
      </c>
      <c r="U16" s="21">
        <v>28.58</v>
      </c>
      <c r="V16" s="169">
        <v>0.2</v>
      </c>
      <c r="W16" s="11">
        <v>0.34499999999999997</v>
      </c>
      <c r="X16" s="81">
        <v>0.02</v>
      </c>
      <c r="Y16" s="103">
        <v>8.6999999999999994E-2</v>
      </c>
      <c r="Z16" s="81">
        <v>0.04</v>
      </c>
      <c r="AA16" s="18">
        <v>6.069</v>
      </c>
      <c r="AB16" s="27"/>
      <c r="AC16" s="25">
        <f t="shared" si="0"/>
        <v>63.932757500518377</v>
      </c>
      <c r="AD16" s="25">
        <f t="shared" ref="AD16:AD61" si="4">((Q16/20.04)+(R16/12.16)+(S16/22.99)+(U16/39.1))</f>
        <v>68.890149172227652</v>
      </c>
      <c r="AE16" s="25">
        <f t="shared" ref="AE16:AE61" si="5">ABS((AC16-AD16)/(AC16+AD16)*100)</f>
        <v>3.7323318664629728</v>
      </c>
      <c r="AF16" s="141" t="s">
        <v>235</v>
      </c>
      <c r="AG16" s="101">
        <v>7.82</v>
      </c>
      <c r="AH16" s="101">
        <v>5.3717600000000001</v>
      </c>
      <c r="AI16" s="101">
        <v>0.44130000000000003</v>
      </c>
      <c r="AJ16" s="101">
        <v>-3.5700000000000003E-2</v>
      </c>
      <c r="AK16" s="101">
        <v>-0.28470000000000001</v>
      </c>
      <c r="AL16" s="101">
        <v>-2.9666000000000001</v>
      </c>
      <c r="AM16" s="101">
        <v>0.41</v>
      </c>
      <c r="AN16" s="101">
        <v>-1.4207000000000001</v>
      </c>
      <c r="AO16" s="101">
        <v>-0.46089999999999998</v>
      </c>
      <c r="AP16" s="101">
        <v>-0.63129999999999997</v>
      </c>
      <c r="AR16" s="50">
        <f t="shared" ref="AR16:AR19" si="6">L16/1000</f>
        <v>0.50900000000000001</v>
      </c>
      <c r="AS16" s="50">
        <f t="shared" ref="AS16:AS19" si="7">AU16/($AT$7)</f>
        <v>3.4648417939871856</v>
      </c>
      <c r="AT16" s="50">
        <f t="shared" ref="AT16:AT19" si="8">(AR16-$AR$13)*0.104</f>
        <v>5.2613599999999996E-2</v>
      </c>
      <c r="AU16" s="50">
        <f>AU15-AT16</f>
        <v>1.4060328</v>
      </c>
      <c r="AV16" s="50">
        <f t="shared" ref="AV16:AV19" si="9">AS16/AR16</f>
        <v>6.8071548015465337</v>
      </c>
    </row>
    <row r="17" spans="1:48" x14ac:dyDescent="0.35">
      <c r="A17" s="104">
        <v>16</v>
      </c>
      <c r="B17" s="28">
        <v>43678</v>
      </c>
      <c r="C17" s="31">
        <v>3</v>
      </c>
      <c r="D17" s="31">
        <v>106</v>
      </c>
      <c r="E17" s="31">
        <f t="shared" ref="E17:E36" si="10">E16+D17</f>
        <v>314</v>
      </c>
      <c r="F17" s="25">
        <f t="shared" si="3"/>
        <v>1.0192307692307692</v>
      </c>
      <c r="G17" s="25">
        <f t="shared" ref="G17:G20" si="11">G16+F17</f>
        <v>3.0192307692307692</v>
      </c>
      <c r="H17" s="25"/>
      <c r="I17" s="31">
        <v>7.71</v>
      </c>
      <c r="J17" s="31">
        <v>3090</v>
      </c>
      <c r="K17" s="12">
        <v>85.4</v>
      </c>
      <c r="L17" s="27">
        <v>892</v>
      </c>
      <c r="M17" s="18">
        <v>5.3</v>
      </c>
      <c r="N17" s="169">
        <v>0.5</v>
      </c>
      <c r="O17" s="31">
        <v>2079</v>
      </c>
      <c r="P17" s="31">
        <v>26</v>
      </c>
      <c r="Q17" s="21">
        <v>539.9</v>
      </c>
      <c r="R17" s="21">
        <v>243.1</v>
      </c>
      <c r="S17" s="21">
        <v>108.8</v>
      </c>
      <c r="T17" s="21">
        <v>22.12</v>
      </c>
      <c r="U17" s="21">
        <v>15.11</v>
      </c>
      <c r="V17" s="169">
        <v>0.2</v>
      </c>
      <c r="W17" s="11">
        <v>0.32200000000000001</v>
      </c>
      <c r="X17" s="81">
        <v>0.02</v>
      </c>
      <c r="Y17" s="11">
        <v>0.19</v>
      </c>
      <c r="Z17" s="81">
        <v>0.04</v>
      </c>
      <c r="AA17" s="18">
        <v>6.0860000000000003</v>
      </c>
      <c r="AB17" s="27"/>
      <c r="AC17" s="25">
        <f t="shared" si="0"/>
        <v>45.151017458974167</v>
      </c>
      <c r="AD17" s="25">
        <f t="shared" si="4"/>
        <v>52.051831481043038</v>
      </c>
      <c r="AE17" s="25">
        <f t="shared" si="5"/>
        <v>7.0993948195153074</v>
      </c>
      <c r="AF17" s="141" t="s">
        <v>235</v>
      </c>
      <c r="AG17" s="101">
        <v>7.71</v>
      </c>
      <c r="AH17" s="101">
        <v>11.100300000000001</v>
      </c>
      <c r="AI17" s="101">
        <v>0.50619999999999998</v>
      </c>
      <c r="AJ17" s="101">
        <v>-6.3299999999999995E-2</v>
      </c>
      <c r="AK17" s="101">
        <v>-0.31259999999999999</v>
      </c>
      <c r="AL17" s="101">
        <v>-2.8096999999999999</v>
      </c>
      <c r="AM17" s="101">
        <v>0.49830000000000002</v>
      </c>
      <c r="AN17" s="101">
        <v>-1.0469999999999999</v>
      </c>
      <c r="AO17" s="101">
        <v>-0.32729999999999998</v>
      </c>
      <c r="AP17" s="101">
        <v>-0.6079</v>
      </c>
      <c r="AR17" s="50">
        <f t="shared" si="6"/>
        <v>0.89200000000000002</v>
      </c>
      <c r="AS17" s="50">
        <f t="shared" si="7"/>
        <v>3.2370310497782158</v>
      </c>
      <c r="AT17" s="50">
        <f t="shared" si="8"/>
        <v>9.2445600000000003E-2</v>
      </c>
      <c r="AU17" s="50">
        <f t="shared" ref="AU17:AU19" si="12">AU16-AT17</f>
        <v>1.3135872</v>
      </c>
      <c r="AV17" s="50">
        <f t="shared" si="9"/>
        <v>3.6289585759845466</v>
      </c>
    </row>
    <row r="18" spans="1:48" x14ac:dyDescent="0.35">
      <c r="A18" s="104">
        <v>16</v>
      </c>
      <c r="B18" s="28">
        <v>43679</v>
      </c>
      <c r="C18" s="31">
        <v>4</v>
      </c>
      <c r="D18" s="31">
        <v>103</v>
      </c>
      <c r="E18" s="31">
        <f t="shared" si="10"/>
        <v>417</v>
      </c>
      <c r="F18" s="25">
        <f t="shared" si="3"/>
        <v>0.99038461538461542</v>
      </c>
      <c r="G18" s="25">
        <f t="shared" si="11"/>
        <v>4.009615384615385</v>
      </c>
      <c r="H18" s="25"/>
      <c r="I18" s="31">
        <v>7.78</v>
      </c>
      <c r="J18" s="31">
        <v>2900</v>
      </c>
      <c r="K18" s="12">
        <v>91.6</v>
      </c>
      <c r="L18" s="27">
        <v>1030</v>
      </c>
      <c r="M18" s="18">
        <v>4.5</v>
      </c>
      <c r="N18" s="169">
        <v>0.5</v>
      </c>
      <c r="O18" s="31">
        <v>1777</v>
      </c>
      <c r="P18" s="31">
        <v>14</v>
      </c>
      <c r="Q18" s="21">
        <v>540</v>
      </c>
      <c r="R18" s="21">
        <v>210.7</v>
      </c>
      <c r="S18" s="21">
        <v>57.55</v>
      </c>
      <c r="T18" s="21">
        <v>22.27</v>
      </c>
      <c r="U18" s="21">
        <v>12.15</v>
      </c>
      <c r="V18" s="169">
        <v>0.2</v>
      </c>
      <c r="W18" s="11">
        <v>0.29099999999999998</v>
      </c>
      <c r="X18" s="81">
        <v>0.02</v>
      </c>
      <c r="Y18" s="11">
        <v>0.436</v>
      </c>
      <c r="Z18" s="81">
        <v>0.04</v>
      </c>
      <c r="AA18" s="18">
        <v>5.8319999999999999</v>
      </c>
      <c r="AB18" s="27"/>
      <c r="AC18" s="25">
        <f t="shared" si="0"/>
        <v>38.964713632058277</v>
      </c>
      <c r="AD18" s="25">
        <f t="shared" si="4"/>
        <v>47.087414391940897</v>
      </c>
      <c r="AE18" s="25">
        <f t="shared" si="5"/>
        <v>9.4392793605490724</v>
      </c>
      <c r="AF18" s="141" t="s">
        <v>235</v>
      </c>
      <c r="AG18" s="101">
        <v>7.78</v>
      </c>
      <c r="AH18" s="101">
        <v>14.584300000000001</v>
      </c>
      <c r="AI18" s="101">
        <v>0.63460000000000005</v>
      </c>
      <c r="AJ18" s="101">
        <v>-9.4899999999999998E-2</v>
      </c>
      <c r="AK18" s="101">
        <v>-0.34429999999999999</v>
      </c>
      <c r="AL18" s="101">
        <v>-2.8504</v>
      </c>
      <c r="AM18" s="101">
        <v>0.69069999999999998</v>
      </c>
      <c r="AN18" s="101">
        <v>-0.55349999999999999</v>
      </c>
      <c r="AO18" s="101">
        <v>-0.32929999999999998</v>
      </c>
      <c r="AP18" s="101">
        <v>-0.54390000000000005</v>
      </c>
      <c r="AR18" s="50">
        <f t="shared" si="6"/>
        <v>1.03</v>
      </c>
      <c r="AS18" s="50">
        <f t="shared" si="7"/>
        <v>2.9738531296205029</v>
      </c>
      <c r="AT18" s="50">
        <f t="shared" si="8"/>
        <v>0.10679759999999999</v>
      </c>
      <c r="AU18" s="50">
        <f t="shared" si="12"/>
        <v>1.2067896</v>
      </c>
      <c r="AV18" s="50">
        <f t="shared" si="9"/>
        <v>2.8872360481752453</v>
      </c>
    </row>
    <row r="19" spans="1:48" x14ac:dyDescent="0.35">
      <c r="A19" s="104">
        <v>16</v>
      </c>
      <c r="B19" s="28">
        <v>43680</v>
      </c>
      <c r="C19" s="31">
        <v>5</v>
      </c>
      <c r="D19" s="31">
        <v>105</v>
      </c>
      <c r="E19" s="31">
        <f t="shared" si="10"/>
        <v>522</v>
      </c>
      <c r="F19" s="25">
        <f t="shared" si="3"/>
        <v>1.0096153846153846</v>
      </c>
      <c r="G19" s="25">
        <f t="shared" si="11"/>
        <v>5.0192307692307701</v>
      </c>
      <c r="H19" s="25"/>
      <c r="I19" s="31">
        <v>7.97</v>
      </c>
      <c r="J19" s="31">
        <v>2580</v>
      </c>
      <c r="K19" s="12">
        <v>96.6</v>
      </c>
      <c r="L19" s="27">
        <v>1020</v>
      </c>
      <c r="M19" s="18">
        <v>4.9000000000000004</v>
      </c>
      <c r="N19" s="27">
        <v>0.53</v>
      </c>
      <c r="O19" s="31">
        <v>1609</v>
      </c>
      <c r="P19" s="31">
        <v>22</v>
      </c>
      <c r="Q19" s="21">
        <v>530.6</v>
      </c>
      <c r="R19" s="21">
        <v>161.9</v>
      </c>
      <c r="S19" s="21">
        <v>40.57</v>
      </c>
      <c r="T19" s="21">
        <v>23.55</v>
      </c>
      <c r="U19" s="21">
        <v>10.64</v>
      </c>
      <c r="V19" s="169">
        <v>0.2</v>
      </c>
      <c r="W19" s="11">
        <v>0.185</v>
      </c>
      <c r="X19" s="81">
        <v>0.02</v>
      </c>
      <c r="Y19" s="11">
        <v>0.60099999999999998</v>
      </c>
      <c r="Z19" s="81">
        <v>0.04</v>
      </c>
      <c r="AA19" s="18">
        <v>5.1559999999999997</v>
      </c>
      <c r="AB19" s="27"/>
      <c r="AC19" s="25">
        <f t="shared" si="0"/>
        <v>35.578667134576826</v>
      </c>
      <c r="AD19" s="25">
        <f t="shared" si="4"/>
        <v>41.827993702954849</v>
      </c>
      <c r="AE19" s="25">
        <f t="shared" si="5"/>
        <v>8.0733705610873638</v>
      </c>
      <c r="AG19" s="101">
        <v>7.97</v>
      </c>
      <c r="AH19" s="101">
        <v>12.527100000000001</v>
      </c>
      <c r="AI19" s="101">
        <v>0.85089999999999999</v>
      </c>
      <c r="AJ19" s="101">
        <v>-0.112</v>
      </c>
      <c r="AK19" s="101">
        <v>-0.36149999999999999</v>
      </c>
      <c r="AL19" s="101">
        <v>-3.0219999999999998</v>
      </c>
      <c r="AM19" s="101">
        <v>1.0163</v>
      </c>
      <c r="AN19" s="101">
        <v>-0.1827</v>
      </c>
      <c r="AO19" s="101">
        <v>-0.50609999999999999</v>
      </c>
      <c r="AP19" s="101">
        <v>-0.43459999999999999</v>
      </c>
      <c r="AR19" s="50">
        <f t="shared" si="6"/>
        <v>1.02</v>
      </c>
      <c r="AS19" s="50">
        <f t="shared" si="7"/>
        <v>2.713238048299655</v>
      </c>
      <c r="AT19" s="50">
        <f t="shared" si="8"/>
        <v>0.10575759999999998</v>
      </c>
      <c r="AU19" s="50">
        <f t="shared" si="12"/>
        <v>1.101032</v>
      </c>
      <c r="AV19" s="50">
        <f t="shared" si="9"/>
        <v>2.6600373022545636</v>
      </c>
    </row>
    <row r="20" spans="1:48" x14ac:dyDescent="0.35">
      <c r="A20" s="104">
        <v>16</v>
      </c>
      <c r="B20" s="28">
        <v>43681</v>
      </c>
      <c r="C20" s="31">
        <v>6</v>
      </c>
      <c r="D20" s="31">
        <v>105</v>
      </c>
      <c r="E20" s="31">
        <f t="shared" si="10"/>
        <v>627</v>
      </c>
      <c r="F20" s="25">
        <f t="shared" si="3"/>
        <v>1.0096153846153846</v>
      </c>
      <c r="G20" s="25">
        <f t="shared" si="11"/>
        <v>6.0288461538461551</v>
      </c>
      <c r="H20" s="25"/>
      <c r="I20" s="31">
        <v>7.83</v>
      </c>
      <c r="J20" s="31">
        <v>2150</v>
      </c>
      <c r="K20" s="12">
        <v>103</v>
      </c>
      <c r="L20" s="27">
        <v>809</v>
      </c>
      <c r="M20" s="18">
        <v>4.0999999999999996</v>
      </c>
      <c r="N20" s="27">
        <v>0.66</v>
      </c>
      <c r="O20" s="31">
        <v>1253</v>
      </c>
      <c r="P20" s="31">
        <v>24</v>
      </c>
      <c r="Q20" s="21">
        <v>452.2</v>
      </c>
      <c r="R20" s="21">
        <v>94.99</v>
      </c>
      <c r="S20" s="21">
        <v>29.25</v>
      </c>
      <c r="T20" s="21">
        <v>23.14</v>
      </c>
      <c r="U20" s="18">
        <v>8.3109999999999999</v>
      </c>
      <c r="V20" s="169">
        <v>0.2</v>
      </c>
      <c r="W20" s="11">
        <v>0.11700000000000001</v>
      </c>
      <c r="X20" s="81">
        <v>0.02</v>
      </c>
      <c r="Y20" s="11">
        <v>0.53600000000000003</v>
      </c>
      <c r="Z20" s="81">
        <v>0.04</v>
      </c>
      <c r="AA20" s="18">
        <v>4.1829999999999998</v>
      </c>
      <c r="AB20" s="27"/>
      <c r="AC20" s="25">
        <f t="shared" si="0"/>
        <v>28.274162767675847</v>
      </c>
      <c r="AD20" s="25">
        <f t="shared" si="4"/>
        <v>31.861397736817452</v>
      </c>
      <c r="AE20" s="25">
        <f t="shared" si="5"/>
        <v>5.9652474160834812</v>
      </c>
      <c r="AG20" s="101">
        <v>7.83</v>
      </c>
      <c r="AH20" s="101">
        <v>9.1277899999999992</v>
      </c>
      <c r="AI20" s="101">
        <v>0.73080000000000001</v>
      </c>
      <c r="AJ20" s="101">
        <v>-0.2074</v>
      </c>
      <c r="AK20" s="101">
        <v>-0.45700000000000002</v>
      </c>
      <c r="AL20" s="101">
        <v>-2.8311000000000002</v>
      </c>
      <c r="AM20" s="101">
        <v>0.61240000000000006</v>
      </c>
      <c r="AN20" s="101">
        <v>-0.26989999999999997</v>
      </c>
      <c r="AO20" s="101">
        <v>-0.70920000000000005</v>
      </c>
      <c r="AP20" s="101">
        <v>-0.71840000000000004</v>
      </c>
      <c r="AR20" s="50">
        <f t="shared" ref="AR20:AR38" si="13">L20/1000</f>
        <v>0.80900000000000005</v>
      </c>
      <c r="AS20" s="50">
        <f t="shared" ref="AS20:AS38" si="14">AU20/($AT$7)</f>
        <v>2.5066988664366683</v>
      </c>
      <c r="AT20" s="50">
        <f t="shared" ref="AT20:AT38" si="15">(AR20-$AR$13)*0.104</f>
        <v>8.3813600000000002E-2</v>
      </c>
      <c r="AU20" s="50">
        <f t="shared" ref="AU20:AU38" si="16">AU19-AT20</f>
        <v>1.0172184</v>
      </c>
      <c r="AV20" s="50">
        <f t="shared" ref="AV20:AV38" si="17">AS20/AR20</f>
        <v>3.0985152860774638</v>
      </c>
    </row>
    <row r="21" spans="1:48" x14ac:dyDescent="0.35">
      <c r="A21" s="104">
        <v>16</v>
      </c>
      <c r="B21" s="28">
        <v>43682</v>
      </c>
      <c r="C21" s="31">
        <v>7</v>
      </c>
      <c r="D21" s="31">
        <v>110</v>
      </c>
      <c r="E21" s="31">
        <f t="shared" si="10"/>
        <v>737</v>
      </c>
      <c r="F21" s="25">
        <f t="shared" si="3"/>
        <v>1.0576923076923077</v>
      </c>
      <c r="G21" s="25">
        <f>G20+F21</f>
        <v>7.0865384615384626</v>
      </c>
      <c r="H21" s="25"/>
      <c r="I21" s="31">
        <v>7.85</v>
      </c>
      <c r="J21" s="31">
        <v>1568</v>
      </c>
      <c r="K21" s="12">
        <v>111</v>
      </c>
      <c r="L21" s="27">
        <v>601</v>
      </c>
      <c r="M21" s="18">
        <v>4.0999999999999996</v>
      </c>
      <c r="N21" s="27">
        <v>0.76</v>
      </c>
      <c r="O21" s="31">
        <v>809</v>
      </c>
      <c r="P21" s="31">
        <v>24</v>
      </c>
      <c r="Q21" s="21">
        <v>334.3</v>
      </c>
      <c r="R21" s="21">
        <v>46.18</v>
      </c>
      <c r="S21" s="21">
        <v>24.13</v>
      </c>
      <c r="T21" s="21">
        <v>23.82</v>
      </c>
      <c r="U21" s="18">
        <v>6.9480000000000004</v>
      </c>
      <c r="V21" s="169">
        <v>0.2</v>
      </c>
      <c r="W21" s="103">
        <v>6.5000000000000002E-2</v>
      </c>
      <c r="X21" s="81">
        <v>0.02</v>
      </c>
      <c r="Y21" s="11">
        <v>0.33200000000000002</v>
      </c>
      <c r="Z21" s="81">
        <v>0.04</v>
      </c>
      <c r="AA21" s="18">
        <v>2.8090000000000002</v>
      </c>
      <c r="AB21" s="27"/>
      <c r="AC21" s="25">
        <f t="shared" si="0"/>
        <v>19.191553309877293</v>
      </c>
      <c r="AD21" s="25">
        <f t="shared" si="4"/>
        <v>21.706619081546133</v>
      </c>
      <c r="AE21" s="25">
        <f t="shared" si="5"/>
        <v>6.1495798579896048</v>
      </c>
      <c r="AG21" s="101">
        <v>7.85</v>
      </c>
      <c r="AH21" s="101">
        <v>8.9720999999999993</v>
      </c>
      <c r="AI21" s="101">
        <v>0.73429999999999995</v>
      </c>
      <c r="AJ21" s="101">
        <v>-0.4047</v>
      </c>
      <c r="AK21" s="101">
        <v>-0.65439999999999998</v>
      </c>
      <c r="AL21" s="101">
        <v>-2.7999000000000001</v>
      </c>
      <c r="AM21" s="101">
        <v>0.434</v>
      </c>
      <c r="AN21" s="101">
        <v>-0.3301</v>
      </c>
      <c r="AO21" s="101">
        <v>-0.99329999999999996</v>
      </c>
      <c r="AP21" s="101">
        <v>-0.9002</v>
      </c>
      <c r="AR21" s="50">
        <f t="shared" si="13"/>
        <v>0.60099999999999998</v>
      </c>
      <c r="AS21" s="50">
        <f t="shared" si="14"/>
        <v>2.353466732380483</v>
      </c>
      <c r="AT21" s="50">
        <f t="shared" si="15"/>
        <v>6.2181599999999997E-2</v>
      </c>
      <c r="AU21" s="50">
        <f t="shared" si="16"/>
        <v>0.95503680000000002</v>
      </c>
      <c r="AV21" s="50">
        <f t="shared" si="17"/>
        <v>3.9159180239275924</v>
      </c>
    </row>
    <row r="22" spans="1:48" x14ac:dyDescent="0.35">
      <c r="A22" s="104">
        <v>16</v>
      </c>
      <c r="B22" s="28">
        <v>43683</v>
      </c>
      <c r="C22" s="31">
        <v>8</v>
      </c>
      <c r="D22" s="31">
        <v>101</v>
      </c>
      <c r="E22" s="31">
        <f t="shared" si="10"/>
        <v>838</v>
      </c>
      <c r="F22" s="25">
        <f t="shared" si="3"/>
        <v>0.97115384615384615</v>
      </c>
      <c r="G22" s="25">
        <f>F22+G21</f>
        <v>8.0576923076923084</v>
      </c>
      <c r="H22" s="25"/>
      <c r="I22" s="25">
        <v>8</v>
      </c>
      <c r="J22" s="31">
        <v>1185</v>
      </c>
      <c r="K22" s="12">
        <v>114.2</v>
      </c>
      <c r="L22" s="31">
        <v>477</v>
      </c>
      <c r="M22" s="18">
        <v>4.2</v>
      </c>
      <c r="N22" s="27">
        <v>0.94</v>
      </c>
      <c r="O22" s="31">
        <v>492</v>
      </c>
      <c r="P22" s="31">
        <v>26</v>
      </c>
      <c r="Q22" s="21">
        <v>227.9</v>
      </c>
      <c r="R22" s="21">
        <v>26.4</v>
      </c>
      <c r="S22" s="21">
        <v>23.44</v>
      </c>
      <c r="T22" s="21">
        <v>23.47</v>
      </c>
      <c r="U22" s="18">
        <v>5.7869999999999999</v>
      </c>
      <c r="V22" s="169">
        <v>0.2</v>
      </c>
      <c r="W22" s="103">
        <v>3.7999999999999999E-2</v>
      </c>
      <c r="X22" s="81">
        <v>0.02</v>
      </c>
      <c r="Y22" s="11">
        <v>0.20399999999999999</v>
      </c>
      <c r="Z22" s="81">
        <v>0.04</v>
      </c>
      <c r="AA22" s="18">
        <v>2.0289999999999999</v>
      </c>
      <c r="AB22" s="27"/>
      <c r="AC22" s="25">
        <f t="shared" si="0"/>
        <v>12.661235769513565</v>
      </c>
      <c r="AD22" s="25">
        <f t="shared" si="4"/>
        <v>14.710886963398117</v>
      </c>
      <c r="AE22" s="25">
        <f t="shared" si="5"/>
        <v>7.4880973386112037</v>
      </c>
      <c r="AG22" s="101">
        <v>8</v>
      </c>
      <c r="AH22" s="101">
        <v>10.3253</v>
      </c>
      <c r="AI22" s="101">
        <v>0.80640000000000001</v>
      </c>
      <c r="AJ22" s="101">
        <v>-0.66290000000000004</v>
      </c>
      <c r="AK22" s="101">
        <v>-0.91269999999999996</v>
      </c>
      <c r="AL22" s="101">
        <v>-2.9253999999999998</v>
      </c>
      <c r="AM22" s="101">
        <v>0.49819999999999998</v>
      </c>
      <c r="AN22" s="101">
        <v>-0.29389999999999999</v>
      </c>
      <c r="AO22" s="101">
        <v>-1.2914000000000001</v>
      </c>
      <c r="AP22" s="101">
        <v>-0.90820000000000001</v>
      </c>
      <c r="AR22" s="50">
        <f t="shared" si="13"/>
        <v>0.47699999999999998</v>
      </c>
      <c r="AS22" s="50">
        <f t="shared" si="14"/>
        <v>2.2320137999014293</v>
      </c>
      <c r="AT22" s="50">
        <f t="shared" si="15"/>
        <v>4.9285599999999999E-2</v>
      </c>
      <c r="AU22" s="50">
        <f t="shared" si="16"/>
        <v>0.90575119999999998</v>
      </c>
      <c r="AV22" s="50">
        <f t="shared" si="17"/>
        <v>4.6792742136298315</v>
      </c>
    </row>
    <row r="23" spans="1:48" x14ac:dyDescent="0.35">
      <c r="A23" s="104">
        <v>16</v>
      </c>
      <c r="B23" s="28">
        <v>43684</v>
      </c>
      <c r="C23" s="31">
        <v>9</v>
      </c>
      <c r="D23" s="31">
        <v>104</v>
      </c>
      <c r="E23" s="31">
        <f t="shared" si="10"/>
        <v>942</v>
      </c>
      <c r="F23" s="25">
        <f t="shared" si="3"/>
        <v>1</v>
      </c>
      <c r="G23" s="25">
        <f>G22+F23</f>
        <v>9.0576923076923084</v>
      </c>
      <c r="H23" s="25"/>
      <c r="I23" s="31">
        <v>8.1999999999999993</v>
      </c>
      <c r="J23" s="31">
        <v>874</v>
      </c>
      <c r="K23" s="12">
        <v>120</v>
      </c>
      <c r="L23" s="27">
        <v>433</v>
      </c>
      <c r="M23" s="18">
        <v>4.2</v>
      </c>
      <c r="N23" s="27">
        <v>0.86</v>
      </c>
      <c r="O23" s="31">
        <v>320</v>
      </c>
      <c r="P23" s="31">
        <v>22</v>
      </c>
      <c r="Q23" s="21">
        <v>155</v>
      </c>
      <c r="R23" s="21">
        <v>18.79</v>
      </c>
      <c r="S23" s="21">
        <v>27.35</v>
      </c>
      <c r="T23" s="21">
        <v>22.56</v>
      </c>
      <c r="U23" s="18">
        <v>5.1849999999999996</v>
      </c>
      <c r="V23" s="169">
        <v>0.2</v>
      </c>
      <c r="W23" s="81">
        <v>0.02</v>
      </c>
      <c r="X23" s="81">
        <v>0.02</v>
      </c>
      <c r="Y23" s="11">
        <v>0.12</v>
      </c>
      <c r="Z23" s="81">
        <v>0.04</v>
      </c>
      <c r="AA23" s="18">
        <v>1.43</v>
      </c>
      <c r="AB23" s="27"/>
      <c r="AC23" s="25">
        <f t="shared" si="0"/>
        <v>9.1948502980676281</v>
      </c>
      <c r="AD23" s="25">
        <f t="shared" si="4"/>
        <v>10.602017569835082</v>
      </c>
      <c r="AE23" s="25">
        <f t="shared" si="5"/>
        <v>7.1080298214695814</v>
      </c>
      <c r="AG23" s="101">
        <v>8.1999999999999993</v>
      </c>
      <c r="AH23" s="101">
        <v>9.4728899999999996</v>
      </c>
      <c r="AI23" s="101">
        <v>0.91239999999999999</v>
      </c>
      <c r="AJ23" s="101">
        <v>-0.91920000000000002</v>
      </c>
      <c r="AK23" s="101">
        <v>-1.1691</v>
      </c>
      <c r="AL23" s="101">
        <v>-3.0983000000000001</v>
      </c>
      <c r="AM23" s="101">
        <v>0.7278</v>
      </c>
      <c r="AN23" s="101">
        <v>-0.24429999999999999</v>
      </c>
      <c r="AO23" s="101">
        <v>-1.6626000000000001</v>
      </c>
      <c r="AP23" s="101">
        <v>-0.78459999999999996</v>
      </c>
      <c r="AR23" s="50">
        <f t="shared" si="13"/>
        <v>0.433</v>
      </c>
      <c r="AS23" s="50">
        <f t="shared" si="14"/>
        <v>2.1218373583045835</v>
      </c>
      <c r="AT23" s="50">
        <f t="shared" si="15"/>
        <v>4.4709599999999995E-2</v>
      </c>
      <c r="AU23" s="50">
        <f t="shared" si="16"/>
        <v>0.86104159999999996</v>
      </c>
      <c r="AV23" s="50">
        <f t="shared" si="17"/>
        <v>4.9003172247219018</v>
      </c>
    </row>
    <row r="24" spans="1:48" x14ac:dyDescent="0.35">
      <c r="A24" s="104">
        <v>16</v>
      </c>
      <c r="B24" s="28">
        <v>43685</v>
      </c>
      <c r="C24" s="31">
        <v>10</v>
      </c>
      <c r="D24" s="31">
        <v>103</v>
      </c>
      <c r="E24" s="31">
        <f t="shared" si="10"/>
        <v>1045</v>
      </c>
      <c r="F24" s="25">
        <f t="shared" si="3"/>
        <v>0.99038461538461542</v>
      </c>
      <c r="G24" s="25">
        <f t="shared" ref="G24:G36" si="18">G23+F24</f>
        <v>10.048076923076923</v>
      </c>
      <c r="H24" s="25"/>
      <c r="I24" s="31">
        <v>8.17</v>
      </c>
      <c r="J24" s="31">
        <v>742</v>
      </c>
      <c r="K24" s="12">
        <v>119.6</v>
      </c>
      <c r="L24" s="27">
        <v>371</v>
      </c>
      <c r="M24" s="18">
        <v>4.2</v>
      </c>
      <c r="N24" s="27">
        <v>1.1000000000000001</v>
      </c>
      <c r="O24" s="31">
        <v>251</v>
      </c>
      <c r="P24" s="116">
        <v>28</v>
      </c>
      <c r="Q24" s="34">
        <v>126</v>
      </c>
      <c r="R24" s="21">
        <v>13.89</v>
      </c>
      <c r="S24" s="21">
        <v>24.02</v>
      </c>
      <c r="T24" s="21">
        <v>23.33</v>
      </c>
      <c r="U24" s="18">
        <v>5.0190000000000001</v>
      </c>
      <c r="V24" s="169">
        <v>0.2</v>
      </c>
      <c r="W24" s="81">
        <v>0.02</v>
      </c>
      <c r="X24" s="81">
        <v>0.02</v>
      </c>
      <c r="Y24" s="103">
        <v>8.6999999999999994E-2</v>
      </c>
      <c r="Z24" s="81">
        <v>0.04</v>
      </c>
      <c r="AA24" s="18">
        <v>1.2110000000000001</v>
      </c>
      <c r="AB24" s="27"/>
      <c r="AC24" s="25">
        <f t="shared" si="0"/>
        <v>7.754119142136858</v>
      </c>
      <c r="AD24" s="25">
        <f t="shared" si="4"/>
        <v>8.6028601457624916</v>
      </c>
      <c r="AE24" s="25">
        <f t="shared" si="5"/>
        <v>5.1888615170743631</v>
      </c>
      <c r="AG24" s="101">
        <v>8.17</v>
      </c>
      <c r="AH24" s="101">
        <v>7.0844800000000001</v>
      </c>
      <c r="AI24" s="101">
        <v>0.82699999999999996</v>
      </c>
      <c r="AJ24" s="101">
        <v>-1.0609</v>
      </c>
      <c r="AK24" s="101">
        <v>-1.3108</v>
      </c>
      <c r="AL24" s="101">
        <v>-3.0592999999999999</v>
      </c>
      <c r="AM24" s="101">
        <v>0.51419999999999999</v>
      </c>
      <c r="AN24" s="101">
        <v>-0.37709999999999999</v>
      </c>
      <c r="AO24" s="101">
        <v>-1.7114</v>
      </c>
      <c r="AP24" s="101">
        <v>-0.91279999999999994</v>
      </c>
      <c r="AR24" s="50">
        <f t="shared" si="13"/>
        <v>0.371</v>
      </c>
      <c r="AS24" s="50">
        <f t="shared" si="14"/>
        <v>2.0275505174963033</v>
      </c>
      <c r="AT24" s="50">
        <f t="shared" si="15"/>
        <v>3.82616E-2</v>
      </c>
      <c r="AU24" s="50">
        <f t="shared" si="16"/>
        <v>0.82277999999999996</v>
      </c>
      <c r="AV24" s="50">
        <f t="shared" si="17"/>
        <v>5.465095734491384</v>
      </c>
    </row>
    <row r="25" spans="1:48" x14ac:dyDescent="0.35">
      <c r="A25" s="104">
        <v>16</v>
      </c>
      <c r="B25" s="28">
        <v>43686</v>
      </c>
      <c r="C25" s="31">
        <v>11</v>
      </c>
      <c r="D25" s="31">
        <v>105</v>
      </c>
      <c r="E25" s="31">
        <f t="shared" si="10"/>
        <v>1150</v>
      </c>
      <c r="F25" s="25">
        <f t="shared" si="3"/>
        <v>1.0096153846153846</v>
      </c>
      <c r="G25" s="25">
        <f t="shared" si="18"/>
        <v>11.057692307692308</v>
      </c>
      <c r="H25" s="25"/>
      <c r="I25" s="31">
        <v>8.24</v>
      </c>
      <c r="J25" s="31">
        <v>729</v>
      </c>
      <c r="K25" s="12">
        <v>124.6</v>
      </c>
      <c r="L25" s="27">
        <v>336</v>
      </c>
      <c r="M25" s="18">
        <v>4.2</v>
      </c>
      <c r="N25" s="27">
        <v>1.2</v>
      </c>
      <c r="O25" s="31">
        <v>205</v>
      </c>
      <c r="P25" s="116">
        <v>26</v>
      </c>
      <c r="Q25" s="21">
        <v>110.5</v>
      </c>
      <c r="R25" s="21">
        <v>12.02</v>
      </c>
      <c r="S25" s="21">
        <v>24.62</v>
      </c>
      <c r="T25" s="21">
        <v>23.68</v>
      </c>
      <c r="U25" s="18">
        <v>5.101</v>
      </c>
      <c r="V25" s="169">
        <v>0.2</v>
      </c>
      <c r="W25" s="81">
        <v>0.02</v>
      </c>
      <c r="X25" s="81">
        <v>0.02</v>
      </c>
      <c r="Y25" s="33">
        <v>7.0000000000000007E-2</v>
      </c>
      <c r="Z25" s="81">
        <v>0.04</v>
      </c>
      <c r="AA25" s="18">
        <v>1.0780000000000001</v>
      </c>
      <c r="AB25" s="27"/>
      <c r="AC25" s="25">
        <f t="shared" si="0"/>
        <v>6.8979972962475289</v>
      </c>
      <c r="AD25" s="25">
        <f t="shared" si="4"/>
        <v>7.7038196475243064</v>
      </c>
      <c r="AE25" s="25">
        <f t="shared" si="5"/>
        <v>5.5186443877485249</v>
      </c>
      <c r="AG25" s="101">
        <v>8.24</v>
      </c>
      <c r="AH25" s="101">
        <v>7.4316500000000003</v>
      </c>
      <c r="AI25" s="101">
        <v>0.87580000000000002</v>
      </c>
      <c r="AJ25" s="101">
        <v>-1.1731</v>
      </c>
      <c r="AK25" s="101">
        <v>-1.423</v>
      </c>
      <c r="AL25" s="101">
        <v>-3.1103000000000001</v>
      </c>
      <c r="AM25" s="101">
        <v>0.60519999999999996</v>
      </c>
      <c r="AN25" s="101">
        <v>-0.36420000000000002</v>
      </c>
      <c r="AO25" s="101">
        <v>-1.7422</v>
      </c>
      <c r="AP25" s="101">
        <v>-0.87060000000000004</v>
      </c>
      <c r="AR25" s="50">
        <f t="shared" si="13"/>
        <v>0.33600000000000002</v>
      </c>
      <c r="AS25" s="50">
        <f t="shared" si="14"/>
        <v>1.9422336126170525</v>
      </c>
      <c r="AT25" s="50">
        <f t="shared" si="15"/>
        <v>3.4621600000000002E-2</v>
      </c>
      <c r="AU25" s="50">
        <f t="shared" si="16"/>
        <v>0.78815839999999993</v>
      </c>
      <c r="AV25" s="50">
        <f t="shared" si="17"/>
        <v>5.7804571804078941</v>
      </c>
    </row>
    <row r="26" spans="1:48" x14ac:dyDescent="0.35">
      <c r="A26" s="104">
        <v>16</v>
      </c>
      <c r="B26" s="28">
        <v>43687</v>
      </c>
      <c r="C26" s="31">
        <v>12</v>
      </c>
      <c r="D26" s="31">
        <v>102</v>
      </c>
      <c r="E26" s="31">
        <f t="shared" si="10"/>
        <v>1252</v>
      </c>
      <c r="F26" s="25">
        <f t="shared" si="3"/>
        <v>0.98076923076923073</v>
      </c>
      <c r="G26" s="25">
        <f t="shared" si="18"/>
        <v>12.038461538461538</v>
      </c>
      <c r="H26" s="25"/>
      <c r="I26" s="31">
        <v>8.2200000000000006</v>
      </c>
      <c r="J26" s="31">
        <v>639</v>
      </c>
      <c r="K26" s="12">
        <v>138.19999999999999</v>
      </c>
      <c r="L26" s="27">
        <v>327</v>
      </c>
      <c r="M26" s="18">
        <v>4.2</v>
      </c>
      <c r="N26" s="27">
        <v>1.3</v>
      </c>
      <c r="O26" s="31">
        <v>183</v>
      </c>
      <c r="P26" s="116">
        <v>29</v>
      </c>
      <c r="Q26" s="21">
        <v>103.6</v>
      </c>
      <c r="R26" s="21">
        <v>11.48</v>
      </c>
      <c r="S26" s="21">
        <v>24.79</v>
      </c>
      <c r="T26" s="21">
        <v>23.6</v>
      </c>
      <c r="U26" s="18">
        <v>4.9169999999999998</v>
      </c>
      <c r="V26" s="169">
        <v>0.2</v>
      </c>
      <c r="W26" s="81">
        <v>0.02</v>
      </c>
      <c r="X26" s="81">
        <v>0.02</v>
      </c>
      <c r="Y26" s="103">
        <v>5.8999999999999997E-2</v>
      </c>
      <c r="Z26" s="81">
        <v>0.04</v>
      </c>
      <c r="AA26" s="18">
        <v>1.0249999999999999</v>
      </c>
      <c r="AB26" s="27"/>
      <c r="AC26" s="25">
        <f t="shared" si="0"/>
        <v>6.7135631455487044</v>
      </c>
      <c r="AD26" s="25">
        <f t="shared" si="4"/>
        <v>7.3177890125452567</v>
      </c>
      <c r="AE26" s="25">
        <f t="shared" si="5"/>
        <v>4.3062554498570238</v>
      </c>
      <c r="AG26" s="101">
        <v>8.2200000000000006</v>
      </c>
      <c r="AH26" s="101">
        <v>5.9844600000000003</v>
      </c>
      <c r="AI26" s="101">
        <v>0.88329999999999997</v>
      </c>
      <c r="AJ26" s="101">
        <v>-1.2363999999999999</v>
      </c>
      <c r="AK26" s="101">
        <v>-1.4863</v>
      </c>
      <c r="AL26" s="101">
        <v>-3.0417999999999998</v>
      </c>
      <c r="AM26" s="101">
        <v>0.62809999999999999</v>
      </c>
      <c r="AN26" s="101">
        <v>-0.4027</v>
      </c>
      <c r="AO26" s="101">
        <v>-1.7595000000000001</v>
      </c>
      <c r="AP26" s="101">
        <v>-0.85519999999999996</v>
      </c>
      <c r="AR26" s="50">
        <f t="shared" si="13"/>
        <v>0.32700000000000001</v>
      </c>
      <c r="AS26" s="50">
        <f t="shared" si="14"/>
        <v>1.8592232626909806</v>
      </c>
      <c r="AT26" s="50">
        <f t="shared" si="15"/>
        <v>3.3685600000000003E-2</v>
      </c>
      <c r="AU26" s="50">
        <f t="shared" si="16"/>
        <v>0.75447279999999994</v>
      </c>
      <c r="AV26" s="50">
        <f t="shared" si="17"/>
        <v>5.6856980510427535</v>
      </c>
    </row>
    <row r="27" spans="1:48" x14ac:dyDescent="0.35">
      <c r="A27" s="104">
        <v>16</v>
      </c>
      <c r="B27" s="28">
        <v>43688</v>
      </c>
      <c r="C27" s="31">
        <v>13</v>
      </c>
      <c r="D27" s="31">
        <v>104</v>
      </c>
      <c r="E27" s="31">
        <f t="shared" si="10"/>
        <v>1356</v>
      </c>
      <c r="F27" s="25">
        <f t="shared" si="3"/>
        <v>1</v>
      </c>
      <c r="G27" s="25">
        <f t="shared" si="18"/>
        <v>13.038461538461538</v>
      </c>
      <c r="H27" s="25"/>
      <c r="I27" s="31">
        <v>8.19</v>
      </c>
      <c r="J27" s="31">
        <v>626</v>
      </c>
      <c r="K27" s="12">
        <v>126.6</v>
      </c>
      <c r="L27" s="27">
        <v>288</v>
      </c>
      <c r="M27" s="18">
        <v>4.0999999999999996</v>
      </c>
      <c r="N27" s="27">
        <v>1.3</v>
      </c>
      <c r="O27" s="31">
        <v>166</v>
      </c>
      <c r="P27" s="31">
        <v>26</v>
      </c>
      <c r="Q27" s="21">
        <v>93.07</v>
      </c>
      <c r="R27" s="21">
        <v>10.57</v>
      </c>
      <c r="S27" s="21">
        <v>24.19</v>
      </c>
      <c r="T27" s="21">
        <v>23.16</v>
      </c>
      <c r="U27" s="18">
        <v>4.694</v>
      </c>
      <c r="V27" s="169">
        <v>0.2</v>
      </c>
      <c r="W27" s="81">
        <v>0.02</v>
      </c>
      <c r="X27" s="81">
        <v>0.02</v>
      </c>
      <c r="Y27" s="103">
        <v>4.9000000000000002E-2</v>
      </c>
      <c r="Z27" s="81">
        <v>0.04</v>
      </c>
      <c r="AA27" s="11">
        <v>0.97499999999999998</v>
      </c>
      <c r="AB27" s="27"/>
      <c r="AC27" s="25">
        <f t="shared" si="0"/>
        <v>6.1247968203176768</v>
      </c>
      <c r="AD27" s="25">
        <f t="shared" si="4"/>
        <v>6.6857027560146109</v>
      </c>
      <c r="AE27" s="25">
        <f t="shared" si="5"/>
        <v>4.3784860407256998</v>
      </c>
      <c r="AG27" s="101">
        <v>8.19</v>
      </c>
      <c r="AH27" s="101">
        <v>6.0622299999999996</v>
      </c>
      <c r="AI27" s="101">
        <v>0.78480000000000005</v>
      </c>
      <c r="AJ27" s="101">
        <v>-1.3023</v>
      </c>
      <c r="AK27" s="101">
        <v>-1.5522</v>
      </c>
      <c r="AL27" s="101">
        <v>-3.0448</v>
      </c>
      <c r="AM27" s="101">
        <v>0.44059999999999999</v>
      </c>
      <c r="AN27" s="101">
        <v>-0.53490000000000004</v>
      </c>
      <c r="AO27" s="101">
        <v>-1.7884</v>
      </c>
      <c r="AP27" s="101">
        <v>-0.94410000000000005</v>
      </c>
      <c r="AR27" s="50">
        <f t="shared" si="13"/>
        <v>0.28799999999999998</v>
      </c>
      <c r="AS27" s="50">
        <f t="shared" si="14"/>
        <v>1.786207984228684</v>
      </c>
      <c r="AT27" s="50">
        <f t="shared" si="15"/>
        <v>2.9629599999999996E-2</v>
      </c>
      <c r="AU27" s="50">
        <f t="shared" si="16"/>
        <v>0.72484319999999991</v>
      </c>
      <c r="AV27" s="50">
        <f t="shared" si="17"/>
        <v>6.2021110563495974</v>
      </c>
    </row>
    <row r="28" spans="1:48" x14ac:dyDescent="0.35">
      <c r="A28" s="104">
        <v>16</v>
      </c>
      <c r="B28" s="28">
        <v>43689</v>
      </c>
      <c r="C28" s="31">
        <v>14</v>
      </c>
      <c r="D28" s="31">
        <v>104</v>
      </c>
      <c r="E28" s="31">
        <f t="shared" si="10"/>
        <v>1460</v>
      </c>
      <c r="F28" s="25">
        <f t="shared" si="3"/>
        <v>1</v>
      </c>
      <c r="G28" s="25">
        <f t="shared" si="18"/>
        <v>14.038461538461538</v>
      </c>
      <c r="H28" s="25"/>
      <c r="I28" s="31">
        <v>8.07</v>
      </c>
      <c r="J28" s="31">
        <v>601</v>
      </c>
      <c r="K28" s="12">
        <v>127.2</v>
      </c>
      <c r="L28" s="27">
        <v>265</v>
      </c>
      <c r="M28" s="18">
        <v>4.0999999999999996</v>
      </c>
      <c r="N28" s="27">
        <v>1.5</v>
      </c>
      <c r="O28" s="31">
        <v>162</v>
      </c>
      <c r="P28" s="31">
        <v>25</v>
      </c>
      <c r="Q28" s="21">
        <v>89.81</v>
      </c>
      <c r="R28" s="21">
        <v>9.7729999999999997</v>
      </c>
      <c r="S28" s="21">
        <v>23.44</v>
      </c>
      <c r="T28" s="21">
        <v>23.64</v>
      </c>
      <c r="U28" s="18">
        <v>4.6840000000000002</v>
      </c>
      <c r="V28" s="169">
        <v>0.2</v>
      </c>
      <c r="W28" s="81">
        <v>0.02</v>
      </c>
      <c r="X28" s="81">
        <v>0.02</v>
      </c>
      <c r="Y28" s="103">
        <v>4.1000000000000002E-2</v>
      </c>
      <c r="Z28" s="81">
        <v>0.04</v>
      </c>
      <c r="AA28" s="11">
        <v>0.95799999999999996</v>
      </c>
      <c r="AB28" s="27"/>
      <c r="AC28" s="25">
        <f t="shared" si="0"/>
        <v>6.0567413442375395</v>
      </c>
      <c r="AD28" s="25">
        <f t="shared" si="4"/>
        <v>6.4246067081695779</v>
      </c>
      <c r="AE28" s="25">
        <f t="shared" si="5"/>
        <v>2.9473207732644946</v>
      </c>
      <c r="AG28" s="101">
        <v>8.07</v>
      </c>
      <c r="AH28" s="101">
        <v>4.4467299999999996</v>
      </c>
      <c r="AI28" s="101">
        <v>0.66110000000000002</v>
      </c>
      <c r="AJ28" s="101">
        <v>-1.3205</v>
      </c>
      <c r="AK28" s="101">
        <v>-1.5704</v>
      </c>
      <c r="AL28" s="101">
        <v>-2.9165999999999999</v>
      </c>
      <c r="AM28" s="101">
        <v>0.17430000000000001</v>
      </c>
      <c r="AN28" s="101">
        <v>-0.72119999999999995</v>
      </c>
      <c r="AO28" s="101">
        <v>-1.7983</v>
      </c>
      <c r="AP28" s="101">
        <v>-1.0868</v>
      </c>
      <c r="AR28" s="50">
        <f t="shared" si="13"/>
        <v>0.26500000000000001</v>
      </c>
      <c r="AS28" s="50">
        <f t="shared" si="14"/>
        <v>1.7190872350911779</v>
      </c>
      <c r="AT28" s="50">
        <f t="shared" si="15"/>
        <v>2.7237600000000001E-2</v>
      </c>
      <c r="AU28" s="50">
        <f t="shared" si="16"/>
        <v>0.69760559999999994</v>
      </c>
      <c r="AV28" s="50">
        <f t="shared" si="17"/>
        <v>6.4871216418535012</v>
      </c>
    </row>
    <row r="29" spans="1:48" x14ac:dyDescent="0.35">
      <c r="A29" s="104">
        <v>16</v>
      </c>
      <c r="B29" s="28">
        <v>43690</v>
      </c>
      <c r="C29" s="31">
        <v>15</v>
      </c>
      <c r="D29" s="31">
        <v>104</v>
      </c>
      <c r="E29" s="31">
        <f t="shared" si="10"/>
        <v>1564</v>
      </c>
      <c r="F29" s="25">
        <f t="shared" si="3"/>
        <v>1</v>
      </c>
      <c r="G29" s="25">
        <f t="shared" si="18"/>
        <v>15.038461538461538</v>
      </c>
      <c r="H29" s="25"/>
      <c r="I29" s="31">
        <v>8.0299999999999994</v>
      </c>
      <c r="J29" s="31">
        <v>558</v>
      </c>
      <c r="K29" s="12">
        <v>126</v>
      </c>
      <c r="L29" s="27">
        <v>227</v>
      </c>
      <c r="M29" s="18">
        <v>4.2</v>
      </c>
      <c r="N29" s="27">
        <v>1.6</v>
      </c>
      <c r="O29" s="31">
        <v>157</v>
      </c>
      <c r="P29" s="31">
        <v>25</v>
      </c>
      <c r="Q29" s="21">
        <v>88.97</v>
      </c>
      <c r="R29" s="18">
        <v>9.4480000000000004</v>
      </c>
      <c r="S29" s="21">
        <v>23.31</v>
      </c>
      <c r="T29" s="21">
        <v>23.46</v>
      </c>
      <c r="U29" s="18">
        <v>4.6589999999999998</v>
      </c>
      <c r="V29" s="169">
        <v>0.2</v>
      </c>
      <c r="W29" s="81">
        <v>0.02</v>
      </c>
      <c r="X29" s="81">
        <v>0.02</v>
      </c>
      <c r="Y29" s="103">
        <v>3.5000000000000003E-2</v>
      </c>
      <c r="Z29" s="81">
        <v>0.04</v>
      </c>
      <c r="AA29" s="11">
        <v>0.92600000000000005</v>
      </c>
      <c r="AB29" s="27"/>
      <c r="AC29" s="25">
        <f t="shared" si="0"/>
        <v>5.933073518769743</v>
      </c>
      <c r="AD29" s="25">
        <f t="shared" si="4"/>
        <v>6.3496695481825478</v>
      </c>
      <c r="AE29" s="25">
        <f t="shared" si="5"/>
        <v>3.3917181784392283</v>
      </c>
      <c r="AG29" s="101">
        <v>8.0299999999999994</v>
      </c>
      <c r="AH29" s="101">
        <v>4.98977</v>
      </c>
      <c r="AI29" s="101">
        <v>0.61780000000000002</v>
      </c>
      <c r="AJ29" s="101">
        <v>-1.3338000000000001</v>
      </c>
      <c r="AK29" s="101">
        <v>-1.5837000000000001</v>
      </c>
      <c r="AL29" s="101">
        <v>-2.8788</v>
      </c>
      <c r="AM29" s="101">
        <v>7.6499999999999999E-2</v>
      </c>
      <c r="AN29" s="101">
        <v>-0.82950000000000002</v>
      </c>
      <c r="AO29" s="101">
        <v>-1.7983</v>
      </c>
      <c r="AP29" s="101">
        <v>-1.1413</v>
      </c>
      <c r="AR29" s="50">
        <f t="shared" si="13"/>
        <v>0.22700000000000001</v>
      </c>
      <c r="AS29" s="50">
        <f t="shared" si="14"/>
        <v>1.6617052735337603</v>
      </c>
      <c r="AT29" s="50">
        <f t="shared" si="15"/>
        <v>2.32856E-2</v>
      </c>
      <c r="AU29" s="50">
        <f t="shared" si="16"/>
        <v>0.67431999999999992</v>
      </c>
      <c r="AV29" s="50">
        <f t="shared" si="17"/>
        <v>7.3202875486068733</v>
      </c>
    </row>
    <row r="30" spans="1:48" x14ac:dyDescent="0.35">
      <c r="A30" s="104">
        <v>16</v>
      </c>
      <c r="B30" s="28">
        <v>43691</v>
      </c>
      <c r="C30" s="31">
        <v>16</v>
      </c>
      <c r="D30" s="31">
        <v>104</v>
      </c>
      <c r="E30" s="31">
        <f t="shared" si="10"/>
        <v>1668</v>
      </c>
      <c r="F30" s="25">
        <f t="shared" si="3"/>
        <v>1</v>
      </c>
      <c r="G30" s="25">
        <f t="shared" si="18"/>
        <v>16.03846153846154</v>
      </c>
      <c r="H30" s="25"/>
      <c r="I30" s="31">
        <v>8.01</v>
      </c>
      <c r="J30" s="31">
        <v>584</v>
      </c>
      <c r="K30" s="12">
        <v>127.4</v>
      </c>
      <c r="L30" s="27">
        <v>208</v>
      </c>
      <c r="M30" s="18">
        <v>4.2</v>
      </c>
      <c r="N30" s="27">
        <v>1.7</v>
      </c>
      <c r="O30" s="31">
        <v>154</v>
      </c>
      <c r="P30" s="31">
        <v>27</v>
      </c>
      <c r="Q30" s="21">
        <v>86.21</v>
      </c>
      <c r="R30" s="18">
        <v>9.4209999999999994</v>
      </c>
      <c r="S30" s="21">
        <v>22.92</v>
      </c>
      <c r="T30" s="21">
        <v>23.57</v>
      </c>
      <c r="U30" s="18">
        <v>4.6130000000000004</v>
      </c>
      <c r="V30" s="169">
        <v>0.2</v>
      </c>
      <c r="W30" s="81">
        <v>0.02</v>
      </c>
      <c r="X30" s="81">
        <v>0.02</v>
      </c>
      <c r="Y30" s="103">
        <v>2.8000000000000001E-2</v>
      </c>
      <c r="Z30" s="81">
        <v>0.04</v>
      </c>
      <c r="AA30" s="11">
        <v>0.91100000000000003</v>
      </c>
      <c r="AB30" s="27"/>
      <c r="AC30" s="25">
        <f t="shared" si="0"/>
        <v>5.9002254600967365</v>
      </c>
      <c r="AD30" s="25">
        <f t="shared" si="4"/>
        <v>6.1915842346125949</v>
      </c>
      <c r="AE30" s="25">
        <f t="shared" si="5"/>
        <v>2.4095547471553402</v>
      </c>
      <c r="AG30" s="101">
        <v>8.01</v>
      </c>
      <c r="AH30" s="101">
        <v>3.8873099999999998</v>
      </c>
      <c r="AI30" s="101">
        <v>0.59209999999999996</v>
      </c>
      <c r="AJ30" s="101">
        <v>-1.3512999999999999</v>
      </c>
      <c r="AK30" s="101">
        <v>-1.6012</v>
      </c>
      <c r="AL30" s="101">
        <v>-2.8525</v>
      </c>
      <c r="AM30" s="101">
        <v>3.7499999999999999E-2</v>
      </c>
      <c r="AN30" s="101">
        <v>-0.93840000000000001</v>
      </c>
      <c r="AO30" s="101">
        <v>-1.8089999999999999</v>
      </c>
      <c r="AP30" s="101">
        <v>-1.1546000000000001</v>
      </c>
      <c r="AR30" s="50">
        <f t="shared" si="13"/>
        <v>0.20799999999999999</v>
      </c>
      <c r="AS30" s="50">
        <f t="shared" si="14"/>
        <v>1.6091927057663871</v>
      </c>
      <c r="AT30" s="50">
        <f t="shared" si="15"/>
        <v>2.1309599999999998E-2</v>
      </c>
      <c r="AU30" s="50">
        <f t="shared" si="16"/>
        <v>0.65301039999999988</v>
      </c>
      <c r="AV30" s="50">
        <f t="shared" si="17"/>
        <v>7.7365033931076308</v>
      </c>
    </row>
    <row r="31" spans="1:48" x14ac:dyDescent="0.35">
      <c r="A31" s="104">
        <v>16</v>
      </c>
      <c r="B31" s="28">
        <v>43692</v>
      </c>
      <c r="C31" s="31">
        <v>17</v>
      </c>
      <c r="D31" s="31">
        <v>104</v>
      </c>
      <c r="E31" s="31">
        <f t="shared" si="10"/>
        <v>1772</v>
      </c>
      <c r="F31" s="25">
        <f t="shared" si="3"/>
        <v>1</v>
      </c>
      <c r="G31" s="25">
        <f t="shared" si="18"/>
        <v>17.03846153846154</v>
      </c>
      <c r="H31" s="25"/>
      <c r="I31" s="31">
        <v>8.0299999999999994</v>
      </c>
      <c r="J31" s="31">
        <v>576</v>
      </c>
      <c r="K31" s="12">
        <v>125.5</v>
      </c>
      <c r="L31" s="27">
        <v>182</v>
      </c>
      <c r="M31" s="18">
        <v>4.2</v>
      </c>
      <c r="N31" s="27">
        <v>1.6</v>
      </c>
      <c r="O31" s="31">
        <v>151</v>
      </c>
      <c r="P31" s="31">
        <v>22</v>
      </c>
      <c r="Q31" s="21">
        <v>86.01</v>
      </c>
      <c r="R31" s="18">
        <v>9.4359999999999999</v>
      </c>
      <c r="S31" s="21">
        <v>23.76</v>
      </c>
      <c r="T31" s="21">
        <v>23.99</v>
      </c>
      <c r="U31" s="18">
        <v>4.6929999999999996</v>
      </c>
      <c r="V31" s="169">
        <v>0.2</v>
      </c>
      <c r="W31" s="81">
        <v>0.02</v>
      </c>
      <c r="X31" s="81">
        <v>0.02</v>
      </c>
      <c r="Y31" s="103">
        <v>2.3E-2</v>
      </c>
      <c r="Z31" s="81">
        <v>0.04</v>
      </c>
      <c r="AA31" s="11">
        <v>0.91800000000000004</v>
      </c>
      <c r="AB31" s="27"/>
      <c r="AC31" s="25">
        <f t="shared" si="0"/>
        <v>5.7981515949721167</v>
      </c>
      <c r="AD31" s="25">
        <f t="shared" si="4"/>
        <v>6.2214214081840122</v>
      </c>
      <c r="AE31" s="25">
        <f t="shared" si="5"/>
        <v>3.52150457508559</v>
      </c>
      <c r="AG31" s="101">
        <v>8.0299999999999994</v>
      </c>
      <c r="AH31" s="101">
        <v>5.1347800000000001</v>
      </c>
      <c r="AI31" s="101">
        <v>0.60540000000000005</v>
      </c>
      <c r="AJ31" s="101">
        <v>-1.3592</v>
      </c>
      <c r="AK31" s="101">
        <v>-1.6091</v>
      </c>
      <c r="AL31" s="101">
        <v>-2.8795000000000002</v>
      </c>
      <c r="AM31" s="101">
        <v>6.5799999999999997E-2</v>
      </c>
      <c r="AN31" s="101">
        <v>-1.0094000000000001</v>
      </c>
      <c r="AO31" s="101">
        <v>-1.8082</v>
      </c>
      <c r="AP31" s="101">
        <v>-1.1396999999999999</v>
      </c>
      <c r="AR31" s="50">
        <f t="shared" si="13"/>
        <v>0.182</v>
      </c>
      <c r="AS31" s="50">
        <f t="shared" si="14"/>
        <v>1.5633435189748641</v>
      </c>
      <c r="AT31" s="50">
        <f t="shared" si="15"/>
        <v>1.86056E-2</v>
      </c>
      <c r="AU31" s="50">
        <f t="shared" si="16"/>
        <v>0.63440479999999988</v>
      </c>
      <c r="AV31" s="50">
        <f t="shared" si="17"/>
        <v>8.5897995548069463</v>
      </c>
    </row>
    <row r="32" spans="1:48" x14ac:dyDescent="0.35">
      <c r="A32" s="104">
        <v>16</v>
      </c>
      <c r="B32" s="28">
        <v>43693</v>
      </c>
      <c r="C32" s="31">
        <v>18</v>
      </c>
      <c r="D32" s="31">
        <v>103</v>
      </c>
      <c r="E32" s="31">
        <f t="shared" si="10"/>
        <v>1875</v>
      </c>
      <c r="F32" s="25">
        <f t="shared" si="3"/>
        <v>0.99038461538461542</v>
      </c>
      <c r="G32" s="25">
        <f t="shared" si="18"/>
        <v>18.028846153846157</v>
      </c>
      <c r="H32" s="25"/>
      <c r="I32" s="31">
        <v>8.17</v>
      </c>
      <c r="J32" s="31">
        <v>578</v>
      </c>
      <c r="K32" s="12">
        <v>125.6</v>
      </c>
      <c r="L32" s="27">
        <v>162</v>
      </c>
      <c r="M32" s="18">
        <v>4.2</v>
      </c>
      <c r="N32" s="27">
        <v>1.7</v>
      </c>
      <c r="O32" s="31">
        <v>150</v>
      </c>
      <c r="P32" s="31">
        <v>27</v>
      </c>
      <c r="Q32" s="21">
        <v>84.95</v>
      </c>
      <c r="R32" s="18">
        <v>9.2710000000000008</v>
      </c>
      <c r="S32" s="21">
        <v>22.9</v>
      </c>
      <c r="T32" s="21">
        <v>23.81</v>
      </c>
      <c r="U32" s="18">
        <v>4.7469999999999999</v>
      </c>
      <c r="V32" s="169">
        <v>0.2</v>
      </c>
      <c r="W32" s="81">
        <v>0.02</v>
      </c>
      <c r="X32" s="81">
        <v>0.02</v>
      </c>
      <c r="Y32" s="81">
        <v>0.02</v>
      </c>
      <c r="Z32" s="81">
        <v>0.04</v>
      </c>
      <c r="AA32" s="11">
        <v>0.91</v>
      </c>
      <c r="AB32" s="27"/>
      <c r="AC32" s="25">
        <f t="shared" si="0"/>
        <v>5.7809441775649848</v>
      </c>
      <c r="AD32" s="25">
        <f t="shared" si="4"/>
        <v>6.1189316233205489</v>
      </c>
      <c r="AE32" s="25">
        <f t="shared" si="5"/>
        <v>2.8402602801149621</v>
      </c>
      <c r="AG32" s="101">
        <v>8.17</v>
      </c>
      <c r="AH32" s="101">
        <v>4.3944700000000001</v>
      </c>
      <c r="AI32" s="101">
        <v>0.73509999999999998</v>
      </c>
      <c r="AJ32" s="101">
        <v>-1.3662000000000001</v>
      </c>
      <c r="AK32" s="101">
        <v>-1.6161000000000001</v>
      </c>
      <c r="AL32" s="101">
        <v>-3.0238999999999998</v>
      </c>
      <c r="AM32" s="101">
        <v>0.32340000000000002</v>
      </c>
      <c r="AN32" s="101">
        <v>-0.93359999999999999</v>
      </c>
      <c r="AO32" s="101">
        <v>-1.8133999999999999</v>
      </c>
      <c r="AP32" s="101">
        <v>-1.0117</v>
      </c>
      <c r="AR32" s="50">
        <f t="shared" si="13"/>
        <v>0.16200000000000001</v>
      </c>
      <c r="AS32" s="50">
        <f t="shared" si="14"/>
        <v>1.5226200098570721</v>
      </c>
      <c r="AT32" s="50">
        <f t="shared" si="15"/>
        <v>1.6525600000000001E-2</v>
      </c>
      <c r="AU32" s="50">
        <f t="shared" si="16"/>
        <v>0.61787919999999985</v>
      </c>
      <c r="AV32" s="50">
        <f t="shared" si="17"/>
        <v>9.3988889497350137</v>
      </c>
    </row>
    <row r="33" spans="1:48" x14ac:dyDescent="0.35">
      <c r="A33" s="104">
        <v>16</v>
      </c>
      <c r="B33" s="28">
        <v>43694</v>
      </c>
      <c r="C33" s="31">
        <v>19</v>
      </c>
      <c r="D33" s="31">
        <v>108</v>
      </c>
      <c r="E33" s="31">
        <f t="shared" si="10"/>
        <v>1983</v>
      </c>
      <c r="F33" s="25">
        <f t="shared" si="3"/>
        <v>1.0384615384615385</v>
      </c>
      <c r="G33" s="25">
        <f t="shared" si="18"/>
        <v>19.067307692307697</v>
      </c>
      <c r="H33" s="25"/>
      <c r="I33" s="31">
        <v>8.01</v>
      </c>
      <c r="J33" s="31">
        <v>566</v>
      </c>
      <c r="K33" s="12">
        <v>123.6</v>
      </c>
      <c r="L33" s="27">
        <v>145</v>
      </c>
      <c r="M33" s="18">
        <v>4.2</v>
      </c>
      <c r="N33" s="27">
        <v>1.5</v>
      </c>
      <c r="O33" s="31">
        <v>148</v>
      </c>
      <c r="P33" s="31">
        <v>27</v>
      </c>
      <c r="Q33" s="12">
        <v>80.7</v>
      </c>
      <c r="R33" s="6">
        <v>9.27</v>
      </c>
      <c r="S33" s="21">
        <v>22.47</v>
      </c>
      <c r="T33" s="21">
        <v>23.21</v>
      </c>
      <c r="U33" s="18">
        <v>4.601</v>
      </c>
      <c r="V33" s="169">
        <v>0.2</v>
      </c>
      <c r="W33" s="81">
        <v>0.02</v>
      </c>
      <c r="X33" s="81">
        <v>0.02</v>
      </c>
      <c r="Y33" s="81">
        <v>0.02</v>
      </c>
      <c r="Z33" s="81">
        <v>0.04</v>
      </c>
      <c r="AA33" s="11">
        <v>0.88500000000000001</v>
      </c>
      <c r="AB33" s="27"/>
      <c r="AC33" s="25">
        <f t="shared" si="0"/>
        <v>5.6960777298474969</v>
      </c>
      <c r="AD33" s="25">
        <f t="shared" si="4"/>
        <v>5.8843357385757571</v>
      </c>
      <c r="AE33" s="25">
        <f t="shared" si="5"/>
        <v>1.6256587836141627</v>
      </c>
      <c r="AG33" s="101">
        <v>8.01</v>
      </c>
      <c r="AH33" s="101">
        <v>2.9880599999999999</v>
      </c>
      <c r="AI33" s="101">
        <v>0.55640000000000001</v>
      </c>
      <c r="AJ33" s="101">
        <v>-1.3865000000000001</v>
      </c>
      <c r="AK33" s="101">
        <v>-1.6364000000000001</v>
      </c>
      <c r="AL33" s="101">
        <v>-2.8637999999999999</v>
      </c>
      <c r="AM33" s="101">
        <v>-1.24E-2</v>
      </c>
      <c r="AN33" s="101">
        <v>-1.0909</v>
      </c>
      <c r="AO33" s="101">
        <v>-1.8303</v>
      </c>
      <c r="AP33" s="101">
        <v>-1.1688000000000001</v>
      </c>
      <c r="AR33" s="50">
        <f t="shared" si="13"/>
        <v>0.14499999999999999</v>
      </c>
      <c r="AS33" s="50">
        <f t="shared" si="14"/>
        <v>1.4862533267619513</v>
      </c>
      <c r="AT33" s="50">
        <f t="shared" si="15"/>
        <v>1.4757599999999999E-2</v>
      </c>
      <c r="AU33" s="50">
        <f t="shared" si="16"/>
        <v>0.60312159999999981</v>
      </c>
      <c r="AV33" s="50">
        <f t="shared" si="17"/>
        <v>10.250022943185872</v>
      </c>
    </row>
    <row r="34" spans="1:48" x14ac:dyDescent="0.35">
      <c r="A34" s="104">
        <v>16</v>
      </c>
      <c r="B34" s="28">
        <v>43695</v>
      </c>
      <c r="C34" s="31">
        <v>20</v>
      </c>
      <c r="D34" s="31">
        <v>105</v>
      </c>
      <c r="E34" s="31">
        <f t="shared" si="10"/>
        <v>2088</v>
      </c>
      <c r="F34" s="25">
        <f t="shared" si="3"/>
        <v>1.0096153846153846</v>
      </c>
      <c r="G34" s="25">
        <f t="shared" si="18"/>
        <v>20.07692307692308</v>
      </c>
      <c r="H34" s="25"/>
      <c r="I34" s="31">
        <v>7.98</v>
      </c>
      <c r="J34" s="31">
        <v>564</v>
      </c>
      <c r="K34" s="12">
        <v>122.4</v>
      </c>
      <c r="L34" s="27">
        <v>135</v>
      </c>
      <c r="M34" s="18">
        <v>4.7</v>
      </c>
      <c r="N34" s="27">
        <v>1.6</v>
      </c>
      <c r="O34" s="31">
        <v>146</v>
      </c>
      <c r="P34" s="31">
        <v>28</v>
      </c>
      <c r="Q34" s="12">
        <v>80.39</v>
      </c>
      <c r="R34" s="6">
        <v>9.016</v>
      </c>
      <c r="S34" s="21">
        <v>22.12</v>
      </c>
      <c r="T34" s="21">
        <v>23.21</v>
      </c>
      <c r="U34" s="18">
        <v>4.641</v>
      </c>
      <c r="V34" s="169">
        <v>0.2</v>
      </c>
      <c r="W34" s="81">
        <v>0.02</v>
      </c>
      <c r="X34" s="81">
        <v>0.02</v>
      </c>
      <c r="Y34" s="81">
        <v>0.02</v>
      </c>
      <c r="Z34" s="81">
        <v>0.04</v>
      </c>
      <c r="AA34" s="11">
        <v>0.88800000000000001</v>
      </c>
      <c r="AB34" s="27"/>
      <c r="AC34" s="25">
        <f t="shared" si="0"/>
        <v>5.6461543641628573</v>
      </c>
      <c r="AD34" s="25">
        <f t="shared" si="4"/>
        <v>5.833777526268265</v>
      </c>
      <c r="AE34" s="25">
        <f t="shared" si="5"/>
        <v>1.6343577984273352</v>
      </c>
      <c r="AG34" s="101">
        <v>7.98</v>
      </c>
      <c r="AH34" s="101">
        <v>3.16351</v>
      </c>
      <c r="AI34" s="101">
        <v>0.52310000000000001</v>
      </c>
      <c r="AJ34" s="101">
        <v>-1.3916999999999999</v>
      </c>
      <c r="AK34" s="101">
        <v>-1.6415999999999999</v>
      </c>
      <c r="AL34" s="101">
        <v>-2.8369</v>
      </c>
      <c r="AM34" s="101">
        <v>-8.9599999999999999E-2</v>
      </c>
      <c r="AN34" s="101">
        <v>-1.1228</v>
      </c>
      <c r="AO34" s="101">
        <v>-1.8298000000000001</v>
      </c>
      <c r="AP34" s="101">
        <v>-1.2126999999999999</v>
      </c>
      <c r="AR34" s="50">
        <f t="shared" si="13"/>
        <v>0.13500000000000001</v>
      </c>
      <c r="AS34" s="50">
        <f t="shared" si="14"/>
        <v>1.452449482503696</v>
      </c>
      <c r="AT34" s="50">
        <f t="shared" si="15"/>
        <v>1.3717600000000002E-2</v>
      </c>
      <c r="AU34" s="50">
        <f t="shared" si="16"/>
        <v>0.58940399999999982</v>
      </c>
      <c r="AV34" s="50">
        <f t="shared" si="17"/>
        <v>10.758885055582933</v>
      </c>
    </row>
    <row r="35" spans="1:48" x14ac:dyDescent="0.35">
      <c r="A35" s="104">
        <v>16</v>
      </c>
      <c r="B35" s="28">
        <v>43696</v>
      </c>
      <c r="C35" s="31">
        <v>21</v>
      </c>
      <c r="D35" s="31">
        <v>104</v>
      </c>
      <c r="E35" s="31">
        <f t="shared" si="10"/>
        <v>2192</v>
      </c>
      <c r="F35" s="25">
        <f t="shared" si="3"/>
        <v>1</v>
      </c>
      <c r="G35" s="25">
        <f t="shared" si="18"/>
        <v>21.07692307692308</v>
      </c>
      <c r="H35" s="25"/>
      <c r="I35" s="31">
        <v>7.95</v>
      </c>
      <c r="J35" s="31">
        <v>558</v>
      </c>
      <c r="K35" s="12">
        <v>120.4</v>
      </c>
      <c r="L35" s="27">
        <v>125</v>
      </c>
      <c r="M35" s="18">
        <v>4</v>
      </c>
      <c r="N35" s="27">
        <v>1.5</v>
      </c>
      <c r="O35" s="31">
        <v>143</v>
      </c>
      <c r="P35" s="31">
        <v>27</v>
      </c>
      <c r="Q35" s="12">
        <v>80.08</v>
      </c>
      <c r="R35" s="6">
        <v>8.9749999999999996</v>
      </c>
      <c r="S35" s="12">
        <v>22.4</v>
      </c>
      <c r="T35" s="12">
        <v>22.55</v>
      </c>
      <c r="U35" s="6">
        <v>4.6550000000000002</v>
      </c>
      <c r="V35" s="169">
        <v>0.2</v>
      </c>
      <c r="W35" s="81">
        <v>0.02</v>
      </c>
      <c r="X35" s="81">
        <v>0.02</v>
      </c>
      <c r="Y35" s="81">
        <v>0.02</v>
      </c>
      <c r="Z35" s="81">
        <v>0.04</v>
      </c>
      <c r="AA35" s="11">
        <v>0.85499999999999998</v>
      </c>
      <c r="AB35" s="27"/>
      <c r="AC35" s="25">
        <f t="shared" si="0"/>
        <v>5.522334377740636</v>
      </c>
      <c r="AD35" s="25">
        <f t="shared" si="4"/>
        <v>5.8274740184831426</v>
      </c>
      <c r="AE35" s="25">
        <f t="shared" si="5"/>
        <v>2.6885003701386747</v>
      </c>
      <c r="AG35" s="101">
        <v>7.95</v>
      </c>
      <c r="AH35" s="101">
        <v>4.1370199999999997</v>
      </c>
      <c r="AI35" s="101">
        <v>0.48720000000000002</v>
      </c>
      <c r="AJ35" s="101">
        <v>-1.4</v>
      </c>
      <c r="AK35" s="101">
        <v>-1.6498999999999999</v>
      </c>
      <c r="AL35" s="101">
        <v>-2.8130999999999999</v>
      </c>
      <c r="AM35" s="101">
        <v>-0.16200000000000001</v>
      </c>
      <c r="AN35" s="101">
        <v>-1.1573</v>
      </c>
      <c r="AO35" s="101">
        <v>-1.8289</v>
      </c>
      <c r="AP35" s="101">
        <v>-1.2493000000000001</v>
      </c>
      <c r="AR35" s="50">
        <f t="shared" si="13"/>
        <v>0.125</v>
      </c>
      <c r="AS35" s="50">
        <f t="shared" si="14"/>
        <v>1.4212084770823061</v>
      </c>
      <c r="AT35" s="50">
        <f t="shared" si="15"/>
        <v>1.2677599999999999E-2</v>
      </c>
      <c r="AU35" s="50">
        <f t="shared" si="16"/>
        <v>0.57672639999999986</v>
      </c>
      <c r="AV35" s="50">
        <f t="shared" si="17"/>
        <v>11.369667816658449</v>
      </c>
    </row>
    <row r="36" spans="1:48" ht="15" customHeight="1" x14ac:dyDescent="0.35">
      <c r="A36" s="104">
        <v>16</v>
      </c>
      <c r="B36" s="28">
        <v>43697</v>
      </c>
      <c r="C36" s="31">
        <v>22</v>
      </c>
      <c r="D36" s="31">
        <v>104</v>
      </c>
      <c r="E36" s="31">
        <f t="shared" si="10"/>
        <v>2296</v>
      </c>
      <c r="F36" s="25">
        <f t="shared" si="3"/>
        <v>1</v>
      </c>
      <c r="G36" s="25">
        <f t="shared" si="18"/>
        <v>22.07692307692308</v>
      </c>
      <c r="H36" s="25"/>
      <c r="I36" s="31">
        <v>8.01</v>
      </c>
      <c r="J36" s="31">
        <v>516</v>
      </c>
      <c r="K36" s="12">
        <v>124.2</v>
      </c>
      <c r="L36" s="27">
        <v>118</v>
      </c>
      <c r="M36" s="18">
        <v>3.9</v>
      </c>
      <c r="N36" s="27">
        <v>1.5</v>
      </c>
      <c r="O36" s="31">
        <v>142</v>
      </c>
      <c r="P36" s="31">
        <v>28</v>
      </c>
      <c r="Q36" s="12">
        <v>79.86</v>
      </c>
      <c r="R36" s="6">
        <v>9.4049999999999994</v>
      </c>
      <c r="S36" s="12">
        <v>21.65</v>
      </c>
      <c r="T36" s="12">
        <v>22.58</v>
      </c>
      <c r="U36" s="6">
        <v>4.2880000000000003</v>
      </c>
      <c r="V36" s="169">
        <v>0.2</v>
      </c>
      <c r="W36" s="81">
        <v>0.02</v>
      </c>
      <c r="X36" s="81">
        <v>0.02</v>
      </c>
      <c r="Y36" s="81">
        <v>0.02</v>
      </c>
      <c r="Z36" s="81">
        <v>0.04</v>
      </c>
      <c r="AA36" s="11">
        <v>0.90700000000000003</v>
      </c>
      <c r="AB36" s="27"/>
      <c r="AC36" s="25">
        <f t="shared" si="0"/>
        <v>5.5746931826366124</v>
      </c>
      <c r="AD36" s="25">
        <f t="shared" si="4"/>
        <v>5.8098487479050869</v>
      </c>
      <c r="AE36" s="25">
        <f t="shared" si="5"/>
        <v>2.0655689680198255</v>
      </c>
      <c r="AG36" s="101">
        <v>8.01</v>
      </c>
      <c r="AH36" s="101">
        <v>3.4151600000000002</v>
      </c>
      <c r="AI36" s="101">
        <v>0.55720000000000003</v>
      </c>
      <c r="AJ36" s="101">
        <v>-1.4052</v>
      </c>
      <c r="AK36" s="101">
        <v>-1.6551</v>
      </c>
      <c r="AL36" s="101">
        <v>-2.8613</v>
      </c>
      <c r="AM36" s="101">
        <v>-2.9999999999999997E-4</v>
      </c>
      <c r="AN36" s="101">
        <v>-1.0857000000000001</v>
      </c>
      <c r="AO36" s="101">
        <v>-1.8309</v>
      </c>
      <c r="AP36" s="101">
        <v>-1.1575</v>
      </c>
      <c r="AR36" s="50">
        <f t="shared" si="13"/>
        <v>0.11799999999999999</v>
      </c>
      <c r="AS36" s="50">
        <f t="shared" si="14"/>
        <v>1.3917614588467222</v>
      </c>
      <c r="AT36" s="50">
        <f t="shared" si="15"/>
        <v>1.1949599999999998E-2</v>
      </c>
      <c r="AU36" s="50">
        <f t="shared" si="16"/>
        <v>0.56477679999999986</v>
      </c>
      <c r="AV36" s="50">
        <f t="shared" si="17"/>
        <v>11.794588634294257</v>
      </c>
    </row>
    <row r="37" spans="1:48" s="106" customFormat="1" ht="15" customHeight="1" x14ac:dyDescent="0.35">
      <c r="A37" s="106">
        <v>16</v>
      </c>
      <c r="B37" s="28">
        <v>43698</v>
      </c>
      <c r="C37" s="106">
        <v>23</v>
      </c>
      <c r="D37" s="106">
        <v>104</v>
      </c>
      <c r="E37" s="106">
        <f t="shared" ref="E37:E52" si="19">E36+D37</f>
        <v>2400</v>
      </c>
      <c r="F37" s="25">
        <f t="shared" ref="F37:F56" si="20">D37/104</f>
        <v>1</v>
      </c>
      <c r="G37" s="25">
        <f t="shared" ref="G37:G52" si="21">G36+F37</f>
        <v>23.07692307692308</v>
      </c>
      <c r="H37" s="25"/>
      <c r="I37" s="106">
        <v>8.0299999999999994</v>
      </c>
      <c r="J37" s="106">
        <v>559</v>
      </c>
      <c r="K37" s="12">
        <v>125</v>
      </c>
      <c r="L37" s="27">
        <v>109</v>
      </c>
      <c r="M37" s="18">
        <v>3.7</v>
      </c>
      <c r="N37" s="27">
        <v>1.5</v>
      </c>
      <c r="O37" s="106">
        <v>134</v>
      </c>
      <c r="P37" s="106">
        <v>26</v>
      </c>
      <c r="Q37" s="12">
        <v>80.28</v>
      </c>
      <c r="R37" s="12">
        <v>9.5909999999999993</v>
      </c>
      <c r="S37" s="12">
        <v>21.82</v>
      </c>
      <c r="T37" s="12">
        <v>22.51</v>
      </c>
      <c r="U37" s="6">
        <v>4.4089999999999998</v>
      </c>
      <c r="V37" s="169">
        <v>0.2</v>
      </c>
      <c r="W37" s="81">
        <v>0.02</v>
      </c>
      <c r="X37" s="103">
        <v>3.2000000000000001E-2</v>
      </c>
      <c r="Y37" s="81">
        <v>0.02</v>
      </c>
      <c r="Z37" s="81">
        <v>0.04</v>
      </c>
      <c r="AA37" s="11">
        <v>0.90700000000000003</v>
      </c>
      <c r="AB37" s="27"/>
      <c r="AC37" s="25">
        <f t="shared" si="0"/>
        <v>5.4184888686309378</v>
      </c>
      <c r="AD37" s="25">
        <f t="shared" si="4"/>
        <v>5.8565920328812524</v>
      </c>
      <c r="AE37" s="25">
        <f t="shared" si="5"/>
        <v>3.8855877671933792</v>
      </c>
      <c r="AG37" s="101">
        <v>8.0299999999999994</v>
      </c>
      <c r="AH37" s="101">
        <v>5.4094499999999996</v>
      </c>
      <c r="AI37" s="101">
        <v>0.5847</v>
      </c>
      <c r="AJ37" s="101">
        <v>-1.4255</v>
      </c>
      <c r="AK37" s="101">
        <v>-1.6754</v>
      </c>
      <c r="AL37" s="101">
        <v>-2.8791000000000002</v>
      </c>
      <c r="AM37" s="101">
        <v>6.0499999999999998E-2</v>
      </c>
      <c r="AN37" s="101">
        <v>-1.0608</v>
      </c>
      <c r="AO37" s="101">
        <v>-1.8249</v>
      </c>
      <c r="AP37" s="101">
        <v>-1.1241000000000001</v>
      </c>
      <c r="AR37" s="50">
        <f t="shared" si="13"/>
        <v>0.109</v>
      </c>
      <c r="AS37" s="50">
        <f t="shared" si="14"/>
        <v>1.3646209955643172</v>
      </c>
      <c r="AT37" s="50">
        <f t="shared" si="15"/>
        <v>1.1013599999999998E-2</v>
      </c>
      <c r="AU37" s="50">
        <f t="shared" si="16"/>
        <v>0.5537631999999999</v>
      </c>
      <c r="AV37" s="50">
        <f t="shared" si="17"/>
        <v>12.519458674901992</v>
      </c>
    </row>
    <row r="38" spans="1:48" s="106" customFormat="1" ht="15" customHeight="1" x14ac:dyDescent="0.35">
      <c r="A38" s="106">
        <v>16</v>
      </c>
      <c r="B38" s="28">
        <v>43699</v>
      </c>
      <c r="C38" s="106">
        <v>24</v>
      </c>
      <c r="D38" s="106">
        <v>105</v>
      </c>
      <c r="E38" s="106">
        <f t="shared" si="19"/>
        <v>2505</v>
      </c>
      <c r="F38" s="25">
        <f t="shared" si="20"/>
        <v>1.0096153846153846</v>
      </c>
      <c r="G38" s="25">
        <f t="shared" si="21"/>
        <v>24.086538461538463</v>
      </c>
      <c r="H38" s="25"/>
      <c r="I38" s="106">
        <v>7.84</v>
      </c>
      <c r="J38" s="106">
        <v>558</v>
      </c>
      <c r="K38" s="12">
        <v>122.8</v>
      </c>
      <c r="L38" s="27">
        <v>107</v>
      </c>
      <c r="M38" s="18">
        <v>4</v>
      </c>
      <c r="N38" s="27">
        <v>1.5</v>
      </c>
      <c r="O38" s="106">
        <v>140</v>
      </c>
      <c r="P38" s="106">
        <v>28</v>
      </c>
      <c r="Q38" s="12">
        <v>78.959999999999994</v>
      </c>
      <c r="R38" s="12">
        <v>9.65</v>
      </c>
      <c r="S38" s="12">
        <v>21.56</v>
      </c>
      <c r="T38" s="12">
        <v>22.49</v>
      </c>
      <c r="U38" s="6">
        <v>4.3369999999999997</v>
      </c>
      <c r="V38" s="169">
        <v>0.2</v>
      </c>
      <c r="W38" s="81">
        <v>0.02</v>
      </c>
      <c r="X38" s="81">
        <v>0.02</v>
      </c>
      <c r="Y38" s="81">
        <v>0.02</v>
      </c>
      <c r="Z38" s="81">
        <v>0.04</v>
      </c>
      <c r="AA38" s="11">
        <v>0.91</v>
      </c>
      <c r="AB38" s="27"/>
      <c r="AC38" s="25">
        <f t="shared" si="0"/>
        <v>5.5078734158418232</v>
      </c>
      <c r="AD38" s="25">
        <f t="shared" si="4"/>
        <v>5.7824250459695641</v>
      </c>
      <c r="AE38" s="25">
        <f t="shared" si="5"/>
        <v>2.4317482044995691</v>
      </c>
      <c r="AG38" s="101">
        <v>7.84</v>
      </c>
      <c r="AH38" s="101">
        <v>3.8543699999999999</v>
      </c>
      <c r="AI38" s="101">
        <v>0.3841</v>
      </c>
      <c r="AJ38" s="101">
        <v>-1.4135</v>
      </c>
      <c r="AK38" s="101">
        <v>-1.6633</v>
      </c>
      <c r="AL38" s="101">
        <v>-2.6918000000000002</v>
      </c>
      <c r="AM38" s="101">
        <v>-0.33100000000000002</v>
      </c>
      <c r="AN38" s="101">
        <v>-1.2549999999999999</v>
      </c>
      <c r="AO38" s="101">
        <v>-1.833</v>
      </c>
      <c r="AP38" s="101">
        <v>-1.3150999999999999</v>
      </c>
      <c r="AR38" s="50">
        <f t="shared" si="13"/>
        <v>0.107</v>
      </c>
      <c r="AS38" s="50">
        <f t="shared" si="14"/>
        <v>1.3379931000492853</v>
      </c>
      <c r="AT38" s="50">
        <f t="shared" si="15"/>
        <v>1.0805599999999999E-2</v>
      </c>
      <c r="AU38" s="50">
        <f t="shared" si="16"/>
        <v>0.54295759999999993</v>
      </c>
      <c r="AV38" s="50">
        <f t="shared" si="17"/>
        <v>12.504608411675564</v>
      </c>
    </row>
    <row r="39" spans="1:48" s="164" customFormat="1" ht="15" customHeight="1" x14ac:dyDescent="0.35">
      <c r="B39" s="28"/>
      <c r="F39" s="25"/>
      <c r="G39" s="25"/>
      <c r="H39" s="25"/>
      <c r="L39" s="27"/>
      <c r="M39" s="26"/>
      <c r="N39" s="26"/>
      <c r="Q39" s="85"/>
      <c r="R39" s="85"/>
      <c r="S39" s="85"/>
      <c r="T39" s="85"/>
      <c r="U39" s="85"/>
      <c r="V39" s="81"/>
      <c r="W39" s="81"/>
      <c r="X39" s="81"/>
      <c r="Y39" s="26"/>
      <c r="Z39" s="26"/>
      <c r="AA39" s="103"/>
      <c r="AB39" s="27"/>
      <c r="AC39" s="25"/>
      <c r="AD39" s="25"/>
      <c r="AE39" s="25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R39" s="176"/>
      <c r="AS39" s="176"/>
      <c r="AT39" s="176"/>
      <c r="AU39" s="176"/>
      <c r="AV39" s="176"/>
    </row>
    <row r="40" spans="1:48" s="109" customFormat="1" ht="15" customHeight="1" x14ac:dyDescent="0.35">
      <c r="A40" s="206" t="s">
        <v>276</v>
      </c>
      <c r="B40" s="207"/>
      <c r="C40" s="207"/>
      <c r="D40" s="207"/>
      <c r="E40" s="207"/>
      <c r="F40" s="25"/>
      <c r="G40" s="25"/>
      <c r="H40" s="25"/>
      <c r="I40" s="6">
        <f>AVERAGE(B73:B83)</f>
        <v>7.1554545454545462</v>
      </c>
      <c r="J40" s="12">
        <f>'Influent Results Master'!D58</f>
        <v>2666.25</v>
      </c>
      <c r="K40" s="12">
        <f>'Influent Results Master'!F58</f>
        <v>340.375</v>
      </c>
      <c r="L40" s="12">
        <f>'Influent Results Master'!G58</f>
        <v>595.25</v>
      </c>
      <c r="M40" s="12">
        <f>'Influent Results Master'!H58</f>
        <v>83</v>
      </c>
      <c r="N40" s="169">
        <f>'Influent Results Master'!I58</f>
        <v>0.5</v>
      </c>
      <c r="O40" s="12">
        <f>'Influent Results Master'!J58</f>
        <v>1120</v>
      </c>
      <c r="P40" s="12">
        <f>'Influent Results Master'!K58</f>
        <v>31.5</v>
      </c>
      <c r="Q40" s="12">
        <f>'Influent Results Master'!L58</f>
        <v>290.3</v>
      </c>
      <c r="R40" s="12">
        <f>'Influent Results Master'!M58</f>
        <v>112.95</v>
      </c>
      <c r="S40" s="12">
        <f>'Influent Results Master'!N58</f>
        <v>238.57500000000002</v>
      </c>
      <c r="T40" s="12">
        <f>'Influent Results Master'!O58</f>
        <v>22.385000000000002</v>
      </c>
      <c r="U40" s="6">
        <f>'Influent Results Master'!P58</f>
        <v>8.1567499999999988</v>
      </c>
      <c r="V40" s="169">
        <f>'Influent Results Master'!Q58</f>
        <v>0.20000000000000004</v>
      </c>
      <c r="W40" s="161">
        <f>'Influent Results Master'!R58</f>
        <v>2.1000000000000001E-2</v>
      </c>
      <c r="X40" s="81">
        <f>'Influent Results Master'!S58</f>
        <v>0.02</v>
      </c>
      <c r="Y40" s="25">
        <f>'Influent Results Master'!T58</f>
        <v>0.19499999999999998</v>
      </c>
      <c r="Z40" s="81">
        <f>'Influent Results Master'!U58</f>
        <v>0.04</v>
      </c>
      <c r="AA40" s="6">
        <f>'Influent Results Master'!V58</f>
        <v>2.5666666666666669</v>
      </c>
      <c r="AB40" s="27"/>
      <c r="AC40" s="25"/>
      <c r="AD40" s="25"/>
      <c r="AE40" s="25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R40" s="109">
        <v>0.58799999999999997</v>
      </c>
    </row>
    <row r="41" spans="1:48" s="164" customFormat="1" ht="15" customHeight="1" x14ac:dyDescent="0.35">
      <c r="B41" s="162"/>
      <c r="C41" s="162"/>
      <c r="D41" s="162"/>
      <c r="E41" s="162"/>
      <c r="F41" s="25"/>
      <c r="G41" s="25"/>
      <c r="H41" s="25"/>
      <c r="L41" s="27"/>
      <c r="M41" s="26"/>
      <c r="N41" s="26"/>
      <c r="V41" s="81"/>
      <c r="W41" s="81"/>
      <c r="X41" s="81"/>
      <c r="Y41" s="26"/>
      <c r="Z41" s="26"/>
      <c r="AA41" s="27"/>
      <c r="AB41" s="27"/>
      <c r="AC41" s="25"/>
      <c r="AD41" s="25"/>
      <c r="AE41" s="25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</row>
    <row r="42" spans="1:48" s="106" customFormat="1" ht="15" customHeight="1" x14ac:dyDescent="0.35">
      <c r="A42" s="106">
        <v>16</v>
      </c>
      <c r="B42" s="28">
        <v>43700</v>
      </c>
      <c r="C42" s="106">
        <v>25</v>
      </c>
      <c r="D42" s="106">
        <v>104</v>
      </c>
      <c r="E42" s="106">
        <f>E38+D42</f>
        <v>2609</v>
      </c>
      <c r="F42" s="25">
        <f t="shared" si="20"/>
        <v>1</v>
      </c>
      <c r="G42" s="25">
        <f>G38+F42</f>
        <v>25.086538461538463</v>
      </c>
      <c r="H42" s="25">
        <v>0</v>
      </c>
      <c r="I42" s="106">
        <v>8.02</v>
      </c>
      <c r="J42" s="106">
        <v>546</v>
      </c>
      <c r="K42" s="12">
        <v>121.8</v>
      </c>
      <c r="L42" s="27">
        <v>98</v>
      </c>
      <c r="M42" s="27">
        <v>26</v>
      </c>
      <c r="N42" s="169">
        <v>0.5</v>
      </c>
      <c r="O42" s="106">
        <v>172.4</v>
      </c>
      <c r="P42" s="106">
        <v>22</v>
      </c>
      <c r="Q42" s="12">
        <v>78.739999999999995</v>
      </c>
      <c r="R42" s="12">
        <v>9.6790000000000003</v>
      </c>
      <c r="S42" s="12">
        <v>21.56</v>
      </c>
      <c r="T42" s="12">
        <v>22.2</v>
      </c>
      <c r="U42" s="6">
        <v>4.4279999999999999</v>
      </c>
      <c r="V42" s="169">
        <v>0.2</v>
      </c>
      <c r="W42" s="81">
        <v>0.02</v>
      </c>
      <c r="X42" s="81">
        <v>0.02</v>
      </c>
      <c r="Y42" s="81">
        <v>0.02</v>
      </c>
      <c r="Z42" s="81">
        <v>0.04</v>
      </c>
      <c r="AA42" s="11">
        <v>0.91300000000000003</v>
      </c>
      <c r="AB42" s="27"/>
      <c r="AC42" s="25">
        <f t="shared" ref="AC42:AC52" si="22">((K42/50)+(M42/35.45)+(N42/62)+(O42/48.03))</f>
        <v>6.766915155729869</v>
      </c>
      <c r="AD42" s="25">
        <f t="shared" si="4"/>
        <v>5.7761592362073415</v>
      </c>
      <c r="AE42" s="25">
        <f t="shared" si="5"/>
        <v>7.8988283778289103</v>
      </c>
      <c r="AG42" s="101">
        <v>8.02</v>
      </c>
      <c r="AH42" s="101">
        <v>-2.6225800000000001</v>
      </c>
      <c r="AI42" s="101">
        <v>0.53920000000000001</v>
      </c>
      <c r="AJ42" s="101">
        <v>-1.3401000000000001</v>
      </c>
      <c r="AK42" s="101">
        <v>-1.59</v>
      </c>
      <c r="AL42" s="101">
        <v>-2.8801000000000001</v>
      </c>
      <c r="AM42" s="101">
        <v>-1.6E-2</v>
      </c>
      <c r="AN42" s="101">
        <v>-1.0962000000000001</v>
      </c>
      <c r="AO42" s="101">
        <v>-1.8534999999999999</v>
      </c>
      <c r="AP42" s="101">
        <v>-1.1553</v>
      </c>
      <c r="AR42" s="50">
        <f>L42/1000</f>
        <v>9.8000000000000004E-2</v>
      </c>
      <c r="AS42" s="50">
        <f>AU42/($AT$7)</f>
        <v>1.4635722030556924</v>
      </c>
      <c r="AT42" s="50">
        <f>(AR42-$AR$40)*0.104</f>
        <v>-5.0959999999999998E-2</v>
      </c>
      <c r="AU42" s="50">
        <f>AU38-AT42</f>
        <v>0.59391759999999993</v>
      </c>
      <c r="AV42" s="50">
        <f>AS42/AR42</f>
        <v>14.934410235262167</v>
      </c>
    </row>
    <row r="43" spans="1:48" s="106" customFormat="1" ht="15" customHeight="1" x14ac:dyDescent="0.35">
      <c r="A43" s="106">
        <v>16</v>
      </c>
      <c r="B43" s="28">
        <v>43701</v>
      </c>
      <c r="C43" s="106">
        <v>26</v>
      </c>
      <c r="D43" s="106">
        <v>105</v>
      </c>
      <c r="E43" s="106">
        <f t="shared" si="19"/>
        <v>2714</v>
      </c>
      <c r="F43" s="25">
        <f t="shared" si="20"/>
        <v>1.0096153846153846</v>
      </c>
      <c r="G43" s="25">
        <f t="shared" si="21"/>
        <v>26.096153846153847</v>
      </c>
      <c r="H43" s="25">
        <f>0+F43</f>
        <v>1.0096153846153846</v>
      </c>
      <c r="I43" s="106">
        <v>7.71</v>
      </c>
      <c r="J43" s="106">
        <v>1544</v>
      </c>
      <c r="K43" s="12">
        <v>179.4</v>
      </c>
      <c r="L43" s="27">
        <v>221</v>
      </c>
      <c r="M43" s="27">
        <v>50</v>
      </c>
      <c r="N43" s="169">
        <v>0.5</v>
      </c>
      <c r="O43" s="106">
        <v>600</v>
      </c>
      <c r="P43" s="106">
        <v>36</v>
      </c>
      <c r="Q43" s="12">
        <v>298.8</v>
      </c>
      <c r="R43" s="12">
        <v>35.840000000000003</v>
      </c>
      <c r="S43" s="12">
        <v>39.6</v>
      </c>
      <c r="T43" s="12">
        <v>23.72</v>
      </c>
      <c r="U43" s="6">
        <v>7.7969999999999997</v>
      </c>
      <c r="V43" s="169">
        <v>0.2</v>
      </c>
      <c r="W43" s="81">
        <v>0.02</v>
      </c>
      <c r="X43" s="81">
        <v>0.02</v>
      </c>
      <c r="Y43" s="81">
        <v>0.02</v>
      </c>
      <c r="Z43" s="81">
        <v>0.04</v>
      </c>
      <c r="AA43" s="18">
        <v>3.3679999999999999</v>
      </c>
      <c r="AB43" s="27"/>
      <c r="AC43" s="25">
        <f t="shared" si="22"/>
        <v>17.498694131434696</v>
      </c>
      <c r="AD43" s="25">
        <f t="shared" si="4"/>
        <v>19.779447864754591</v>
      </c>
      <c r="AE43" s="25">
        <f t="shared" si="5"/>
        <v>6.1182065714354579</v>
      </c>
      <c r="AG43" s="101">
        <v>7.71</v>
      </c>
      <c r="AH43" s="101">
        <v>8.0254100000000008</v>
      </c>
      <c r="AI43" s="101">
        <v>0.79559999999999997</v>
      </c>
      <c r="AJ43" s="101">
        <v>-0.53810000000000002</v>
      </c>
      <c r="AK43" s="101">
        <v>-0.78779999999999994</v>
      </c>
      <c r="AL43" s="101">
        <v>-2.4403999999999999</v>
      </c>
      <c r="AM43" s="101">
        <v>0.49340000000000001</v>
      </c>
      <c r="AN43" s="101">
        <v>-1.4423999999999999</v>
      </c>
      <c r="AO43" s="101">
        <v>-1.5138</v>
      </c>
      <c r="AP43" s="101">
        <v>-0.90229999999999999</v>
      </c>
      <c r="AR43" s="50">
        <f t="shared" ref="AR43" si="23">L43/1000</f>
        <v>0.221</v>
      </c>
      <c r="AS43" s="50">
        <f t="shared" ref="AS43" si="24">AU43/($AT$7)</f>
        <v>1.5576283883686544</v>
      </c>
      <c r="AT43" s="50">
        <f>(AR43-$AR$40)*0.104</f>
        <v>-3.8168000000000001E-2</v>
      </c>
      <c r="AU43" s="50">
        <f>AU42-AT43</f>
        <v>0.63208559999999991</v>
      </c>
      <c r="AV43" s="50">
        <f t="shared" ref="AV43" si="25">AS43/AR43</f>
        <v>7.0480922550617846</v>
      </c>
    </row>
    <row r="44" spans="1:48" s="106" customFormat="1" ht="15" customHeight="1" x14ac:dyDescent="0.35">
      <c r="A44" s="106">
        <v>16</v>
      </c>
      <c r="B44" s="28">
        <v>43702</v>
      </c>
      <c r="C44" s="106">
        <v>27</v>
      </c>
      <c r="D44" s="106">
        <v>106</v>
      </c>
      <c r="E44" s="106">
        <f t="shared" si="19"/>
        <v>2820</v>
      </c>
      <c r="F44" s="25">
        <f t="shared" si="20"/>
        <v>1.0192307692307692</v>
      </c>
      <c r="G44" s="25">
        <f t="shared" si="21"/>
        <v>27.115384615384617</v>
      </c>
      <c r="H44" s="25">
        <f>F44+H43</f>
        <v>2.0288461538461537</v>
      </c>
      <c r="I44" s="106">
        <v>7.75</v>
      </c>
      <c r="J44" s="106">
        <v>2370</v>
      </c>
      <c r="K44" s="12">
        <v>302</v>
      </c>
      <c r="L44" s="27">
        <v>399</v>
      </c>
      <c r="M44" s="27">
        <v>79</v>
      </c>
      <c r="N44" s="169">
        <v>0.5</v>
      </c>
      <c r="O44" s="106">
        <v>1000</v>
      </c>
      <c r="P44" s="106">
        <v>54</v>
      </c>
      <c r="Q44" s="12">
        <v>436.1</v>
      </c>
      <c r="R44" s="12">
        <v>55.41</v>
      </c>
      <c r="S44" s="12">
        <v>116.5</v>
      </c>
      <c r="T44" s="12">
        <v>25.94</v>
      </c>
      <c r="U44" s="12">
        <v>11.91</v>
      </c>
      <c r="V44" s="169">
        <v>0.2</v>
      </c>
      <c r="W44" s="81">
        <v>0.02</v>
      </c>
      <c r="X44" s="81">
        <v>0.02</v>
      </c>
      <c r="Y44" s="103">
        <v>3.5000000000000003E-2</v>
      </c>
      <c r="Z44" s="81">
        <v>0.04</v>
      </c>
      <c r="AA44" s="18">
        <v>4.9420000000000002</v>
      </c>
      <c r="AB44" s="27"/>
      <c r="AC44" s="25">
        <f t="shared" si="22"/>
        <v>29.096875981224748</v>
      </c>
      <c r="AD44" s="25">
        <f t="shared" si="4"/>
        <v>31.690244665183329</v>
      </c>
      <c r="AE44" s="25">
        <f t="shared" si="5"/>
        <v>4.2663127589870848</v>
      </c>
      <c r="AG44" s="101">
        <v>7.75</v>
      </c>
      <c r="AH44" s="101">
        <v>5.84687</v>
      </c>
      <c r="AI44" s="101">
        <v>1.1257999999999999</v>
      </c>
      <c r="AJ44" s="101">
        <v>-0.29480000000000001</v>
      </c>
      <c r="AK44" s="101">
        <v>-0.54430000000000001</v>
      </c>
      <c r="AL44" s="101">
        <v>-2.2744</v>
      </c>
      <c r="AM44" s="101">
        <v>1.1851</v>
      </c>
      <c r="AN44" s="101">
        <v>-1.0489999999999999</v>
      </c>
      <c r="AO44" s="101">
        <v>-1.4766999999999999</v>
      </c>
      <c r="AP44" s="101">
        <v>-0.54059999999999997</v>
      </c>
      <c r="AR44" s="50">
        <f t="shared" ref="AR44:AR52" si="26">L44/1000</f>
        <v>0.39900000000000002</v>
      </c>
      <c r="AS44" s="50">
        <f t="shared" ref="AS44:AS52" si="27">AU44/($AT$7)</f>
        <v>1.6060660423854114</v>
      </c>
      <c r="AT44" s="50">
        <f t="shared" ref="AT44:AT52" si="28">(AR44-$AR$40)*0.104</f>
        <v>-1.9655999999999993E-2</v>
      </c>
      <c r="AU44" s="50">
        <f t="shared" ref="AU44:AU52" si="29">AU43-AT44</f>
        <v>0.65174159999999992</v>
      </c>
      <c r="AV44" s="50">
        <f t="shared" ref="AV44:AV52" si="30">AS44/AR44</f>
        <v>4.0252281764045392</v>
      </c>
    </row>
    <row r="45" spans="1:48" s="106" customFormat="1" ht="15" customHeight="1" x14ac:dyDescent="0.35">
      <c r="A45" s="106">
        <v>16</v>
      </c>
      <c r="B45" s="28">
        <v>43703</v>
      </c>
      <c r="C45" s="106">
        <v>28</v>
      </c>
      <c r="D45" s="106">
        <v>104</v>
      </c>
      <c r="E45" s="106">
        <f t="shared" si="19"/>
        <v>2924</v>
      </c>
      <c r="F45" s="25">
        <f t="shared" si="20"/>
        <v>1</v>
      </c>
      <c r="G45" s="25">
        <f t="shared" si="21"/>
        <v>28.115384615384617</v>
      </c>
      <c r="H45" s="25">
        <f t="shared" ref="H45:H51" si="31">F45+H44</f>
        <v>3.0288461538461537</v>
      </c>
      <c r="I45" s="106">
        <v>7.75</v>
      </c>
      <c r="J45" s="106">
        <v>2520</v>
      </c>
      <c r="K45" s="12">
        <v>339</v>
      </c>
      <c r="L45" s="27">
        <v>441</v>
      </c>
      <c r="M45" s="27">
        <v>83</v>
      </c>
      <c r="N45" s="169">
        <v>0.5</v>
      </c>
      <c r="O45" s="106">
        <v>1059</v>
      </c>
      <c r="P45" s="106">
        <v>56</v>
      </c>
      <c r="Q45" s="12">
        <v>395.4</v>
      </c>
      <c r="R45" s="12">
        <v>54.3</v>
      </c>
      <c r="S45" s="12">
        <v>186.4</v>
      </c>
      <c r="T45" s="12">
        <v>26.3</v>
      </c>
      <c r="U45" s="12">
        <v>15.1</v>
      </c>
      <c r="V45" s="169">
        <v>0.2</v>
      </c>
      <c r="W45" s="81">
        <v>0.02</v>
      </c>
      <c r="X45" s="81">
        <v>0.02</v>
      </c>
      <c r="Y45" s="103">
        <v>4.8000000000000001E-2</v>
      </c>
      <c r="Z45" s="81">
        <v>0.04</v>
      </c>
      <c r="AA45" s="18">
        <v>4.5229999999999997</v>
      </c>
      <c r="AB45" s="27"/>
      <c r="AC45" s="25">
        <f t="shared" si="22"/>
        <v>31.178109877411515</v>
      </c>
      <c r="AD45" s="25">
        <f t="shared" si="4"/>
        <v>32.690061695039262</v>
      </c>
      <c r="AE45" s="25">
        <f t="shared" si="5"/>
        <v>2.3673009268984924</v>
      </c>
      <c r="AG45" s="101">
        <v>7.75</v>
      </c>
      <c r="AH45" s="101">
        <v>3.24221</v>
      </c>
      <c r="AI45" s="101">
        <v>1.1220000000000001</v>
      </c>
      <c r="AJ45" s="101">
        <v>-0.31640000000000001</v>
      </c>
      <c r="AK45" s="101">
        <v>-0.56579999999999997</v>
      </c>
      <c r="AL45" s="101">
        <v>-2.2208000000000001</v>
      </c>
      <c r="AM45" s="101">
        <v>1.2134</v>
      </c>
      <c r="AN45" s="101">
        <v>-0.87260000000000004</v>
      </c>
      <c r="AO45" s="101">
        <v>-1.5381</v>
      </c>
      <c r="AP45" s="101">
        <v>-0.50860000000000005</v>
      </c>
      <c r="AR45" s="50">
        <f t="shared" si="26"/>
        <v>0.441</v>
      </c>
      <c r="AS45" s="50">
        <f t="shared" si="27"/>
        <v>1.6437397732873333</v>
      </c>
      <c r="AT45" s="50">
        <f t="shared" si="28"/>
        <v>-1.5287999999999996E-2</v>
      </c>
      <c r="AU45" s="50">
        <f t="shared" si="29"/>
        <v>0.66702959999999989</v>
      </c>
      <c r="AV45" s="50">
        <f t="shared" si="30"/>
        <v>3.7273010732139076</v>
      </c>
    </row>
    <row r="46" spans="1:48" s="106" customFormat="1" ht="15" customHeight="1" x14ac:dyDescent="0.35">
      <c r="A46" s="106">
        <v>16</v>
      </c>
      <c r="B46" s="28">
        <v>43704</v>
      </c>
      <c r="C46" s="106">
        <v>29</v>
      </c>
      <c r="D46" s="106">
        <v>105</v>
      </c>
      <c r="E46" s="106">
        <f t="shared" si="19"/>
        <v>3029</v>
      </c>
      <c r="F46" s="25">
        <f t="shared" si="20"/>
        <v>1.0096153846153846</v>
      </c>
      <c r="G46" s="25">
        <f t="shared" si="21"/>
        <v>29.125</v>
      </c>
      <c r="H46" s="25">
        <f t="shared" si="31"/>
        <v>4.0384615384615383</v>
      </c>
      <c r="I46" s="106">
        <v>7.65</v>
      </c>
      <c r="J46" s="106">
        <v>2570</v>
      </c>
      <c r="K46" s="12">
        <v>349.8</v>
      </c>
      <c r="L46" s="27">
        <v>472</v>
      </c>
      <c r="M46" s="27">
        <v>83</v>
      </c>
      <c r="N46" s="169">
        <v>0.5</v>
      </c>
      <c r="O46" s="106">
        <v>1070</v>
      </c>
      <c r="P46" s="106">
        <v>45</v>
      </c>
      <c r="Q46" s="21">
        <v>371</v>
      </c>
      <c r="R46" s="21">
        <v>55.09</v>
      </c>
      <c r="S46" s="21">
        <v>213.6</v>
      </c>
      <c r="T46" s="21">
        <v>26.04</v>
      </c>
      <c r="U46" s="21">
        <v>16.2</v>
      </c>
      <c r="V46" s="169">
        <v>0.2</v>
      </c>
      <c r="W46" s="81">
        <v>0.02</v>
      </c>
      <c r="X46" s="81">
        <v>0.02</v>
      </c>
      <c r="Y46" s="33">
        <v>0.06</v>
      </c>
      <c r="Z46" s="81">
        <v>0.04</v>
      </c>
      <c r="AA46" s="18">
        <v>4.5709999999999997</v>
      </c>
      <c r="AB46" s="27"/>
      <c r="AC46" s="25">
        <f t="shared" si="22"/>
        <v>31.623133404373831</v>
      </c>
      <c r="AD46" s="25">
        <f t="shared" si="4"/>
        <v>32.748720019369003</v>
      </c>
      <c r="AE46" s="25">
        <f t="shared" si="5"/>
        <v>1.7485695302040372</v>
      </c>
      <c r="AG46" s="101">
        <v>7.65</v>
      </c>
      <c r="AH46" s="101">
        <v>2.4178799999999998</v>
      </c>
      <c r="AI46" s="101">
        <v>1.0091000000000001</v>
      </c>
      <c r="AJ46" s="101">
        <v>-0.3372</v>
      </c>
      <c r="AK46" s="101">
        <v>-0.58660000000000001</v>
      </c>
      <c r="AL46" s="101">
        <v>-2.1025999999999998</v>
      </c>
      <c r="AM46" s="101">
        <v>1.0219</v>
      </c>
      <c r="AN46" s="101">
        <v>-0.86099999999999999</v>
      </c>
      <c r="AO46" s="101">
        <v>-1.5699000000000001</v>
      </c>
      <c r="AP46" s="101">
        <v>-0.58720000000000006</v>
      </c>
      <c r="AR46" s="50">
        <f t="shared" si="26"/>
        <v>0.47199999999999998</v>
      </c>
      <c r="AS46" s="50">
        <f t="shared" si="27"/>
        <v>1.6734687037949725</v>
      </c>
      <c r="AT46" s="50">
        <f t="shared" si="28"/>
        <v>-1.2063999999999998E-2</v>
      </c>
      <c r="AU46" s="50">
        <f t="shared" si="29"/>
        <v>0.67909359999999985</v>
      </c>
      <c r="AV46" s="50">
        <f t="shared" si="30"/>
        <v>3.5454845419385013</v>
      </c>
    </row>
    <row r="47" spans="1:48" s="106" customFormat="1" ht="15" customHeight="1" x14ac:dyDescent="0.35">
      <c r="A47" s="106">
        <v>16</v>
      </c>
      <c r="B47" s="28">
        <v>43705</v>
      </c>
      <c r="C47" s="106">
        <v>30</v>
      </c>
      <c r="D47" s="106">
        <v>104</v>
      </c>
      <c r="E47" s="106">
        <f t="shared" si="19"/>
        <v>3133</v>
      </c>
      <c r="F47" s="25">
        <f t="shared" si="20"/>
        <v>1</v>
      </c>
      <c r="G47" s="25">
        <f t="shared" si="21"/>
        <v>30.125</v>
      </c>
      <c r="H47" s="25">
        <f t="shared" si="31"/>
        <v>5.0384615384615383</v>
      </c>
      <c r="I47" s="106">
        <v>7.64</v>
      </c>
      <c r="J47" s="106">
        <v>2580</v>
      </c>
      <c r="K47" s="12">
        <v>353.8</v>
      </c>
      <c r="L47" s="27">
        <v>498</v>
      </c>
      <c r="M47" s="27">
        <v>84</v>
      </c>
      <c r="N47" s="169">
        <v>0.5</v>
      </c>
      <c r="O47" s="106">
        <v>1078</v>
      </c>
      <c r="P47" s="106">
        <v>36</v>
      </c>
      <c r="Q47" s="12">
        <v>374.3</v>
      </c>
      <c r="R47" s="12">
        <v>55.69</v>
      </c>
      <c r="S47" s="12">
        <v>221.4</v>
      </c>
      <c r="T47" s="12">
        <v>25.67</v>
      </c>
      <c r="U47" s="12">
        <v>16.440000000000001</v>
      </c>
      <c r="V47" s="169">
        <v>0.2</v>
      </c>
      <c r="W47" s="81">
        <v>0.02</v>
      </c>
      <c r="X47" s="81">
        <v>0.02</v>
      </c>
      <c r="Y47" s="33">
        <v>0.06</v>
      </c>
      <c r="Z47" s="81">
        <v>0.04</v>
      </c>
      <c r="AA47" s="18">
        <v>4.274</v>
      </c>
      <c r="AB47" s="27"/>
      <c r="AC47" s="25">
        <f t="shared" si="22"/>
        <v>31.897904714148194</v>
      </c>
      <c r="AD47" s="25">
        <f t="shared" si="4"/>
        <v>33.308148837665122</v>
      </c>
      <c r="AE47" s="25">
        <f t="shared" si="5"/>
        <v>2.1627503072185408</v>
      </c>
      <c r="AG47" s="101">
        <v>7.64</v>
      </c>
      <c r="AH47" s="101">
        <v>2.9296799999999998</v>
      </c>
      <c r="AI47" s="101">
        <v>1.0061</v>
      </c>
      <c r="AJ47" s="101">
        <v>-0.33339999999999997</v>
      </c>
      <c r="AK47" s="101">
        <v>-0.58279999999999998</v>
      </c>
      <c r="AL47" s="101">
        <v>-2.0880000000000001</v>
      </c>
      <c r="AM47" s="101">
        <v>1.0168999999999999</v>
      </c>
      <c r="AN47" s="101">
        <v>-0.86860000000000004</v>
      </c>
      <c r="AO47" s="101">
        <v>-1.5688</v>
      </c>
      <c r="AP47" s="101">
        <v>-0.58919999999999995</v>
      </c>
      <c r="AR47" s="50">
        <f t="shared" si="26"/>
        <v>0.498</v>
      </c>
      <c r="AS47" s="50">
        <f t="shared" si="27"/>
        <v>1.6965342533267618</v>
      </c>
      <c r="AT47" s="50">
        <f t="shared" si="28"/>
        <v>-9.3599999999999968E-3</v>
      </c>
      <c r="AU47" s="50">
        <f t="shared" si="29"/>
        <v>0.68845359999999989</v>
      </c>
      <c r="AV47" s="50">
        <f t="shared" si="30"/>
        <v>3.4066952878047427</v>
      </c>
    </row>
    <row r="48" spans="1:48" s="106" customFormat="1" ht="15" customHeight="1" x14ac:dyDescent="0.35">
      <c r="A48" s="106">
        <v>16</v>
      </c>
      <c r="B48" s="28">
        <v>43706</v>
      </c>
      <c r="C48" s="106">
        <v>31</v>
      </c>
      <c r="D48" s="106">
        <v>103</v>
      </c>
      <c r="E48" s="106">
        <f t="shared" si="19"/>
        <v>3236</v>
      </c>
      <c r="F48" s="25">
        <f t="shared" si="20"/>
        <v>0.99038461538461542</v>
      </c>
      <c r="G48" s="25">
        <f t="shared" si="21"/>
        <v>31.115384615384617</v>
      </c>
      <c r="H48" s="25">
        <f t="shared" si="31"/>
        <v>6.0288461538461533</v>
      </c>
      <c r="I48" s="106">
        <v>7.67</v>
      </c>
      <c r="J48" s="106">
        <v>2540</v>
      </c>
      <c r="K48" s="12">
        <v>354.2</v>
      </c>
      <c r="L48" s="27">
        <v>512</v>
      </c>
      <c r="M48" s="27">
        <v>83</v>
      </c>
      <c r="N48" s="169">
        <v>0.5</v>
      </c>
      <c r="O48" s="106">
        <v>1092</v>
      </c>
      <c r="P48" s="106">
        <v>65</v>
      </c>
      <c r="Q48" s="12">
        <v>361.9</v>
      </c>
      <c r="R48" s="12">
        <v>65.3</v>
      </c>
      <c r="S48" s="12">
        <v>216.2</v>
      </c>
      <c r="T48" s="12">
        <v>26.42</v>
      </c>
      <c r="U48" s="12">
        <v>16.7</v>
      </c>
      <c r="V48" s="169">
        <v>0.2</v>
      </c>
      <c r="W48" s="81">
        <v>0.02</v>
      </c>
      <c r="X48" s="81">
        <v>0.02</v>
      </c>
      <c r="Y48" s="103">
        <v>5.3999999999999999E-2</v>
      </c>
      <c r="Z48" s="81">
        <v>0.04</v>
      </c>
      <c r="AA48" s="18">
        <v>4.1870000000000003</v>
      </c>
      <c r="AB48" s="27"/>
      <c r="AC48" s="25">
        <f t="shared" si="22"/>
        <v>32.169180458298463</v>
      </c>
      <c r="AD48" s="25">
        <f t="shared" si="4"/>
        <v>33.260146733659454</v>
      </c>
      <c r="AE48" s="25">
        <f t="shared" si="5"/>
        <v>1.6673964446559126</v>
      </c>
      <c r="AG48" s="101">
        <v>7.67</v>
      </c>
      <c r="AH48" s="101">
        <v>2.2981099999999999</v>
      </c>
      <c r="AI48" s="101">
        <v>1.0193000000000001</v>
      </c>
      <c r="AJ48" s="101">
        <v>-0.34449999999999997</v>
      </c>
      <c r="AK48" s="101">
        <v>-0.59399999999999997</v>
      </c>
      <c r="AL48" s="101">
        <v>-2.1179999999999999</v>
      </c>
      <c r="AM48" s="101">
        <v>1.1274</v>
      </c>
      <c r="AN48" s="101">
        <v>-0.88629999999999998</v>
      </c>
      <c r="AO48" s="101">
        <v>-1.5862000000000001</v>
      </c>
      <c r="AP48" s="101">
        <v>-0.49199999999999999</v>
      </c>
      <c r="AR48" s="50">
        <f t="shared" si="26"/>
        <v>0.51200000000000001</v>
      </c>
      <c r="AS48" s="50">
        <f t="shared" si="27"/>
        <v>1.7160118284869392</v>
      </c>
      <c r="AT48" s="50">
        <f t="shared" si="28"/>
        <v>-7.9039999999999944E-3</v>
      </c>
      <c r="AU48" s="50">
        <f t="shared" si="29"/>
        <v>0.69635759999999991</v>
      </c>
      <c r="AV48" s="50">
        <f t="shared" si="30"/>
        <v>3.3515856025135533</v>
      </c>
    </row>
    <row r="49" spans="1:48" s="106" customFormat="1" ht="15" customHeight="1" x14ac:dyDescent="0.35">
      <c r="A49" s="106">
        <v>16</v>
      </c>
      <c r="B49" s="28">
        <v>43711</v>
      </c>
      <c r="C49" s="106">
        <v>32</v>
      </c>
      <c r="D49" s="106">
        <v>104</v>
      </c>
      <c r="E49" s="106">
        <f t="shared" si="19"/>
        <v>3340</v>
      </c>
      <c r="F49" s="25">
        <f t="shared" si="20"/>
        <v>1</v>
      </c>
      <c r="G49" s="25">
        <f t="shared" si="21"/>
        <v>32.115384615384613</v>
      </c>
      <c r="H49" s="25">
        <f t="shared" si="31"/>
        <v>7.0288461538461533</v>
      </c>
      <c r="I49" s="106">
        <v>7.62</v>
      </c>
      <c r="J49" s="106">
        <v>2570</v>
      </c>
      <c r="K49" s="12">
        <v>335.4</v>
      </c>
      <c r="L49" s="27">
        <v>508</v>
      </c>
      <c r="M49" s="27">
        <v>84</v>
      </c>
      <c r="N49" s="169">
        <v>0.5</v>
      </c>
      <c r="O49" s="106">
        <v>1060</v>
      </c>
      <c r="P49" s="106">
        <v>64</v>
      </c>
      <c r="Q49" s="12">
        <v>340.9</v>
      </c>
      <c r="R49" s="12">
        <v>70.11</v>
      </c>
      <c r="S49" s="12">
        <v>213.8</v>
      </c>
      <c r="T49" s="12">
        <v>26.56</v>
      </c>
      <c r="U49" s="12">
        <v>16.45</v>
      </c>
      <c r="V49" s="169">
        <v>0.2</v>
      </c>
      <c r="W49" s="81">
        <v>0.02</v>
      </c>
      <c r="X49" s="81">
        <v>0.02</v>
      </c>
      <c r="Y49" s="81">
        <v>0.02</v>
      </c>
      <c r="Z49" s="81">
        <v>0.04</v>
      </c>
      <c r="AA49" s="18">
        <v>4.0880000000000001</v>
      </c>
      <c r="AB49" s="27"/>
      <c r="AC49" s="25">
        <f t="shared" si="22"/>
        <v>31.155138942755311</v>
      </c>
      <c r="AD49" s="25">
        <f t="shared" si="4"/>
        <v>32.497014676235359</v>
      </c>
      <c r="AE49" s="25">
        <f t="shared" si="5"/>
        <v>2.1081387780093879</v>
      </c>
      <c r="AG49" s="101">
        <v>7.62</v>
      </c>
      <c r="AH49" s="101">
        <v>2.8458399999999999</v>
      </c>
      <c r="AI49" s="101">
        <v>0.92779999999999996</v>
      </c>
      <c r="AJ49" s="101">
        <v>-0.37359999999999999</v>
      </c>
      <c r="AK49" s="101">
        <v>-0.623</v>
      </c>
      <c r="AL49" s="101">
        <v>-2.089</v>
      </c>
      <c r="AM49" s="101">
        <v>1.0004999999999999</v>
      </c>
      <c r="AN49" s="101">
        <v>-1.3825000000000001</v>
      </c>
      <c r="AO49" s="101">
        <v>-1.6040000000000001</v>
      </c>
      <c r="AP49" s="101">
        <v>-0.52739999999999998</v>
      </c>
      <c r="AR49" s="50">
        <f t="shared" si="26"/>
        <v>0.50800000000000001</v>
      </c>
      <c r="AS49" s="50">
        <f t="shared" si="27"/>
        <v>1.7365145391818628</v>
      </c>
      <c r="AT49" s="50">
        <f t="shared" si="28"/>
        <v>-8.3199999999999958E-3</v>
      </c>
      <c r="AU49" s="50">
        <f t="shared" si="29"/>
        <v>0.7046775999999999</v>
      </c>
      <c r="AV49" s="50">
        <f t="shared" si="30"/>
        <v>3.4183357070509111</v>
      </c>
    </row>
    <row r="50" spans="1:48" s="106" customFormat="1" ht="15" customHeight="1" x14ac:dyDescent="0.35">
      <c r="A50" s="106">
        <v>16</v>
      </c>
      <c r="B50" s="28">
        <v>43712</v>
      </c>
      <c r="C50" s="106">
        <v>33</v>
      </c>
      <c r="D50" s="106">
        <v>103</v>
      </c>
      <c r="E50" s="106">
        <f t="shared" si="19"/>
        <v>3443</v>
      </c>
      <c r="F50" s="25">
        <f t="shared" si="20"/>
        <v>0.99038461538461542</v>
      </c>
      <c r="G50" s="25">
        <f t="shared" si="21"/>
        <v>33.105769230769226</v>
      </c>
      <c r="H50" s="25">
        <f t="shared" si="31"/>
        <v>8.0192307692307683</v>
      </c>
      <c r="I50" s="106">
        <v>7.61</v>
      </c>
      <c r="J50" s="106">
        <v>2610</v>
      </c>
      <c r="K50" s="12">
        <v>357</v>
      </c>
      <c r="L50" s="27">
        <v>550</v>
      </c>
      <c r="M50" s="27">
        <v>84</v>
      </c>
      <c r="N50" s="169">
        <v>0.5</v>
      </c>
      <c r="O50" s="106">
        <v>1071</v>
      </c>
      <c r="P50" s="106">
        <v>63</v>
      </c>
      <c r="Q50" s="12">
        <v>346.7</v>
      </c>
      <c r="R50" s="12">
        <v>77.7</v>
      </c>
      <c r="S50" s="12">
        <v>216.3</v>
      </c>
      <c r="T50" s="12">
        <v>26.62</v>
      </c>
      <c r="U50" s="12">
        <v>16.05</v>
      </c>
      <c r="V50" s="169">
        <v>0.2</v>
      </c>
      <c r="W50" s="103">
        <v>2.1000000000000001E-2</v>
      </c>
      <c r="X50" s="81">
        <v>0.02</v>
      </c>
      <c r="Y50" s="81">
        <v>0.02</v>
      </c>
      <c r="Z50" s="81">
        <v>0.04</v>
      </c>
      <c r="AA50" s="18">
        <v>4.0510000000000002</v>
      </c>
      <c r="AB50" s="27"/>
      <c r="AC50" s="25">
        <f t="shared" si="22"/>
        <v>31.816162469717629</v>
      </c>
      <c r="AD50" s="25">
        <f t="shared" si="4"/>
        <v>33.509126218180242</v>
      </c>
      <c r="AE50" s="25">
        <f t="shared" si="5"/>
        <v>2.5915901520941169</v>
      </c>
      <c r="AG50" s="101">
        <v>7.61</v>
      </c>
      <c r="AH50" s="101">
        <v>3.46265</v>
      </c>
      <c r="AI50" s="101">
        <v>0.94840000000000002</v>
      </c>
      <c r="AJ50" s="101">
        <v>-0.37019999999999997</v>
      </c>
      <c r="AK50" s="101">
        <v>-0.61960000000000004</v>
      </c>
      <c r="AL50" s="101">
        <v>-2.0531000000000001</v>
      </c>
      <c r="AM50" s="101">
        <v>1.0790999999999999</v>
      </c>
      <c r="AN50" s="101">
        <v>-1.3712</v>
      </c>
      <c r="AO50" s="101">
        <v>-1.5809</v>
      </c>
      <c r="AP50" s="101">
        <v>-0.46929999999999999</v>
      </c>
      <c r="AR50" s="50">
        <f t="shared" si="26"/>
        <v>0.55000000000000004</v>
      </c>
      <c r="AS50" s="50">
        <f t="shared" si="27"/>
        <v>1.7462533267619513</v>
      </c>
      <c r="AT50" s="50">
        <f t="shared" si="28"/>
        <v>-3.951999999999992E-3</v>
      </c>
      <c r="AU50" s="50">
        <f t="shared" si="29"/>
        <v>0.70862959999999986</v>
      </c>
      <c r="AV50" s="50">
        <f t="shared" si="30"/>
        <v>3.1750060486580929</v>
      </c>
    </row>
    <row r="51" spans="1:48" s="106" customFormat="1" x14ac:dyDescent="0.35">
      <c r="A51" s="106">
        <v>16</v>
      </c>
      <c r="B51" s="28">
        <v>43713</v>
      </c>
      <c r="C51" s="106">
        <v>34</v>
      </c>
      <c r="D51" s="106">
        <v>105</v>
      </c>
      <c r="E51" s="106">
        <f t="shared" si="19"/>
        <v>3548</v>
      </c>
      <c r="F51" s="25">
        <f t="shared" si="20"/>
        <v>1.0096153846153846</v>
      </c>
      <c r="G51" s="25">
        <f t="shared" si="21"/>
        <v>34.115384615384613</v>
      </c>
      <c r="H51" s="25">
        <f t="shared" si="31"/>
        <v>9.0288461538461533</v>
      </c>
      <c r="I51" s="106">
        <v>7.57</v>
      </c>
      <c r="J51" s="106">
        <v>2610</v>
      </c>
      <c r="K51" s="12">
        <v>369.6</v>
      </c>
      <c r="L51" s="27">
        <v>586</v>
      </c>
      <c r="M51" s="27">
        <v>83</v>
      </c>
      <c r="N51" s="169">
        <v>0.5</v>
      </c>
      <c r="O51" s="106">
        <v>1078</v>
      </c>
      <c r="P51" s="106">
        <v>69</v>
      </c>
      <c r="Q51" s="12">
        <v>334.4</v>
      </c>
      <c r="R51" s="12">
        <v>80.489999999999995</v>
      </c>
      <c r="S51" s="12">
        <v>213.5</v>
      </c>
      <c r="T51" s="12">
        <v>26.36</v>
      </c>
      <c r="U51" s="12">
        <v>16.05</v>
      </c>
      <c r="V51" s="169">
        <v>0.2</v>
      </c>
      <c r="W51" s="81">
        <v>0.02</v>
      </c>
      <c r="X51" s="81">
        <v>0.02</v>
      </c>
      <c r="Y51" s="81">
        <v>0.02</v>
      </c>
      <c r="Z51" s="81">
        <v>0.04</v>
      </c>
      <c r="AA51" s="18">
        <v>3.9060000000000001</v>
      </c>
      <c r="AB51" s="27"/>
      <c r="AC51" s="25">
        <f t="shared" si="22"/>
        <v>32.185695969437333</v>
      </c>
      <c r="AD51" s="25">
        <f t="shared" si="4"/>
        <v>33.003002469049534</v>
      </c>
      <c r="AE51" s="25">
        <f t="shared" si="5"/>
        <v>1.2537548979957389</v>
      </c>
      <c r="AG51" s="101">
        <v>7.57</v>
      </c>
      <c r="AH51" s="101">
        <v>1.7500599999999999</v>
      </c>
      <c r="AI51" s="101">
        <v>0.90749999999999997</v>
      </c>
      <c r="AJ51" s="101">
        <v>-0.3821</v>
      </c>
      <c r="AK51" s="101">
        <v>-0.63149999999999995</v>
      </c>
      <c r="AL51" s="101">
        <v>-1.9963</v>
      </c>
      <c r="AM51" s="101">
        <v>1.0287999999999999</v>
      </c>
      <c r="AN51" s="101">
        <v>-1.3958999999999999</v>
      </c>
      <c r="AO51" s="101">
        <v>-1.6901999999999999</v>
      </c>
      <c r="AP51" s="101">
        <v>-0.47870000000000001</v>
      </c>
      <c r="AR51" s="50">
        <f t="shared" si="26"/>
        <v>0.58599999999999997</v>
      </c>
      <c r="AS51" s="50">
        <f t="shared" si="27"/>
        <v>1.7467658945293245</v>
      </c>
      <c r="AT51" s="50">
        <f t="shared" si="28"/>
        <v>-2.0800000000000018E-4</v>
      </c>
      <c r="AU51" s="50">
        <f t="shared" si="29"/>
        <v>0.70883759999999985</v>
      </c>
      <c r="AV51" s="50">
        <f t="shared" si="30"/>
        <v>2.9808291715517483</v>
      </c>
    </row>
    <row r="52" spans="1:48" s="106" customFormat="1" x14ac:dyDescent="0.35">
      <c r="A52" s="106">
        <v>16</v>
      </c>
      <c r="B52" s="28">
        <v>43714</v>
      </c>
      <c r="C52" s="106">
        <v>35</v>
      </c>
      <c r="D52" s="106">
        <v>105</v>
      </c>
      <c r="E52" s="106">
        <f t="shared" si="19"/>
        <v>3653</v>
      </c>
      <c r="F52" s="25">
        <f t="shared" si="20"/>
        <v>1.0096153846153846</v>
      </c>
      <c r="G52" s="25">
        <f t="shared" si="21"/>
        <v>35.125</v>
      </c>
      <c r="H52" s="25"/>
      <c r="I52" s="106">
        <v>7.65</v>
      </c>
      <c r="J52" s="106">
        <v>2610</v>
      </c>
      <c r="K52" s="12">
        <v>371.8</v>
      </c>
      <c r="L52" s="27">
        <v>544</v>
      </c>
      <c r="M52" s="27">
        <v>84</v>
      </c>
      <c r="N52" s="169">
        <v>0.5</v>
      </c>
      <c r="O52" s="106">
        <v>1039</v>
      </c>
      <c r="P52" s="106">
        <v>69</v>
      </c>
      <c r="Q52" s="12">
        <v>356.4</v>
      </c>
      <c r="R52" s="12">
        <v>99.62</v>
      </c>
      <c r="S52" s="12">
        <v>241.1</v>
      </c>
      <c r="T52" s="12">
        <v>29.07</v>
      </c>
      <c r="U52" s="12">
        <v>15.86</v>
      </c>
      <c r="V52" s="169">
        <v>0.2</v>
      </c>
      <c r="W52" s="103">
        <v>2.4E-2</v>
      </c>
      <c r="X52" s="81">
        <v>0.02</v>
      </c>
      <c r="Y52" s="103">
        <v>2.1000000000000001E-2</v>
      </c>
      <c r="Z52" s="81">
        <v>0.04</v>
      </c>
      <c r="AA52" s="18">
        <v>3.8479999999999999</v>
      </c>
      <c r="AB52" s="27"/>
      <c r="AC52" s="25">
        <f t="shared" si="22"/>
        <v>31.445912209463621</v>
      </c>
      <c r="AD52" s="25">
        <f t="shared" si="4"/>
        <v>36.869660280774632</v>
      </c>
      <c r="AE52" s="25">
        <f t="shared" si="5"/>
        <v>7.939255829387978</v>
      </c>
      <c r="AG52" s="101">
        <v>7.65</v>
      </c>
      <c r="AH52" s="101">
        <v>10.2355</v>
      </c>
      <c r="AI52" s="101">
        <v>1.0165</v>
      </c>
      <c r="AJ52" s="101">
        <v>-0.38390000000000002</v>
      </c>
      <c r="AK52" s="101">
        <v>-0.63329999999999997</v>
      </c>
      <c r="AL52" s="101">
        <v>-2.0804</v>
      </c>
      <c r="AM52" s="101">
        <v>1.3104</v>
      </c>
      <c r="AN52" s="101">
        <v>-1.2994000000000001</v>
      </c>
      <c r="AO52" s="101">
        <v>-1.5124</v>
      </c>
      <c r="AP52" s="101">
        <v>-0.30620000000000003</v>
      </c>
      <c r="AR52" s="50">
        <f t="shared" si="26"/>
        <v>0.54400000000000004</v>
      </c>
      <c r="AS52" s="50">
        <f t="shared" si="27"/>
        <v>1.7580423854115326</v>
      </c>
      <c r="AT52" s="50">
        <f t="shared" si="28"/>
        <v>-4.5759999999999924E-3</v>
      </c>
      <c r="AU52" s="50">
        <f t="shared" si="29"/>
        <v>0.71341359999999987</v>
      </c>
      <c r="AV52" s="50">
        <f t="shared" si="30"/>
        <v>3.2316955614182583</v>
      </c>
    </row>
    <row r="53" spans="1:48" s="164" customFormat="1" x14ac:dyDescent="0.35">
      <c r="B53" s="28"/>
      <c r="F53" s="25"/>
      <c r="G53" s="25"/>
      <c r="H53" s="25"/>
      <c r="L53" s="27"/>
      <c r="M53" s="27"/>
      <c r="N53" s="169"/>
      <c r="Q53" s="85"/>
      <c r="R53" s="85"/>
      <c r="S53" s="85"/>
      <c r="T53" s="85"/>
      <c r="U53" s="85"/>
      <c r="V53" s="169"/>
      <c r="W53" s="103"/>
      <c r="X53" s="81"/>
      <c r="Y53" s="103"/>
      <c r="Z53" s="26"/>
      <c r="AA53" s="103"/>
      <c r="AB53" s="27"/>
      <c r="AC53" s="25"/>
      <c r="AD53" s="25"/>
      <c r="AE53" s="25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R53" s="176"/>
      <c r="AS53" s="176"/>
      <c r="AT53" s="176"/>
      <c r="AU53" s="176"/>
      <c r="AV53" s="176"/>
    </row>
    <row r="54" spans="1:48" s="113" customFormat="1" x14ac:dyDescent="0.35">
      <c r="A54" s="188" t="s">
        <v>186</v>
      </c>
      <c r="B54" s="188"/>
      <c r="C54" s="188"/>
      <c r="D54" s="188"/>
      <c r="E54" s="186"/>
      <c r="F54" s="25"/>
      <c r="G54" s="25"/>
      <c r="H54" s="25"/>
      <c r="I54" s="113" t="s">
        <v>274</v>
      </c>
      <c r="J54" s="12">
        <f>'Influent Results Master'!D60</f>
        <v>498</v>
      </c>
      <c r="K54" s="12">
        <f>'Influent Results Master'!F60</f>
        <v>98.424999999999997</v>
      </c>
      <c r="L54" s="6">
        <f>'Influent Results Master'!G60</f>
        <v>3.0750000000000002</v>
      </c>
      <c r="M54" s="6">
        <f>'Influent Results Master'!H60</f>
        <v>3.875</v>
      </c>
      <c r="N54" s="6">
        <f>'Influent Results Master'!I60</f>
        <v>1.825</v>
      </c>
      <c r="O54" s="12">
        <f>'Influent Results Master'!J60</f>
        <v>137</v>
      </c>
      <c r="P54" s="12">
        <f>'Influent Results Master'!K60</f>
        <v>11.5</v>
      </c>
      <c r="Q54" s="12">
        <f>'Influent Results Master'!L60</f>
        <v>63.497500000000002</v>
      </c>
      <c r="R54" s="12">
        <f>'Influent Results Master'!M60</f>
        <v>16.197500000000002</v>
      </c>
      <c r="S54" s="12">
        <f>'Influent Results Master'!N60</f>
        <v>22.785</v>
      </c>
      <c r="T54" s="12">
        <f>'Influent Results Master'!O60</f>
        <v>14.3</v>
      </c>
      <c r="U54" s="6">
        <f>'Influent Results Master'!P60</f>
        <v>2.0294999999999996</v>
      </c>
      <c r="V54" s="169">
        <f>'Influent Results Master'!Q60</f>
        <v>0.2</v>
      </c>
      <c r="W54" s="81">
        <f>'Influent Results Master'!R60</f>
        <v>0.02</v>
      </c>
      <c r="X54" s="81">
        <f>'Influent Results Master'!S60</f>
        <v>0.02</v>
      </c>
      <c r="Y54" s="81">
        <f>'Influent Results Master'!T60</f>
        <v>0.02</v>
      </c>
      <c r="Z54" s="81">
        <f>'Influent Results Master'!U60</f>
        <v>0.04</v>
      </c>
      <c r="AA54" s="25">
        <f>'Influent Results Master'!V60</f>
        <v>0.56574999999999998</v>
      </c>
      <c r="AB54" s="27"/>
      <c r="AC54" s="25"/>
      <c r="AD54" s="25"/>
      <c r="AE54" s="25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R54" s="113">
        <v>3.0999999999999999E-3</v>
      </c>
    </row>
    <row r="55" spans="1:48" s="164" customFormat="1" x14ac:dyDescent="0.35">
      <c r="F55" s="25"/>
      <c r="G55" s="25"/>
      <c r="H55" s="25"/>
      <c r="L55" s="27"/>
      <c r="M55" s="27"/>
      <c r="N55" s="169"/>
      <c r="V55" s="169"/>
      <c r="W55" s="27"/>
      <c r="X55" s="81"/>
      <c r="Y55" s="27"/>
      <c r="Z55" s="26"/>
      <c r="AA55" s="27"/>
      <c r="AB55" s="27"/>
      <c r="AC55" s="25"/>
      <c r="AD55" s="25"/>
      <c r="AE55" s="25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</row>
    <row r="56" spans="1:48" x14ac:dyDescent="0.35">
      <c r="A56" s="106">
        <v>16</v>
      </c>
      <c r="B56" s="28">
        <v>43715</v>
      </c>
      <c r="C56" s="106">
        <v>36</v>
      </c>
      <c r="D56" s="31">
        <v>103</v>
      </c>
      <c r="E56" s="106">
        <f>E52+D56</f>
        <v>3756</v>
      </c>
      <c r="F56" s="25">
        <f t="shared" si="20"/>
        <v>0.99038461538461542</v>
      </c>
      <c r="G56" s="25">
        <f>G52+F56</f>
        <v>36.115384615384613</v>
      </c>
      <c r="H56" s="25">
        <f>F56+H51</f>
        <v>10.019230769230768</v>
      </c>
      <c r="I56" s="31">
        <v>7.56</v>
      </c>
      <c r="J56" s="31">
        <v>2720</v>
      </c>
      <c r="K56" s="12">
        <v>367.2</v>
      </c>
      <c r="L56" s="27">
        <v>514</v>
      </c>
      <c r="M56" s="27">
        <v>81</v>
      </c>
      <c r="N56" s="169">
        <v>0.5</v>
      </c>
      <c r="O56" s="31">
        <v>1079</v>
      </c>
      <c r="P56" s="31">
        <v>71</v>
      </c>
      <c r="Q56" s="21">
        <v>336.5</v>
      </c>
      <c r="R56" s="21">
        <v>97.84</v>
      </c>
      <c r="S56" s="21">
        <v>268.3</v>
      </c>
      <c r="T56" s="21">
        <v>29.83</v>
      </c>
      <c r="U56" s="21">
        <v>16.059999999999999</v>
      </c>
      <c r="V56" s="169">
        <v>0.2</v>
      </c>
      <c r="W56" s="33">
        <v>0.02</v>
      </c>
      <c r="X56" s="81">
        <v>0.02</v>
      </c>
      <c r="Y56" s="103">
        <v>2.5000000000000001E-2</v>
      </c>
      <c r="Z56" s="81">
        <v>0.04</v>
      </c>
      <c r="AA56" s="18">
        <v>3.6890000000000001</v>
      </c>
      <c r="AB56" s="27"/>
      <c r="AC56" s="25">
        <f t="shared" ref="AC56:AC62" si="32">((K56/50)+(M56/35.45)+(N56/62)+(O56/48.03))</f>
        <v>32.102098800648548</v>
      </c>
      <c r="AD56" s="25">
        <f t="shared" si="4"/>
        <v>36.918502916284126</v>
      </c>
      <c r="AE56" s="25">
        <f t="shared" si="5"/>
        <v>6.9782122957846946</v>
      </c>
      <c r="AG56" s="101">
        <v>7.56</v>
      </c>
      <c r="AH56" s="101">
        <v>8.9561100000000007</v>
      </c>
      <c r="AI56" s="101">
        <v>0.89400000000000002</v>
      </c>
      <c r="AJ56" s="101">
        <v>-0.39240000000000003</v>
      </c>
      <c r="AK56" s="101">
        <v>-0.64180000000000004</v>
      </c>
      <c r="AL56" s="101">
        <v>-1.992</v>
      </c>
      <c r="AM56" s="101">
        <v>1.0829</v>
      </c>
      <c r="AN56" s="101">
        <v>-1.3205</v>
      </c>
      <c r="AO56" s="101">
        <v>-1.6234999999999999</v>
      </c>
      <c r="AP56" s="101">
        <v>-0.41110000000000002</v>
      </c>
      <c r="AR56" s="50">
        <f>L56/1000</f>
        <v>0.51400000000000001</v>
      </c>
      <c r="AS56" s="50">
        <f>AU56/($AT$7)</f>
        <v>1.6271069492360766</v>
      </c>
      <c r="AT56" s="50">
        <f>(AR56-$AR$54)*0.104</f>
        <v>5.3133600000000003E-2</v>
      </c>
      <c r="AU56" s="50">
        <f>AU52-AT56</f>
        <v>0.66027999999999987</v>
      </c>
      <c r="AV56" s="50">
        <f>AS56/AR56</f>
        <v>3.1655777222491763</v>
      </c>
    </row>
    <row r="57" spans="1:48" s="110" customFormat="1" x14ac:dyDescent="0.35">
      <c r="A57" s="110">
        <v>16</v>
      </c>
      <c r="B57" s="28">
        <v>43716</v>
      </c>
      <c r="C57" s="110">
        <v>37</v>
      </c>
      <c r="D57" s="110">
        <v>103</v>
      </c>
      <c r="E57" s="110">
        <f t="shared" ref="E57:E60" si="33">E56+D57</f>
        <v>3859</v>
      </c>
      <c r="F57" s="25">
        <f t="shared" ref="F57:F60" si="34">D57/104</f>
        <v>0.99038461538461542</v>
      </c>
      <c r="G57" s="25">
        <f t="shared" ref="G57:G60" si="35">G56+F57</f>
        <v>37.105769230769226</v>
      </c>
      <c r="H57" s="25">
        <f t="shared" ref="H57:H62" si="36">F56+H56</f>
        <v>11.009615384615383</v>
      </c>
      <c r="I57" s="110">
        <v>7.77</v>
      </c>
      <c r="J57" s="110">
        <v>1705</v>
      </c>
      <c r="K57" s="12">
        <v>290.39999999999998</v>
      </c>
      <c r="L57" s="27">
        <v>332</v>
      </c>
      <c r="M57" s="27">
        <v>35</v>
      </c>
      <c r="N57" s="18">
        <v>1</v>
      </c>
      <c r="O57" s="110">
        <v>571</v>
      </c>
      <c r="P57" s="110">
        <v>57</v>
      </c>
      <c r="Q57" s="21">
        <v>188.9</v>
      </c>
      <c r="R57" s="21">
        <v>58.71</v>
      </c>
      <c r="S57" s="21">
        <v>175.8</v>
      </c>
      <c r="T57" s="21">
        <v>28.1</v>
      </c>
      <c r="U57" s="21">
        <v>11.89</v>
      </c>
      <c r="V57" s="169">
        <v>0.2</v>
      </c>
      <c r="W57" s="103">
        <v>3.1E-2</v>
      </c>
      <c r="X57" s="81">
        <v>0.02</v>
      </c>
      <c r="Y57" s="81">
        <v>0.02</v>
      </c>
      <c r="Z57" s="81">
        <v>0.04</v>
      </c>
      <c r="AA57" s="18">
        <v>1.9930000000000001</v>
      </c>
      <c r="AB57" s="27"/>
      <c r="AC57" s="25">
        <f t="shared" si="32"/>
        <v>18.699838178545633</v>
      </c>
      <c r="AD57" s="25">
        <f t="shared" si="4"/>
        <v>22.205167734009816</v>
      </c>
      <c r="AE57" s="25">
        <f t="shared" si="5"/>
        <v>8.5694390631740536</v>
      </c>
      <c r="AG57" s="101">
        <v>7.77</v>
      </c>
      <c r="AH57" s="101">
        <v>10.3451</v>
      </c>
      <c r="AI57" s="101">
        <v>0.85880000000000001</v>
      </c>
      <c r="AJ57" s="101">
        <v>-0.74709999999999999</v>
      </c>
      <c r="AK57" s="101">
        <v>-0.99670000000000003</v>
      </c>
      <c r="AL57" s="101">
        <v>-2.2850999999999999</v>
      </c>
      <c r="AM57" s="101">
        <v>1.0367</v>
      </c>
      <c r="AN57" s="101">
        <v>-1.1808000000000001</v>
      </c>
      <c r="AO57" s="101">
        <v>-1.5404</v>
      </c>
      <c r="AP57" s="101">
        <v>-0.42220000000000002</v>
      </c>
      <c r="AR57" s="50">
        <f t="shared" ref="AR57:AR58" si="37">L57/1000</f>
        <v>0.33200000000000002</v>
      </c>
      <c r="AS57" s="50">
        <f t="shared" ref="AS57:AS58" si="38">AU57/($AT$7)</f>
        <v>1.5428151798915717</v>
      </c>
      <c r="AT57" s="50">
        <f t="shared" ref="AT57:AT62" si="39">(AR57-$AR$54)*0.104</f>
        <v>3.4205600000000003E-2</v>
      </c>
      <c r="AU57" s="50">
        <f>AU56-AT57</f>
        <v>0.62607439999999981</v>
      </c>
      <c r="AV57" s="50">
        <f t="shared" ref="AV57:AV58" si="40">AS57/AR57</f>
        <v>4.6470336743722038</v>
      </c>
    </row>
    <row r="58" spans="1:48" s="110" customFormat="1" x14ac:dyDescent="0.35">
      <c r="A58" s="110">
        <v>16</v>
      </c>
      <c r="B58" s="28">
        <v>43717</v>
      </c>
      <c r="C58" s="110">
        <v>38</v>
      </c>
      <c r="D58" s="110">
        <v>104</v>
      </c>
      <c r="E58" s="110">
        <f t="shared" si="33"/>
        <v>3963</v>
      </c>
      <c r="F58" s="25">
        <f t="shared" si="34"/>
        <v>1</v>
      </c>
      <c r="G58" s="25">
        <f t="shared" si="35"/>
        <v>38.105769230769226</v>
      </c>
      <c r="H58" s="25">
        <f t="shared" si="36"/>
        <v>11.999999999999998</v>
      </c>
      <c r="I58" s="110">
        <v>7.76</v>
      </c>
      <c r="J58" s="110">
        <v>1008</v>
      </c>
      <c r="K58" s="12">
        <v>213</v>
      </c>
      <c r="L58" s="27">
        <v>183</v>
      </c>
      <c r="M58" s="27">
        <v>14</v>
      </c>
      <c r="N58" s="27">
        <v>1.4</v>
      </c>
      <c r="O58" s="110">
        <v>287</v>
      </c>
      <c r="P58" s="110">
        <v>42</v>
      </c>
      <c r="Q58" s="21">
        <v>85.97</v>
      </c>
      <c r="R58" s="21">
        <v>27.36</v>
      </c>
      <c r="S58" s="21">
        <v>116.2</v>
      </c>
      <c r="T58" s="21">
        <v>26.07</v>
      </c>
      <c r="U58" s="18">
        <v>8.1379999999999999</v>
      </c>
      <c r="V58" s="169">
        <v>0.2</v>
      </c>
      <c r="W58" s="103">
        <v>4.3999999999999997E-2</v>
      </c>
      <c r="X58" s="81">
        <v>0.02</v>
      </c>
      <c r="Y58" s="81">
        <v>0.02</v>
      </c>
      <c r="Z58" s="81">
        <v>0.04</v>
      </c>
      <c r="AA58" s="11">
        <v>0.95899999999999996</v>
      </c>
      <c r="AB58" s="27"/>
      <c r="AC58" s="25">
        <f t="shared" si="32"/>
        <v>10.652935092766469</v>
      </c>
      <c r="AD58" s="25">
        <f t="shared" si="4"/>
        <v>11.802424617862725</v>
      </c>
      <c r="AE58" s="25">
        <f t="shared" si="5"/>
        <v>5.1189984926055176</v>
      </c>
      <c r="AG58" s="101">
        <v>7.76</v>
      </c>
      <c r="AH58" s="101">
        <v>5.8094599999999996</v>
      </c>
      <c r="AI58" s="101">
        <v>0.48459999999999998</v>
      </c>
      <c r="AJ58" s="101">
        <v>-1.2018</v>
      </c>
      <c r="AK58" s="101">
        <v>-1.4516</v>
      </c>
      <c r="AL58" s="101">
        <v>-2.3841000000000001</v>
      </c>
      <c r="AM58" s="101">
        <v>0.29320000000000002</v>
      </c>
      <c r="AN58" s="101">
        <v>-1.1981999999999999</v>
      </c>
      <c r="AO58" s="101">
        <v>-1.5867</v>
      </c>
      <c r="AP58" s="101">
        <v>-0.79149999999999998</v>
      </c>
      <c r="AR58" s="50">
        <f t="shared" si="37"/>
        <v>0.183</v>
      </c>
      <c r="AS58" s="50">
        <f t="shared" si="38"/>
        <v>1.4967097092163624</v>
      </c>
      <c r="AT58" s="50">
        <f t="shared" si="39"/>
        <v>1.87096E-2</v>
      </c>
      <c r="AU58" s="50">
        <f t="shared" ref="AU58" si="41">AU57-AT58</f>
        <v>0.60736479999999982</v>
      </c>
      <c r="AV58" s="50">
        <f t="shared" si="40"/>
        <v>8.1787415804172809</v>
      </c>
    </row>
    <row r="59" spans="1:48" s="110" customFormat="1" x14ac:dyDescent="0.35">
      <c r="A59" s="110">
        <v>16</v>
      </c>
      <c r="B59" s="28">
        <v>43718</v>
      </c>
      <c r="C59" s="110">
        <v>39</v>
      </c>
      <c r="D59" s="110">
        <v>104</v>
      </c>
      <c r="E59" s="110">
        <f t="shared" si="33"/>
        <v>4067</v>
      </c>
      <c r="F59" s="25">
        <f t="shared" si="34"/>
        <v>1</v>
      </c>
      <c r="G59" s="25">
        <f t="shared" si="35"/>
        <v>39.105769230769226</v>
      </c>
      <c r="H59" s="25">
        <f t="shared" si="36"/>
        <v>12.999999999999998</v>
      </c>
      <c r="I59" s="110">
        <v>7.82</v>
      </c>
      <c r="J59" s="110">
        <v>775</v>
      </c>
      <c r="K59" s="12">
        <v>174.2</v>
      </c>
      <c r="L59" s="27">
        <v>140</v>
      </c>
      <c r="M59" s="27">
        <v>6.8</v>
      </c>
      <c r="N59" s="27">
        <v>1.4</v>
      </c>
      <c r="O59" s="110">
        <v>202</v>
      </c>
      <c r="P59" s="110">
        <v>33</v>
      </c>
      <c r="Q59" s="21">
        <v>61.02</v>
      </c>
      <c r="R59" s="21">
        <v>19.97</v>
      </c>
      <c r="S59" s="21">
        <v>86.18</v>
      </c>
      <c r="T59" s="21">
        <v>22.13</v>
      </c>
      <c r="U59" s="18">
        <v>6.6040000000000001</v>
      </c>
      <c r="V59" s="169">
        <v>0.2</v>
      </c>
      <c r="W59" s="103">
        <v>3.9E-2</v>
      </c>
      <c r="X59" s="81">
        <v>0.02</v>
      </c>
      <c r="Y59" s="81">
        <v>0.02</v>
      </c>
      <c r="Z59" s="81">
        <v>0.04</v>
      </c>
      <c r="AA59" s="11">
        <v>0.71799999999999997</v>
      </c>
      <c r="AB59" s="27"/>
      <c r="AC59" s="25">
        <f t="shared" si="32"/>
        <v>7.9041048770485656</v>
      </c>
      <c r="AD59" s="25">
        <f t="shared" si="4"/>
        <v>8.6046665141250784</v>
      </c>
      <c r="AE59" s="25">
        <f t="shared" si="5"/>
        <v>4.2435722227704096</v>
      </c>
      <c r="AG59" s="101">
        <v>7.82</v>
      </c>
      <c r="AH59" s="101">
        <v>5.9650600000000003</v>
      </c>
      <c r="AI59" s="101">
        <v>0.35799999999999998</v>
      </c>
      <c r="AJ59" s="101">
        <v>-1.4224000000000001</v>
      </c>
      <c r="AK59" s="101">
        <v>-1.6721999999999999</v>
      </c>
      <c r="AL59" s="101">
        <v>-2.5228999999999999</v>
      </c>
      <c r="AM59" s="101">
        <v>4.9200000000000001E-2</v>
      </c>
      <c r="AN59" s="101">
        <v>-1.1711</v>
      </c>
      <c r="AO59" s="101">
        <v>-1.7211000000000001</v>
      </c>
      <c r="AP59" s="101">
        <v>-0.90890000000000004</v>
      </c>
      <c r="AR59" s="50">
        <f t="shared" ref="AR59:AR62" si="42">L59/1000</f>
        <v>0.14000000000000001</v>
      </c>
      <c r="AS59" s="50">
        <f t="shared" ref="AS59:AS62" si="43">AU59/($AT$7)</f>
        <v>1.4616244455396743</v>
      </c>
      <c r="AT59" s="50">
        <f t="shared" si="39"/>
        <v>1.4237600000000001E-2</v>
      </c>
      <c r="AU59" s="50">
        <f t="shared" ref="AU59:AU62" si="44">AU58-AT59</f>
        <v>0.59312719999999985</v>
      </c>
      <c r="AV59" s="50">
        <f t="shared" ref="AV59:AV62" si="45">AS59/AR59</f>
        <v>10.440174610997673</v>
      </c>
    </row>
    <row r="60" spans="1:48" s="110" customFormat="1" x14ac:dyDescent="0.35">
      <c r="A60" s="110">
        <v>16</v>
      </c>
      <c r="B60" s="28">
        <v>43719</v>
      </c>
      <c r="C60" s="110">
        <v>40</v>
      </c>
      <c r="D60" s="110">
        <v>103</v>
      </c>
      <c r="E60" s="110">
        <f t="shared" si="33"/>
        <v>4170</v>
      </c>
      <c r="F60" s="25">
        <f t="shared" si="34"/>
        <v>0.99038461538461542</v>
      </c>
      <c r="G60" s="25">
        <f t="shared" si="35"/>
        <v>40.09615384615384</v>
      </c>
      <c r="H60" s="25">
        <f t="shared" si="36"/>
        <v>13.999999999999998</v>
      </c>
      <c r="I60" s="110">
        <v>7.87</v>
      </c>
      <c r="J60" s="110">
        <v>662</v>
      </c>
      <c r="K60" s="12">
        <v>152.80000000000001</v>
      </c>
      <c r="L60" s="27">
        <v>123</v>
      </c>
      <c r="M60" s="27">
        <v>4.7</v>
      </c>
      <c r="N60" s="27">
        <v>1.4</v>
      </c>
      <c r="O60" s="110">
        <v>164</v>
      </c>
      <c r="P60" s="110">
        <v>32</v>
      </c>
      <c r="Q60" s="21">
        <v>58.77</v>
      </c>
      <c r="R60" s="21">
        <v>19.5</v>
      </c>
      <c r="S60" s="21">
        <v>62.08</v>
      </c>
      <c r="T60" s="21">
        <v>23.82</v>
      </c>
      <c r="U60" s="18">
        <v>5.74</v>
      </c>
      <c r="V60" s="169">
        <v>0.2</v>
      </c>
      <c r="W60" s="33">
        <v>0.03</v>
      </c>
      <c r="X60" s="81">
        <v>0.02</v>
      </c>
      <c r="Y60" s="81">
        <v>0.02</v>
      </c>
      <c r="Z60" s="81">
        <v>0.04</v>
      </c>
      <c r="AA60" s="11">
        <v>0.70499999999999996</v>
      </c>
      <c r="AB60" s="27"/>
      <c r="AC60" s="25">
        <f t="shared" si="32"/>
        <v>6.6256943291041246</v>
      </c>
      <c r="AD60" s="25">
        <f t="shared" si="4"/>
        <v>7.3833607008540492</v>
      </c>
      <c r="AE60" s="25">
        <f t="shared" si="5"/>
        <v>5.4084045649736217</v>
      </c>
      <c r="AG60" s="101">
        <v>7.87</v>
      </c>
      <c r="AH60" s="101">
        <v>6.98292</v>
      </c>
      <c r="AI60" s="101">
        <v>0.35809999999999997</v>
      </c>
      <c r="AJ60" s="101">
        <v>-1.4979</v>
      </c>
      <c r="AK60" s="101">
        <v>-1.7477</v>
      </c>
      <c r="AL60" s="101">
        <v>-2.6280999999999999</v>
      </c>
      <c r="AM60" s="101">
        <v>5.3199999999999997E-2</v>
      </c>
      <c r="AN60" s="101">
        <v>-1.1536999999999999</v>
      </c>
      <c r="AO60" s="101">
        <v>-1.8186</v>
      </c>
      <c r="AP60" s="101">
        <v>-0.90490000000000004</v>
      </c>
      <c r="AR60" s="50">
        <f t="shared" si="42"/>
        <v>0.123</v>
      </c>
      <c r="AS60" s="50">
        <f t="shared" si="43"/>
        <v>1.4308960078856576</v>
      </c>
      <c r="AT60" s="50">
        <f t="shared" si="39"/>
        <v>1.2469599999999999E-2</v>
      </c>
      <c r="AU60" s="50">
        <f t="shared" si="44"/>
        <v>0.58065759999999988</v>
      </c>
      <c r="AV60" s="50">
        <f t="shared" si="45"/>
        <v>11.633300877119169</v>
      </c>
    </row>
    <row r="61" spans="1:48" s="110" customFormat="1" x14ac:dyDescent="0.35">
      <c r="A61" s="110">
        <v>16</v>
      </c>
      <c r="B61" s="28">
        <v>43720</v>
      </c>
      <c r="C61" s="110">
        <v>41</v>
      </c>
      <c r="D61" s="110">
        <v>104</v>
      </c>
      <c r="E61" s="115">
        <f t="shared" ref="E61:E62" si="46">E60+D61</f>
        <v>4274</v>
      </c>
      <c r="F61" s="25">
        <f t="shared" ref="F61:F62" si="47">D61/104</f>
        <v>1</v>
      </c>
      <c r="G61" s="25">
        <f t="shared" ref="G61:G62" si="48">G60+F61</f>
        <v>41.09615384615384</v>
      </c>
      <c r="H61" s="25">
        <f t="shared" si="36"/>
        <v>14.990384615384613</v>
      </c>
      <c r="I61" s="110">
        <v>7.85</v>
      </c>
      <c r="J61" s="110">
        <v>606</v>
      </c>
      <c r="K61" s="12">
        <v>139.80000000000001</v>
      </c>
      <c r="L61" s="27">
        <v>109</v>
      </c>
      <c r="M61" s="27">
        <v>4.0999999999999996</v>
      </c>
      <c r="N61" s="27">
        <v>1.4</v>
      </c>
      <c r="O61" s="110">
        <v>148</v>
      </c>
      <c r="P61" s="110">
        <v>33</v>
      </c>
      <c r="Q61" s="21">
        <v>60.27</v>
      </c>
      <c r="R61" s="21">
        <v>19.309999999999999</v>
      </c>
      <c r="S61" s="21">
        <v>46.45</v>
      </c>
      <c r="T61" s="21">
        <v>23.54</v>
      </c>
      <c r="U61" s="18">
        <v>5.173</v>
      </c>
      <c r="V61" s="169">
        <v>0.2</v>
      </c>
      <c r="W61" s="103">
        <v>2.1999999999999999E-2</v>
      </c>
      <c r="X61" s="81">
        <v>0.02</v>
      </c>
      <c r="Y61" s="81">
        <v>0.02</v>
      </c>
      <c r="Z61" s="81">
        <v>0.04</v>
      </c>
      <c r="AA61" s="11">
        <v>0.71899999999999997</v>
      </c>
      <c r="AB61" s="27"/>
      <c r="AC61" s="25">
        <f t="shared" si="32"/>
        <v>6.0156439521506044</v>
      </c>
      <c r="AD61" s="25">
        <f t="shared" si="4"/>
        <v>6.7482239124354564</v>
      </c>
      <c r="AE61" s="25">
        <f t="shared" si="5"/>
        <v>5.7394824833421287</v>
      </c>
      <c r="AG61" s="101">
        <v>7.85</v>
      </c>
      <c r="AH61" s="101">
        <v>7.31501</v>
      </c>
      <c r="AI61" s="101">
        <v>0.32290000000000002</v>
      </c>
      <c r="AJ61" s="101">
        <v>-1.5176000000000001</v>
      </c>
      <c r="AK61" s="101">
        <v>-1.7674000000000001</v>
      </c>
      <c r="AL61" s="101">
        <v>-2.6454</v>
      </c>
      <c r="AM61" s="101">
        <v>-3.3799999999999997E-2</v>
      </c>
      <c r="AN61" s="101">
        <v>-1.1998</v>
      </c>
      <c r="AO61" s="101">
        <v>-1.9258</v>
      </c>
      <c r="AP61" s="101">
        <v>-0.95669999999999999</v>
      </c>
      <c r="AR61" s="50">
        <f t="shared" si="42"/>
        <v>0.109</v>
      </c>
      <c r="AS61" s="50">
        <f t="shared" si="43"/>
        <v>1.4037555446032526</v>
      </c>
      <c r="AT61" s="50">
        <f t="shared" si="39"/>
        <v>1.1013599999999998E-2</v>
      </c>
      <c r="AU61" s="50">
        <f t="shared" si="44"/>
        <v>0.56964399999999993</v>
      </c>
      <c r="AV61" s="50">
        <f t="shared" si="45"/>
        <v>12.878491234892225</v>
      </c>
    </row>
    <row r="62" spans="1:48" s="114" customFormat="1" x14ac:dyDescent="0.35">
      <c r="A62" s="115">
        <v>16</v>
      </c>
      <c r="B62" s="28">
        <v>43721</v>
      </c>
      <c r="C62" s="115">
        <v>42</v>
      </c>
      <c r="D62" s="114">
        <v>105</v>
      </c>
      <c r="E62" s="115">
        <f t="shared" si="46"/>
        <v>4379</v>
      </c>
      <c r="F62" s="25">
        <f t="shared" si="47"/>
        <v>1.0096153846153846</v>
      </c>
      <c r="G62" s="25">
        <f t="shared" si="48"/>
        <v>42.105769230769226</v>
      </c>
      <c r="H62" s="25">
        <f t="shared" si="36"/>
        <v>15.990384615384613</v>
      </c>
      <c r="I62" s="114">
        <v>7.83</v>
      </c>
      <c r="J62" s="114">
        <v>582</v>
      </c>
      <c r="K62" s="12">
        <v>134.6</v>
      </c>
      <c r="L62" s="27">
        <v>104</v>
      </c>
      <c r="M62" s="27">
        <v>3.9</v>
      </c>
      <c r="N62" s="27">
        <v>1.4</v>
      </c>
      <c r="O62" s="114">
        <v>140</v>
      </c>
      <c r="P62" s="114">
        <v>29</v>
      </c>
      <c r="Q62" s="21">
        <v>62.41</v>
      </c>
      <c r="R62" s="21">
        <v>20.22</v>
      </c>
      <c r="S62" s="21">
        <v>38.340000000000003</v>
      </c>
      <c r="T62" s="21">
        <v>23.07</v>
      </c>
      <c r="U62" s="18">
        <v>4.7229999999999999</v>
      </c>
      <c r="V62" s="169">
        <v>0.2</v>
      </c>
      <c r="W62" s="26">
        <v>0.02</v>
      </c>
      <c r="X62" s="81">
        <v>0.02</v>
      </c>
      <c r="Y62" s="81">
        <v>0.02</v>
      </c>
      <c r="Z62" s="81">
        <v>0.04</v>
      </c>
      <c r="AA62" s="11">
        <v>0.73099999999999998</v>
      </c>
      <c r="AB62" s="27"/>
      <c r="AC62" s="25">
        <f t="shared" si="32"/>
        <v>5.7394396381449297</v>
      </c>
      <c r="AD62" s="25">
        <f t="shared" ref="AD62" si="49">((Q62/20.04)+(R62/12.16)+(S62/22.99)+(U62/39.1))</f>
        <v>6.5655748440248853</v>
      </c>
      <c r="AE62" s="25">
        <f t="shared" ref="AE62" si="50">ABS((AC62-AD62)/(AC62+AD62)*100)</f>
        <v>6.7138092935773486</v>
      </c>
      <c r="AG62" s="101">
        <v>7.83</v>
      </c>
      <c r="AH62" s="101">
        <v>8.3993400000000005</v>
      </c>
      <c r="AI62" s="101">
        <v>0.30680000000000002</v>
      </c>
      <c r="AJ62" s="101">
        <v>-1.5230999999999999</v>
      </c>
      <c r="AK62" s="101">
        <v>-1.7729999999999999</v>
      </c>
      <c r="AL62" s="101">
        <v>-2.6417000000000002</v>
      </c>
      <c r="AM62" s="101">
        <v>-6.1800000000000001E-2</v>
      </c>
      <c r="AN62" s="101">
        <v>-1.2314000000000001</v>
      </c>
      <c r="AO62" s="101">
        <v>-1.9452</v>
      </c>
      <c r="AP62" s="101">
        <v>-0.96870000000000001</v>
      </c>
      <c r="AR62" s="50">
        <f t="shared" si="42"/>
        <v>0.104</v>
      </c>
      <c r="AS62" s="50">
        <f t="shared" si="43"/>
        <v>1.3778965007392803</v>
      </c>
      <c r="AT62" s="50">
        <f t="shared" si="39"/>
        <v>1.0493599999999999E-2</v>
      </c>
      <c r="AU62" s="50">
        <f t="shared" si="44"/>
        <v>0.55915039999999994</v>
      </c>
      <c r="AV62" s="50">
        <f t="shared" si="45"/>
        <v>13.249004814800772</v>
      </c>
    </row>
    <row r="63" spans="1:48" s="115" customFormat="1" x14ac:dyDescent="0.35">
      <c r="B63" s="28"/>
      <c r="F63" s="25"/>
      <c r="G63" s="25"/>
      <c r="H63" s="25"/>
      <c r="L63" s="27"/>
      <c r="M63" s="27"/>
      <c r="Q63" s="6"/>
      <c r="S63" s="13"/>
      <c r="T63" s="13"/>
      <c r="U63" s="13"/>
      <c r="V63" s="27"/>
      <c r="W63" s="27"/>
      <c r="X63" s="27"/>
      <c r="Y63" s="27"/>
      <c r="Z63" s="27"/>
      <c r="AA63" s="27"/>
      <c r="AB63" s="27"/>
      <c r="AC63" s="25"/>
      <c r="AD63" s="25"/>
      <c r="AE63" s="25"/>
      <c r="AG63" s="71"/>
      <c r="AH63" s="71"/>
      <c r="AI63" s="71"/>
      <c r="AJ63" s="71"/>
      <c r="AK63" s="71"/>
      <c r="AL63" s="71"/>
      <c r="AM63" s="71"/>
      <c r="AN63" s="71"/>
      <c r="AO63" s="71"/>
      <c r="AP63" s="71"/>
    </row>
    <row r="64" spans="1:48" x14ac:dyDescent="0.35">
      <c r="A64" s="31" t="s">
        <v>33</v>
      </c>
      <c r="F64" s="25"/>
      <c r="G64" s="25"/>
      <c r="H64" s="25"/>
      <c r="V64" s="27"/>
      <c r="W64" s="27"/>
      <c r="X64" s="27"/>
      <c r="Y64" s="27"/>
      <c r="Z64" s="27"/>
      <c r="AA64" s="27"/>
      <c r="AB64" s="27"/>
      <c r="AG64" s="71"/>
      <c r="AH64" s="71"/>
      <c r="AI64" s="71"/>
      <c r="AJ64" s="71"/>
      <c r="AK64" s="71"/>
      <c r="AL64" s="71"/>
      <c r="AM64" s="71"/>
      <c r="AN64" s="71"/>
      <c r="AO64" s="71"/>
      <c r="AP64" s="71"/>
    </row>
    <row r="65" spans="1:42" x14ac:dyDescent="0.35">
      <c r="H65" s="25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G65" s="71"/>
      <c r="AH65" s="71"/>
      <c r="AI65" s="71"/>
      <c r="AJ65" s="71"/>
      <c r="AK65" s="71"/>
      <c r="AL65" s="71"/>
      <c r="AM65" s="71"/>
      <c r="AN65" s="71"/>
      <c r="AO65" s="71"/>
      <c r="AP65" s="71"/>
    </row>
    <row r="66" spans="1:42" x14ac:dyDescent="0.35">
      <c r="A66" s="31" t="s">
        <v>10</v>
      </c>
      <c r="B66" s="31" t="s">
        <v>14</v>
      </c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G66" s="71"/>
      <c r="AH66" s="71"/>
      <c r="AI66" s="71"/>
      <c r="AJ66" s="71"/>
      <c r="AK66" s="71"/>
      <c r="AL66" s="71"/>
      <c r="AM66" s="71"/>
      <c r="AN66" s="71"/>
      <c r="AO66" s="71"/>
      <c r="AP66" s="71"/>
    </row>
    <row r="67" spans="1:42" x14ac:dyDescent="0.35">
      <c r="A67" s="28">
        <v>43680</v>
      </c>
      <c r="B67" s="31">
        <v>7.68</v>
      </c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G67" s="71"/>
      <c r="AH67" s="71"/>
      <c r="AI67" s="71"/>
      <c r="AJ67" s="71"/>
      <c r="AK67" s="71"/>
      <c r="AL67" s="71"/>
      <c r="AM67" s="71"/>
      <c r="AN67" s="71"/>
      <c r="AO67" s="71"/>
      <c r="AP67" s="71"/>
    </row>
    <row r="68" spans="1:42" x14ac:dyDescent="0.35">
      <c r="A68" s="28">
        <v>43681</v>
      </c>
      <c r="B68" s="31">
        <v>7.7</v>
      </c>
      <c r="V68" s="27"/>
      <c r="W68" s="27"/>
      <c r="X68" s="27"/>
      <c r="Y68" s="27"/>
      <c r="Z68" s="27"/>
      <c r="AA68" s="27"/>
      <c r="AB68" s="27"/>
    </row>
    <row r="69" spans="1:42" x14ac:dyDescent="0.35">
      <c r="A69" s="28">
        <v>43682</v>
      </c>
      <c r="B69" s="31">
        <v>7.47</v>
      </c>
      <c r="E69" s="28"/>
      <c r="V69" s="27"/>
      <c r="W69" s="27"/>
      <c r="X69" s="27"/>
      <c r="Y69" s="27"/>
      <c r="Z69" s="27"/>
      <c r="AA69" s="27"/>
      <c r="AB69" s="27"/>
    </row>
    <row r="70" spans="1:42" x14ac:dyDescent="0.35">
      <c r="A70" s="28">
        <v>43683</v>
      </c>
      <c r="B70" s="31">
        <v>7.74</v>
      </c>
      <c r="E70" s="28"/>
      <c r="V70" s="27"/>
      <c r="W70" s="27"/>
      <c r="X70" s="27"/>
      <c r="Y70" s="27"/>
      <c r="Z70" s="27"/>
      <c r="AA70" s="27"/>
      <c r="AB70" s="27"/>
    </row>
    <row r="71" spans="1:42" x14ac:dyDescent="0.35">
      <c r="A71" s="28">
        <v>43684</v>
      </c>
      <c r="B71" s="31">
        <v>7.79</v>
      </c>
      <c r="E71" s="28"/>
      <c r="V71" s="27"/>
      <c r="W71" s="27"/>
      <c r="X71" s="27"/>
      <c r="Y71" s="27"/>
      <c r="Z71" s="27"/>
      <c r="AA71" s="27"/>
      <c r="AB71" s="27"/>
    </row>
    <row r="72" spans="1:42" x14ac:dyDescent="0.35">
      <c r="A72" s="28">
        <v>43685</v>
      </c>
      <c r="B72" s="31">
        <v>7.75</v>
      </c>
      <c r="E72" s="28"/>
      <c r="V72" s="27"/>
      <c r="W72" s="27"/>
      <c r="X72" s="27"/>
      <c r="Y72" s="27"/>
      <c r="Z72" s="27"/>
      <c r="AA72" s="27"/>
      <c r="AB72" s="27"/>
    </row>
    <row r="73" spans="1:42" x14ac:dyDescent="0.35">
      <c r="A73" s="28">
        <v>43700</v>
      </c>
      <c r="B73" s="31">
        <v>7.2</v>
      </c>
      <c r="E73" s="28"/>
      <c r="V73" s="27"/>
      <c r="W73" s="27"/>
      <c r="X73" s="27"/>
      <c r="Y73" s="27"/>
      <c r="Z73" s="27"/>
      <c r="AA73" s="27"/>
      <c r="AB73" s="27"/>
    </row>
    <row r="74" spans="1:42" x14ac:dyDescent="0.35">
      <c r="A74" s="28">
        <v>43701</v>
      </c>
      <c r="B74" s="31">
        <v>7.13</v>
      </c>
      <c r="E74" s="28"/>
      <c r="V74" s="27"/>
      <c r="W74" s="27"/>
      <c r="X74" s="27"/>
      <c r="Y74" s="27"/>
      <c r="Z74" s="27"/>
      <c r="AA74" s="27"/>
      <c r="AB74" s="27"/>
    </row>
    <row r="75" spans="1:42" x14ac:dyDescent="0.35">
      <c r="A75" s="28">
        <v>43702</v>
      </c>
      <c r="B75" s="31">
        <v>7.2</v>
      </c>
      <c r="E75" s="28"/>
      <c r="V75" s="27"/>
      <c r="W75" s="27"/>
      <c r="X75" s="27"/>
      <c r="Y75" s="27"/>
      <c r="Z75" s="27"/>
      <c r="AA75" s="27"/>
      <c r="AB75" s="27"/>
    </row>
    <row r="76" spans="1:42" x14ac:dyDescent="0.35">
      <c r="A76" s="28">
        <v>43703</v>
      </c>
      <c r="B76" s="31">
        <v>7.2</v>
      </c>
      <c r="E76" s="28"/>
      <c r="V76" s="27"/>
      <c r="W76" s="27"/>
      <c r="X76" s="27"/>
      <c r="Y76" s="27"/>
      <c r="Z76" s="27"/>
      <c r="AA76" s="27"/>
      <c r="AB76" s="27"/>
    </row>
    <row r="77" spans="1:42" x14ac:dyDescent="0.35">
      <c r="A77" s="28">
        <v>43704</v>
      </c>
      <c r="B77" s="31">
        <v>7.22</v>
      </c>
      <c r="E77" s="28"/>
      <c r="V77" s="27"/>
      <c r="W77" s="27"/>
      <c r="X77" s="27"/>
      <c r="Y77" s="27"/>
      <c r="Z77" s="27"/>
      <c r="AA77" s="27"/>
      <c r="AB77" s="27"/>
    </row>
    <row r="78" spans="1:42" x14ac:dyDescent="0.35">
      <c r="A78" s="28">
        <v>43705</v>
      </c>
      <c r="B78" s="31">
        <v>7.18</v>
      </c>
      <c r="E78" s="28"/>
      <c r="V78" s="27"/>
      <c r="W78" s="27"/>
      <c r="X78" s="27"/>
      <c r="Y78" s="27"/>
      <c r="Z78" s="27"/>
      <c r="AA78" s="27"/>
      <c r="AB78" s="27"/>
    </row>
    <row r="79" spans="1:42" x14ac:dyDescent="0.35">
      <c r="A79" s="28">
        <v>43706</v>
      </c>
      <c r="B79" s="31">
        <v>7.2</v>
      </c>
      <c r="E79" s="28"/>
      <c r="V79" s="27"/>
      <c r="W79" s="27"/>
      <c r="X79" s="27"/>
      <c r="Y79" s="27"/>
      <c r="Z79" s="27"/>
      <c r="AA79" s="27"/>
      <c r="AB79" s="27"/>
    </row>
    <row r="80" spans="1:42" x14ac:dyDescent="0.35">
      <c r="A80" s="28">
        <v>43711</v>
      </c>
      <c r="B80" s="31">
        <v>7.15</v>
      </c>
      <c r="E80" s="28"/>
      <c r="V80" s="27"/>
      <c r="W80" s="27"/>
      <c r="X80" s="27"/>
      <c r="Y80" s="27"/>
      <c r="Z80" s="27"/>
      <c r="AA80" s="27"/>
      <c r="AB80" s="27"/>
    </row>
    <row r="81" spans="1:28" x14ac:dyDescent="0.35">
      <c r="A81" s="28">
        <v>43712</v>
      </c>
      <c r="B81" s="31">
        <v>7.14</v>
      </c>
      <c r="E81" s="28"/>
      <c r="V81" s="27"/>
      <c r="W81" s="27"/>
      <c r="X81" s="27"/>
      <c r="Y81" s="27"/>
      <c r="Z81" s="27"/>
      <c r="AA81" s="27"/>
      <c r="AB81" s="27"/>
    </row>
    <row r="82" spans="1:28" x14ac:dyDescent="0.35">
      <c r="A82" s="28">
        <v>43713</v>
      </c>
      <c r="B82" s="31">
        <v>7.01</v>
      </c>
      <c r="F82" s="25"/>
      <c r="G82" s="25"/>
      <c r="V82" s="27"/>
      <c r="W82" s="27"/>
      <c r="X82" s="27"/>
      <c r="Y82" s="27"/>
      <c r="Z82" s="27"/>
      <c r="AA82" s="27"/>
      <c r="AB82" s="27"/>
    </row>
    <row r="83" spans="1:28" x14ac:dyDescent="0.35">
      <c r="A83" s="28">
        <v>43714</v>
      </c>
      <c r="B83" s="31">
        <v>7.08</v>
      </c>
      <c r="F83" s="25"/>
      <c r="G83" s="25"/>
      <c r="H83" s="25"/>
      <c r="V83" s="27"/>
      <c r="W83" s="27"/>
      <c r="X83" s="27"/>
      <c r="Y83" s="27"/>
      <c r="Z83" s="27"/>
      <c r="AA83" s="27"/>
      <c r="AB83" s="27"/>
    </row>
    <row r="84" spans="1:28" x14ac:dyDescent="0.35">
      <c r="A84" s="28">
        <v>43715</v>
      </c>
      <c r="F84" s="25"/>
      <c r="G84" s="25"/>
      <c r="H84" s="25"/>
      <c r="V84" s="27"/>
      <c r="W84" s="27"/>
      <c r="X84" s="27"/>
      <c r="Y84" s="27"/>
      <c r="Z84" s="27"/>
      <c r="AA84" s="27"/>
      <c r="AB84" s="27"/>
    </row>
    <row r="85" spans="1:28" x14ac:dyDescent="0.35">
      <c r="A85" s="28">
        <v>43716</v>
      </c>
      <c r="H85" s="25"/>
      <c r="V85" s="27"/>
      <c r="W85" s="27"/>
      <c r="X85" s="27"/>
      <c r="Y85" s="27"/>
      <c r="Z85" s="27"/>
      <c r="AA85" s="27"/>
      <c r="AB85" s="27"/>
    </row>
    <row r="86" spans="1:28" x14ac:dyDescent="0.35">
      <c r="A86" s="28"/>
      <c r="B86" s="85"/>
      <c r="F86" s="25"/>
      <c r="G86" s="25"/>
      <c r="V86" s="27"/>
      <c r="W86" s="27"/>
      <c r="X86" s="27"/>
      <c r="Y86" s="27"/>
      <c r="Z86" s="27"/>
      <c r="AA86" s="27"/>
      <c r="AB86" s="27"/>
    </row>
    <row r="87" spans="1:28" x14ac:dyDescent="0.35">
      <c r="A87" s="28"/>
      <c r="F87" s="25"/>
      <c r="G87" s="25"/>
      <c r="H87" s="25"/>
      <c r="V87" s="27"/>
      <c r="W87" s="27"/>
      <c r="X87" s="27"/>
      <c r="Y87" s="27"/>
      <c r="Z87" s="27"/>
      <c r="AA87" s="27"/>
      <c r="AB87" s="27"/>
    </row>
    <row r="88" spans="1:28" x14ac:dyDescent="0.35">
      <c r="A88" s="28"/>
      <c r="F88" s="25"/>
      <c r="G88" s="25"/>
      <c r="H88" s="25"/>
      <c r="V88" s="27"/>
      <c r="W88" s="27"/>
      <c r="X88" s="27"/>
      <c r="Y88" s="27"/>
      <c r="Z88" s="27"/>
      <c r="AA88" s="27"/>
      <c r="AB88" s="27"/>
    </row>
    <row r="89" spans="1:28" x14ac:dyDescent="0.35">
      <c r="A89" s="28"/>
      <c r="F89" s="25"/>
      <c r="G89" s="25"/>
      <c r="H89" s="25"/>
      <c r="V89" s="27"/>
      <c r="W89" s="27"/>
      <c r="X89" s="27"/>
      <c r="Y89" s="27"/>
      <c r="Z89" s="27"/>
      <c r="AA89" s="27"/>
      <c r="AB89" s="27"/>
    </row>
    <row r="90" spans="1:28" x14ac:dyDescent="0.35">
      <c r="A90" s="28"/>
      <c r="F90" s="25"/>
      <c r="G90" s="25"/>
      <c r="H90" s="25"/>
      <c r="V90" s="27"/>
      <c r="W90" s="27"/>
      <c r="X90" s="27"/>
      <c r="Y90" s="27"/>
      <c r="Z90" s="27"/>
      <c r="AA90" s="27"/>
      <c r="AB90" s="27"/>
    </row>
    <row r="91" spans="1:28" x14ac:dyDescent="0.35">
      <c r="A91" s="28"/>
      <c r="F91" s="25"/>
      <c r="G91" s="25"/>
      <c r="H91" s="25"/>
      <c r="V91" s="27"/>
      <c r="W91" s="27"/>
      <c r="X91" s="27"/>
      <c r="Y91" s="27"/>
      <c r="Z91" s="27"/>
      <c r="AA91" s="27"/>
      <c r="AB91" s="27"/>
    </row>
    <row r="92" spans="1:28" x14ac:dyDescent="0.35">
      <c r="A92" s="28"/>
      <c r="F92" s="25"/>
      <c r="G92" s="25"/>
      <c r="H92" s="25"/>
      <c r="N92" s="27"/>
      <c r="O92" s="27"/>
      <c r="P92" s="27"/>
      <c r="Q92" s="27"/>
      <c r="R92" s="27"/>
      <c r="S92" s="26"/>
      <c r="T92" s="26"/>
      <c r="U92" s="26"/>
      <c r="V92" s="27"/>
      <c r="W92" s="27"/>
      <c r="X92" s="18"/>
      <c r="Y92" s="27"/>
      <c r="Z92" s="27"/>
      <c r="AA92" s="27"/>
      <c r="AB92" s="27"/>
    </row>
    <row r="93" spans="1:28" x14ac:dyDescent="0.35">
      <c r="A93" s="28"/>
      <c r="F93" s="25"/>
      <c r="G93" s="25"/>
      <c r="H93" s="25"/>
      <c r="N93" s="27"/>
      <c r="O93" s="27"/>
      <c r="P93" s="27"/>
      <c r="Q93" s="27"/>
      <c r="R93" s="27"/>
      <c r="S93" s="26"/>
      <c r="T93" s="26"/>
      <c r="U93" s="26"/>
      <c r="V93" s="27"/>
      <c r="W93" s="27"/>
      <c r="X93" s="18"/>
      <c r="Y93" s="27"/>
      <c r="Z93" s="27"/>
      <c r="AA93" s="27"/>
      <c r="AB93" s="27"/>
    </row>
    <row r="94" spans="1:28" x14ac:dyDescent="0.35">
      <c r="A94" s="28"/>
      <c r="F94" s="25"/>
      <c r="G94" s="25"/>
      <c r="H94" s="25"/>
      <c r="S94" s="26"/>
      <c r="T94" s="26"/>
      <c r="U94" s="26"/>
      <c r="V94" s="27"/>
      <c r="W94" s="27"/>
      <c r="X94" s="18"/>
      <c r="Y94" s="27"/>
      <c r="Z94" s="27"/>
      <c r="AA94" s="27"/>
      <c r="AB94" s="27"/>
    </row>
    <row r="95" spans="1:28" x14ac:dyDescent="0.35">
      <c r="A95" s="28"/>
      <c r="F95" s="25"/>
      <c r="G95" s="25"/>
      <c r="H95" s="25"/>
      <c r="V95" s="27"/>
      <c r="W95" s="27"/>
      <c r="X95" s="27"/>
      <c r="Y95" s="27"/>
      <c r="Z95" s="27"/>
      <c r="AA95" s="27"/>
      <c r="AB95" s="27"/>
    </row>
    <row r="96" spans="1:28" x14ac:dyDescent="0.35">
      <c r="A96" s="28"/>
      <c r="F96" s="25"/>
      <c r="G96" s="25"/>
      <c r="H96" s="25"/>
      <c r="V96" s="27"/>
      <c r="W96" s="27"/>
      <c r="X96" s="27"/>
      <c r="Y96" s="27"/>
      <c r="Z96" s="27"/>
      <c r="AA96" s="27"/>
      <c r="AB96" s="27"/>
    </row>
    <row r="97" spans="1:28" x14ac:dyDescent="0.35">
      <c r="A97" s="28"/>
      <c r="F97" s="25"/>
      <c r="G97" s="25"/>
      <c r="H97" s="25"/>
      <c r="V97" s="27"/>
      <c r="W97" s="27"/>
      <c r="X97" s="27"/>
      <c r="Y97" s="27"/>
      <c r="Z97" s="27"/>
      <c r="AA97" s="27"/>
      <c r="AB97" s="27"/>
    </row>
    <row r="98" spans="1:28" x14ac:dyDescent="0.35">
      <c r="A98" s="28"/>
      <c r="B98" s="25"/>
      <c r="F98" s="25"/>
      <c r="G98" s="25"/>
      <c r="H98" s="25"/>
      <c r="V98" s="27"/>
      <c r="W98" s="27"/>
      <c r="X98" s="27"/>
      <c r="Y98" s="27"/>
      <c r="Z98" s="27"/>
      <c r="AA98" s="27"/>
      <c r="AB98" s="27"/>
    </row>
    <row r="99" spans="1:28" x14ac:dyDescent="0.35">
      <c r="A99" s="28"/>
      <c r="B99" s="85"/>
      <c r="F99" s="25"/>
      <c r="G99" s="25"/>
      <c r="H99" s="25"/>
      <c r="V99" s="27"/>
      <c r="W99" s="27"/>
      <c r="X99" s="27"/>
      <c r="Y99" s="27"/>
      <c r="Z99" s="27"/>
      <c r="AA99" s="27"/>
      <c r="AB99" s="27"/>
    </row>
    <row r="100" spans="1:28" x14ac:dyDescent="0.35">
      <c r="A100" s="28"/>
      <c r="B100" s="25"/>
      <c r="F100" s="25"/>
      <c r="G100" s="25"/>
      <c r="H100" s="25"/>
      <c r="I100" s="25"/>
      <c r="L100" s="27"/>
      <c r="M100" s="27"/>
      <c r="V100" s="27"/>
      <c r="W100" s="27"/>
      <c r="X100" s="27"/>
      <c r="Y100" s="27"/>
      <c r="Z100" s="27"/>
      <c r="AA100" s="27"/>
      <c r="AB100" s="27"/>
    </row>
    <row r="101" spans="1:28" x14ac:dyDescent="0.35">
      <c r="A101" s="28"/>
      <c r="B101" s="25"/>
      <c r="F101" s="25"/>
      <c r="G101" s="25"/>
      <c r="H101" s="25"/>
      <c r="L101" s="27"/>
      <c r="M101" s="27"/>
      <c r="S101" s="27"/>
      <c r="T101" s="27"/>
      <c r="U101" s="27"/>
      <c r="V101" s="11"/>
      <c r="W101" s="27"/>
      <c r="X101" s="27"/>
      <c r="Y101" s="27"/>
      <c r="Z101" s="27"/>
      <c r="AA101" s="27"/>
      <c r="AB101" s="27"/>
    </row>
    <row r="102" spans="1:28" x14ac:dyDescent="0.35">
      <c r="A102" s="28"/>
      <c r="B102" s="25"/>
      <c r="F102" s="25"/>
      <c r="G102" s="25"/>
      <c r="H102" s="25"/>
      <c r="L102" s="27"/>
      <c r="M102" s="27"/>
      <c r="P102" s="6"/>
      <c r="S102" s="27"/>
      <c r="T102" s="27"/>
      <c r="U102" s="27"/>
      <c r="V102" s="11"/>
      <c r="W102" s="18"/>
      <c r="X102" s="27"/>
      <c r="Y102" s="27"/>
      <c r="Z102" s="27"/>
      <c r="AA102" s="27"/>
      <c r="AB102" s="27"/>
    </row>
    <row r="103" spans="1:28" x14ac:dyDescent="0.35">
      <c r="A103" s="28"/>
      <c r="B103" s="25"/>
      <c r="F103" s="25"/>
      <c r="G103" s="25"/>
      <c r="H103" s="25"/>
      <c r="K103" s="27"/>
      <c r="L103" s="27"/>
      <c r="M103" s="27"/>
      <c r="S103" s="27"/>
      <c r="T103" s="27"/>
      <c r="U103" s="27"/>
      <c r="V103" s="11"/>
      <c r="W103" s="27"/>
      <c r="X103" s="21"/>
      <c r="Y103" s="27"/>
      <c r="Z103" s="27"/>
      <c r="AA103" s="27"/>
      <c r="AB103" s="27"/>
    </row>
    <row r="104" spans="1:28" x14ac:dyDescent="0.35">
      <c r="A104" s="28"/>
      <c r="B104" s="25"/>
      <c r="F104" s="25"/>
      <c r="G104" s="25"/>
      <c r="H104" s="25"/>
      <c r="K104" s="27"/>
      <c r="L104" s="27"/>
      <c r="M104" s="27"/>
      <c r="P104" s="27"/>
      <c r="S104" s="27"/>
      <c r="T104" s="27"/>
      <c r="U104" s="27"/>
      <c r="V104" s="11"/>
      <c r="W104" s="18"/>
      <c r="X104" s="27"/>
      <c r="Y104" s="27"/>
      <c r="Z104" s="27"/>
      <c r="AA104" s="27"/>
      <c r="AB104" s="27"/>
    </row>
    <row r="105" spans="1:28" x14ac:dyDescent="0.35">
      <c r="A105" s="28"/>
      <c r="B105" s="25"/>
      <c r="F105" s="25"/>
      <c r="G105" s="25"/>
      <c r="H105" s="25"/>
      <c r="K105" s="27"/>
      <c r="L105" s="27"/>
      <c r="M105" s="27"/>
      <c r="P105" s="27"/>
      <c r="S105" s="27"/>
      <c r="T105" s="27"/>
      <c r="U105" s="27"/>
      <c r="V105" s="11"/>
      <c r="W105" s="18"/>
      <c r="X105" s="27"/>
      <c r="Y105" s="27"/>
      <c r="Z105" s="27"/>
      <c r="AA105" s="27"/>
      <c r="AB105" s="27"/>
    </row>
    <row r="106" spans="1:28" x14ac:dyDescent="0.35">
      <c r="A106" s="28"/>
      <c r="B106" s="25"/>
      <c r="F106" s="25"/>
      <c r="G106" s="25"/>
      <c r="H106" s="25"/>
      <c r="K106" s="27"/>
      <c r="L106" s="27"/>
      <c r="M106" s="27"/>
      <c r="P106" s="27"/>
      <c r="S106" s="27"/>
      <c r="T106" s="27"/>
      <c r="U106" s="27"/>
      <c r="V106" s="13"/>
      <c r="W106" s="18"/>
      <c r="Y106" s="26"/>
    </row>
    <row r="107" spans="1:28" x14ac:dyDescent="0.35">
      <c r="B107" s="28"/>
      <c r="F107" s="25"/>
      <c r="G107" s="25"/>
      <c r="H107" s="25"/>
      <c r="K107" s="27"/>
      <c r="L107" s="27"/>
      <c r="M107" s="27"/>
      <c r="P107" s="27"/>
      <c r="S107" s="27"/>
      <c r="T107" s="27"/>
      <c r="U107" s="27"/>
      <c r="V107" s="13"/>
      <c r="W107" s="18"/>
      <c r="Y107" s="26"/>
    </row>
    <row r="108" spans="1:28" x14ac:dyDescent="0.35">
      <c r="B108" s="28"/>
      <c r="F108" s="25"/>
      <c r="G108" s="25"/>
      <c r="H108" s="25"/>
      <c r="K108" s="27"/>
      <c r="L108" s="27"/>
      <c r="M108" s="27"/>
      <c r="P108" s="27"/>
      <c r="S108" s="26"/>
      <c r="T108" s="26"/>
      <c r="U108" s="26"/>
      <c r="V108" s="13"/>
      <c r="W108" s="18"/>
      <c r="Y108" s="26"/>
    </row>
    <row r="109" spans="1:28" x14ac:dyDescent="0.35">
      <c r="F109" s="25"/>
      <c r="G109" s="25"/>
      <c r="H109" s="25"/>
    </row>
    <row r="110" spans="1:28" x14ac:dyDescent="0.35">
      <c r="F110" s="25"/>
      <c r="G110" s="25"/>
      <c r="H110" s="25"/>
    </row>
    <row r="111" spans="1:28" x14ac:dyDescent="0.35">
      <c r="F111" s="25"/>
      <c r="G111" s="25"/>
      <c r="H111" s="25"/>
    </row>
    <row r="112" spans="1:28" x14ac:dyDescent="0.35">
      <c r="H112" s="25"/>
    </row>
    <row r="118" spans="1:11" x14ac:dyDescent="0.35">
      <c r="A118" s="28"/>
      <c r="E118" s="28"/>
      <c r="K118" s="28"/>
    </row>
    <row r="119" spans="1:11" x14ac:dyDescent="0.35">
      <c r="A119" s="28"/>
      <c r="E119" s="28"/>
    </row>
    <row r="120" spans="1:11" x14ac:dyDescent="0.35">
      <c r="A120" s="28"/>
      <c r="E120" s="28"/>
      <c r="K120" s="28"/>
    </row>
    <row r="121" spans="1:11" x14ac:dyDescent="0.35">
      <c r="A121" s="28"/>
      <c r="E121" s="28"/>
      <c r="K121" s="28"/>
    </row>
    <row r="122" spans="1:11" x14ac:dyDescent="0.35">
      <c r="A122" s="28"/>
      <c r="E122" s="28"/>
      <c r="K122" s="28"/>
    </row>
    <row r="123" spans="1:11" x14ac:dyDescent="0.35">
      <c r="A123" s="28"/>
      <c r="E123" s="28"/>
      <c r="K123" s="28"/>
    </row>
    <row r="124" spans="1:11" x14ac:dyDescent="0.35">
      <c r="A124" s="28"/>
      <c r="E124" s="28"/>
      <c r="K124" s="28"/>
    </row>
    <row r="125" spans="1:11" x14ac:dyDescent="0.35">
      <c r="A125" s="28"/>
      <c r="E125" s="28"/>
      <c r="K125" s="28"/>
    </row>
    <row r="126" spans="1:11" x14ac:dyDescent="0.35">
      <c r="A126" s="28"/>
      <c r="E126" s="28"/>
      <c r="K126" s="28"/>
    </row>
    <row r="127" spans="1:11" x14ac:dyDescent="0.35">
      <c r="A127" s="28"/>
      <c r="E127" s="28"/>
      <c r="K127" s="28"/>
    </row>
    <row r="128" spans="1:11" x14ac:dyDescent="0.35">
      <c r="A128" s="28"/>
      <c r="E128" s="28"/>
      <c r="K128" s="28"/>
    </row>
    <row r="129" spans="1:11" x14ac:dyDescent="0.35">
      <c r="A129" s="28"/>
      <c r="E129" s="28"/>
      <c r="K129" s="28"/>
    </row>
    <row r="130" spans="1:11" x14ac:dyDescent="0.35">
      <c r="A130" s="28"/>
      <c r="E130" s="28"/>
      <c r="K130" s="28"/>
    </row>
    <row r="131" spans="1:11" x14ac:dyDescent="0.35">
      <c r="A131" s="28"/>
      <c r="F131" s="25"/>
      <c r="G131" s="25"/>
    </row>
    <row r="132" spans="1:11" x14ac:dyDescent="0.35">
      <c r="A132" s="28"/>
      <c r="F132" s="25"/>
      <c r="G132" s="25"/>
      <c r="H132" s="25"/>
    </row>
    <row r="133" spans="1:11" x14ac:dyDescent="0.35">
      <c r="A133" s="22"/>
      <c r="F133" s="25"/>
      <c r="G133" s="25"/>
      <c r="H133" s="25"/>
    </row>
    <row r="134" spans="1:11" x14ac:dyDescent="0.35">
      <c r="H134" s="25"/>
    </row>
  </sheetData>
  <mergeCells count="1">
    <mergeCell ref="A40:E40"/>
  </mergeCells>
  <pageMargins left="0.7" right="0.7" top="0.75" bottom="0.75" header="0.3" footer="0.3"/>
  <pageSetup orientation="portrait" r:id="rId1"/>
  <ignoredErrors>
    <ignoredError sqref="I40" formulaRange="1"/>
  </ignoredErrors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V132"/>
  <sheetViews>
    <sheetView zoomScaleNormal="100" workbookViewId="0">
      <selection activeCell="A8" sqref="A8"/>
    </sheetView>
  </sheetViews>
  <sheetFormatPr defaultColWidth="9.1796875" defaultRowHeight="14.5" x14ac:dyDescent="0.35"/>
  <cols>
    <col min="1" max="1" width="9.7265625" style="31" bestFit="1" customWidth="1"/>
    <col min="2" max="2" width="10.81640625" style="31" bestFit="1" customWidth="1"/>
    <col min="3" max="3" width="3.54296875" style="31" bestFit="1" customWidth="1"/>
    <col min="4" max="4" width="8.1796875" style="31" bestFit="1" customWidth="1"/>
    <col min="5" max="5" width="9.1796875" style="31"/>
    <col min="6" max="6" width="9.7265625" style="31" bestFit="1" customWidth="1"/>
    <col min="7" max="7" width="8.54296875" style="31" bestFit="1" customWidth="1"/>
    <col min="8" max="8" width="16" style="145" bestFit="1" customWidth="1"/>
    <col min="9" max="9" width="5" style="31" bestFit="1" customWidth="1"/>
    <col min="10" max="10" width="15.7265625" style="31" bestFit="1" customWidth="1"/>
    <col min="11" max="11" width="15.453125" style="31" bestFit="1" customWidth="1"/>
    <col min="12" max="12" width="6.26953125" style="31" bestFit="1" customWidth="1"/>
    <col min="13" max="14" width="6.81640625" style="31" bestFit="1" customWidth="1"/>
    <col min="15" max="15" width="7" style="31" bestFit="1" customWidth="1"/>
    <col min="16" max="27" width="6.81640625" style="31" bestFit="1" customWidth="1"/>
    <col min="28" max="28" width="11.453125" style="31" customWidth="1"/>
    <col min="29" max="29" width="7.1796875" style="31" bestFit="1" customWidth="1"/>
    <col min="30" max="30" width="7.54296875" style="31" bestFit="1" customWidth="1"/>
    <col min="31" max="31" width="14.54296875" style="31" bestFit="1" customWidth="1"/>
    <col min="32" max="32" width="11.7265625" style="31" bestFit="1" customWidth="1"/>
    <col min="33" max="33" width="12.26953125" style="31" customWidth="1"/>
    <col min="34" max="16384" width="9.1796875" style="31"/>
  </cols>
  <sheetData>
    <row r="1" spans="1:48" x14ac:dyDescent="0.35">
      <c r="A1" s="31" t="s">
        <v>46</v>
      </c>
      <c r="F1" s="25"/>
      <c r="G1" s="25"/>
      <c r="H1" s="25"/>
    </row>
    <row r="2" spans="1:48" x14ac:dyDescent="0.35">
      <c r="F2" s="25"/>
      <c r="G2" s="25"/>
      <c r="H2" s="25"/>
    </row>
    <row r="3" spans="1:48" x14ac:dyDescent="0.35">
      <c r="A3" s="31" t="s">
        <v>8</v>
      </c>
      <c r="F3" s="25"/>
      <c r="G3" s="25"/>
      <c r="H3" s="25"/>
    </row>
    <row r="4" spans="1:48" x14ac:dyDescent="0.35">
      <c r="A4" s="31" t="s">
        <v>187</v>
      </c>
      <c r="F4" s="25"/>
      <c r="G4" s="25"/>
      <c r="H4" s="25"/>
    </row>
    <row r="5" spans="1:48" x14ac:dyDescent="0.35">
      <c r="A5" s="102" t="s">
        <v>189</v>
      </c>
      <c r="F5" s="25"/>
      <c r="G5" s="25"/>
      <c r="H5" s="25"/>
    </row>
    <row r="6" spans="1:48" s="202" customFormat="1" x14ac:dyDescent="0.35">
      <c r="A6" s="26" t="s">
        <v>358</v>
      </c>
      <c r="F6" s="25"/>
      <c r="G6" s="25"/>
      <c r="H6" s="25"/>
    </row>
    <row r="7" spans="1:48" x14ac:dyDescent="0.35">
      <c r="F7" s="25"/>
      <c r="G7" s="25"/>
      <c r="H7" s="25"/>
      <c r="AR7" s="101" t="s">
        <v>254</v>
      </c>
      <c r="AS7" s="101"/>
      <c r="AT7" s="101">
        <v>0.39360000000000001</v>
      </c>
      <c r="AU7" s="101" t="s">
        <v>255</v>
      </c>
      <c r="AV7" s="101"/>
    </row>
    <row r="8" spans="1:48" x14ac:dyDescent="0.35">
      <c r="A8" s="19" t="s">
        <v>381</v>
      </c>
      <c r="F8" s="25"/>
      <c r="G8" s="25"/>
      <c r="H8" s="25"/>
      <c r="AG8" s="26" t="s">
        <v>170</v>
      </c>
      <c r="AR8" s="71"/>
      <c r="AS8" s="71"/>
      <c r="AT8" s="71"/>
      <c r="AU8" s="71"/>
      <c r="AV8" s="71"/>
    </row>
    <row r="9" spans="1:48" x14ac:dyDescent="0.35">
      <c r="F9" s="25"/>
      <c r="G9" s="25"/>
      <c r="H9" s="25"/>
      <c r="AR9" s="101"/>
      <c r="AS9" s="101"/>
      <c r="AT9" s="101"/>
      <c r="AU9" s="101"/>
      <c r="AV9" s="101"/>
    </row>
    <row r="10" spans="1:48" x14ac:dyDescent="0.35">
      <c r="A10" s="31" t="s">
        <v>9</v>
      </c>
      <c r="B10" s="31" t="s">
        <v>10</v>
      </c>
      <c r="C10" s="31" t="s">
        <v>11</v>
      </c>
      <c r="D10" s="31" t="s">
        <v>7</v>
      </c>
      <c r="E10" s="31" t="s">
        <v>12</v>
      </c>
      <c r="F10" s="25" t="s">
        <v>13</v>
      </c>
      <c r="G10" s="25" t="s">
        <v>81</v>
      </c>
      <c r="H10" s="25" t="s">
        <v>244</v>
      </c>
      <c r="I10" s="31" t="s">
        <v>14</v>
      </c>
      <c r="J10" s="31" t="s">
        <v>15</v>
      </c>
      <c r="K10" s="31" t="s">
        <v>16</v>
      </c>
      <c r="L10" s="31" t="s">
        <v>3</v>
      </c>
      <c r="M10" s="31" t="s">
        <v>31</v>
      </c>
      <c r="N10" s="31" t="s">
        <v>30</v>
      </c>
      <c r="O10" s="31" t="s">
        <v>18</v>
      </c>
      <c r="P10" s="31" t="s">
        <v>17</v>
      </c>
      <c r="Q10" s="31" t="s">
        <v>20</v>
      </c>
      <c r="R10" s="31" t="s">
        <v>19</v>
      </c>
      <c r="S10" s="31" t="s">
        <v>21</v>
      </c>
      <c r="T10" s="31" t="s">
        <v>47</v>
      </c>
      <c r="U10" s="31" t="s">
        <v>24</v>
      </c>
      <c r="V10" s="31" t="s">
        <v>48</v>
      </c>
      <c r="W10" s="31" t="s">
        <v>4</v>
      </c>
      <c r="X10" s="31" t="s">
        <v>22</v>
      </c>
      <c r="Y10" s="31" t="s">
        <v>23</v>
      </c>
      <c r="Z10" s="31" t="s">
        <v>25</v>
      </c>
      <c r="AA10" s="31" t="s">
        <v>49</v>
      </c>
      <c r="AB10" s="31" t="s">
        <v>26</v>
      </c>
      <c r="AC10" s="31" t="s">
        <v>123</v>
      </c>
      <c r="AD10" s="31" t="s">
        <v>124</v>
      </c>
      <c r="AE10" s="31" t="s">
        <v>27</v>
      </c>
      <c r="AG10" s="101" t="s">
        <v>171</v>
      </c>
      <c r="AH10" s="101" t="s">
        <v>172</v>
      </c>
      <c r="AI10" s="101" t="s">
        <v>173</v>
      </c>
      <c r="AJ10" s="101" t="s">
        <v>174</v>
      </c>
      <c r="AK10" s="101" t="s">
        <v>175</v>
      </c>
      <c r="AL10" s="101" t="s">
        <v>176</v>
      </c>
      <c r="AM10" s="101" t="s">
        <v>177</v>
      </c>
      <c r="AN10" s="101" t="s">
        <v>178</v>
      </c>
      <c r="AO10" s="101" t="s">
        <v>179</v>
      </c>
      <c r="AP10" s="101" t="s">
        <v>180</v>
      </c>
      <c r="AR10" s="151" t="s">
        <v>247</v>
      </c>
      <c r="AS10" s="151" t="s">
        <v>248</v>
      </c>
      <c r="AT10" s="151" t="s">
        <v>253</v>
      </c>
      <c r="AU10" s="151" t="s">
        <v>251</v>
      </c>
      <c r="AV10" s="151" t="s">
        <v>245</v>
      </c>
    </row>
    <row r="11" spans="1:48" x14ac:dyDescent="0.35">
      <c r="D11" s="31" t="s">
        <v>6</v>
      </c>
      <c r="E11" s="31" t="s">
        <v>6</v>
      </c>
      <c r="F11" s="25"/>
      <c r="G11" s="25"/>
      <c r="H11" s="25"/>
      <c r="J11" s="203" t="s">
        <v>357</v>
      </c>
      <c r="K11" s="31" t="s">
        <v>28</v>
      </c>
      <c r="L11" s="27" t="s">
        <v>352</v>
      </c>
      <c r="M11" s="31" t="s">
        <v>5</v>
      </c>
      <c r="N11" s="31" t="s">
        <v>5</v>
      </c>
      <c r="O11" s="31" t="s">
        <v>5</v>
      </c>
      <c r="P11" s="31" t="s">
        <v>5</v>
      </c>
      <c r="Q11" s="31" t="s">
        <v>5</v>
      </c>
      <c r="R11" s="31" t="s">
        <v>5</v>
      </c>
      <c r="S11" s="31" t="s">
        <v>5</v>
      </c>
      <c r="T11" s="31" t="s">
        <v>5</v>
      </c>
      <c r="U11" s="31" t="s">
        <v>5</v>
      </c>
      <c r="V11" s="31" t="s">
        <v>5</v>
      </c>
      <c r="W11" s="31" t="s">
        <v>5</v>
      </c>
      <c r="X11" s="31" t="s">
        <v>5</v>
      </c>
      <c r="Y11" s="31" t="s">
        <v>5</v>
      </c>
      <c r="Z11" s="31" t="s">
        <v>5</v>
      </c>
      <c r="AA11" s="31" t="s">
        <v>5</v>
      </c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R11" s="151" t="s">
        <v>246</v>
      </c>
      <c r="AS11" s="151" t="s">
        <v>249</v>
      </c>
      <c r="AT11" s="151" t="s">
        <v>252</v>
      </c>
      <c r="AU11" s="151" t="s">
        <v>252</v>
      </c>
      <c r="AV11" s="151" t="s">
        <v>250</v>
      </c>
    </row>
    <row r="12" spans="1:48" x14ac:dyDescent="0.35">
      <c r="F12" s="25"/>
      <c r="G12" s="25"/>
      <c r="H12" s="25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R12" s="151"/>
      <c r="AS12" s="151"/>
      <c r="AT12" s="151"/>
      <c r="AU12" s="151"/>
      <c r="AV12" s="151"/>
    </row>
    <row r="13" spans="1:48" x14ac:dyDescent="0.35">
      <c r="A13" s="31" t="s">
        <v>184</v>
      </c>
      <c r="F13" s="25"/>
      <c r="G13" s="25"/>
      <c r="H13" s="25"/>
      <c r="I13" s="18">
        <v>7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C13" s="25"/>
      <c r="AD13" s="25"/>
      <c r="AE13" s="25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R13" s="50">
        <v>9.9999999999999995E-8</v>
      </c>
      <c r="AS13" s="50">
        <f>(3.84-0.36)</f>
        <v>3.48</v>
      </c>
      <c r="AT13" s="50"/>
      <c r="AU13" s="50">
        <f>AT7*AS13</f>
        <v>1.3697280000000001</v>
      </c>
      <c r="AV13" s="50"/>
    </row>
    <row r="14" spans="1:48" x14ac:dyDescent="0.35">
      <c r="F14" s="25"/>
      <c r="G14" s="25"/>
      <c r="H14" s="25"/>
      <c r="N14" s="27"/>
      <c r="O14" s="27"/>
      <c r="P14" s="27"/>
      <c r="Q14" s="27"/>
      <c r="R14" s="27"/>
      <c r="S14" s="26"/>
      <c r="T14" s="26"/>
      <c r="U14" s="26"/>
      <c r="V14" s="26"/>
      <c r="W14" s="27"/>
      <c r="X14" s="18"/>
      <c r="Y14" s="26"/>
      <c r="Z14" s="27"/>
      <c r="AC14" s="25"/>
      <c r="AD14" s="25"/>
      <c r="AE14" s="25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R14" s="50"/>
      <c r="AS14" s="50"/>
      <c r="AT14" s="50"/>
      <c r="AU14" s="50"/>
      <c r="AV14" s="50"/>
    </row>
    <row r="15" spans="1:48" x14ac:dyDescent="0.35">
      <c r="A15" s="31">
        <v>17</v>
      </c>
      <c r="B15" s="28">
        <v>43676</v>
      </c>
      <c r="C15" s="31">
        <v>1</v>
      </c>
      <c r="D15" s="31">
        <v>96</v>
      </c>
      <c r="E15" s="31">
        <v>96</v>
      </c>
      <c r="F15" s="25">
        <f>D15/96</f>
        <v>1</v>
      </c>
      <c r="G15" s="25">
        <v>1</v>
      </c>
      <c r="H15" s="25"/>
      <c r="I15" s="31">
        <v>7.99</v>
      </c>
      <c r="J15" s="31">
        <v>9020</v>
      </c>
      <c r="K15" s="12">
        <v>97.6</v>
      </c>
      <c r="L15" s="31">
        <v>324</v>
      </c>
      <c r="M15" s="31">
        <v>280</v>
      </c>
      <c r="N15" s="27">
        <v>7.9</v>
      </c>
      <c r="O15" s="191">
        <v>5726</v>
      </c>
      <c r="P15" s="31">
        <v>115</v>
      </c>
      <c r="Q15" s="21">
        <v>479.1</v>
      </c>
      <c r="R15" s="21">
        <v>398.2</v>
      </c>
      <c r="S15" s="21">
        <v>1634</v>
      </c>
      <c r="T15" s="21">
        <v>24.09</v>
      </c>
      <c r="U15" s="21">
        <v>23.78</v>
      </c>
      <c r="V15" s="13">
        <v>0.2</v>
      </c>
      <c r="W15" s="25">
        <v>0.77200000000000002</v>
      </c>
      <c r="X15" s="81">
        <v>0.02</v>
      </c>
      <c r="Y15" s="85">
        <v>6.8000000000000005E-2</v>
      </c>
      <c r="Z15" s="81">
        <v>0.04</v>
      </c>
      <c r="AA15" s="6">
        <v>7.6840000000000002</v>
      </c>
      <c r="AC15" s="25">
        <f t="shared" ref="AC15:AC27" si="0">((K15/50)+(M15/35.45)+(N15/62)+(O15/48.03))</f>
        <v>129.19502381808115</v>
      </c>
      <c r="AD15" s="25">
        <f t="shared" ref="AD15" si="1">((Q15/20.04)+(R15/12.16)+(S15/22.99)+(U15/39.1))</f>
        <v>128.33646046357006</v>
      </c>
      <c r="AE15" s="25">
        <f t="shared" ref="AE15" si="2">ABS((AC15-AD15)/(AC15+AD15)*100)</f>
        <v>0.33338189965624426</v>
      </c>
      <c r="AG15" s="101">
        <v>7.99</v>
      </c>
      <c r="AH15" s="101">
        <v>-0.29509299999999999</v>
      </c>
      <c r="AI15" s="101">
        <v>0.53859999999999997</v>
      </c>
      <c r="AJ15" s="101">
        <v>3.3700000000000001E-2</v>
      </c>
      <c r="AK15" s="101">
        <v>-0.21410000000000001</v>
      </c>
      <c r="AL15" s="101">
        <v>-3.0611999999999999</v>
      </c>
      <c r="AM15" s="101">
        <v>0.84319999999999995</v>
      </c>
      <c r="AN15" s="101">
        <v>-1.4981</v>
      </c>
      <c r="AO15" s="101">
        <v>-0.33350000000000002</v>
      </c>
      <c r="AP15" s="101">
        <v>-0.2954</v>
      </c>
      <c r="AR15" s="50">
        <f>L15/1000</f>
        <v>0.32400000000000001</v>
      </c>
      <c r="AS15" s="50">
        <f>AU15/($AT$7)</f>
        <v>3.400975634146342</v>
      </c>
      <c r="AT15" s="50">
        <f>(AR15-$AR$13)*0.096</f>
        <v>3.11039904E-2</v>
      </c>
      <c r="AU15" s="50">
        <f>AU13-AT15</f>
        <v>1.3386240096000002</v>
      </c>
      <c r="AV15" s="50">
        <f>AS15/AR15</f>
        <v>10.496838376994882</v>
      </c>
    </row>
    <row r="16" spans="1:48" x14ac:dyDescent="0.35">
      <c r="A16" s="104">
        <v>17</v>
      </c>
      <c r="B16" s="28">
        <v>43677</v>
      </c>
      <c r="C16" s="31">
        <v>2</v>
      </c>
      <c r="D16" s="31">
        <v>95</v>
      </c>
      <c r="E16" s="31">
        <f>E15+D16</f>
        <v>191</v>
      </c>
      <c r="F16" s="25">
        <f t="shared" ref="F16:F39" si="3">D16/96</f>
        <v>0.98958333333333337</v>
      </c>
      <c r="G16" s="25">
        <f>G15+F16</f>
        <v>1.9895833333333335</v>
      </c>
      <c r="H16" s="25"/>
      <c r="I16" s="25">
        <v>7.83</v>
      </c>
      <c r="J16" s="31">
        <v>4140</v>
      </c>
      <c r="K16" s="12">
        <v>51.6</v>
      </c>
      <c r="L16" s="31">
        <v>178</v>
      </c>
      <c r="M16" s="31">
        <v>8.9</v>
      </c>
      <c r="N16" s="27">
        <v>0.59</v>
      </c>
      <c r="O16" s="31">
        <v>2870</v>
      </c>
      <c r="P16" s="31">
        <v>27</v>
      </c>
      <c r="Q16" s="21">
        <v>532</v>
      </c>
      <c r="R16" s="21">
        <v>264.3</v>
      </c>
      <c r="S16" s="21">
        <v>421.3</v>
      </c>
      <c r="T16" s="21">
        <v>25.66</v>
      </c>
      <c r="U16" s="21">
        <v>13.67</v>
      </c>
      <c r="V16" s="13">
        <v>0.2</v>
      </c>
      <c r="W16" s="11">
        <v>0.31900000000000001</v>
      </c>
      <c r="X16" s="81">
        <v>0.02</v>
      </c>
      <c r="Y16" s="103">
        <v>7.4999999999999997E-2</v>
      </c>
      <c r="Z16" s="81">
        <v>0.04</v>
      </c>
      <c r="AA16" s="18">
        <v>8.2409999999999997</v>
      </c>
      <c r="AC16" s="25">
        <f t="shared" si="0"/>
        <v>61.046894173490251</v>
      </c>
      <c r="AD16" s="25">
        <f t="shared" ref="AD16:AD27" si="4">((Q16/20.04)+(R16/12.16)+(S16/22.99)+(U16/39.1))</f>
        <v>66.957078776006895</v>
      </c>
      <c r="AE16" s="25">
        <f t="shared" ref="AE16:AE60" si="5">ABS((AC16-AD16)/(AC16+AD16)*100)</f>
        <v>4.6171884093382438</v>
      </c>
      <c r="AG16" s="101">
        <v>7.83</v>
      </c>
      <c r="AH16" s="101">
        <v>6.7746399999999998</v>
      </c>
      <c r="AI16" s="101">
        <v>0.3281</v>
      </c>
      <c r="AJ16" s="101">
        <v>-6.8999999999999999E-3</v>
      </c>
      <c r="AK16" s="101">
        <v>-0.25600000000000001</v>
      </c>
      <c r="AL16" s="101">
        <v>-3.153</v>
      </c>
      <c r="AM16" s="101">
        <v>0.1893</v>
      </c>
      <c r="AN16" s="101">
        <v>-1.6362000000000001</v>
      </c>
      <c r="AO16" s="101">
        <v>-0.437</v>
      </c>
      <c r="AP16" s="101">
        <v>-0.73870000000000002</v>
      </c>
      <c r="AR16" s="50">
        <f t="shared" ref="AR16:AR27" si="6">L16/1000</f>
        <v>0.17799999999999999</v>
      </c>
      <c r="AS16" s="50">
        <f t="shared" ref="AS16:AS27" si="7">AU16/($AT$7)</f>
        <v>3.3575610243902441</v>
      </c>
      <c r="AT16" s="50">
        <f t="shared" ref="AT16:AT27" si="8">(AR16-$AR$13)*0.096</f>
        <v>1.7087990399999999E-2</v>
      </c>
      <c r="AU16" s="50">
        <f>AU15-AT16</f>
        <v>1.3215360192000001</v>
      </c>
      <c r="AV16" s="50">
        <f t="shared" ref="AV16:AV27" si="9">AS16/AR16</f>
        <v>18.862702384214856</v>
      </c>
    </row>
    <row r="17" spans="1:48" x14ac:dyDescent="0.35">
      <c r="A17" s="104">
        <v>17</v>
      </c>
      <c r="B17" s="28">
        <v>43678</v>
      </c>
      <c r="C17" s="31">
        <v>3</v>
      </c>
      <c r="D17" s="31">
        <v>96</v>
      </c>
      <c r="E17" s="31">
        <f t="shared" ref="E17:E39" si="10">E16+D17</f>
        <v>287</v>
      </c>
      <c r="F17" s="25">
        <f t="shared" si="3"/>
        <v>1</v>
      </c>
      <c r="G17" s="25">
        <f t="shared" ref="G17:G20" si="11">G16+F17</f>
        <v>2.9895833333333335</v>
      </c>
      <c r="H17" s="25"/>
      <c r="I17" s="31">
        <v>7.74</v>
      </c>
      <c r="J17" s="31">
        <v>2990</v>
      </c>
      <c r="K17" s="12">
        <v>40.200000000000003</v>
      </c>
      <c r="L17" s="27">
        <v>112</v>
      </c>
      <c r="M17" s="27">
        <v>0.93</v>
      </c>
      <c r="N17" s="169">
        <v>0.5</v>
      </c>
      <c r="O17" s="31">
        <v>1983</v>
      </c>
      <c r="P17" s="31">
        <v>10</v>
      </c>
      <c r="Q17" s="21">
        <v>534.5</v>
      </c>
      <c r="R17" s="21">
        <v>215.5</v>
      </c>
      <c r="S17" s="21">
        <v>86.78</v>
      </c>
      <c r="T17" s="21">
        <v>26.04</v>
      </c>
      <c r="U17" s="18">
        <v>8.2810000000000006</v>
      </c>
      <c r="V17" s="13">
        <v>0.2</v>
      </c>
      <c r="W17" s="11">
        <v>0.19</v>
      </c>
      <c r="X17" s="81">
        <v>0.02</v>
      </c>
      <c r="Y17" s="11">
        <v>0.10299999999999999</v>
      </c>
      <c r="Z17" s="81">
        <v>0.04</v>
      </c>
      <c r="AA17" s="18">
        <v>8.7189999999999994</v>
      </c>
      <c r="AC17" s="25">
        <f t="shared" si="0"/>
        <v>42.124994463825679</v>
      </c>
      <c r="AD17" s="25">
        <f t="shared" si="4"/>
        <v>48.380171087138919</v>
      </c>
      <c r="AE17" s="25">
        <f t="shared" si="5"/>
        <v>6.9114028853865488</v>
      </c>
      <c r="AG17" s="101">
        <v>7.74</v>
      </c>
      <c r="AH17" s="101">
        <v>10.7607</v>
      </c>
      <c r="AI17" s="101">
        <v>0.2205</v>
      </c>
      <c r="AJ17" s="101">
        <v>-6.7799999999999999E-2</v>
      </c>
      <c r="AK17" s="101">
        <v>-0.31719999999999998</v>
      </c>
      <c r="AL17" s="101">
        <v>-3.1617000000000002</v>
      </c>
      <c r="AM17" s="101">
        <v>-0.122</v>
      </c>
      <c r="AN17" s="101">
        <v>-1.5891999999999999</v>
      </c>
      <c r="AO17" s="101">
        <v>-0.54249999999999998</v>
      </c>
      <c r="AP17" s="101">
        <v>-0.9425</v>
      </c>
      <c r="AR17" s="50">
        <f t="shared" si="6"/>
        <v>0.112</v>
      </c>
      <c r="AS17" s="50">
        <f t="shared" si="7"/>
        <v>3.3302439756097564</v>
      </c>
      <c r="AT17" s="50">
        <f t="shared" si="8"/>
        <v>1.07519904E-2</v>
      </c>
      <c r="AU17" s="50">
        <f t="shared" ref="AU17:AU27" si="12">AU16-AT17</f>
        <v>1.3107840288000001</v>
      </c>
      <c r="AV17" s="50">
        <f t="shared" si="9"/>
        <v>29.734321210801397</v>
      </c>
    </row>
    <row r="18" spans="1:48" x14ac:dyDescent="0.35">
      <c r="A18" s="104">
        <v>17</v>
      </c>
      <c r="B18" s="28">
        <v>43679</v>
      </c>
      <c r="C18" s="31">
        <v>4</v>
      </c>
      <c r="D18" s="31">
        <v>99</v>
      </c>
      <c r="E18" s="31">
        <f t="shared" si="10"/>
        <v>386</v>
      </c>
      <c r="F18" s="25">
        <f t="shared" si="3"/>
        <v>1.03125</v>
      </c>
      <c r="G18" s="25">
        <f t="shared" si="11"/>
        <v>4.0208333333333339</v>
      </c>
      <c r="H18" s="25"/>
      <c r="I18" s="31">
        <v>7.73</v>
      </c>
      <c r="J18" s="31">
        <v>2840</v>
      </c>
      <c r="K18" s="12">
        <v>35.799999999999997</v>
      </c>
      <c r="L18" s="27">
        <v>83</v>
      </c>
      <c r="M18" s="169">
        <v>0.5</v>
      </c>
      <c r="N18" s="169">
        <v>0.5</v>
      </c>
      <c r="O18" s="31">
        <v>1920</v>
      </c>
      <c r="P18" s="31">
        <v>7.8</v>
      </c>
      <c r="Q18" s="21">
        <v>574.70000000000005</v>
      </c>
      <c r="R18" s="21">
        <v>174.9</v>
      </c>
      <c r="S18" s="21">
        <v>40.409999999999997</v>
      </c>
      <c r="T18" s="21">
        <v>24.61</v>
      </c>
      <c r="U18" s="18">
        <v>6.7080000000000002</v>
      </c>
      <c r="V18" s="13">
        <v>0.2</v>
      </c>
      <c r="W18" s="11">
        <v>0.155</v>
      </c>
      <c r="X18" s="81">
        <v>0.02</v>
      </c>
      <c r="Y18" s="11">
        <v>0.127</v>
      </c>
      <c r="Z18" s="81">
        <v>0.04</v>
      </c>
      <c r="AA18" s="18">
        <v>8.9949999999999992</v>
      </c>
      <c r="AC18" s="25">
        <f t="shared" si="0"/>
        <v>40.713184503724932</v>
      </c>
      <c r="AD18" s="25">
        <f t="shared" si="4"/>
        <v>44.990149245242534</v>
      </c>
      <c r="AE18" s="25">
        <f t="shared" si="5"/>
        <v>4.9904298402734311</v>
      </c>
      <c r="AG18" s="101">
        <v>7.73</v>
      </c>
      <c r="AH18" s="101">
        <v>7.97797</v>
      </c>
      <c r="AI18" s="101">
        <v>0.20039999999999999</v>
      </c>
      <c r="AJ18" s="101">
        <v>-3.7199999999999997E-2</v>
      </c>
      <c r="AK18" s="101">
        <v>-0.28670000000000001</v>
      </c>
      <c r="AL18" s="101">
        <v>-3.2004999999999999</v>
      </c>
      <c r="AM18" s="101">
        <v>-0.28460000000000002</v>
      </c>
      <c r="AN18" s="101">
        <v>-1.5455000000000001</v>
      </c>
      <c r="AO18" s="101">
        <v>-0.58599999999999997</v>
      </c>
      <c r="AP18" s="101">
        <v>-1.0849</v>
      </c>
      <c r="AR18" s="50">
        <f t="shared" si="6"/>
        <v>8.3000000000000004E-2</v>
      </c>
      <c r="AS18" s="50">
        <f t="shared" si="7"/>
        <v>3.3100000975609758</v>
      </c>
      <c r="AT18" s="50">
        <f t="shared" si="8"/>
        <v>7.9679903999999996E-3</v>
      </c>
      <c r="AU18" s="50">
        <f t="shared" si="12"/>
        <v>1.3028160384</v>
      </c>
      <c r="AV18" s="50">
        <f t="shared" si="9"/>
        <v>39.879519247722598</v>
      </c>
    </row>
    <row r="19" spans="1:48" x14ac:dyDescent="0.35">
      <c r="A19" s="104">
        <v>17</v>
      </c>
      <c r="B19" s="28">
        <v>43680</v>
      </c>
      <c r="C19" s="31">
        <v>5</v>
      </c>
      <c r="D19" s="31">
        <v>100</v>
      </c>
      <c r="E19" s="31">
        <f t="shared" si="10"/>
        <v>486</v>
      </c>
      <c r="F19" s="25">
        <f t="shared" si="3"/>
        <v>1.0416666666666667</v>
      </c>
      <c r="G19" s="25">
        <f t="shared" si="11"/>
        <v>5.0625000000000009</v>
      </c>
      <c r="H19" s="25"/>
      <c r="I19" s="31">
        <v>7.79</v>
      </c>
      <c r="J19" s="31">
        <v>2630</v>
      </c>
      <c r="K19" s="12">
        <v>26</v>
      </c>
      <c r="L19" s="27">
        <v>55</v>
      </c>
      <c r="M19" s="169">
        <v>0.5</v>
      </c>
      <c r="N19" s="169">
        <v>0.5</v>
      </c>
      <c r="O19" s="31">
        <v>1736</v>
      </c>
      <c r="P19" s="31">
        <v>19</v>
      </c>
      <c r="Q19" s="21">
        <v>581</v>
      </c>
      <c r="R19" s="21">
        <v>131.6</v>
      </c>
      <c r="S19" s="21">
        <v>23.7</v>
      </c>
      <c r="T19" s="21">
        <v>23.75</v>
      </c>
      <c r="U19" s="18">
        <v>5.5019999999999998</v>
      </c>
      <c r="V19" s="13">
        <v>0.2</v>
      </c>
      <c r="W19" s="11">
        <v>0.11899999999999999</v>
      </c>
      <c r="X19" s="81">
        <v>0.02</v>
      </c>
      <c r="Y19" s="11">
        <v>0.14899999999999999</v>
      </c>
      <c r="Z19" s="81">
        <v>0.04</v>
      </c>
      <c r="AA19" s="18">
        <v>9.1229999999999993</v>
      </c>
      <c r="AC19" s="25">
        <f t="shared" si="0"/>
        <v>36.686245507264388</v>
      </c>
      <c r="AD19" s="25">
        <f t="shared" si="4"/>
        <v>40.985983494253958</v>
      </c>
      <c r="AE19" s="25">
        <f t="shared" si="5"/>
        <v>5.5357468715176408</v>
      </c>
      <c r="AG19" s="101">
        <v>7.79</v>
      </c>
      <c r="AH19" s="101">
        <v>8.8254000000000001</v>
      </c>
      <c r="AI19" s="101">
        <v>0.1452</v>
      </c>
      <c r="AJ19" s="101">
        <v>-4.5999999999999999E-2</v>
      </c>
      <c r="AK19" s="101">
        <v>-0.29549999999999998</v>
      </c>
      <c r="AL19" s="101">
        <v>-3.3992</v>
      </c>
      <c r="AM19" s="101">
        <v>-0.52449999999999997</v>
      </c>
      <c r="AN19" s="101">
        <v>-1.5310999999999999</v>
      </c>
      <c r="AO19" s="101">
        <v>-0.66649999999999998</v>
      </c>
      <c r="AP19" s="101">
        <v>-1.2696000000000001</v>
      </c>
      <c r="AR19" s="50">
        <f t="shared" si="6"/>
        <v>5.5E-2</v>
      </c>
      <c r="AS19" s="50">
        <f t="shared" si="7"/>
        <v>3.2965854878048781</v>
      </c>
      <c r="AT19" s="50">
        <f t="shared" si="8"/>
        <v>5.2799904000000002E-3</v>
      </c>
      <c r="AU19" s="50">
        <f t="shared" si="12"/>
        <v>1.297536048</v>
      </c>
      <c r="AV19" s="50">
        <f t="shared" si="9"/>
        <v>59.93791796008869</v>
      </c>
    </row>
    <row r="20" spans="1:48" x14ac:dyDescent="0.35">
      <c r="A20" s="104">
        <v>17</v>
      </c>
      <c r="B20" s="28">
        <v>43681</v>
      </c>
      <c r="C20" s="31">
        <v>6</v>
      </c>
      <c r="D20" s="31">
        <v>98</v>
      </c>
      <c r="E20" s="31">
        <f t="shared" si="10"/>
        <v>584</v>
      </c>
      <c r="F20" s="25">
        <f t="shared" si="3"/>
        <v>1.0208333333333333</v>
      </c>
      <c r="G20" s="25">
        <f t="shared" si="11"/>
        <v>6.0833333333333339</v>
      </c>
      <c r="H20" s="25"/>
      <c r="I20" s="31">
        <v>7.77</v>
      </c>
      <c r="J20" s="31">
        <v>2410</v>
      </c>
      <c r="K20" s="12">
        <v>19.899999999999999</v>
      </c>
      <c r="L20" s="27">
        <v>29</v>
      </c>
      <c r="M20" s="169">
        <v>0.5</v>
      </c>
      <c r="N20" s="169">
        <v>0.5</v>
      </c>
      <c r="O20" s="31">
        <v>1529</v>
      </c>
      <c r="P20" s="31">
        <v>9.4</v>
      </c>
      <c r="Q20" s="21">
        <v>572.9</v>
      </c>
      <c r="R20" s="21">
        <v>87.35</v>
      </c>
      <c r="S20" s="21">
        <v>13.64</v>
      </c>
      <c r="T20" s="21">
        <v>22.39</v>
      </c>
      <c r="U20" s="18">
        <v>4.7130000000000001</v>
      </c>
      <c r="V20" s="13">
        <v>0.2</v>
      </c>
      <c r="W20" s="103">
        <v>2.5999999999999999E-2</v>
      </c>
      <c r="X20" s="81">
        <v>0.02</v>
      </c>
      <c r="Y20" s="11">
        <v>0.14499999999999999</v>
      </c>
      <c r="Z20" s="81">
        <v>0.04</v>
      </c>
      <c r="AA20" s="18">
        <v>8.9760000000000009</v>
      </c>
      <c r="AC20" s="25">
        <f t="shared" si="0"/>
        <v>32.254439136246276</v>
      </c>
      <c r="AD20" s="25">
        <f t="shared" si="4"/>
        <v>36.485051028997816</v>
      </c>
      <c r="AE20" s="25">
        <f t="shared" si="5"/>
        <v>6.1545581478441234</v>
      </c>
      <c r="AG20" s="101">
        <v>7.77</v>
      </c>
      <c r="AH20" s="101">
        <v>9.7275100000000005</v>
      </c>
      <c r="AI20" s="101">
        <v>3.0599999999999999E-2</v>
      </c>
      <c r="AJ20" s="101">
        <v>-6.9000000000000006E-2</v>
      </c>
      <c r="AK20" s="101">
        <v>-0.31859999999999999</v>
      </c>
      <c r="AL20" s="101">
        <v>-3.49</v>
      </c>
      <c r="AM20" s="101">
        <v>-0.92679999999999996</v>
      </c>
      <c r="AN20" s="101">
        <v>-1.6456</v>
      </c>
      <c r="AO20" s="101">
        <v>-1.2977000000000001</v>
      </c>
      <c r="AP20" s="101">
        <v>-1.5575000000000001</v>
      </c>
      <c r="AR20" s="50">
        <f t="shared" si="6"/>
        <v>2.9000000000000001E-2</v>
      </c>
      <c r="AS20" s="50">
        <f t="shared" si="7"/>
        <v>3.2895123414634146</v>
      </c>
      <c r="AT20" s="50">
        <f t="shared" si="8"/>
        <v>2.7839904000000002E-3</v>
      </c>
      <c r="AU20" s="50">
        <f t="shared" si="12"/>
        <v>1.2947520576</v>
      </c>
      <c r="AV20" s="50">
        <f t="shared" si="9"/>
        <v>113.43146005046256</v>
      </c>
    </row>
    <row r="21" spans="1:48" x14ac:dyDescent="0.35">
      <c r="A21" s="104">
        <v>17</v>
      </c>
      <c r="B21" s="28">
        <v>43682</v>
      </c>
      <c r="C21" s="31">
        <v>7</v>
      </c>
      <c r="D21" s="31">
        <v>96</v>
      </c>
      <c r="E21" s="31">
        <f t="shared" si="10"/>
        <v>680</v>
      </c>
      <c r="F21" s="25">
        <f t="shared" si="3"/>
        <v>1</v>
      </c>
      <c r="G21" s="25">
        <f>G20+F21</f>
        <v>7.0833333333333339</v>
      </c>
      <c r="H21" s="25"/>
      <c r="I21" s="31">
        <v>7.81</v>
      </c>
      <c r="J21" s="31">
        <v>2410</v>
      </c>
      <c r="K21" s="12">
        <v>22</v>
      </c>
      <c r="L21" s="27">
        <v>26</v>
      </c>
      <c r="M21" s="169">
        <v>0.5</v>
      </c>
      <c r="N21" s="169">
        <v>0.5</v>
      </c>
      <c r="O21" s="31">
        <v>1584</v>
      </c>
      <c r="P21" s="31">
        <v>2.1</v>
      </c>
      <c r="Q21" s="21">
        <v>603.29999999999995</v>
      </c>
      <c r="R21" s="21">
        <v>67.34</v>
      </c>
      <c r="S21" s="21">
        <v>12.07</v>
      </c>
      <c r="T21" s="21">
        <v>23.59</v>
      </c>
      <c r="U21" s="18">
        <v>4.2329999999999997</v>
      </c>
      <c r="V21" s="13">
        <v>0.2</v>
      </c>
      <c r="W21" s="103">
        <v>2.7E-2</v>
      </c>
      <c r="X21" s="81">
        <v>0.02</v>
      </c>
      <c r="Y21" s="11">
        <v>0.127</v>
      </c>
      <c r="Z21" s="81">
        <v>0.04</v>
      </c>
      <c r="AA21" s="18">
        <v>9.1890000000000001</v>
      </c>
      <c r="AC21" s="25">
        <f t="shared" si="0"/>
        <v>33.441556771057854</v>
      </c>
      <c r="AD21" s="25">
        <f t="shared" si="4"/>
        <v>36.275891110388486</v>
      </c>
      <c r="AE21" s="25">
        <f t="shared" si="5"/>
        <v>4.0654591145539092</v>
      </c>
      <c r="AG21" s="101">
        <v>7.81</v>
      </c>
      <c r="AH21" s="101">
        <v>6.6144600000000002</v>
      </c>
      <c r="AI21" s="101">
        <v>0.1285</v>
      </c>
      <c r="AJ21" s="101">
        <v>-3.6299999999999999E-2</v>
      </c>
      <c r="AK21" s="101">
        <v>-0.28589999999999999</v>
      </c>
      <c r="AL21" s="101">
        <v>-3.4882</v>
      </c>
      <c r="AM21" s="101">
        <v>-0.86570000000000003</v>
      </c>
      <c r="AN21" s="101">
        <v>-1.6268</v>
      </c>
      <c r="AO21" s="101">
        <v>-1.2661</v>
      </c>
      <c r="AP21" s="101">
        <v>-1.5942000000000001</v>
      </c>
      <c r="AR21" s="50">
        <f t="shared" si="6"/>
        <v>2.5999999999999999E-2</v>
      </c>
      <c r="AS21" s="50">
        <f t="shared" si="7"/>
        <v>3.2831709024390245</v>
      </c>
      <c r="AT21" s="50">
        <f t="shared" si="8"/>
        <v>2.4959904000000002E-3</v>
      </c>
      <c r="AU21" s="50">
        <f t="shared" si="12"/>
        <v>1.2922560672000001</v>
      </c>
      <c r="AV21" s="50">
        <f t="shared" si="9"/>
        <v>126.27580393996249</v>
      </c>
    </row>
    <row r="22" spans="1:48" x14ac:dyDescent="0.35">
      <c r="A22" s="104">
        <v>17</v>
      </c>
      <c r="B22" s="28">
        <v>43683</v>
      </c>
      <c r="C22" s="31">
        <v>8</v>
      </c>
      <c r="D22" s="31">
        <v>96</v>
      </c>
      <c r="E22" s="31">
        <f t="shared" si="10"/>
        <v>776</v>
      </c>
      <c r="F22" s="25">
        <f t="shared" si="3"/>
        <v>1</v>
      </c>
      <c r="G22" s="25">
        <f>F22+G21</f>
        <v>8.0833333333333339</v>
      </c>
      <c r="H22" s="25"/>
      <c r="I22" s="31">
        <v>7.82</v>
      </c>
      <c r="J22" s="31">
        <v>2370</v>
      </c>
      <c r="K22" s="12">
        <v>17</v>
      </c>
      <c r="L22" s="31">
        <v>19</v>
      </c>
      <c r="M22" s="169">
        <v>0.5</v>
      </c>
      <c r="N22" s="169">
        <v>0.5</v>
      </c>
      <c r="O22" s="31">
        <v>1543</v>
      </c>
      <c r="P22" s="31">
        <v>3.8</v>
      </c>
      <c r="Q22" s="21">
        <v>606.5</v>
      </c>
      <c r="R22" s="21">
        <v>51.6</v>
      </c>
      <c r="S22" s="18">
        <v>9.7479999999999993</v>
      </c>
      <c r="T22" s="21">
        <v>23.37</v>
      </c>
      <c r="U22" s="18">
        <v>3.9670000000000001</v>
      </c>
      <c r="V22" s="13">
        <v>0.2</v>
      </c>
      <c r="W22" s="81">
        <v>0.02</v>
      </c>
      <c r="X22" s="81">
        <v>0.02</v>
      </c>
      <c r="Y22" s="11">
        <v>0.114</v>
      </c>
      <c r="Z22" s="81">
        <v>0.04</v>
      </c>
      <c r="AA22" s="18">
        <v>9.18</v>
      </c>
      <c r="AC22" s="25">
        <f t="shared" si="0"/>
        <v>32.487923625107406</v>
      </c>
      <c r="AD22" s="25">
        <f t="shared" si="4"/>
        <v>35.033360350348765</v>
      </c>
      <c r="AE22" s="25">
        <f t="shared" si="5"/>
        <v>3.7698286753057295</v>
      </c>
      <c r="AG22" s="101">
        <v>7.82</v>
      </c>
      <c r="AH22" s="101">
        <v>6.1723699999999999</v>
      </c>
      <c r="AI22" s="101">
        <v>3.4000000000000002E-2</v>
      </c>
      <c r="AJ22" s="101">
        <v>-3.5700000000000003E-2</v>
      </c>
      <c r="AK22" s="101">
        <v>-0.2853</v>
      </c>
      <c r="AL22" s="101">
        <v>-3.6097999999999999</v>
      </c>
      <c r="AM22" s="101">
        <v>-1.1728000000000001</v>
      </c>
      <c r="AN22" s="101">
        <v>-1.7685999999999999</v>
      </c>
      <c r="AO22" s="101">
        <v>-1.3857999999999999</v>
      </c>
      <c r="AP22" s="101">
        <v>-1.8069</v>
      </c>
      <c r="AR22" s="50">
        <f t="shared" si="6"/>
        <v>1.9E-2</v>
      </c>
      <c r="AS22" s="50">
        <f t="shared" si="7"/>
        <v>3.2785367804878054</v>
      </c>
      <c r="AT22" s="50">
        <f t="shared" si="8"/>
        <v>1.8239904000000001E-3</v>
      </c>
      <c r="AU22" s="50">
        <f t="shared" si="12"/>
        <v>1.2904320768000002</v>
      </c>
      <c r="AV22" s="50">
        <f t="shared" si="9"/>
        <v>172.55456739409502</v>
      </c>
    </row>
    <row r="23" spans="1:48" x14ac:dyDescent="0.35">
      <c r="A23" s="104">
        <v>17</v>
      </c>
      <c r="B23" s="28">
        <v>43684</v>
      </c>
      <c r="C23" s="31">
        <v>9</v>
      </c>
      <c r="D23" s="31">
        <v>97</v>
      </c>
      <c r="E23" s="31">
        <f t="shared" si="10"/>
        <v>873</v>
      </c>
      <c r="F23" s="25">
        <f t="shared" si="3"/>
        <v>1.0104166666666667</v>
      </c>
      <c r="G23" s="25">
        <f>G22+F23</f>
        <v>9.09375</v>
      </c>
      <c r="H23" s="25"/>
      <c r="I23" s="31">
        <v>7.86</v>
      </c>
      <c r="J23" s="31">
        <v>2340</v>
      </c>
      <c r="K23" s="12">
        <v>16.5</v>
      </c>
      <c r="L23" s="27">
        <v>15</v>
      </c>
      <c r="M23" s="169">
        <v>0.5</v>
      </c>
      <c r="N23" s="169">
        <v>0.5</v>
      </c>
      <c r="O23" s="31">
        <v>1532</v>
      </c>
      <c r="P23" s="31">
        <v>3.1</v>
      </c>
      <c r="Q23" s="21">
        <v>595.6</v>
      </c>
      <c r="R23" s="21">
        <v>38.299999999999997</v>
      </c>
      <c r="S23" s="18">
        <v>8.375</v>
      </c>
      <c r="T23" s="21">
        <v>23.18</v>
      </c>
      <c r="U23" s="18">
        <v>3.2320000000000002</v>
      </c>
      <c r="V23" s="13">
        <v>0.2</v>
      </c>
      <c r="W23" s="81">
        <v>0.02</v>
      </c>
      <c r="X23" s="81">
        <v>0.02</v>
      </c>
      <c r="Y23" s="103">
        <v>9.8000000000000004E-2</v>
      </c>
      <c r="Z23" s="81">
        <v>0.04</v>
      </c>
      <c r="AA23" s="18">
        <v>9.5310000000000006</v>
      </c>
      <c r="AC23" s="25">
        <f t="shared" si="0"/>
        <v>32.248900098145093</v>
      </c>
      <c r="AD23" s="25">
        <f t="shared" si="4"/>
        <v>33.31717860264105</v>
      </c>
      <c r="AE23" s="25">
        <f t="shared" si="5"/>
        <v>1.6293158377994454</v>
      </c>
      <c r="AG23" s="101">
        <v>7.86</v>
      </c>
      <c r="AH23" s="101">
        <v>2.9395099999999998</v>
      </c>
      <c r="AI23" s="101">
        <v>5.3999999999999999E-2</v>
      </c>
      <c r="AJ23" s="101">
        <v>-3.7600000000000001E-2</v>
      </c>
      <c r="AK23" s="101">
        <v>-0.28710000000000002</v>
      </c>
      <c r="AL23" s="101">
        <v>-3.6621000000000001</v>
      </c>
      <c r="AM23" s="101">
        <v>-1.254</v>
      </c>
      <c r="AN23" s="101">
        <v>-1.8036000000000001</v>
      </c>
      <c r="AO23" s="101">
        <v>-1.3903000000000001</v>
      </c>
      <c r="AP23" s="101">
        <v>-1.9079999999999999</v>
      </c>
      <c r="AR23" s="50">
        <f t="shared" si="6"/>
        <v>1.4999999999999999E-2</v>
      </c>
      <c r="AS23" s="50">
        <f t="shared" si="7"/>
        <v>3.2748782682926834</v>
      </c>
      <c r="AT23" s="50">
        <f t="shared" si="8"/>
        <v>1.4399904000000001E-3</v>
      </c>
      <c r="AU23" s="50">
        <f t="shared" si="12"/>
        <v>1.2889920864000002</v>
      </c>
      <c r="AV23" s="50">
        <f t="shared" si="9"/>
        <v>218.3252178861789</v>
      </c>
    </row>
    <row r="24" spans="1:48" x14ac:dyDescent="0.35">
      <c r="A24" s="104">
        <v>17</v>
      </c>
      <c r="B24" s="28">
        <v>43685</v>
      </c>
      <c r="C24" s="31">
        <v>10</v>
      </c>
      <c r="D24" s="31">
        <v>99</v>
      </c>
      <c r="E24" s="31">
        <f t="shared" si="10"/>
        <v>972</v>
      </c>
      <c r="F24" s="25">
        <f t="shared" si="3"/>
        <v>1.03125</v>
      </c>
      <c r="G24" s="25">
        <f t="shared" ref="G24:G39" si="13">G23+F24</f>
        <v>10.125</v>
      </c>
      <c r="H24" s="25"/>
      <c r="I24" s="31">
        <v>7.97</v>
      </c>
      <c r="J24" s="31">
        <v>2370</v>
      </c>
      <c r="K24" s="12">
        <v>13</v>
      </c>
      <c r="L24" s="27">
        <v>14</v>
      </c>
      <c r="M24" s="169">
        <v>0.5</v>
      </c>
      <c r="N24" s="169">
        <v>0.5</v>
      </c>
      <c r="O24" s="31">
        <v>1517</v>
      </c>
      <c r="P24" s="31">
        <v>2.8</v>
      </c>
      <c r="Q24" s="21">
        <v>573.4</v>
      </c>
      <c r="R24" s="21">
        <v>28.68</v>
      </c>
      <c r="S24" s="18">
        <v>7.2350000000000003</v>
      </c>
      <c r="T24" s="21">
        <v>22.46</v>
      </c>
      <c r="U24" s="18">
        <v>2.996</v>
      </c>
      <c r="V24" s="13">
        <v>0.2</v>
      </c>
      <c r="W24" s="81">
        <v>0.02</v>
      </c>
      <c r="X24" s="81">
        <v>0.02</v>
      </c>
      <c r="Y24" s="33">
        <v>0.09</v>
      </c>
      <c r="Z24" s="81">
        <v>0.04</v>
      </c>
      <c r="AA24" s="18">
        <v>9.6159999999999997</v>
      </c>
      <c r="AC24" s="25">
        <f t="shared" si="0"/>
        <v>31.866595288651027</v>
      </c>
      <c r="AD24" s="25">
        <f t="shared" si="4"/>
        <v>31.362653167964588</v>
      </c>
      <c r="AE24" s="25">
        <f t="shared" si="5"/>
        <v>0.79700792431878409</v>
      </c>
      <c r="AG24" s="101">
        <v>7.97</v>
      </c>
      <c r="AH24" s="101">
        <v>-0.73058699999999999</v>
      </c>
      <c r="AI24" s="101">
        <v>4.0599999999999997E-2</v>
      </c>
      <c r="AJ24" s="101">
        <v>-4.7100000000000003E-2</v>
      </c>
      <c r="AK24" s="101">
        <v>-0.29670000000000002</v>
      </c>
      <c r="AL24" s="101">
        <v>-3.8793000000000002</v>
      </c>
      <c r="AM24" s="101">
        <v>-1.3894</v>
      </c>
      <c r="AN24" s="101">
        <v>-1.8343</v>
      </c>
      <c r="AO24" s="101">
        <v>-1.4026000000000001</v>
      </c>
      <c r="AP24" s="101">
        <v>-2.0301</v>
      </c>
      <c r="AR24" s="50">
        <f t="shared" si="6"/>
        <v>1.4E-2</v>
      </c>
      <c r="AS24" s="50">
        <f t="shared" si="7"/>
        <v>3.2714636585365855</v>
      </c>
      <c r="AT24" s="50">
        <f t="shared" si="8"/>
        <v>1.3439904000000001E-3</v>
      </c>
      <c r="AU24" s="50">
        <f t="shared" si="12"/>
        <v>1.2876480960000001</v>
      </c>
      <c r="AV24" s="50">
        <f t="shared" si="9"/>
        <v>233.67597560975611</v>
      </c>
    </row>
    <row r="25" spans="1:48" x14ac:dyDescent="0.35">
      <c r="A25" s="104">
        <v>17</v>
      </c>
      <c r="B25" s="28">
        <v>43686</v>
      </c>
      <c r="C25" s="31">
        <v>11</v>
      </c>
      <c r="D25" s="31">
        <v>96</v>
      </c>
      <c r="E25" s="31">
        <f t="shared" si="10"/>
        <v>1068</v>
      </c>
      <c r="F25" s="25">
        <f t="shared" si="3"/>
        <v>1</v>
      </c>
      <c r="G25" s="25">
        <f t="shared" si="13"/>
        <v>11.125</v>
      </c>
      <c r="H25" s="25"/>
      <c r="I25" s="31">
        <v>7.95</v>
      </c>
      <c r="J25" s="31">
        <v>2460</v>
      </c>
      <c r="K25" s="12">
        <v>16</v>
      </c>
      <c r="L25" s="27">
        <v>13</v>
      </c>
      <c r="M25" s="169">
        <v>0.5</v>
      </c>
      <c r="N25" s="169">
        <v>0.5</v>
      </c>
      <c r="O25" s="31">
        <v>1496</v>
      </c>
      <c r="P25" s="31">
        <v>2.8</v>
      </c>
      <c r="Q25" s="21">
        <v>585.4</v>
      </c>
      <c r="R25" s="21">
        <v>24.04</v>
      </c>
      <c r="S25" s="18">
        <v>6.4779999999999998</v>
      </c>
      <c r="T25" s="21">
        <v>22.31</v>
      </c>
      <c r="U25" s="18">
        <v>3.0720000000000001</v>
      </c>
      <c r="V25" s="13">
        <v>0.2</v>
      </c>
      <c r="W25" s="81">
        <v>0.02</v>
      </c>
      <c r="X25" s="81">
        <v>0.02</v>
      </c>
      <c r="Y25" s="103">
        <v>8.4000000000000005E-2</v>
      </c>
      <c r="Z25" s="81">
        <v>0.04</v>
      </c>
      <c r="AA25" s="18">
        <v>9.48</v>
      </c>
      <c r="AC25" s="25">
        <f t="shared" si="0"/>
        <v>31.489368555359331</v>
      </c>
      <c r="AD25" s="25">
        <f t="shared" si="4"/>
        <v>31.548892990099471</v>
      </c>
      <c r="AE25" s="25">
        <f t="shared" si="5"/>
        <v>9.4425882441595554E-2</v>
      </c>
      <c r="AG25" s="101">
        <v>7.95</v>
      </c>
      <c r="AH25" s="101">
        <v>0.61525700000000005</v>
      </c>
      <c r="AI25" s="101">
        <v>0.1239</v>
      </c>
      <c r="AJ25" s="101">
        <v>-4.3200000000000002E-2</v>
      </c>
      <c r="AK25" s="101">
        <v>-0.2928</v>
      </c>
      <c r="AL25" s="101">
        <v>-3.7679999999999998</v>
      </c>
      <c r="AM25" s="101">
        <v>-1.3089</v>
      </c>
      <c r="AN25" s="101">
        <v>-1.7905</v>
      </c>
      <c r="AO25" s="101">
        <v>-1.3902000000000001</v>
      </c>
      <c r="AP25" s="101">
        <v>-2.0327999999999999</v>
      </c>
      <c r="AR25" s="50">
        <f t="shared" si="6"/>
        <v>1.2999999999999999E-2</v>
      </c>
      <c r="AS25" s="50">
        <f t="shared" si="7"/>
        <v>3.2682929512195122</v>
      </c>
      <c r="AT25" s="50">
        <f t="shared" si="8"/>
        <v>1.2479904E-3</v>
      </c>
      <c r="AU25" s="50">
        <f t="shared" si="12"/>
        <v>1.2864001056000001</v>
      </c>
      <c r="AV25" s="50">
        <f t="shared" si="9"/>
        <v>251.40715009380864</v>
      </c>
    </row>
    <row r="26" spans="1:48" x14ac:dyDescent="0.35">
      <c r="A26" s="104">
        <v>17</v>
      </c>
      <c r="B26" s="28">
        <v>43687</v>
      </c>
      <c r="C26" s="31">
        <v>12</v>
      </c>
      <c r="D26" s="31">
        <v>98</v>
      </c>
      <c r="E26" s="31">
        <f t="shared" si="10"/>
        <v>1166</v>
      </c>
      <c r="F26" s="25">
        <f t="shared" si="3"/>
        <v>1.0208333333333333</v>
      </c>
      <c r="G26" s="25">
        <f t="shared" si="13"/>
        <v>12.145833333333334</v>
      </c>
      <c r="H26" s="25"/>
      <c r="I26" s="31">
        <v>7.96</v>
      </c>
      <c r="J26" s="31">
        <v>2240</v>
      </c>
      <c r="K26" s="12">
        <v>17.5</v>
      </c>
      <c r="L26" s="27">
        <v>12</v>
      </c>
      <c r="M26" s="169">
        <v>0.5</v>
      </c>
      <c r="N26" s="169">
        <v>0.5</v>
      </c>
      <c r="O26" s="31">
        <v>1507</v>
      </c>
      <c r="P26" s="31">
        <v>2.7</v>
      </c>
      <c r="Q26" s="21">
        <v>600.4</v>
      </c>
      <c r="R26" s="21">
        <v>20.79</v>
      </c>
      <c r="S26" s="18">
        <v>6.1079999999999997</v>
      </c>
      <c r="T26" s="21">
        <v>23.42</v>
      </c>
      <c r="U26" s="18">
        <v>2.82</v>
      </c>
      <c r="V26" s="13">
        <v>0.2</v>
      </c>
      <c r="W26" s="81">
        <v>0.02</v>
      </c>
      <c r="X26" s="81">
        <v>0.02</v>
      </c>
      <c r="Y26" s="103">
        <v>7.9000000000000001E-2</v>
      </c>
      <c r="Z26" s="81">
        <v>0.04</v>
      </c>
      <c r="AA26" s="18">
        <v>9.8559999999999999</v>
      </c>
      <c r="AC26" s="25">
        <f t="shared" si="0"/>
        <v>31.748392082321647</v>
      </c>
      <c r="AD26" s="25">
        <f t="shared" si="4"/>
        <v>32.007587280588623</v>
      </c>
      <c r="AE26" s="25">
        <f t="shared" si="5"/>
        <v>0.40654257193916116</v>
      </c>
      <c r="AG26" s="101">
        <v>7.96</v>
      </c>
      <c r="AH26" s="101">
        <v>1.10585</v>
      </c>
      <c r="AI26" s="101">
        <v>0.18140000000000001</v>
      </c>
      <c r="AJ26" s="101">
        <v>-3.2800000000000003E-2</v>
      </c>
      <c r="AK26" s="101">
        <v>-0.28239999999999998</v>
      </c>
      <c r="AL26" s="101">
        <v>-3.7406000000000001</v>
      </c>
      <c r="AM26" s="101">
        <v>-1.268</v>
      </c>
      <c r="AN26" s="101">
        <v>-1.7713000000000001</v>
      </c>
      <c r="AO26" s="101">
        <v>-1.3812</v>
      </c>
      <c r="AP26" s="101">
        <v>-2.0493999999999999</v>
      </c>
      <c r="AR26" s="50">
        <f t="shared" si="6"/>
        <v>1.2E-2</v>
      </c>
      <c r="AS26" s="50">
        <f t="shared" si="7"/>
        <v>3.2653661463414636</v>
      </c>
      <c r="AT26" s="50">
        <f t="shared" si="8"/>
        <v>1.1519904E-3</v>
      </c>
      <c r="AU26" s="50">
        <f t="shared" si="12"/>
        <v>1.2852481152000002</v>
      </c>
      <c r="AV26" s="50">
        <f t="shared" si="9"/>
        <v>272.11384552845527</v>
      </c>
    </row>
    <row r="27" spans="1:48" x14ac:dyDescent="0.35">
      <c r="A27" s="104">
        <v>17</v>
      </c>
      <c r="B27" s="28">
        <v>43688</v>
      </c>
      <c r="C27" s="31">
        <v>13</v>
      </c>
      <c r="D27" s="31">
        <v>97</v>
      </c>
      <c r="E27" s="31">
        <f t="shared" si="10"/>
        <v>1263</v>
      </c>
      <c r="F27" s="25">
        <f t="shared" si="3"/>
        <v>1.0104166666666667</v>
      </c>
      <c r="G27" s="25">
        <f t="shared" si="13"/>
        <v>13.15625</v>
      </c>
      <c r="H27" s="25"/>
      <c r="I27" s="31">
        <v>7.99</v>
      </c>
      <c r="J27" s="31">
        <v>2310</v>
      </c>
      <c r="K27" s="12">
        <v>13</v>
      </c>
      <c r="L27" s="27">
        <v>12</v>
      </c>
      <c r="M27" s="169">
        <v>0.5</v>
      </c>
      <c r="N27" s="169">
        <v>0.5</v>
      </c>
      <c r="O27" s="31">
        <v>1475</v>
      </c>
      <c r="P27" s="31">
        <v>2.5</v>
      </c>
      <c r="Q27" s="21">
        <v>587.4</v>
      </c>
      <c r="R27" s="21">
        <v>16.489999999999998</v>
      </c>
      <c r="S27" s="18">
        <v>6.1769999999999996</v>
      </c>
      <c r="T27" s="21">
        <v>22.05</v>
      </c>
      <c r="U27" s="18">
        <v>2.762</v>
      </c>
      <c r="V27" s="13">
        <v>0.2</v>
      </c>
      <c r="W27" s="81">
        <v>0.02</v>
      </c>
      <c r="X27" s="81">
        <v>0.02</v>
      </c>
      <c r="Y27" s="103">
        <v>7.2999999999999995E-2</v>
      </c>
      <c r="Z27" s="81">
        <v>0.04</v>
      </c>
      <c r="AA27" s="18">
        <v>9.4039999999999999</v>
      </c>
      <c r="AC27" s="25">
        <f t="shared" si="0"/>
        <v>30.992141822067641</v>
      </c>
      <c r="AD27" s="25">
        <f t="shared" si="4"/>
        <v>31.006784193681714</v>
      </c>
      <c r="AE27" s="25">
        <f t="shared" si="5"/>
        <v>2.361713751356526E-2</v>
      </c>
      <c r="AG27" s="101">
        <v>7.99</v>
      </c>
      <c r="AH27" s="101">
        <v>0.50914700000000002</v>
      </c>
      <c r="AI27" s="101">
        <v>7.5200000000000003E-2</v>
      </c>
      <c r="AJ27" s="101">
        <v>-4.2799999999999998E-2</v>
      </c>
      <c r="AK27" s="101">
        <v>-0.29239999999999999</v>
      </c>
      <c r="AL27" s="101">
        <v>-3.9007999999999998</v>
      </c>
      <c r="AM27" s="101">
        <v>-1.5717000000000001</v>
      </c>
      <c r="AN27" s="101">
        <v>-1.9008</v>
      </c>
      <c r="AO27" s="101">
        <v>-1.3843000000000001</v>
      </c>
      <c r="AP27" s="101">
        <v>-2.2469000000000001</v>
      </c>
      <c r="AR27" s="50">
        <f t="shared" si="6"/>
        <v>1.2E-2</v>
      </c>
      <c r="AS27" s="50">
        <f t="shared" si="7"/>
        <v>3.2624393414634154</v>
      </c>
      <c r="AT27" s="50">
        <f t="shared" si="8"/>
        <v>1.1519904E-3</v>
      </c>
      <c r="AU27" s="50">
        <f t="shared" si="12"/>
        <v>1.2840961248000002</v>
      </c>
      <c r="AV27" s="50">
        <f t="shared" si="9"/>
        <v>271.86994512195128</v>
      </c>
    </row>
    <row r="28" spans="1:48" s="164" customFormat="1" x14ac:dyDescent="0.35">
      <c r="B28" s="28"/>
      <c r="F28" s="25"/>
      <c r="G28" s="25"/>
      <c r="H28" s="25"/>
      <c r="L28" s="27"/>
      <c r="M28" s="26"/>
      <c r="N28" s="26"/>
      <c r="Q28" s="18"/>
      <c r="R28" s="103"/>
      <c r="S28" s="103"/>
      <c r="T28" s="11"/>
      <c r="U28" s="103"/>
      <c r="V28" s="169"/>
      <c r="W28" s="169"/>
      <c r="X28" s="81"/>
      <c r="Y28" s="103"/>
      <c r="Z28" s="26"/>
      <c r="AA28" s="103"/>
      <c r="AC28" s="25"/>
      <c r="AD28" s="25"/>
      <c r="AE28" s="25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R28" s="176"/>
      <c r="AS28" s="176"/>
      <c r="AT28" s="176"/>
      <c r="AU28" s="176"/>
      <c r="AV28" s="176"/>
    </row>
    <row r="29" spans="1:48" x14ac:dyDescent="0.35">
      <c r="A29" s="206" t="s">
        <v>278</v>
      </c>
      <c r="B29" s="207"/>
      <c r="C29" s="207"/>
      <c r="D29" s="207"/>
      <c r="E29" s="207"/>
      <c r="F29" s="207"/>
      <c r="G29" s="25"/>
      <c r="H29" s="25"/>
      <c r="I29" s="6">
        <f>AVERAGE(B66:B75)</f>
        <v>7.1862499999999994</v>
      </c>
      <c r="J29" s="12">
        <f>'Influent Results Master'!D59</f>
        <v>2617.25</v>
      </c>
      <c r="K29" s="12">
        <f>'Influent Results Master'!F59</f>
        <v>263.04999999999995</v>
      </c>
      <c r="L29" s="12">
        <f>'Influent Results Master'!G59</f>
        <v>721.75</v>
      </c>
      <c r="M29" s="12">
        <f>'Influent Results Master'!H59</f>
        <v>63.25</v>
      </c>
      <c r="N29" s="125">
        <f>'Influent Results Master'!I59</f>
        <v>0.5</v>
      </c>
      <c r="O29" s="12">
        <f>'Influent Results Master'!J59</f>
        <v>911.25</v>
      </c>
      <c r="P29" s="12">
        <f>'Influent Results Master'!K59</f>
        <v>26.5</v>
      </c>
      <c r="Q29" s="12">
        <f>'Influent Results Master'!L59</f>
        <v>159.125</v>
      </c>
      <c r="R29" s="12">
        <f>'Influent Results Master'!M59</f>
        <v>44.637500000000003</v>
      </c>
      <c r="S29" s="12">
        <f>'Influent Results Master'!N59</f>
        <v>361.32500000000005</v>
      </c>
      <c r="T29" s="12">
        <f>'Influent Results Master'!O59</f>
        <v>16.149999999999999</v>
      </c>
      <c r="U29" s="6">
        <f>'Influent Results Master'!P59</f>
        <v>8.37425</v>
      </c>
      <c r="V29" s="169">
        <f>'Influent Results Master'!Q59</f>
        <v>0.20000000000000004</v>
      </c>
      <c r="W29" s="25">
        <f>'Influent Results Master'!R59</f>
        <v>0.73666666666666669</v>
      </c>
      <c r="X29" s="81">
        <f>'Influent Results Master'!S59</f>
        <v>0.02</v>
      </c>
      <c r="Y29" s="25">
        <f>'Influent Results Master'!T59</f>
        <v>0.81966666666666665</v>
      </c>
      <c r="Z29" s="25">
        <f>'Influent Results Master'!U59</f>
        <v>0.17233333333333334</v>
      </c>
      <c r="AA29" s="6">
        <f>'Influent Results Master'!V59</f>
        <v>1.8426666666666669</v>
      </c>
      <c r="AC29" s="25"/>
      <c r="AD29" s="25"/>
      <c r="AE29" s="25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R29" s="150">
        <v>0.68100000000000005</v>
      </c>
      <c r="AS29" s="150"/>
      <c r="AT29" s="150"/>
      <c r="AU29" s="150"/>
      <c r="AV29" s="150"/>
    </row>
    <row r="30" spans="1:48" s="164" customFormat="1" x14ac:dyDescent="0.35">
      <c r="B30" s="162"/>
      <c r="C30" s="162"/>
      <c r="D30" s="162"/>
      <c r="E30" s="162"/>
      <c r="F30" s="162"/>
      <c r="G30" s="25"/>
      <c r="H30" s="25"/>
      <c r="L30" s="27"/>
      <c r="M30" s="26"/>
      <c r="N30" s="26"/>
      <c r="Q30" s="18"/>
      <c r="R30" s="27"/>
      <c r="S30" s="11"/>
      <c r="T30" s="11"/>
      <c r="U30" s="11"/>
      <c r="V30" s="33"/>
      <c r="W30" s="169"/>
      <c r="X30" s="81"/>
      <c r="Y30" s="27"/>
      <c r="Z30" s="26"/>
      <c r="AA30" s="27"/>
      <c r="AC30" s="25"/>
      <c r="AD30" s="25"/>
      <c r="AE30" s="25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</row>
    <row r="31" spans="1:48" x14ac:dyDescent="0.35">
      <c r="A31" s="104">
        <v>17</v>
      </c>
      <c r="B31" s="28">
        <v>43689</v>
      </c>
      <c r="C31" s="31">
        <v>14</v>
      </c>
      <c r="D31" s="31">
        <v>96</v>
      </c>
      <c r="E31" s="31">
        <f>E27+D31</f>
        <v>1359</v>
      </c>
      <c r="F31" s="25">
        <f t="shared" si="3"/>
        <v>1</v>
      </c>
      <c r="G31" s="25">
        <f>G27+F31</f>
        <v>14.15625</v>
      </c>
      <c r="H31" s="25">
        <v>0</v>
      </c>
      <c r="I31" s="31">
        <v>7.74</v>
      </c>
      <c r="J31" s="31">
        <v>2230</v>
      </c>
      <c r="K31" s="12">
        <v>17.5</v>
      </c>
      <c r="L31" s="27">
        <v>13</v>
      </c>
      <c r="M31" s="18">
        <v>5</v>
      </c>
      <c r="N31" s="169">
        <v>0.5</v>
      </c>
      <c r="O31" s="31">
        <v>1629</v>
      </c>
      <c r="P31" s="31">
        <v>2.5</v>
      </c>
      <c r="Q31" s="21">
        <v>587.4</v>
      </c>
      <c r="R31" s="21">
        <v>14.63</v>
      </c>
      <c r="S31" s="21">
        <v>6.4340000000000002</v>
      </c>
      <c r="T31" s="21">
        <v>22.39</v>
      </c>
      <c r="U31" s="18">
        <v>2.5680000000000001</v>
      </c>
      <c r="V31" s="169">
        <v>0.2</v>
      </c>
      <c r="W31" s="81">
        <v>0.02</v>
      </c>
      <c r="X31" s="81">
        <v>0.02</v>
      </c>
      <c r="Y31" s="103">
        <v>6.8000000000000005E-2</v>
      </c>
      <c r="Z31" s="81">
        <v>0.04</v>
      </c>
      <c r="AA31" s="18">
        <v>9.7430000000000003</v>
      </c>
      <c r="AC31" s="25">
        <f t="shared" ref="AC31:AC40" si="14">((K31/50)+(M31/35.45)+(N31/62)+(O31/48.03))</f>
        <v>34.415410550738919</v>
      </c>
      <c r="AD31" s="25">
        <f t="shared" ref="AD31:AD37" si="15">((Q31/20.04)+(R31/12.16)+(S31/22.99)+(U31/39.1))</f>
        <v>30.860040803917009</v>
      </c>
      <c r="AE31" s="25">
        <f t="shared" si="5"/>
        <v>5.4467179820861009</v>
      </c>
      <c r="AG31" s="101">
        <v>7.74</v>
      </c>
      <c r="AH31" s="101">
        <v>-7.5509399999999998</v>
      </c>
      <c r="AI31" s="101">
        <v>-5.0900000000000001E-2</v>
      </c>
      <c r="AJ31" s="101">
        <v>-1.6E-2</v>
      </c>
      <c r="AK31" s="101">
        <v>-0.2656</v>
      </c>
      <c r="AL31" s="101">
        <v>-3.5065</v>
      </c>
      <c r="AM31" s="101">
        <v>-1.8735999999999999</v>
      </c>
      <c r="AN31" s="101">
        <v>-2.0562999999999998</v>
      </c>
      <c r="AO31" s="101">
        <v>-1.4098999999999999</v>
      </c>
      <c r="AP31" s="101">
        <v>-2.4226999999999999</v>
      </c>
      <c r="AR31" s="50">
        <f t="shared" ref="AR31:AR40" si="16">L31/1000</f>
        <v>1.2999999999999999E-2</v>
      </c>
      <c r="AS31" s="50">
        <f t="shared" ref="AS31:AS40" si="17">AU31/($AT$7)</f>
        <v>3.4253661707317078</v>
      </c>
      <c r="AT31" s="50">
        <f>(AR31-$AR$29)*0.096</f>
        <v>-6.4128000000000004E-2</v>
      </c>
      <c r="AU31" s="50">
        <f>AU27-AT31</f>
        <v>1.3482241248000002</v>
      </c>
      <c r="AV31" s="50">
        <f t="shared" ref="AV31:AV40" si="18">AS31/AR31</f>
        <v>263.48970544090059</v>
      </c>
    </row>
    <row r="32" spans="1:48" x14ac:dyDescent="0.35">
      <c r="A32" s="104">
        <v>17</v>
      </c>
      <c r="B32" s="28">
        <v>43690</v>
      </c>
      <c r="C32" s="31">
        <v>15</v>
      </c>
      <c r="D32" s="31">
        <v>99</v>
      </c>
      <c r="E32" s="31">
        <f t="shared" si="10"/>
        <v>1458</v>
      </c>
      <c r="F32" s="25">
        <f t="shared" si="3"/>
        <v>1.03125</v>
      </c>
      <c r="G32" s="25">
        <f t="shared" si="13"/>
        <v>15.1875</v>
      </c>
      <c r="H32" s="25">
        <f>0+F32</f>
        <v>1.03125</v>
      </c>
      <c r="I32" s="31">
        <v>7.66</v>
      </c>
      <c r="J32" s="31">
        <v>2420</v>
      </c>
      <c r="K32" s="12">
        <v>49.5</v>
      </c>
      <c r="L32" s="27">
        <v>255</v>
      </c>
      <c r="M32" s="27">
        <v>35</v>
      </c>
      <c r="N32" s="169">
        <v>0.5</v>
      </c>
      <c r="O32" s="31">
        <v>1537</v>
      </c>
      <c r="P32" s="31">
        <v>5.8</v>
      </c>
      <c r="Q32" s="21">
        <v>607.20000000000005</v>
      </c>
      <c r="R32" s="21">
        <v>14.49</v>
      </c>
      <c r="S32" s="21">
        <v>84.48</v>
      </c>
      <c r="T32" s="21">
        <v>25.14</v>
      </c>
      <c r="U32" s="18">
        <v>4.3879999999999999</v>
      </c>
      <c r="V32" s="169">
        <v>0.2</v>
      </c>
      <c r="W32" s="11">
        <v>0.2</v>
      </c>
      <c r="X32" s="81">
        <v>0.02</v>
      </c>
      <c r="Y32" s="103">
        <v>7.1999999999999995E-2</v>
      </c>
      <c r="Z32" s="81">
        <v>0.04</v>
      </c>
      <c r="AA32" s="18">
        <v>9.9459999999999997</v>
      </c>
      <c r="AC32" s="25">
        <f t="shared" si="14"/>
        <v>33.986203393834458</v>
      </c>
      <c r="AD32" s="25">
        <f t="shared" si="15"/>
        <v>35.277879251974035</v>
      </c>
      <c r="AE32" s="25">
        <f t="shared" si="5"/>
        <v>1.8648566599008334</v>
      </c>
      <c r="AG32" s="101">
        <v>7.66</v>
      </c>
      <c r="AH32" s="101">
        <v>3.1565400000000001</v>
      </c>
      <c r="AI32" s="101">
        <v>0.34079999999999999</v>
      </c>
      <c r="AJ32" s="101">
        <v>-3.2099999999999997E-2</v>
      </c>
      <c r="AK32" s="101">
        <v>-0.28160000000000002</v>
      </c>
      <c r="AL32" s="101">
        <v>-2.9777</v>
      </c>
      <c r="AM32" s="101">
        <v>-1.1103000000000001</v>
      </c>
      <c r="AN32" s="101">
        <v>-1.6620999999999999</v>
      </c>
      <c r="AO32" s="101">
        <v>-0.39279999999999998</v>
      </c>
      <c r="AP32" s="101">
        <v>-2.0510999999999999</v>
      </c>
      <c r="AR32" s="50">
        <f t="shared" si="16"/>
        <v>0.255</v>
      </c>
      <c r="AS32" s="50">
        <f t="shared" si="17"/>
        <v>3.5292686097560981</v>
      </c>
      <c r="AT32" s="50">
        <f t="shared" ref="AT32:AT40" si="19">(AR32-$AR$29)*0.096</f>
        <v>-4.0896000000000002E-2</v>
      </c>
      <c r="AU32" s="50">
        <f>AU31-AT32</f>
        <v>1.3891201248000002</v>
      </c>
      <c r="AV32" s="50">
        <f t="shared" si="18"/>
        <v>13.840269057867051</v>
      </c>
    </row>
    <row r="33" spans="1:48" x14ac:dyDescent="0.35">
      <c r="A33" s="104">
        <v>17</v>
      </c>
      <c r="B33" s="28">
        <v>43691</v>
      </c>
      <c r="C33" s="31">
        <v>16</v>
      </c>
      <c r="D33" s="31">
        <v>95</v>
      </c>
      <c r="E33" s="31">
        <f t="shared" si="10"/>
        <v>1553</v>
      </c>
      <c r="F33" s="25">
        <f t="shared" si="3"/>
        <v>0.98958333333333337</v>
      </c>
      <c r="G33" s="25">
        <f t="shared" si="13"/>
        <v>16.177083333333332</v>
      </c>
      <c r="H33" s="25">
        <f>F33+H32</f>
        <v>2.0208333333333335</v>
      </c>
      <c r="I33" s="31">
        <v>7.71</v>
      </c>
      <c r="J33" s="31">
        <v>2860</v>
      </c>
      <c r="K33" s="12">
        <v>111.2</v>
      </c>
      <c r="L33" s="27">
        <v>629</v>
      </c>
      <c r="M33" s="27">
        <v>51</v>
      </c>
      <c r="N33" s="169">
        <v>0.5</v>
      </c>
      <c r="O33" s="31">
        <v>1553</v>
      </c>
      <c r="P33" s="31">
        <v>26</v>
      </c>
      <c r="Q33" s="21">
        <v>548.9</v>
      </c>
      <c r="R33" s="21">
        <v>15.26</v>
      </c>
      <c r="S33" s="21">
        <v>155.80000000000001</v>
      </c>
      <c r="T33" s="21">
        <v>26.79</v>
      </c>
      <c r="U33" s="18">
        <v>7.7060000000000004</v>
      </c>
      <c r="V33" s="169">
        <v>0.2</v>
      </c>
      <c r="W33" s="11">
        <v>0.29699999999999999</v>
      </c>
      <c r="X33" s="81">
        <v>0.02</v>
      </c>
      <c r="Y33" s="11">
        <v>0.10299999999999999</v>
      </c>
      <c r="Z33" s="81">
        <v>0.04</v>
      </c>
      <c r="AA33" s="18">
        <v>9.77</v>
      </c>
      <c r="AC33" s="25">
        <f t="shared" si="14"/>
        <v>36.004668439335234</v>
      </c>
      <c r="AD33" s="25">
        <f t="shared" si="15"/>
        <v>35.619097674513775</v>
      </c>
      <c r="AE33" s="25">
        <f t="shared" si="5"/>
        <v>0.53832796813361927</v>
      </c>
      <c r="AG33" s="101">
        <v>7.71</v>
      </c>
      <c r="AH33" s="101">
        <v>-0.355321</v>
      </c>
      <c r="AI33" s="101">
        <v>0.68940000000000001</v>
      </c>
      <c r="AJ33" s="101">
        <v>-7.0099999999999996E-2</v>
      </c>
      <c r="AK33" s="101">
        <v>-0.3196</v>
      </c>
      <c r="AL33" s="101">
        <v>-2.6741000000000001</v>
      </c>
      <c r="AM33" s="101">
        <v>-0.34489999999999998</v>
      </c>
      <c r="AN33" s="101">
        <v>-1.1143000000000001</v>
      </c>
      <c r="AO33" s="101">
        <v>-0.27939999999999998</v>
      </c>
      <c r="AP33" s="101">
        <v>-1.6343000000000001</v>
      </c>
      <c r="AR33" s="50">
        <f t="shared" si="16"/>
        <v>0.629</v>
      </c>
      <c r="AS33" s="50">
        <f t="shared" si="17"/>
        <v>3.5419515365853669</v>
      </c>
      <c r="AT33" s="50">
        <f t="shared" si="19"/>
        <v>-4.9920000000000042E-3</v>
      </c>
      <c r="AU33" s="50">
        <f t="shared" ref="AU33:AU40" si="20">AU32-AT33</f>
        <v>1.3941121248000004</v>
      </c>
      <c r="AV33" s="50">
        <f t="shared" si="18"/>
        <v>5.6310835239830954</v>
      </c>
    </row>
    <row r="34" spans="1:48" x14ac:dyDescent="0.35">
      <c r="A34" s="104">
        <v>17</v>
      </c>
      <c r="B34" s="28">
        <v>43692</v>
      </c>
      <c r="C34" s="31">
        <v>17</v>
      </c>
      <c r="D34" s="31">
        <v>96</v>
      </c>
      <c r="E34" s="31">
        <f t="shared" si="10"/>
        <v>1649</v>
      </c>
      <c r="F34" s="25">
        <f t="shared" si="3"/>
        <v>1</v>
      </c>
      <c r="G34" s="25">
        <f t="shared" si="13"/>
        <v>17.177083333333332</v>
      </c>
      <c r="H34" s="25">
        <f t="shared" ref="H34:H60" si="21">F34+H33</f>
        <v>3.0208333333333335</v>
      </c>
      <c r="I34" s="31">
        <v>7.54</v>
      </c>
      <c r="J34" s="31">
        <v>3080</v>
      </c>
      <c r="K34" s="12">
        <v>151.19999999999999</v>
      </c>
      <c r="L34" s="27">
        <v>851</v>
      </c>
      <c r="M34" s="27">
        <v>58</v>
      </c>
      <c r="N34" s="169">
        <v>0.5</v>
      </c>
      <c r="O34" s="31">
        <v>1685</v>
      </c>
      <c r="P34" s="31">
        <v>30</v>
      </c>
      <c r="Q34" s="21">
        <v>558.29999999999995</v>
      </c>
      <c r="R34" s="21">
        <v>19.309999999999999</v>
      </c>
      <c r="S34" s="21">
        <v>224.4</v>
      </c>
      <c r="T34" s="21">
        <v>28.43</v>
      </c>
      <c r="U34" s="18">
        <v>9.2360000000000007</v>
      </c>
      <c r="V34" s="169">
        <v>0.2</v>
      </c>
      <c r="W34" s="11">
        <v>0.375</v>
      </c>
      <c r="X34" s="81">
        <v>0.02</v>
      </c>
      <c r="Y34" s="11">
        <v>0.13300000000000001</v>
      </c>
      <c r="Z34" s="81">
        <v>0.04</v>
      </c>
      <c r="AA34" s="18">
        <v>9.2279999999999998</v>
      </c>
      <c r="AC34" s="25">
        <f t="shared" si="14"/>
        <v>39.750411975859031</v>
      </c>
      <c r="AD34" s="25">
        <f t="shared" si="15"/>
        <v>39.444255242177206</v>
      </c>
      <c r="AE34" s="25">
        <f t="shared" si="5"/>
        <v>0.38658756256772098</v>
      </c>
      <c r="AG34" s="101">
        <v>7.54</v>
      </c>
      <c r="AH34" s="101">
        <v>-0.19517000000000001</v>
      </c>
      <c r="AI34" s="101">
        <v>0.64429999999999998</v>
      </c>
      <c r="AJ34" s="101">
        <v>-5.2999999999999999E-2</v>
      </c>
      <c r="AK34" s="101">
        <v>-0.30230000000000001</v>
      </c>
      <c r="AL34" s="101">
        <v>-2.3681999999999999</v>
      </c>
      <c r="AM34" s="101">
        <v>-0.33879999999999999</v>
      </c>
      <c r="AN34" s="101">
        <v>-1.0608</v>
      </c>
      <c r="AO34" s="101">
        <v>-0.19980000000000001</v>
      </c>
      <c r="AP34" s="101">
        <v>-1.5831</v>
      </c>
      <c r="AR34" s="50">
        <f t="shared" si="16"/>
        <v>0.85099999999999998</v>
      </c>
      <c r="AS34" s="50">
        <f t="shared" si="17"/>
        <v>3.5004881219512205</v>
      </c>
      <c r="AT34" s="50">
        <f t="shared" si="19"/>
        <v>1.6319999999999994E-2</v>
      </c>
      <c r="AU34" s="50">
        <f t="shared" si="20"/>
        <v>1.3777921248000005</v>
      </c>
      <c r="AV34" s="50">
        <f t="shared" si="18"/>
        <v>4.1133820469462048</v>
      </c>
    </row>
    <row r="35" spans="1:48" x14ac:dyDescent="0.35">
      <c r="A35" s="104">
        <v>17</v>
      </c>
      <c r="B35" s="28">
        <v>43693</v>
      </c>
      <c r="C35" s="31">
        <v>18</v>
      </c>
      <c r="D35" s="31">
        <v>96</v>
      </c>
      <c r="E35" s="31">
        <f t="shared" si="10"/>
        <v>1745</v>
      </c>
      <c r="F35" s="25">
        <f t="shared" si="3"/>
        <v>1</v>
      </c>
      <c r="G35" s="25">
        <f t="shared" si="13"/>
        <v>18.177083333333332</v>
      </c>
      <c r="H35" s="25">
        <f t="shared" si="21"/>
        <v>4.0208333333333339</v>
      </c>
      <c r="I35" s="31">
        <v>7.65</v>
      </c>
      <c r="J35" s="31">
        <v>3200</v>
      </c>
      <c r="K35" s="12">
        <v>179.6</v>
      </c>
      <c r="L35" s="27">
        <v>917</v>
      </c>
      <c r="M35" s="27">
        <v>58</v>
      </c>
      <c r="N35" s="169">
        <v>0.5</v>
      </c>
      <c r="O35" s="31">
        <v>1827</v>
      </c>
      <c r="P35" s="31">
        <v>18</v>
      </c>
      <c r="Q35" s="21">
        <v>571</v>
      </c>
      <c r="R35" s="21">
        <v>23.23</v>
      </c>
      <c r="S35" s="21">
        <v>274</v>
      </c>
      <c r="T35" s="21">
        <v>29.97</v>
      </c>
      <c r="U35" s="21">
        <v>10.33</v>
      </c>
      <c r="V35" s="169">
        <v>0.2</v>
      </c>
      <c r="W35" s="11">
        <v>0.439</v>
      </c>
      <c r="X35" s="81">
        <v>0.02</v>
      </c>
      <c r="Y35" s="11">
        <v>0.18099999999999999</v>
      </c>
      <c r="Z35" s="81">
        <v>0.04</v>
      </c>
      <c r="AA35" s="18">
        <v>8.7530000000000001</v>
      </c>
      <c r="AC35" s="25">
        <f t="shared" si="14"/>
        <v>43.274897505736199</v>
      </c>
      <c r="AD35" s="25">
        <f t="shared" si="15"/>
        <v>42.585795502917193</v>
      </c>
      <c r="AE35" s="25">
        <f t="shared" si="5"/>
        <v>0.80258145918942814</v>
      </c>
      <c r="AG35" s="101">
        <v>7.65</v>
      </c>
      <c r="AH35" s="101">
        <v>-0.80648799999999998</v>
      </c>
      <c r="AI35" s="101">
        <v>0.81699999999999995</v>
      </c>
      <c r="AJ35" s="101">
        <v>-3.1800000000000002E-2</v>
      </c>
      <c r="AK35" s="101">
        <v>-0.28110000000000002</v>
      </c>
      <c r="AL35" s="101">
        <v>-2.4079000000000002</v>
      </c>
      <c r="AM35" s="101">
        <v>7.8600000000000003E-2</v>
      </c>
      <c r="AN35" s="101">
        <v>-0.76739999999999997</v>
      </c>
      <c r="AO35" s="101">
        <v>-0.14779999999999999</v>
      </c>
      <c r="AP35" s="101">
        <v>-1.3384</v>
      </c>
      <c r="AR35" s="50">
        <f t="shared" si="16"/>
        <v>0.91700000000000004</v>
      </c>
      <c r="AS35" s="50">
        <f t="shared" si="17"/>
        <v>3.4429271463414644</v>
      </c>
      <c r="AT35" s="50">
        <f t="shared" si="19"/>
        <v>2.2655999999999999E-2</v>
      </c>
      <c r="AU35" s="50">
        <f t="shared" si="20"/>
        <v>1.3551361248000005</v>
      </c>
      <c r="AV35" s="50">
        <f t="shared" si="18"/>
        <v>3.7545552304705172</v>
      </c>
    </row>
    <row r="36" spans="1:48" x14ac:dyDescent="0.35">
      <c r="A36" s="104">
        <v>17</v>
      </c>
      <c r="B36" s="28">
        <v>43694</v>
      </c>
      <c r="C36" s="31">
        <v>19</v>
      </c>
      <c r="D36" s="31">
        <v>95</v>
      </c>
      <c r="E36" s="31">
        <f t="shared" si="10"/>
        <v>1840</v>
      </c>
      <c r="F36" s="25">
        <f t="shared" si="3"/>
        <v>0.98958333333333337</v>
      </c>
      <c r="G36" s="25">
        <f t="shared" si="13"/>
        <v>19.166666666666664</v>
      </c>
      <c r="H36" s="25">
        <f t="shared" si="21"/>
        <v>5.010416666666667</v>
      </c>
      <c r="I36" s="31">
        <v>7.57</v>
      </c>
      <c r="J36" s="31">
        <v>3270</v>
      </c>
      <c r="K36" s="12">
        <v>202</v>
      </c>
      <c r="L36" s="27">
        <v>957</v>
      </c>
      <c r="M36" s="27">
        <v>58</v>
      </c>
      <c r="N36" s="169">
        <v>0.5</v>
      </c>
      <c r="O36" s="31">
        <v>1836</v>
      </c>
      <c r="P36" s="31">
        <v>39</v>
      </c>
      <c r="Q36" s="12">
        <v>593.5</v>
      </c>
      <c r="R36" s="12">
        <v>27.31</v>
      </c>
      <c r="S36" s="21">
        <v>304.89999999999998</v>
      </c>
      <c r="T36" s="21">
        <v>31</v>
      </c>
      <c r="U36" s="21">
        <v>10.56</v>
      </c>
      <c r="V36" s="169">
        <v>0.2</v>
      </c>
      <c r="W36" s="11">
        <v>0.505</v>
      </c>
      <c r="X36" s="81">
        <v>0.02</v>
      </c>
      <c r="Y36" s="11">
        <v>0.22700000000000001</v>
      </c>
      <c r="Z36" s="81">
        <v>0.04</v>
      </c>
      <c r="AA36" s="18">
        <v>8.5410000000000004</v>
      </c>
      <c r="AC36" s="25">
        <f t="shared" si="14"/>
        <v>43.910280391432636</v>
      </c>
      <c r="AD36" s="25">
        <f t="shared" si="15"/>
        <v>45.394021298594467</v>
      </c>
      <c r="AE36" s="25">
        <f t="shared" si="5"/>
        <v>1.6614439384027175</v>
      </c>
      <c r="AG36" s="101">
        <v>7.57</v>
      </c>
      <c r="AH36" s="101">
        <v>2.55714</v>
      </c>
      <c r="AI36" s="101">
        <v>0.80369999999999997</v>
      </c>
      <c r="AJ36" s="101">
        <v>-2.2800000000000001E-2</v>
      </c>
      <c r="AK36" s="101">
        <v>-0.27210000000000001</v>
      </c>
      <c r="AL36" s="101">
        <v>-2.2772999999999999</v>
      </c>
      <c r="AM36" s="101">
        <v>0.1052</v>
      </c>
      <c r="AN36" s="101">
        <v>-0.70320000000000005</v>
      </c>
      <c r="AO36" s="101">
        <v>-7.4800000000000005E-2</v>
      </c>
      <c r="AP36" s="101">
        <v>-1.2985</v>
      </c>
      <c r="AR36" s="50">
        <f t="shared" si="16"/>
        <v>0.95699999999999996</v>
      </c>
      <c r="AS36" s="50">
        <f t="shared" si="17"/>
        <v>3.3756100731707326</v>
      </c>
      <c r="AT36" s="50">
        <f t="shared" si="19"/>
        <v>2.6495999999999992E-2</v>
      </c>
      <c r="AU36" s="50">
        <f t="shared" si="20"/>
        <v>1.3286401248000004</v>
      </c>
      <c r="AV36" s="50">
        <f t="shared" si="18"/>
        <v>3.5272832530519671</v>
      </c>
    </row>
    <row r="37" spans="1:48" x14ac:dyDescent="0.35">
      <c r="A37" s="104">
        <v>17</v>
      </c>
      <c r="B37" s="28">
        <v>43695</v>
      </c>
      <c r="C37" s="31">
        <v>20</v>
      </c>
      <c r="D37" s="31">
        <v>98</v>
      </c>
      <c r="E37" s="31">
        <f t="shared" si="10"/>
        <v>1938</v>
      </c>
      <c r="F37" s="25">
        <f t="shared" si="3"/>
        <v>1.0208333333333333</v>
      </c>
      <c r="G37" s="25">
        <f t="shared" si="13"/>
        <v>20.187499999999996</v>
      </c>
      <c r="H37" s="25">
        <f t="shared" si="21"/>
        <v>6.03125</v>
      </c>
      <c r="I37" s="31">
        <v>7.47</v>
      </c>
      <c r="J37" s="31">
        <v>3650</v>
      </c>
      <c r="K37" s="12">
        <v>216.6</v>
      </c>
      <c r="L37" s="27">
        <v>978</v>
      </c>
      <c r="M37" s="21">
        <v>58</v>
      </c>
      <c r="N37" s="169">
        <v>0.5</v>
      </c>
      <c r="O37" s="31">
        <v>1897</v>
      </c>
      <c r="P37" s="31">
        <v>39</v>
      </c>
      <c r="Q37" s="12">
        <v>578.9</v>
      </c>
      <c r="R37" s="12">
        <v>32.56</v>
      </c>
      <c r="S37" s="21">
        <v>327.60000000000002</v>
      </c>
      <c r="T37" s="21">
        <v>31.42</v>
      </c>
      <c r="U37" s="21">
        <v>10.94</v>
      </c>
      <c r="V37" s="169">
        <v>0.2</v>
      </c>
      <c r="W37" s="11">
        <v>0.54</v>
      </c>
      <c r="X37" s="81">
        <v>0.02</v>
      </c>
      <c r="Y37" s="11">
        <v>0.246</v>
      </c>
      <c r="Z37" s="81">
        <v>0.04</v>
      </c>
      <c r="AA37" s="18">
        <v>7.8650000000000002</v>
      </c>
      <c r="AC37" s="25">
        <f t="shared" si="14"/>
        <v>45.472319950041836</v>
      </c>
      <c r="AD37" s="25">
        <f t="shared" si="15"/>
        <v>46.094326295473877</v>
      </c>
      <c r="AE37" s="25">
        <f t="shared" si="5"/>
        <v>0.67929357570252002</v>
      </c>
      <c r="AF37" s="127"/>
      <c r="AG37" s="101">
        <v>7.47</v>
      </c>
      <c r="AH37" s="101">
        <v>1.1749799999999999</v>
      </c>
      <c r="AI37" s="101">
        <v>0.71799999999999997</v>
      </c>
      <c r="AJ37" s="101">
        <v>-2.63E-2</v>
      </c>
      <c r="AK37" s="101">
        <v>-0.27550000000000002</v>
      </c>
      <c r="AL37" s="101">
        <v>-2.1442999999999999</v>
      </c>
      <c r="AM37" s="101">
        <v>2.1700000000000001E-2</v>
      </c>
      <c r="AN37" s="101">
        <v>-0.74399999999999999</v>
      </c>
      <c r="AO37" s="101">
        <v>-6.7400000000000002E-2</v>
      </c>
      <c r="AP37" s="101">
        <v>-1.2963</v>
      </c>
      <c r="AR37" s="50">
        <f t="shared" si="16"/>
        <v>0.97799999999999998</v>
      </c>
      <c r="AS37" s="50">
        <f t="shared" si="17"/>
        <v>3.3031710487804884</v>
      </c>
      <c r="AT37" s="50">
        <f t="shared" si="19"/>
        <v>2.8511999999999992E-2</v>
      </c>
      <c r="AU37" s="50">
        <f t="shared" si="20"/>
        <v>1.3001281248000003</v>
      </c>
      <c r="AV37" s="50">
        <f t="shared" si="18"/>
        <v>3.3774755100004996</v>
      </c>
    </row>
    <row r="38" spans="1:48" x14ac:dyDescent="0.35">
      <c r="A38" s="104">
        <v>17</v>
      </c>
      <c r="B38" s="28">
        <v>43696</v>
      </c>
      <c r="C38" s="31">
        <v>21</v>
      </c>
      <c r="D38" s="31">
        <v>95</v>
      </c>
      <c r="E38" s="31">
        <f t="shared" si="10"/>
        <v>2033</v>
      </c>
      <c r="F38" s="25">
        <f t="shared" si="3"/>
        <v>0.98958333333333337</v>
      </c>
      <c r="G38" s="25">
        <f t="shared" si="13"/>
        <v>21.177083333333329</v>
      </c>
      <c r="H38" s="25">
        <f t="shared" si="21"/>
        <v>7.020833333333333</v>
      </c>
      <c r="I38" s="31">
        <v>7.41</v>
      </c>
      <c r="J38" s="31">
        <v>3660</v>
      </c>
      <c r="K38" s="12">
        <v>222.6</v>
      </c>
      <c r="L38" s="27">
        <v>960</v>
      </c>
      <c r="M38" s="21">
        <v>58</v>
      </c>
      <c r="N38" s="169">
        <v>0.5</v>
      </c>
      <c r="O38" s="31">
        <v>1918</v>
      </c>
      <c r="P38" s="31">
        <v>36</v>
      </c>
      <c r="Q38" s="12">
        <v>533.4</v>
      </c>
      <c r="R38" s="12">
        <v>32.03</v>
      </c>
      <c r="S38" s="12">
        <v>393.1</v>
      </c>
      <c r="T38" s="12">
        <v>30.79</v>
      </c>
      <c r="U38" s="12">
        <v>10.3</v>
      </c>
      <c r="V38" s="169">
        <v>0.2</v>
      </c>
      <c r="W38" s="11">
        <v>0.60599999999999998</v>
      </c>
      <c r="X38" s="81">
        <v>0.02</v>
      </c>
      <c r="Y38" s="11">
        <v>0.28799999999999998</v>
      </c>
      <c r="Z38" s="81">
        <v>0.04</v>
      </c>
      <c r="AA38" s="18">
        <v>8.3179999999999996</v>
      </c>
      <c r="AC38" s="25">
        <f t="shared" si="14"/>
        <v>46.029546683333535</v>
      </c>
      <c r="AD38" s="25">
        <f>((Q38/20.04)+(R38/12.16)+(S38/22.99)+(U38/39.1))</f>
        <v>46.612978211664043</v>
      </c>
      <c r="AE38" s="25">
        <f t="shared" si="5"/>
        <v>0.62976643716454983</v>
      </c>
      <c r="AF38" s="127"/>
      <c r="AG38" s="101">
        <v>7.41</v>
      </c>
      <c r="AH38" s="101">
        <v>1.0958300000000001</v>
      </c>
      <c r="AI38" s="101">
        <v>0.63180000000000003</v>
      </c>
      <c r="AJ38" s="101">
        <v>-5.5199999999999999E-2</v>
      </c>
      <c r="AK38" s="101">
        <v>-0.3044</v>
      </c>
      <c r="AL38" s="101">
        <v>-2.069</v>
      </c>
      <c r="AM38" s="101">
        <v>-0.1217</v>
      </c>
      <c r="AN38" s="101">
        <v>-0.72619999999999996</v>
      </c>
      <c r="AO38" s="101">
        <v>-6.0600000000000001E-2</v>
      </c>
      <c r="AP38" s="101">
        <v>-1.3534999999999999</v>
      </c>
      <c r="AR38" s="50">
        <f t="shared" si="16"/>
        <v>0.96</v>
      </c>
      <c r="AS38" s="50">
        <f t="shared" si="17"/>
        <v>3.2351222682926837</v>
      </c>
      <c r="AT38" s="50">
        <f t="shared" si="19"/>
        <v>2.6783999999999992E-2</v>
      </c>
      <c r="AU38" s="50">
        <f t="shared" si="20"/>
        <v>1.2733441248000004</v>
      </c>
      <c r="AV38" s="50">
        <f t="shared" si="18"/>
        <v>3.3699190294715455</v>
      </c>
    </row>
    <row r="39" spans="1:48" x14ac:dyDescent="0.35">
      <c r="A39" s="104">
        <v>17</v>
      </c>
      <c r="B39" s="28">
        <v>43697</v>
      </c>
      <c r="C39" s="31">
        <v>22</v>
      </c>
      <c r="D39" s="31">
        <v>94</v>
      </c>
      <c r="E39" s="31">
        <f t="shared" si="10"/>
        <v>2127</v>
      </c>
      <c r="F39" s="25">
        <f t="shared" si="3"/>
        <v>0.97916666666666663</v>
      </c>
      <c r="G39" s="25">
        <f t="shared" si="13"/>
        <v>22.156249999999996</v>
      </c>
      <c r="H39" s="25">
        <f t="shared" si="21"/>
        <v>8</v>
      </c>
      <c r="I39" s="31">
        <v>7.52</v>
      </c>
      <c r="J39" s="31">
        <v>3670</v>
      </c>
      <c r="K39" s="12">
        <v>229.2</v>
      </c>
      <c r="L39" s="27">
        <v>912</v>
      </c>
      <c r="M39" s="27">
        <v>59</v>
      </c>
      <c r="N39" s="169">
        <v>0.5</v>
      </c>
      <c r="O39" s="31">
        <v>1906</v>
      </c>
      <c r="P39" s="31">
        <v>37</v>
      </c>
      <c r="Q39" s="12">
        <v>586.20000000000005</v>
      </c>
      <c r="R39" s="12">
        <v>36.64</v>
      </c>
      <c r="S39" s="12">
        <v>321.60000000000002</v>
      </c>
      <c r="T39" s="12">
        <v>30.29</v>
      </c>
      <c r="U39" s="12">
        <v>10.14</v>
      </c>
      <c r="V39" s="169">
        <v>0.2</v>
      </c>
      <c r="W39" s="11">
        <v>0.61799999999999999</v>
      </c>
      <c r="X39" s="81">
        <v>0.02</v>
      </c>
      <c r="Y39" s="11">
        <v>0.29399999999999998</v>
      </c>
      <c r="Z39" s="81">
        <v>0.04</v>
      </c>
      <c r="AA39" s="18">
        <v>7.8769999999999998</v>
      </c>
      <c r="AC39" s="25">
        <f t="shared" si="14"/>
        <v>45.939911580449134</v>
      </c>
      <c r="AD39" s="25">
        <f>((Q39/20.04)+(R39/12.16)+(S39/22.99)+(U39/39.1))</f>
        <v>46.512680674190257</v>
      </c>
      <c r="AE39" s="25">
        <f t="shared" si="5"/>
        <v>0.61952734885308769</v>
      </c>
      <c r="AG39" s="101">
        <v>7.52</v>
      </c>
      <c r="AH39" s="101">
        <v>1.09473</v>
      </c>
      <c r="AI39" s="101">
        <v>0.79549999999999998</v>
      </c>
      <c r="AJ39" s="101">
        <v>-2.2499999999999999E-2</v>
      </c>
      <c r="AK39" s="101">
        <v>-0.27179999999999999</v>
      </c>
      <c r="AL39" s="101">
        <v>-2.1711999999999998</v>
      </c>
      <c r="AM39" s="101">
        <v>0.2228</v>
      </c>
      <c r="AN39" s="101">
        <v>-0.59519999999999995</v>
      </c>
      <c r="AO39" s="101">
        <v>-5.3E-3</v>
      </c>
      <c r="AP39" s="101">
        <v>-1.1728000000000001</v>
      </c>
      <c r="AR39" s="50">
        <f t="shared" si="16"/>
        <v>0.91200000000000003</v>
      </c>
      <c r="AS39" s="50">
        <f t="shared" si="17"/>
        <v>3.1787808048780497</v>
      </c>
      <c r="AT39" s="50">
        <f t="shared" si="19"/>
        <v>2.2175999999999998E-2</v>
      </c>
      <c r="AU39" s="50">
        <f t="shared" si="20"/>
        <v>1.2511681248000004</v>
      </c>
      <c r="AV39" s="50">
        <f t="shared" si="18"/>
        <v>3.4855052685066332</v>
      </c>
    </row>
    <row r="40" spans="1:48" s="106" customFormat="1" x14ac:dyDescent="0.35">
      <c r="A40" s="106">
        <v>17</v>
      </c>
      <c r="B40" s="28">
        <v>43698</v>
      </c>
      <c r="C40" s="106">
        <v>23</v>
      </c>
      <c r="D40" s="106">
        <v>96</v>
      </c>
      <c r="E40" s="106">
        <f t="shared" ref="E40:E57" si="22">E39+D40</f>
        <v>2223</v>
      </c>
      <c r="F40" s="25">
        <f t="shared" ref="F40:F57" si="23">D40/96</f>
        <v>1</v>
      </c>
      <c r="G40" s="25">
        <f t="shared" ref="G40:G57" si="24">G39+F40</f>
        <v>23.156249999999996</v>
      </c>
      <c r="H40" s="25">
        <f t="shared" si="21"/>
        <v>9</v>
      </c>
      <c r="I40" s="106">
        <v>7.49</v>
      </c>
      <c r="J40" s="106">
        <v>3690</v>
      </c>
      <c r="K40" s="12">
        <v>232.8</v>
      </c>
      <c r="L40" s="27">
        <v>867</v>
      </c>
      <c r="M40" s="27">
        <v>55</v>
      </c>
      <c r="N40" s="169">
        <v>0.5</v>
      </c>
      <c r="O40" s="106">
        <v>1867</v>
      </c>
      <c r="P40" s="106">
        <v>35</v>
      </c>
      <c r="Q40" s="12">
        <v>566</v>
      </c>
      <c r="R40" s="12">
        <v>37.85</v>
      </c>
      <c r="S40" s="12">
        <v>297.10000000000002</v>
      </c>
      <c r="T40" s="12">
        <v>29.73</v>
      </c>
      <c r="U40" s="6">
        <v>9.94</v>
      </c>
      <c r="V40" s="169">
        <v>0.2</v>
      </c>
      <c r="W40" s="11">
        <v>0.64300000000000002</v>
      </c>
      <c r="X40" s="81">
        <v>0.02</v>
      </c>
      <c r="Y40" s="11">
        <v>0.32200000000000001</v>
      </c>
      <c r="Z40" s="81">
        <v>0.04</v>
      </c>
      <c r="AA40" s="18">
        <v>7.7670000000000003</v>
      </c>
      <c r="AC40" s="25">
        <f t="shared" si="14"/>
        <v>45.087084096921132</v>
      </c>
      <c r="AD40" s="25">
        <f>((Q40/20.04)+(R40/12.16)+(S40/22.99)+(U40/39.1))</f>
        <v>44.533407400934934</v>
      </c>
      <c r="AE40" s="25">
        <f t="shared" si="5"/>
        <v>0.61780145001709019</v>
      </c>
      <c r="AG40" s="101">
        <v>7.49</v>
      </c>
      <c r="AH40" s="101">
        <v>-0.59294199999999997</v>
      </c>
      <c r="AI40" s="101">
        <v>0.76270000000000004</v>
      </c>
      <c r="AJ40" s="101">
        <v>-3.7900000000000003E-2</v>
      </c>
      <c r="AK40" s="101">
        <v>-0.28720000000000001</v>
      </c>
      <c r="AL40" s="101">
        <v>-2.1318999999999999</v>
      </c>
      <c r="AM40" s="101">
        <v>0.1865</v>
      </c>
      <c r="AN40" s="101">
        <v>-0.57099999999999995</v>
      </c>
      <c r="AO40" s="101">
        <v>3.0000000000000001E-3</v>
      </c>
      <c r="AP40" s="101">
        <v>-1.1761999999999999</v>
      </c>
      <c r="AR40" s="50">
        <f t="shared" si="16"/>
        <v>0.86699999999999999</v>
      </c>
      <c r="AS40" s="50">
        <f t="shared" si="17"/>
        <v>3.1334149512195131</v>
      </c>
      <c r="AT40" s="50">
        <f t="shared" si="19"/>
        <v>1.7855999999999993E-2</v>
      </c>
      <c r="AU40" s="50">
        <f t="shared" si="20"/>
        <v>1.2333121248000003</v>
      </c>
      <c r="AV40" s="50">
        <f t="shared" si="18"/>
        <v>3.6140887557318488</v>
      </c>
    </row>
    <row r="41" spans="1:48" s="164" customFormat="1" x14ac:dyDescent="0.35">
      <c r="B41" s="28"/>
      <c r="F41" s="25"/>
      <c r="G41" s="25"/>
      <c r="H41" s="25"/>
      <c r="L41" s="27"/>
      <c r="M41" s="27"/>
      <c r="N41" s="26"/>
      <c r="Q41" s="85"/>
      <c r="S41" s="85"/>
      <c r="T41" s="85"/>
      <c r="U41" s="85"/>
      <c r="V41" s="81"/>
      <c r="W41" s="103"/>
      <c r="X41" s="81"/>
      <c r="Y41" s="103"/>
      <c r="Z41" s="26"/>
      <c r="AA41" s="103"/>
      <c r="AC41" s="25"/>
      <c r="AD41" s="25"/>
      <c r="AE41" s="25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R41" s="176"/>
      <c r="AS41" s="176"/>
      <c r="AT41" s="176"/>
      <c r="AU41" s="176"/>
      <c r="AV41" s="176"/>
    </row>
    <row r="42" spans="1:48" s="107" customFormat="1" x14ac:dyDescent="0.35">
      <c r="A42" s="206" t="s">
        <v>184</v>
      </c>
      <c r="B42" s="207"/>
      <c r="C42" s="207"/>
      <c r="D42" s="207"/>
      <c r="E42" s="207"/>
      <c r="F42" s="25"/>
      <c r="G42" s="25"/>
      <c r="H42" s="25"/>
      <c r="I42" s="18">
        <v>7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C42" s="25"/>
      <c r="AD42" s="25"/>
      <c r="AE42" s="25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R42" s="150">
        <v>0</v>
      </c>
      <c r="AS42" s="150"/>
      <c r="AT42" s="150"/>
      <c r="AU42" s="150"/>
      <c r="AV42" s="150"/>
    </row>
    <row r="43" spans="1:48" s="164" customFormat="1" x14ac:dyDescent="0.35">
      <c r="B43" s="162"/>
      <c r="C43" s="162"/>
      <c r="D43" s="162"/>
      <c r="E43" s="162"/>
      <c r="F43" s="25"/>
      <c r="G43" s="25"/>
      <c r="H43" s="25"/>
      <c r="L43" s="27"/>
      <c r="M43" s="27"/>
      <c r="N43" s="26"/>
      <c r="V43" s="27"/>
      <c r="W43" s="27"/>
      <c r="X43" s="81"/>
      <c r="Y43" s="27"/>
      <c r="Z43" s="26"/>
      <c r="AA43" s="27"/>
      <c r="AC43" s="25"/>
      <c r="AD43" s="25"/>
      <c r="AE43" s="25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</row>
    <row r="44" spans="1:48" s="106" customFormat="1" x14ac:dyDescent="0.35">
      <c r="A44" s="106">
        <v>17</v>
      </c>
      <c r="B44" s="28">
        <v>43699</v>
      </c>
      <c r="C44" s="106">
        <v>24</v>
      </c>
      <c r="D44" s="106">
        <v>95</v>
      </c>
      <c r="E44" s="106">
        <f>E40+D44</f>
        <v>2318</v>
      </c>
      <c r="F44" s="25">
        <f t="shared" si="23"/>
        <v>0.98958333333333337</v>
      </c>
      <c r="G44" s="25">
        <f>G40+F44</f>
        <v>24.145833333333329</v>
      </c>
      <c r="H44" s="25">
        <f>F44+H40</f>
        <v>9.9895833333333339</v>
      </c>
      <c r="I44" s="106">
        <v>7.46</v>
      </c>
      <c r="J44" s="106">
        <v>3630</v>
      </c>
      <c r="K44" s="12">
        <v>214.6</v>
      </c>
      <c r="L44" s="27">
        <v>812</v>
      </c>
      <c r="M44" s="27">
        <v>52</v>
      </c>
      <c r="N44" s="169">
        <v>0.5</v>
      </c>
      <c r="O44" s="106">
        <v>1906</v>
      </c>
      <c r="P44" s="106">
        <v>32</v>
      </c>
      <c r="Q44" s="12">
        <v>556.79999999999995</v>
      </c>
      <c r="R44" s="12">
        <v>37.590000000000003</v>
      </c>
      <c r="S44" s="12">
        <v>292.10000000000002</v>
      </c>
      <c r="T44" s="12">
        <v>28.66</v>
      </c>
      <c r="U44" s="6">
        <v>9.9</v>
      </c>
      <c r="V44" s="169">
        <v>0.2</v>
      </c>
      <c r="W44" s="11">
        <v>0.625</v>
      </c>
      <c r="X44" s="81">
        <v>0.02</v>
      </c>
      <c r="Y44" s="11">
        <v>0.33200000000000002</v>
      </c>
      <c r="Z44" s="81">
        <v>0.04</v>
      </c>
      <c r="AA44" s="18">
        <v>7.75</v>
      </c>
      <c r="AC44" s="25">
        <f t="shared" ref="AC44:AC60" si="25">((K44/50)+(M44/35.45)+(N44/62)+(O44/48.03))</f>
        <v>45.45045036747311</v>
      </c>
      <c r="AD44" s="25">
        <f t="shared" ref="AD44:AD60" si="26">((Q44/20.04)+(R44/12.16)+(S44/22.99)+(U44/39.1))</f>
        <v>43.834435104338525</v>
      </c>
      <c r="AE44" s="25">
        <f t="shared" si="5"/>
        <v>1.8099538959981996</v>
      </c>
      <c r="AG44" s="101">
        <v>7.46</v>
      </c>
      <c r="AH44" s="101">
        <v>-2.2263899999999999</v>
      </c>
      <c r="AI44" s="101">
        <v>0.68799999999999994</v>
      </c>
      <c r="AJ44" s="101">
        <v>-3.6499999999999998E-2</v>
      </c>
      <c r="AK44" s="101">
        <v>-0.2858</v>
      </c>
      <c r="AL44" s="101">
        <v>-2.1358000000000001</v>
      </c>
      <c r="AM44" s="101">
        <v>4.1599999999999998E-2</v>
      </c>
      <c r="AN44" s="101">
        <v>-0.624</v>
      </c>
      <c r="AO44" s="101">
        <v>-0.02</v>
      </c>
      <c r="AP44" s="101">
        <v>-1.2464999999999999</v>
      </c>
      <c r="AR44" s="50">
        <f t="shared" ref="AR44:AR55" si="27">L44/1000</f>
        <v>0.81200000000000006</v>
      </c>
      <c r="AS44" s="50">
        <f t="shared" ref="AS44:AS55" si="28">AU44/($AT$7)</f>
        <v>2.935366170731708</v>
      </c>
      <c r="AT44" s="50">
        <f>(AR44-$AR$42)*0.096</f>
        <v>7.7952000000000007E-2</v>
      </c>
      <c r="AU44" s="50">
        <f>AU40-AT44</f>
        <v>1.1553601248000003</v>
      </c>
      <c r="AV44" s="50">
        <f t="shared" ref="AV44:AV55" si="29">AS44/AR44</f>
        <v>3.6149829688814137</v>
      </c>
    </row>
    <row r="45" spans="1:48" s="106" customFormat="1" x14ac:dyDescent="0.35">
      <c r="A45" s="106">
        <v>17</v>
      </c>
      <c r="B45" s="28">
        <v>43700</v>
      </c>
      <c r="C45" s="106">
        <v>25</v>
      </c>
      <c r="D45" s="106">
        <v>95</v>
      </c>
      <c r="E45" s="106">
        <f t="shared" si="22"/>
        <v>2413</v>
      </c>
      <c r="F45" s="25">
        <f t="shared" si="23"/>
        <v>0.98958333333333337</v>
      </c>
      <c r="G45" s="25">
        <f t="shared" si="24"/>
        <v>25.135416666666661</v>
      </c>
      <c r="H45" s="25">
        <f t="shared" si="21"/>
        <v>10.979166666666668</v>
      </c>
      <c r="I45" s="106">
        <v>7.53</v>
      </c>
      <c r="J45" s="106">
        <v>2980</v>
      </c>
      <c r="K45" s="12">
        <v>148.80000000000001</v>
      </c>
      <c r="L45" s="27">
        <v>573</v>
      </c>
      <c r="M45" s="27">
        <v>2.7</v>
      </c>
      <c r="N45" s="169">
        <v>0.5</v>
      </c>
      <c r="O45" s="106">
        <v>1815.2</v>
      </c>
      <c r="P45" s="106">
        <v>38</v>
      </c>
      <c r="Q45" s="12">
        <v>577.6</v>
      </c>
      <c r="R45" s="12">
        <v>35.82</v>
      </c>
      <c r="S45" s="12">
        <v>229</v>
      </c>
      <c r="T45" s="12">
        <v>26.76</v>
      </c>
      <c r="U45" s="6">
        <v>8.6370000000000005</v>
      </c>
      <c r="V45" s="169">
        <v>0.2</v>
      </c>
      <c r="W45" s="11">
        <v>0.47299999999999998</v>
      </c>
      <c r="X45" s="81">
        <v>0.02</v>
      </c>
      <c r="Y45" s="11">
        <v>0.32800000000000001</v>
      </c>
      <c r="Z45" s="81">
        <v>0.04</v>
      </c>
      <c r="AA45" s="18">
        <v>7.681</v>
      </c>
      <c r="AC45" s="25">
        <f t="shared" si="25"/>
        <v>40.853274139756955</v>
      </c>
      <c r="AD45" s="25">
        <f t="shared" si="26"/>
        <v>41.949826658881257</v>
      </c>
      <c r="AE45" s="25">
        <f t="shared" si="5"/>
        <v>1.3242891975638862</v>
      </c>
      <c r="AG45" s="101">
        <v>7.53</v>
      </c>
      <c r="AH45" s="101">
        <v>2.2516600000000002</v>
      </c>
      <c r="AI45" s="101">
        <v>0.62949999999999995</v>
      </c>
      <c r="AJ45" s="101">
        <v>-2.64E-2</v>
      </c>
      <c r="AK45" s="101">
        <v>-0.2757</v>
      </c>
      <c r="AL45" s="101">
        <v>-2.3664000000000001</v>
      </c>
      <c r="AM45" s="101">
        <v>-0.114</v>
      </c>
      <c r="AN45" s="101">
        <v>-0.69940000000000002</v>
      </c>
      <c r="AO45" s="101">
        <v>-0.10050000000000001</v>
      </c>
      <c r="AP45" s="101">
        <v>-1.3434999999999999</v>
      </c>
      <c r="AR45" s="50">
        <f t="shared" si="27"/>
        <v>0.57299999999999995</v>
      </c>
      <c r="AS45" s="50">
        <f t="shared" si="28"/>
        <v>2.7956100731707325</v>
      </c>
      <c r="AT45" s="50">
        <f t="shared" ref="AT45:AT60" si="30">(AR45-$AR$42)*0.096</f>
        <v>5.5007999999999994E-2</v>
      </c>
      <c r="AU45" s="50">
        <f>AU44-AT45</f>
        <v>1.1003521248000003</v>
      </c>
      <c r="AV45" s="50">
        <f t="shared" si="29"/>
        <v>4.8789006512578235</v>
      </c>
    </row>
    <row r="46" spans="1:48" s="106" customFormat="1" x14ac:dyDescent="0.35">
      <c r="A46" s="106">
        <v>17</v>
      </c>
      <c r="B46" s="28">
        <v>43701</v>
      </c>
      <c r="C46" s="106">
        <v>26</v>
      </c>
      <c r="D46" s="106">
        <v>97</v>
      </c>
      <c r="E46" s="106">
        <f t="shared" si="22"/>
        <v>2510</v>
      </c>
      <c r="F46" s="25">
        <f t="shared" si="23"/>
        <v>1.0104166666666667</v>
      </c>
      <c r="G46" s="25">
        <f t="shared" si="24"/>
        <v>26.145833333333329</v>
      </c>
      <c r="H46" s="25">
        <f t="shared" si="21"/>
        <v>11.989583333333334</v>
      </c>
      <c r="I46" s="106">
        <v>7.48</v>
      </c>
      <c r="J46" s="106">
        <v>2620</v>
      </c>
      <c r="K46" s="12">
        <v>106.6</v>
      </c>
      <c r="L46" s="27">
        <v>371</v>
      </c>
      <c r="M46" s="27">
        <v>9.9</v>
      </c>
      <c r="N46" s="169">
        <v>0.5</v>
      </c>
      <c r="O46" s="106">
        <v>1673</v>
      </c>
      <c r="P46" s="106">
        <v>29</v>
      </c>
      <c r="Q46" s="12">
        <v>560.20000000000005</v>
      </c>
      <c r="R46" s="12">
        <v>34.729999999999997</v>
      </c>
      <c r="S46" s="12">
        <v>152.19999999999999</v>
      </c>
      <c r="T46" s="12">
        <v>24.42</v>
      </c>
      <c r="U46" s="6">
        <v>7.12</v>
      </c>
      <c r="V46" s="169">
        <v>0.2</v>
      </c>
      <c r="W46" s="11">
        <v>0.36</v>
      </c>
      <c r="X46" s="81">
        <v>0.02</v>
      </c>
      <c r="Y46" s="11">
        <v>0.28399999999999997</v>
      </c>
      <c r="Z46" s="81">
        <v>0.04</v>
      </c>
      <c r="AA46" s="18">
        <v>7.7140000000000004</v>
      </c>
      <c r="AC46" s="25">
        <f t="shared" si="25"/>
        <v>37.251727507671397</v>
      </c>
      <c r="AD46" s="25">
        <f t="shared" si="26"/>
        <v>37.61254421185447</v>
      </c>
      <c r="AE46" s="25">
        <f t="shared" si="5"/>
        <v>0.4819611490175833</v>
      </c>
      <c r="AG46" s="101">
        <v>7.48</v>
      </c>
      <c r="AH46" s="101">
        <v>1.5123899999999999</v>
      </c>
      <c r="AI46" s="101">
        <v>0.44390000000000002</v>
      </c>
      <c r="AJ46" s="101">
        <v>-4.82E-2</v>
      </c>
      <c r="AK46" s="101">
        <v>-0.29770000000000002</v>
      </c>
      <c r="AL46" s="101">
        <v>-2.4575</v>
      </c>
      <c r="AM46" s="101">
        <v>-0.48680000000000001</v>
      </c>
      <c r="AN46" s="101">
        <v>-0.92910000000000004</v>
      </c>
      <c r="AO46" s="101">
        <v>-0.2026</v>
      </c>
      <c r="AP46" s="101">
        <v>-1.5306999999999999</v>
      </c>
      <c r="AR46" s="50">
        <f t="shared" si="27"/>
        <v>0.371</v>
      </c>
      <c r="AS46" s="50">
        <f t="shared" si="28"/>
        <v>2.7051222682926834</v>
      </c>
      <c r="AT46" s="50">
        <f t="shared" si="30"/>
        <v>3.5616000000000002E-2</v>
      </c>
      <c r="AU46" s="50">
        <f t="shared" ref="AU46:AU55" si="31">AU45-AT46</f>
        <v>1.0647361248000002</v>
      </c>
      <c r="AV46" s="50">
        <f t="shared" si="29"/>
        <v>7.2914346854250232</v>
      </c>
    </row>
    <row r="47" spans="1:48" s="106" customFormat="1" x14ac:dyDescent="0.35">
      <c r="A47" s="106">
        <v>17</v>
      </c>
      <c r="B47" s="28">
        <v>43702</v>
      </c>
      <c r="C47" s="106">
        <v>27</v>
      </c>
      <c r="D47" s="106">
        <v>96</v>
      </c>
      <c r="E47" s="106">
        <f t="shared" si="22"/>
        <v>2606</v>
      </c>
      <c r="F47" s="25">
        <f t="shared" si="23"/>
        <v>1</v>
      </c>
      <c r="G47" s="25">
        <f t="shared" si="24"/>
        <v>27.145833333333329</v>
      </c>
      <c r="H47" s="25">
        <f t="shared" si="21"/>
        <v>12.989583333333334</v>
      </c>
      <c r="I47" s="106">
        <v>7.7</v>
      </c>
      <c r="J47" s="106">
        <v>2500</v>
      </c>
      <c r="K47" s="12">
        <v>75.400000000000006</v>
      </c>
      <c r="L47" s="27">
        <v>236</v>
      </c>
      <c r="M47" s="27">
        <v>2.4</v>
      </c>
      <c r="N47" s="169">
        <v>0.5</v>
      </c>
      <c r="O47" s="106">
        <v>1576</v>
      </c>
      <c r="P47" s="106">
        <v>24</v>
      </c>
      <c r="Q47" s="12">
        <v>546.9</v>
      </c>
      <c r="R47" s="12">
        <v>28.44</v>
      </c>
      <c r="S47" s="12">
        <v>81.790000000000006</v>
      </c>
      <c r="T47" s="12">
        <v>22.06</v>
      </c>
      <c r="U47" s="6">
        <v>5.7279999999999998</v>
      </c>
      <c r="V47" s="169">
        <v>0.2</v>
      </c>
      <c r="W47" s="11">
        <v>0.25600000000000001</v>
      </c>
      <c r="X47" s="81">
        <v>0.02</v>
      </c>
      <c r="Y47" s="11">
        <v>0.27100000000000002</v>
      </c>
      <c r="Z47" s="81">
        <v>0.04</v>
      </c>
      <c r="AA47" s="18">
        <v>7.7389999999999999</v>
      </c>
      <c r="AC47" s="25">
        <f t="shared" si="25"/>
        <v>34.396590820944986</v>
      </c>
      <c r="AD47" s="25">
        <f t="shared" si="26"/>
        <v>33.333364868639194</v>
      </c>
      <c r="AE47" s="25">
        <f t="shared" si="5"/>
        <v>1.5698016357469728</v>
      </c>
      <c r="AG47" s="101">
        <v>7.7</v>
      </c>
      <c r="AH47" s="101">
        <v>-1.8309200000000001</v>
      </c>
      <c r="AI47" s="101">
        <v>0.51400000000000001</v>
      </c>
      <c r="AJ47" s="101">
        <v>-6.13E-2</v>
      </c>
      <c r="AK47" s="101">
        <v>-0.31080000000000002</v>
      </c>
      <c r="AL47" s="101">
        <v>-2.8304999999999998</v>
      </c>
      <c r="AM47" s="101">
        <v>-0.4239</v>
      </c>
      <c r="AN47" s="101">
        <v>-0.86350000000000005</v>
      </c>
      <c r="AO47" s="101">
        <v>-0.33760000000000001</v>
      </c>
      <c r="AP47" s="101">
        <v>-1.5378000000000001</v>
      </c>
      <c r="AR47" s="50">
        <f t="shared" si="27"/>
        <v>0.23599999999999999</v>
      </c>
      <c r="AS47" s="50">
        <f t="shared" si="28"/>
        <v>2.6475612926829273</v>
      </c>
      <c r="AT47" s="50">
        <f t="shared" si="30"/>
        <v>2.2655999999999999E-2</v>
      </c>
      <c r="AU47" s="50">
        <f t="shared" si="31"/>
        <v>1.0420801248000002</v>
      </c>
      <c r="AV47" s="50">
        <f t="shared" si="29"/>
        <v>11.218480053741217</v>
      </c>
    </row>
    <row r="48" spans="1:48" s="106" customFormat="1" x14ac:dyDescent="0.35">
      <c r="A48" s="106">
        <v>17</v>
      </c>
      <c r="B48" s="28">
        <v>43703</v>
      </c>
      <c r="C48" s="106">
        <v>28</v>
      </c>
      <c r="D48" s="106">
        <v>98</v>
      </c>
      <c r="E48" s="106">
        <f t="shared" si="22"/>
        <v>2704</v>
      </c>
      <c r="F48" s="25">
        <f t="shared" si="23"/>
        <v>1.0208333333333333</v>
      </c>
      <c r="G48" s="25">
        <f t="shared" si="24"/>
        <v>28.166666666666661</v>
      </c>
      <c r="H48" s="25">
        <f t="shared" si="21"/>
        <v>14.010416666666668</v>
      </c>
      <c r="I48" s="106">
        <v>7.64</v>
      </c>
      <c r="J48" s="106">
        <v>2390</v>
      </c>
      <c r="K48" s="12">
        <v>58.4</v>
      </c>
      <c r="L48" s="27">
        <v>178</v>
      </c>
      <c r="M48" s="27">
        <v>0.72</v>
      </c>
      <c r="N48" s="169">
        <v>0.5</v>
      </c>
      <c r="O48" s="106">
        <v>1541</v>
      </c>
      <c r="P48" s="106">
        <v>17</v>
      </c>
      <c r="Q48" s="12">
        <v>583.9</v>
      </c>
      <c r="R48" s="12">
        <v>27.55</v>
      </c>
      <c r="S48" s="12">
        <v>46.05</v>
      </c>
      <c r="T48" s="12">
        <v>22.38</v>
      </c>
      <c r="U48" s="6">
        <v>4.6059999999999999</v>
      </c>
      <c r="V48" s="169">
        <v>0.2</v>
      </c>
      <c r="W48" s="11">
        <v>0.191</v>
      </c>
      <c r="X48" s="81">
        <v>0.02</v>
      </c>
      <c r="Y48" s="11">
        <v>0.253</v>
      </c>
      <c r="Z48" s="81">
        <v>0.04</v>
      </c>
      <c r="AA48" s="18">
        <v>8.0549999999999997</v>
      </c>
      <c r="AC48" s="25">
        <f t="shared" si="25"/>
        <v>33.28048890767792</v>
      </c>
      <c r="AD48" s="25">
        <f t="shared" si="26"/>
        <v>33.523196860503006</v>
      </c>
      <c r="AE48" s="25">
        <f t="shared" si="5"/>
        <v>0.36331521237813086</v>
      </c>
      <c r="AG48" s="101">
        <v>7.64</v>
      </c>
      <c r="AH48" s="101">
        <v>0.93039499999999997</v>
      </c>
      <c r="AI48" s="101">
        <v>0.379</v>
      </c>
      <c r="AJ48" s="101">
        <v>-4.3299999999999998E-2</v>
      </c>
      <c r="AK48" s="101">
        <v>-0.29289999999999999</v>
      </c>
      <c r="AL48" s="101">
        <v>-2.8824000000000001</v>
      </c>
      <c r="AM48" s="101">
        <v>-0.73729999999999996</v>
      </c>
      <c r="AN48" s="101">
        <v>-1.0579000000000001</v>
      </c>
      <c r="AO48" s="101">
        <v>-0.4264</v>
      </c>
      <c r="AP48" s="101">
        <v>-1.7162999999999999</v>
      </c>
      <c r="AR48" s="50">
        <f t="shared" si="27"/>
        <v>0.17799999999999999</v>
      </c>
      <c r="AS48" s="50">
        <f t="shared" si="28"/>
        <v>2.6041466585365858</v>
      </c>
      <c r="AT48" s="50">
        <f t="shared" si="30"/>
        <v>1.7087999999999999E-2</v>
      </c>
      <c r="AU48" s="50">
        <f t="shared" si="31"/>
        <v>1.0249921248000002</v>
      </c>
      <c r="AV48" s="50">
        <f t="shared" si="29"/>
        <v>14.63003740750891</v>
      </c>
    </row>
    <row r="49" spans="1:48" s="106" customFormat="1" x14ac:dyDescent="0.35">
      <c r="A49" s="106">
        <v>17</v>
      </c>
      <c r="B49" s="28">
        <v>43704</v>
      </c>
      <c r="C49" s="106">
        <v>29</v>
      </c>
      <c r="D49" s="106">
        <v>96</v>
      </c>
      <c r="E49" s="106">
        <f t="shared" si="22"/>
        <v>2800</v>
      </c>
      <c r="F49" s="25">
        <f t="shared" si="23"/>
        <v>1</v>
      </c>
      <c r="G49" s="25">
        <f t="shared" si="24"/>
        <v>29.166666666666661</v>
      </c>
      <c r="H49" s="25">
        <f t="shared" si="21"/>
        <v>15.010416666666668</v>
      </c>
      <c r="I49" s="106">
        <v>7.8</v>
      </c>
      <c r="J49" s="106">
        <v>2330</v>
      </c>
      <c r="K49" s="12">
        <v>48</v>
      </c>
      <c r="L49" s="27">
        <v>131</v>
      </c>
      <c r="M49" s="169">
        <v>0.5</v>
      </c>
      <c r="N49" s="169">
        <v>0.5</v>
      </c>
      <c r="O49" s="106">
        <v>1505</v>
      </c>
      <c r="P49" s="106">
        <v>7.5</v>
      </c>
      <c r="Q49" s="12">
        <v>566.9</v>
      </c>
      <c r="R49" s="12">
        <v>24.94</v>
      </c>
      <c r="S49" s="12">
        <v>27.32</v>
      </c>
      <c r="T49" s="12">
        <v>21.08</v>
      </c>
      <c r="U49" s="6">
        <v>3.7770000000000001</v>
      </c>
      <c r="V49" s="169">
        <v>0.2</v>
      </c>
      <c r="W49" s="11">
        <v>0.14799999999999999</v>
      </c>
      <c r="X49" s="81">
        <v>0.02</v>
      </c>
      <c r="Y49" s="11">
        <v>0.22600000000000001</v>
      </c>
      <c r="Z49" s="81">
        <v>0.04</v>
      </c>
      <c r="AA49" s="18">
        <v>8.19</v>
      </c>
      <c r="AC49" s="25">
        <f t="shared" si="25"/>
        <v>32.316751441055771</v>
      </c>
      <c r="AD49" s="25">
        <f t="shared" si="26"/>
        <v>31.624351218991773</v>
      </c>
      <c r="AE49" s="25">
        <f t="shared" si="5"/>
        <v>1.0828718824966908</v>
      </c>
      <c r="AG49" s="101">
        <v>7.8</v>
      </c>
      <c r="AH49" s="101">
        <v>-1.2206600000000001</v>
      </c>
      <c r="AI49" s="101">
        <v>0.44190000000000002</v>
      </c>
      <c r="AJ49" s="101">
        <v>-5.5E-2</v>
      </c>
      <c r="AK49" s="101">
        <v>-0.30459999999999998</v>
      </c>
      <c r="AL49" s="101">
        <v>-3.1311</v>
      </c>
      <c r="AM49" s="101">
        <v>-0.64200000000000002</v>
      </c>
      <c r="AN49" s="101">
        <v>-1.0284</v>
      </c>
      <c r="AO49" s="101">
        <v>-0.54120000000000001</v>
      </c>
      <c r="AP49" s="101">
        <v>-1.6839</v>
      </c>
      <c r="AR49" s="50">
        <f t="shared" si="27"/>
        <v>0.13100000000000001</v>
      </c>
      <c r="AS49" s="50">
        <f t="shared" si="28"/>
        <v>2.5721954390243909</v>
      </c>
      <c r="AT49" s="50">
        <f t="shared" si="30"/>
        <v>1.2576E-2</v>
      </c>
      <c r="AU49" s="50">
        <f t="shared" si="31"/>
        <v>1.0124161248000003</v>
      </c>
      <c r="AV49" s="50">
        <f t="shared" si="29"/>
        <v>19.635079687209089</v>
      </c>
    </row>
    <row r="50" spans="1:48" s="106" customFormat="1" x14ac:dyDescent="0.35">
      <c r="A50" s="106">
        <v>17</v>
      </c>
      <c r="B50" s="28">
        <v>43705</v>
      </c>
      <c r="C50" s="106">
        <v>30</v>
      </c>
      <c r="D50" s="106">
        <v>95</v>
      </c>
      <c r="E50" s="106">
        <f t="shared" si="22"/>
        <v>2895</v>
      </c>
      <c r="F50" s="25">
        <f t="shared" si="23"/>
        <v>0.98958333333333337</v>
      </c>
      <c r="G50" s="25">
        <f t="shared" si="24"/>
        <v>30.156249999999993</v>
      </c>
      <c r="H50" s="25">
        <f t="shared" si="21"/>
        <v>16</v>
      </c>
      <c r="I50" s="106">
        <v>7.73</v>
      </c>
      <c r="J50" s="106">
        <v>2290</v>
      </c>
      <c r="K50" s="12">
        <v>43</v>
      </c>
      <c r="L50" s="27">
        <v>103</v>
      </c>
      <c r="M50" s="169">
        <v>0.5</v>
      </c>
      <c r="N50" s="169">
        <v>0.5</v>
      </c>
      <c r="O50" s="106">
        <v>1494</v>
      </c>
      <c r="P50" s="106">
        <v>11</v>
      </c>
      <c r="Q50" s="12">
        <v>616.20000000000005</v>
      </c>
      <c r="R50" s="12">
        <v>23.63</v>
      </c>
      <c r="S50" s="12">
        <v>18.47</v>
      </c>
      <c r="T50" s="12">
        <v>21.61</v>
      </c>
      <c r="U50" s="6">
        <v>3.2389999999999999</v>
      </c>
      <c r="V50" s="169">
        <v>0.2</v>
      </c>
      <c r="W50" s="11">
        <v>0.107</v>
      </c>
      <c r="X50" s="81">
        <v>0.02</v>
      </c>
      <c r="Y50" s="11">
        <v>0.20100000000000001</v>
      </c>
      <c r="Z50" s="81">
        <v>0.04</v>
      </c>
      <c r="AA50" s="18">
        <v>8.18</v>
      </c>
      <c r="AC50" s="25">
        <f t="shared" si="25"/>
        <v>31.987727914093455</v>
      </c>
      <c r="AD50" s="25">
        <f t="shared" si="26"/>
        <v>33.577991227108988</v>
      </c>
      <c r="AE50" s="25">
        <f t="shared" si="5"/>
        <v>2.425449356531483</v>
      </c>
      <c r="AG50" s="101">
        <v>7.73</v>
      </c>
      <c r="AH50" s="101">
        <v>4.0546600000000002</v>
      </c>
      <c r="AI50" s="101">
        <v>0.36330000000000001</v>
      </c>
      <c r="AJ50" s="101">
        <v>-3.1600000000000003E-2</v>
      </c>
      <c r="AK50" s="101">
        <v>-0.28120000000000001</v>
      </c>
      <c r="AL50" s="101">
        <v>-3.1105999999999998</v>
      </c>
      <c r="AM50" s="101">
        <v>-0.86</v>
      </c>
      <c r="AN50" s="101">
        <v>-1.1977</v>
      </c>
      <c r="AO50" s="101">
        <v>-0.64370000000000005</v>
      </c>
      <c r="AP50" s="101">
        <v>-1.8232999999999999</v>
      </c>
      <c r="AR50" s="50">
        <f t="shared" si="27"/>
        <v>0.10299999999999999</v>
      </c>
      <c r="AS50" s="50">
        <f t="shared" si="28"/>
        <v>2.5470734878048793</v>
      </c>
      <c r="AT50" s="50">
        <f t="shared" si="30"/>
        <v>9.8879999999999992E-3</v>
      </c>
      <c r="AU50" s="50">
        <f t="shared" si="31"/>
        <v>1.0025281248000004</v>
      </c>
      <c r="AV50" s="50">
        <f t="shared" si="29"/>
        <v>24.728868813639608</v>
      </c>
    </row>
    <row r="51" spans="1:48" s="106" customFormat="1" x14ac:dyDescent="0.35">
      <c r="A51" s="106">
        <v>17</v>
      </c>
      <c r="B51" s="28">
        <v>43706</v>
      </c>
      <c r="C51" s="106">
        <v>31</v>
      </c>
      <c r="D51" s="106">
        <v>96</v>
      </c>
      <c r="E51" s="106">
        <f t="shared" si="22"/>
        <v>2991</v>
      </c>
      <c r="F51" s="25">
        <f t="shared" si="23"/>
        <v>1</v>
      </c>
      <c r="G51" s="25">
        <f t="shared" si="24"/>
        <v>31.156249999999993</v>
      </c>
      <c r="H51" s="25">
        <f t="shared" si="21"/>
        <v>17</v>
      </c>
      <c r="I51" s="106">
        <v>7.74</v>
      </c>
      <c r="J51" s="106">
        <v>2110</v>
      </c>
      <c r="K51" s="12">
        <v>38.799999999999997</v>
      </c>
      <c r="L51" s="27">
        <v>82</v>
      </c>
      <c r="M51" s="169">
        <v>0.5</v>
      </c>
      <c r="N51" s="169">
        <v>0.5</v>
      </c>
      <c r="O51" s="106">
        <v>1455</v>
      </c>
      <c r="P51" s="106">
        <v>9.9</v>
      </c>
      <c r="Q51" s="12">
        <v>598.4</v>
      </c>
      <c r="R51" s="12">
        <v>21.57</v>
      </c>
      <c r="S51" s="12">
        <v>12.94</v>
      </c>
      <c r="T51" s="12">
        <v>21.06</v>
      </c>
      <c r="U51" s="6">
        <v>2.923</v>
      </c>
      <c r="V51" s="169">
        <v>0.2</v>
      </c>
      <c r="W51" s="103">
        <v>7.9000000000000001E-2</v>
      </c>
      <c r="X51" s="81">
        <v>0.02</v>
      </c>
      <c r="Y51" s="11">
        <v>0.17899999999999999</v>
      </c>
      <c r="Z51" s="81">
        <v>0.04</v>
      </c>
      <c r="AA51" s="18">
        <v>8.173</v>
      </c>
      <c r="AC51" s="25">
        <f t="shared" si="25"/>
        <v>31.091735409408884</v>
      </c>
      <c r="AD51" s="25">
        <f t="shared" si="26"/>
        <v>32.271738573104429</v>
      </c>
      <c r="AE51" s="25">
        <f t="shared" si="5"/>
        <v>1.8622766233132921</v>
      </c>
      <c r="AG51" s="101">
        <v>7.74</v>
      </c>
      <c r="AH51" s="101">
        <v>3.2117800000000001</v>
      </c>
      <c r="AI51" s="101">
        <v>0.32190000000000002</v>
      </c>
      <c r="AJ51" s="101">
        <v>-4.5600000000000002E-2</v>
      </c>
      <c r="AK51" s="101">
        <v>-0.29520000000000002</v>
      </c>
      <c r="AL51" s="101">
        <v>-3.1637</v>
      </c>
      <c r="AM51" s="101">
        <v>-0.9698</v>
      </c>
      <c r="AN51" s="101">
        <v>-1.2748999999999999</v>
      </c>
      <c r="AO51" s="101">
        <v>-0.78029999999999999</v>
      </c>
      <c r="AP51" s="101">
        <v>-1.8916999999999999</v>
      </c>
      <c r="AR51" s="50">
        <f t="shared" si="27"/>
        <v>8.2000000000000003E-2</v>
      </c>
      <c r="AS51" s="50">
        <f t="shared" si="28"/>
        <v>2.5270734878048793</v>
      </c>
      <c r="AT51" s="50">
        <f t="shared" si="30"/>
        <v>7.8720000000000005E-3</v>
      </c>
      <c r="AU51" s="50">
        <f t="shared" si="31"/>
        <v>0.99465612480000043</v>
      </c>
      <c r="AV51" s="50">
        <f t="shared" si="29"/>
        <v>30.817969363474138</v>
      </c>
    </row>
    <row r="52" spans="1:48" s="106" customFormat="1" x14ac:dyDescent="0.35">
      <c r="A52" s="106">
        <v>17</v>
      </c>
      <c r="B52" s="28">
        <v>43711</v>
      </c>
      <c r="C52" s="106">
        <v>32</v>
      </c>
      <c r="D52" s="106">
        <v>97</v>
      </c>
      <c r="E52" s="106">
        <f t="shared" si="22"/>
        <v>3088</v>
      </c>
      <c r="F52" s="25">
        <f t="shared" si="23"/>
        <v>1.0104166666666667</v>
      </c>
      <c r="G52" s="25">
        <f t="shared" si="24"/>
        <v>32.166666666666657</v>
      </c>
      <c r="H52" s="25">
        <f t="shared" si="21"/>
        <v>18.010416666666668</v>
      </c>
      <c r="I52" s="106">
        <v>7.71</v>
      </c>
      <c r="J52" s="106">
        <v>2270</v>
      </c>
      <c r="K52" s="12">
        <v>39.5</v>
      </c>
      <c r="L52" s="27">
        <v>85</v>
      </c>
      <c r="M52" s="169">
        <v>0.5</v>
      </c>
      <c r="N52" s="169">
        <v>0.5</v>
      </c>
      <c r="O52" s="106">
        <v>1453</v>
      </c>
      <c r="P52" s="106">
        <v>10</v>
      </c>
      <c r="Q52" s="12">
        <v>578.6</v>
      </c>
      <c r="R52" s="12">
        <v>20.98</v>
      </c>
      <c r="S52" s="12">
        <v>12.2</v>
      </c>
      <c r="T52" s="12">
        <v>21.44</v>
      </c>
      <c r="U52" s="6">
        <v>2.5329999999999999</v>
      </c>
      <c r="V52" s="169">
        <v>0.2</v>
      </c>
      <c r="W52" s="11">
        <v>0.10299999999999999</v>
      </c>
      <c r="X52" s="81">
        <v>0.02</v>
      </c>
      <c r="Y52" s="11">
        <v>0.126</v>
      </c>
      <c r="Z52" s="81">
        <v>0.04</v>
      </c>
      <c r="AA52" s="18">
        <v>8.68</v>
      </c>
      <c r="AC52" s="25">
        <f t="shared" si="25"/>
        <v>31.064094768143008</v>
      </c>
      <c r="AD52" s="25">
        <f t="shared" si="26"/>
        <v>31.193032551828093</v>
      </c>
      <c r="AE52" s="25">
        <f t="shared" si="5"/>
        <v>0.20710525723811246</v>
      </c>
      <c r="AG52" s="101">
        <v>7.71</v>
      </c>
      <c r="AH52" s="101">
        <v>0.74277800000000005</v>
      </c>
      <c r="AI52" s="101">
        <v>0.28739999999999999</v>
      </c>
      <c r="AJ52" s="101">
        <v>-5.5199999999999999E-2</v>
      </c>
      <c r="AK52" s="101">
        <v>-0.30480000000000002</v>
      </c>
      <c r="AL52" s="101">
        <v>-3.1227</v>
      </c>
      <c r="AM52" s="101">
        <v>-1.0359</v>
      </c>
      <c r="AN52" s="101">
        <v>-1.4456</v>
      </c>
      <c r="AO52" s="101">
        <v>-0.67879999999999996</v>
      </c>
      <c r="AP52" s="101">
        <v>-1.9233</v>
      </c>
      <c r="AR52" s="50">
        <f t="shared" si="27"/>
        <v>8.5000000000000006E-2</v>
      </c>
      <c r="AS52" s="50">
        <f t="shared" si="28"/>
        <v>2.5063417804878059</v>
      </c>
      <c r="AT52" s="50">
        <f t="shared" si="30"/>
        <v>8.1600000000000006E-3</v>
      </c>
      <c r="AU52" s="50">
        <f t="shared" si="31"/>
        <v>0.98649612480000037</v>
      </c>
      <c r="AV52" s="50">
        <f t="shared" si="29"/>
        <v>29.486373888091833</v>
      </c>
    </row>
    <row r="53" spans="1:48" s="106" customFormat="1" x14ac:dyDescent="0.35">
      <c r="A53" s="106">
        <v>17</v>
      </c>
      <c r="B53" s="28">
        <v>43712</v>
      </c>
      <c r="C53" s="106">
        <v>33</v>
      </c>
      <c r="D53" s="106">
        <v>96</v>
      </c>
      <c r="E53" s="106">
        <f t="shared" si="22"/>
        <v>3184</v>
      </c>
      <c r="F53" s="25">
        <f t="shared" si="23"/>
        <v>1</v>
      </c>
      <c r="G53" s="25">
        <f t="shared" si="24"/>
        <v>33.166666666666657</v>
      </c>
      <c r="H53" s="25">
        <f t="shared" si="21"/>
        <v>19.010416666666668</v>
      </c>
      <c r="I53" s="106">
        <v>7.65</v>
      </c>
      <c r="J53" s="106">
        <v>2250</v>
      </c>
      <c r="K53" s="12">
        <v>36.1</v>
      </c>
      <c r="L53" s="27">
        <v>67</v>
      </c>
      <c r="M53" s="169">
        <v>0.5</v>
      </c>
      <c r="N53" s="169">
        <v>0.5</v>
      </c>
      <c r="O53" s="106">
        <v>1464</v>
      </c>
      <c r="P53" s="106">
        <v>8.6999999999999993</v>
      </c>
      <c r="Q53" s="12">
        <v>593.70000000000005</v>
      </c>
      <c r="R53" s="12">
        <v>18.559999999999999</v>
      </c>
      <c r="S53" s="6">
        <v>9.5259999999999998</v>
      </c>
      <c r="T53" s="12">
        <v>21.22</v>
      </c>
      <c r="U53" s="6">
        <v>2.3279999999999998</v>
      </c>
      <c r="V53" s="169">
        <v>0.2</v>
      </c>
      <c r="W53" s="103">
        <v>7.0999999999999994E-2</v>
      </c>
      <c r="X53" s="81">
        <v>0.02</v>
      </c>
      <c r="Y53" s="11">
        <v>0.111</v>
      </c>
      <c r="Z53" s="81">
        <v>0.04</v>
      </c>
      <c r="AA53" s="18">
        <v>8.5109999999999992</v>
      </c>
      <c r="AC53" s="25">
        <f t="shared" si="25"/>
        <v>31.225118295105325</v>
      </c>
      <c r="AD53" s="25">
        <f t="shared" si="26"/>
        <v>31.625958001397077</v>
      </c>
      <c r="AE53" s="25">
        <f t="shared" si="5"/>
        <v>0.63776108526888986</v>
      </c>
      <c r="AG53" s="101">
        <v>7.65</v>
      </c>
      <c r="AH53" s="101">
        <v>1.3825799999999999</v>
      </c>
      <c r="AI53" s="101">
        <v>0.2001</v>
      </c>
      <c r="AJ53" s="101">
        <v>-4.4400000000000002E-2</v>
      </c>
      <c r="AK53" s="101">
        <v>-0.29399999999999998</v>
      </c>
      <c r="AL53" s="101">
        <v>-3.1008</v>
      </c>
      <c r="AM53" s="101">
        <v>-1.2749999999999999</v>
      </c>
      <c r="AN53" s="101">
        <v>-1.5998000000000001</v>
      </c>
      <c r="AO53" s="101">
        <v>-0.83050000000000002</v>
      </c>
      <c r="AP53" s="101">
        <v>-2.0750999999999999</v>
      </c>
      <c r="AR53" s="50">
        <f t="shared" si="27"/>
        <v>6.7000000000000004E-2</v>
      </c>
      <c r="AS53" s="50">
        <f t="shared" si="28"/>
        <v>2.4900003170731715</v>
      </c>
      <c r="AT53" s="50">
        <f t="shared" si="30"/>
        <v>6.4320000000000002E-3</v>
      </c>
      <c r="AU53" s="50">
        <f t="shared" si="31"/>
        <v>0.98006412480000038</v>
      </c>
      <c r="AV53" s="50">
        <f t="shared" si="29"/>
        <v>37.164183836913004</v>
      </c>
    </row>
    <row r="54" spans="1:48" s="106" customFormat="1" x14ac:dyDescent="0.35">
      <c r="A54" s="106">
        <v>17</v>
      </c>
      <c r="B54" s="28">
        <v>43713</v>
      </c>
      <c r="C54" s="106">
        <v>34</v>
      </c>
      <c r="D54" s="106">
        <v>97</v>
      </c>
      <c r="E54" s="106">
        <f t="shared" si="22"/>
        <v>3281</v>
      </c>
      <c r="F54" s="25">
        <f t="shared" si="23"/>
        <v>1.0104166666666667</v>
      </c>
      <c r="G54" s="25">
        <f t="shared" si="24"/>
        <v>34.177083333333321</v>
      </c>
      <c r="H54" s="25">
        <f t="shared" si="21"/>
        <v>20.020833333333336</v>
      </c>
      <c r="I54" s="106">
        <v>7.61</v>
      </c>
      <c r="J54" s="106">
        <v>2240</v>
      </c>
      <c r="K54" s="12">
        <v>35</v>
      </c>
      <c r="L54" s="27">
        <v>51</v>
      </c>
      <c r="M54" s="169">
        <v>0.5</v>
      </c>
      <c r="N54" s="169">
        <v>0.5</v>
      </c>
      <c r="O54" s="106">
        <v>1445</v>
      </c>
      <c r="P54" s="106">
        <v>9.8000000000000007</v>
      </c>
      <c r="Q54" s="12">
        <v>564.6</v>
      </c>
      <c r="R54" s="12">
        <v>17.489999999999998</v>
      </c>
      <c r="S54" s="6">
        <v>7.8140000000000001</v>
      </c>
      <c r="T54" s="12">
        <v>20.92</v>
      </c>
      <c r="U54" s="6">
        <v>2.1309999999999998</v>
      </c>
      <c r="V54" s="169">
        <v>0.2</v>
      </c>
      <c r="W54" s="103">
        <v>4.4999999999999998E-2</v>
      </c>
      <c r="X54" s="81">
        <v>0.02</v>
      </c>
      <c r="Y54" s="103">
        <v>9.5000000000000001E-2</v>
      </c>
      <c r="Z54" s="81">
        <v>0.04</v>
      </c>
      <c r="AA54" s="18">
        <v>8.5459999999999994</v>
      </c>
      <c r="AC54" s="25">
        <f t="shared" si="25"/>
        <v>30.807532203079504</v>
      </c>
      <c r="AD54" s="25">
        <f t="shared" si="26"/>
        <v>30.006363249155232</v>
      </c>
      <c r="AE54" s="25">
        <f t="shared" si="5"/>
        <v>1.3174110093860647</v>
      </c>
      <c r="AG54" s="101">
        <v>7.61</v>
      </c>
      <c r="AH54" s="101">
        <v>-1.5503</v>
      </c>
      <c r="AI54" s="101">
        <v>0.13</v>
      </c>
      <c r="AJ54" s="101">
        <v>-6.1499999999999999E-2</v>
      </c>
      <c r="AK54" s="101">
        <v>-0.31109999999999999</v>
      </c>
      <c r="AL54" s="101">
        <v>-3.07</v>
      </c>
      <c r="AM54" s="101">
        <v>-1.4189000000000001</v>
      </c>
      <c r="AN54" s="101">
        <v>-1.7131000000000001</v>
      </c>
      <c r="AO54" s="101">
        <v>-1.0462</v>
      </c>
      <c r="AP54" s="101">
        <v>-2.1488</v>
      </c>
      <c r="AR54" s="50">
        <f t="shared" si="27"/>
        <v>5.0999999999999997E-2</v>
      </c>
      <c r="AS54" s="50">
        <f t="shared" si="28"/>
        <v>2.4775612926829278</v>
      </c>
      <c r="AT54" s="50">
        <f t="shared" si="30"/>
        <v>4.8960000000000002E-3</v>
      </c>
      <c r="AU54" s="50">
        <f t="shared" si="31"/>
        <v>0.97516812480000037</v>
      </c>
      <c r="AV54" s="50">
        <f t="shared" si="29"/>
        <v>48.579633189861333</v>
      </c>
    </row>
    <row r="55" spans="1:48" s="106" customFormat="1" x14ac:dyDescent="0.35">
      <c r="A55" s="106">
        <v>17</v>
      </c>
      <c r="B55" s="28">
        <v>43714</v>
      </c>
      <c r="C55" s="106">
        <v>35</v>
      </c>
      <c r="D55" s="106">
        <v>96</v>
      </c>
      <c r="E55" s="106">
        <f t="shared" si="22"/>
        <v>3377</v>
      </c>
      <c r="F55" s="25">
        <f t="shared" si="23"/>
        <v>1</v>
      </c>
      <c r="G55" s="25">
        <f t="shared" si="24"/>
        <v>35.177083333333321</v>
      </c>
      <c r="H55" s="25">
        <f t="shared" si="21"/>
        <v>21.020833333333336</v>
      </c>
      <c r="I55" s="106">
        <v>7.68</v>
      </c>
      <c r="J55" s="106">
        <v>2230</v>
      </c>
      <c r="K55" s="12">
        <v>31.3</v>
      </c>
      <c r="L55" s="27">
        <v>47</v>
      </c>
      <c r="M55" s="169">
        <v>0.5</v>
      </c>
      <c r="N55" s="169">
        <v>0.5</v>
      </c>
      <c r="O55" s="141">
        <v>1412</v>
      </c>
      <c r="P55" s="141">
        <v>8.6</v>
      </c>
      <c r="Q55" s="21">
        <v>670.2</v>
      </c>
      <c r="R55" s="21">
        <v>16.71</v>
      </c>
      <c r="S55" s="18">
        <v>8.8659999999999997</v>
      </c>
      <c r="T55" s="21">
        <v>22.78</v>
      </c>
      <c r="U55" s="18">
        <v>2.4620000000000002</v>
      </c>
      <c r="V55" s="169">
        <v>0.2</v>
      </c>
      <c r="W55" s="103">
        <v>3.6999999999999998E-2</v>
      </c>
      <c r="X55" s="81">
        <v>0.02</v>
      </c>
      <c r="Y55" s="33">
        <v>0.08</v>
      </c>
      <c r="Z55" s="81">
        <v>0.04</v>
      </c>
      <c r="AA55" s="18">
        <v>8.5410000000000004</v>
      </c>
      <c r="AC55" s="25">
        <f t="shared" si="25"/>
        <v>30.046461622192563</v>
      </c>
      <c r="AD55" s="25">
        <f t="shared" si="26"/>
        <v>35.26590408896655</v>
      </c>
      <c r="AE55" s="25">
        <f t="shared" si="5"/>
        <v>7.9915072895333905</v>
      </c>
      <c r="AG55" s="101">
        <v>7.68</v>
      </c>
      <c r="AH55" s="101">
        <v>12.5124</v>
      </c>
      <c r="AI55" s="101">
        <v>0.22259999999999999</v>
      </c>
      <c r="AJ55" s="101">
        <v>-2.12E-2</v>
      </c>
      <c r="AK55" s="101">
        <v>-0.27079999999999999</v>
      </c>
      <c r="AL55" s="101">
        <v>-3.2014</v>
      </c>
      <c r="AM55" s="101">
        <v>-1.3304</v>
      </c>
      <c r="AN55" s="101">
        <v>-1.7788999999999999</v>
      </c>
      <c r="AO55" s="101">
        <v>-1.0548</v>
      </c>
      <c r="AP55" s="101">
        <v>-2.153</v>
      </c>
      <c r="AR55" s="50">
        <f t="shared" si="27"/>
        <v>4.7E-2</v>
      </c>
      <c r="AS55" s="50">
        <f t="shared" si="28"/>
        <v>2.4660978780487817</v>
      </c>
      <c r="AT55" s="50">
        <f t="shared" si="30"/>
        <v>4.5120000000000004E-3</v>
      </c>
      <c r="AU55" s="50">
        <f t="shared" si="31"/>
        <v>0.97065612480000041</v>
      </c>
      <c r="AV55" s="50">
        <f t="shared" si="29"/>
        <v>52.470167618059186</v>
      </c>
    </row>
    <row r="56" spans="1:48" s="106" customFormat="1" x14ac:dyDescent="0.35">
      <c r="A56" s="106">
        <v>17</v>
      </c>
      <c r="B56" s="28">
        <v>43715</v>
      </c>
      <c r="C56" s="106">
        <v>36</v>
      </c>
      <c r="D56" s="106">
        <v>97</v>
      </c>
      <c r="E56" s="106">
        <f t="shared" si="22"/>
        <v>3474</v>
      </c>
      <c r="F56" s="25">
        <f t="shared" si="23"/>
        <v>1.0104166666666667</v>
      </c>
      <c r="G56" s="25">
        <f t="shared" si="24"/>
        <v>36.187499999999986</v>
      </c>
      <c r="H56" s="25">
        <f t="shared" si="21"/>
        <v>22.031250000000004</v>
      </c>
      <c r="I56" s="106">
        <v>7.63</v>
      </c>
      <c r="J56" s="106">
        <v>2320</v>
      </c>
      <c r="K56" s="12">
        <v>31.2</v>
      </c>
      <c r="L56" s="27">
        <v>39</v>
      </c>
      <c r="M56" s="169">
        <v>0.5</v>
      </c>
      <c r="N56" s="169">
        <v>0.5</v>
      </c>
      <c r="O56" s="106">
        <v>1457</v>
      </c>
      <c r="P56" s="106">
        <v>9.5</v>
      </c>
      <c r="Q56" s="21">
        <v>695.7</v>
      </c>
      <c r="R56" s="21">
        <v>15.62</v>
      </c>
      <c r="S56" s="18">
        <v>8.2050000000000001</v>
      </c>
      <c r="T56" s="21">
        <v>22.55</v>
      </c>
      <c r="U56" s="18">
        <v>2.3759999999999999</v>
      </c>
      <c r="V56" s="169">
        <v>0.2</v>
      </c>
      <c r="W56" s="103">
        <v>2.4E-2</v>
      </c>
      <c r="X56" s="81">
        <v>0.02</v>
      </c>
      <c r="Y56" s="103">
        <v>5.8999999999999997E-2</v>
      </c>
      <c r="Z56" s="81">
        <v>0.04</v>
      </c>
      <c r="AA56" s="18">
        <v>8.8320000000000007</v>
      </c>
      <c r="AC56" s="25">
        <f t="shared" si="25"/>
        <v>30.981376050674761</v>
      </c>
      <c r="AD56" s="25">
        <f t="shared" si="26"/>
        <v>36.417769901257152</v>
      </c>
      <c r="AE56" s="25">
        <f t="shared" si="5"/>
        <v>8.0659684537539196</v>
      </c>
      <c r="AG56" s="101">
        <v>7.63</v>
      </c>
      <c r="AH56" s="101">
        <v>12.689299999999999</v>
      </c>
      <c r="AI56" s="101">
        <v>0.1827</v>
      </c>
      <c r="AJ56" s="101">
        <v>-1.8E-3</v>
      </c>
      <c r="AK56" s="101">
        <v>-0.25140000000000001</v>
      </c>
      <c r="AL56" s="101">
        <v>-3.1528999999999998</v>
      </c>
      <c r="AM56" s="101">
        <v>-1.4555</v>
      </c>
      <c r="AN56" s="101">
        <v>-1.9688000000000001</v>
      </c>
      <c r="AO56" s="101">
        <v>-1.2343999999999999</v>
      </c>
      <c r="AP56" s="101">
        <v>-2.2383000000000002</v>
      </c>
      <c r="AR56" s="50">
        <f t="shared" ref="AR56:AR60" si="32">L56/1000</f>
        <v>3.9E-2</v>
      </c>
      <c r="AS56" s="50">
        <f t="shared" ref="AS56:AS60" si="33">AU56/($AT$7)</f>
        <v>2.4565856829268302</v>
      </c>
      <c r="AT56" s="50">
        <f t="shared" si="30"/>
        <v>3.7439999999999999E-3</v>
      </c>
      <c r="AU56" s="50">
        <f t="shared" ref="AU56:AU60" si="34">AU55-AT56</f>
        <v>0.96691212480000044</v>
      </c>
      <c r="AV56" s="50">
        <f t="shared" ref="AV56:AV60" si="35">AS56/AR56</f>
        <v>62.989376485303339</v>
      </c>
    </row>
    <row r="57" spans="1:48" x14ac:dyDescent="0.35">
      <c r="A57" s="106">
        <v>17</v>
      </c>
      <c r="B57" s="28">
        <v>43716</v>
      </c>
      <c r="C57" s="106">
        <v>37</v>
      </c>
      <c r="D57" s="31">
        <v>96</v>
      </c>
      <c r="E57" s="106">
        <f t="shared" si="22"/>
        <v>3570</v>
      </c>
      <c r="F57" s="25">
        <f t="shared" si="23"/>
        <v>1</v>
      </c>
      <c r="G57" s="25">
        <f t="shared" si="24"/>
        <v>37.187499999999986</v>
      </c>
      <c r="H57" s="25">
        <f t="shared" si="21"/>
        <v>23.031250000000004</v>
      </c>
      <c r="I57" s="31">
        <v>7.67</v>
      </c>
      <c r="J57" s="31">
        <v>2230</v>
      </c>
      <c r="K57" s="12">
        <v>28.9</v>
      </c>
      <c r="L57" s="27">
        <v>33</v>
      </c>
      <c r="M57" s="169">
        <v>0.5</v>
      </c>
      <c r="N57" s="169">
        <v>0.5</v>
      </c>
      <c r="O57" s="31">
        <v>1448</v>
      </c>
      <c r="P57" s="31">
        <v>8.3000000000000007</v>
      </c>
      <c r="Q57" s="21">
        <v>638.29999999999995</v>
      </c>
      <c r="R57" s="21">
        <v>13.02</v>
      </c>
      <c r="S57" s="18">
        <v>6.3579999999999997</v>
      </c>
      <c r="T57" s="21">
        <v>20.52</v>
      </c>
      <c r="U57" s="18">
        <v>2.0680000000000001</v>
      </c>
      <c r="V57" s="169">
        <v>0.2</v>
      </c>
      <c r="W57" s="81">
        <v>0.02</v>
      </c>
      <c r="X57" s="81">
        <v>0.02</v>
      </c>
      <c r="Y57" s="103">
        <v>6.0999999999999999E-2</v>
      </c>
      <c r="Z57" s="81">
        <v>0.04</v>
      </c>
      <c r="AA57" s="18">
        <v>8.8469999999999995</v>
      </c>
      <c r="AC57" s="25">
        <f t="shared" si="25"/>
        <v>30.747993164978318</v>
      </c>
      <c r="AD57" s="25">
        <f t="shared" si="26"/>
        <v>33.25146613889904</v>
      </c>
      <c r="AE57" s="25">
        <f t="shared" si="5"/>
        <v>3.9117095693479569</v>
      </c>
      <c r="AG57" s="101">
        <v>7.67</v>
      </c>
      <c r="AH57" s="101">
        <v>6.3713499999999996</v>
      </c>
      <c r="AI57" s="101">
        <v>0.15529999999999999</v>
      </c>
      <c r="AJ57" s="101">
        <v>-2.47E-2</v>
      </c>
      <c r="AK57" s="101">
        <v>-0.27429999999999999</v>
      </c>
      <c r="AL57" s="101">
        <v>-3.2216999999999998</v>
      </c>
      <c r="AM57" s="101">
        <v>-1.5509999999999999</v>
      </c>
      <c r="AN57" s="101">
        <v>-1.9389000000000001</v>
      </c>
      <c r="AO57" s="101">
        <v>-1.3465</v>
      </c>
      <c r="AP57" s="101">
        <v>-2.3062999999999998</v>
      </c>
      <c r="AR57" s="50">
        <f t="shared" si="32"/>
        <v>3.3000000000000002E-2</v>
      </c>
      <c r="AS57" s="50">
        <f t="shared" si="33"/>
        <v>2.4485369024390256</v>
      </c>
      <c r="AT57" s="50">
        <f t="shared" si="30"/>
        <v>3.1680000000000002E-3</v>
      </c>
      <c r="AU57" s="50">
        <f t="shared" si="34"/>
        <v>0.96374412480000049</v>
      </c>
      <c r="AV57" s="50">
        <f t="shared" si="35"/>
        <v>74.198087952697747</v>
      </c>
    </row>
    <row r="58" spans="1:48" s="110" customFormat="1" x14ac:dyDescent="0.35">
      <c r="A58" s="110">
        <v>17</v>
      </c>
      <c r="B58" s="28">
        <v>43717</v>
      </c>
      <c r="C58" s="110">
        <v>38</v>
      </c>
      <c r="D58" s="110">
        <v>96</v>
      </c>
      <c r="E58" s="110">
        <f t="shared" ref="E58:E60" si="36">E57+D58</f>
        <v>3666</v>
      </c>
      <c r="F58" s="25">
        <f t="shared" ref="F58:F60" si="37">D58/96</f>
        <v>1</v>
      </c>
      <c r="G58" s="25">
        <f t="shared" ref="G58:G60" si="38">G57+F58</f>
        <v>38.187499999999986</v>
      </c>
      <c r="H58" s="25">
        <f t="shared" si="21"/>
        <v>24.031250000000004</v>
      </c>
      <c r="I58" s="110">
        <v>7.56</v>
      </c>
      <c r="J58" s="110">
        <v>2220</v>
      </c>
      <c r="K58" s="12">
        <v>28.4</v>
      </c>
      <c r="L58" s="27">
        <v>30</v>
      </c>
      <c r="M58" s="169">
        <v>0.5</v>
      </c>
      <c r="N58" s="169">
        <v>0.5</v>
      </c>
      <c r="O58" s="110">
        <v>1449</v>
      </c>
      <c r="P58" s="110">
        <v>8.4</v>
      </c>
      <c r="Q58" s="21">
        <v>699.2</v>
      </c>
      <c r="R58" s="21">
        <v>12.8</v>
      </c>
      <c r="S58" s="18">
        <v>6.2389999999999999</v>
      </c>
      <c r="T58" s="21">
        <v>21.46</v>
      </c>
      <c r="U58" s="18">
        <v>2.1509999999999998</v>
      </c>
      <c r="V58" s="169">
        <v>0.2</v>
      </c>
      <c r="W58" s="81">
        <v>0.02</v>
      </c>
      <c r="X58" s="81">
        <v>0.02</v>
      </c>
      <c r="Y58" s="103">
        <v>5.0999999999999997E-2</v>
      </c>
      <c r="Z58" s="81">
        <v>0.04</v>
      </c>
      <c r="AA58" s="18">
        <v>8.1259999999999994</v>
      </c>
      <c r="AC58" s="25">
        <f t="shared" si="25"/>
        <v>30.75881348561126</v>
      </c>
      <c r="AD58" s="25">
        <f t="shared" si="26"/>
        <v>36.269242787923481</v>
      </c>
      <c r="AE58" s="25">
        <f t="shared" si="5"/>
        <v>8.2210787671131555</v>
      </c>
      <c r="AG58" s="101">
        <v>7.56</v>
      </c>
      <c r="AH58" s="101">
        <v>12.9034</v>
      </c>
      <c r="AI58" s="101">
        <v>7.7600000000000002E-2</v>
      </c>
      <c r="AJ58" s="101">
        <v>-5.9999999999999995E-4</v>
      </c>
      <c r="AK58" s="101">
        <v>-0.25019999999999998</v>
      </c>
      <c r="AL58" s="101">
        <v>-3.1215000000000002</v>
      </c>
      <c r="AM58" s="101">
        <v>-1.7545999999999999</v>
      </c>
      <c r="AN58" s="101">
        <v>-2.1392000000000002</v>
      </c>
      <c r="AO58" s="101">
        <v>-1.3096000000000001</v>
      </c>
      <c r="AP58" s="101">
        <v>-2.4321999999999999</v>
      </c>
      <c r="AR58" s="50">
        <f t="shared" si="32"/>
        <v>0.03</v>
      </c>
      <c r="AS58" s="50">
        <f t="shared" si="33"/>
        <v>2.4412198292682938</v>
      </c>
      <c r="AT58" s="50">
        <f t="shared" si="30"/>
        <v>2.8799999999999997E-3</v>
      </c>
      <c r="AU58" s="50">
        <f t="shared" si="34"/>
        <v>0.9608641248000005</v>
      </c>
      <c r="AV58" s="50">
        <f t="shared" si="35"/>
        <v>81.373994308943125</v>
      </c>
    </row>
    <row r="59" spans="1:48" s="110" customFormat="1" x14ac:dyDescent="0.35">
      <c r="A59" s="110">
        <v>17</v>
      </c>
      <c r="B59" s="28">
        <v>43718</v>
      </c>
      <c r="C59" s="110">
        <v>39</v>
      </c>
      <c r="D59" s="110">
        <v>96</v>
      </c>
      <c r="E59" s="110">
        <f t="shared" si="36"/>
        <v>3762</v>
      </c>
      <c r="F59" s="25">
        <f t="shared" si="37"/>
        <v>1</v>
      </c>
      <c r="G59" s="25">
        <f t="shared" si="38"/>
        <v>39.187499999999986</v>
      </c>
      <c r="H59" s="25">
        <f t="shared" si="21"/>
        <v>25.031250000000004</v>
      </c>
      <c r="I59" s="110">
        <v>7.69</v>
      </c>
      <c r="J59" s="110">
        <v>2220</v>
      </c>
      <c r="K59" s="12">
        <v>27.9</v>
      </c>
      <c r="L59" s="27">
        <v>30</v>
      </c>
      <c r="M59" s="169">
        <v>0.5</v>
      </c>
      <c r="N59" s="169">
        <v>0.5</v>
      </c>
      <c r="O59" s="110">
        <v>1440</v>
      </c>
      <c r="P59" s="110">
        <v>7.5</v>
      </c>
      <c r="Q59" s="21">
        <v>678.5</v>
      </c>
      <c r="R59" s="21">
        <v>11.27</v>
      </c>
      <c r="S59" s="18">
        <v>5.6959999999999997</v>
      </c>
      <c r="T59" s="21">
        <v>20.22</v>
      </c>
      <c r="U59" s="18">
        <v>1.9970000000000001</v>
      </c>
      <c r="V59" s="169">
        <v>0.2</v>
      </c>
      <c r="W59" s="81">
        <v>0.02</v>
      </c>
      <c r="X59" s="81">
        <v>0.02</v>
      </c>
      <c r="Y59" s="103">
        <v>4.2999999999999997E-2</v>
      </c>
      <c r="Z59" s="81">
        <v>0.04</v>
      </c>
      <c r="AA59" s="18">
        <v>7.9619999999999997</v>
      </c>
      <c r="AC59" s="25">
        <f t="shared" si="25"/>
        <v>30.561430599914818</v>
      </c>
      <c r="AD59" s="25">
        <f t="shared" si="26"/>
        <v>35.082928704072771</v>
      </c>
      <c r="AE59" s="25">
        <f t="shared" si="5"/>
        <v>6.8878699588180661</v>
      </c>
      <c r="AG59" s="101">
        <v>7.69</v>
      </c>
      <c r="AH59" s="101">
        <v>10.861000000000001</v>
      </c>
      <c r="AI59" s="101">
        <v>0.18490000000000001</v>
      </c>
      <c r="AJ59" s="101">
        <v>-9.4000000000000004E-3</v>
      </c>
      <c r="AK59" s="101">
        <v>-0.25900000000000001</v>
      </c>
      <c r="AL59" s="101">
        <v>-3.2614999999999998</v>
      </c>
      <c r="AM59" s="101">
        <v>-1.5820000000000001</v>
      </c>
      <c r="AN59" s="101">
        <v>-2.0910000000000002</v>
      </c>
      <c r="AO59" s="101">
        <v>-1.32</v>
      </c>
      <c r="AP59" s="101">
        <v>-2.3668999999999998</v>
      </c>
      <c r="AR59" s="50">
        <f t="shared" si="32"/>
        <v>0.03</v>
      </c>
      <c r="AS59" s="50">
        <f t="shared" si="33"/>
        <v>2.4339027560975621</v>
      </c>
      <c r="AT59" s="50">
        <f t="shared" si="30"/>
        <v>2.8799999999999997E-3</v>
      </c>
      <c r="AU59" s="50">
        <f t="shared" si="34"/>
        <v>0.9579841248000005</v>
      </c>
      <c r="AV59" s="50">
        <f t="shared" si="35"/>
        <v>81.130091869918743</v>
      </c>
    </row>
    <row r="60" spans="1:48" s="110" customFormat="1" x14ac:dyDescent="0.35">
      <c r="A60" s="110">
        <v>17</v>
      </c>
      <c r="B60" s="28">
        <v>43719</v>
      </c>
      <c r="C60" s="110">
        <v>40</v>
      </c>
      <c r="D60" s="110">
        <v>96</v>
      </c>
      <c r="E60" s="110">
        <f t="shared" si="36"/>
        <v>3858</v>
      </c>
      <c r="F60" s="25">
        <f t="shared" si="37"/>
        <v>1</v>
      </c>
      <c r="G60" s="25">
        <f t="shared" si="38"/>
        <v>40.187499999999986</v>
      </c>
      <c r="H60" s="25">
        <f t="shared" si="21"/>
        <v>26.031250000000004</v>
      </c>
      <c r="I60" s="110">
        <v>7.6</v>
      </c>
      <c r="J60" s="110">
        <v>2200</v>
      </c>
      <c r="K60" s="12">
        <v>27.9</v>
      </c>
      <c r="L60" s="27">
        <v>28</v>
      </c>
      <c r="M60" s="169">
        <v>0.5</v>
      </c>
      <c r="N60" s="169">
        <v>0.5</v>
      </c>
      <c r="O60" s="110">
        <v>1398</v>
      </c>
      <c r="P60" s="110">
        <v>8.1999999999999993</v>
      </c>
      <c r="Q60" s="21">
        <v>684.3</v>
      </c>
      <c r="R60" s="21">
        <v>10.46</v>
      </c>
      <c r="S60" s="18">
        <v>5.3760000000000003</v>
      </c>
      <c r="T60" s="21">
        <v>20.41</v>
      </c>
      <c r="U60" s="18">
        <v>1.9410000000000001</v>
      </c>
      <c r="V60" s="169">
        <v>0.2</v>
      </c>
      <c r="W60" s="81">
        <v>0.02</v>
      </c>
      <c r="X60" s="81">
        <v>0.02</v>
      </c>
      <c r="Y60" s="103">
        <v>3.5999999999999997E-2</v>
      </c>
      <c r="Z60" s="81">
        <v>0.04</v>
      </c>
      <c r="AA60" s="18">
        <v>7.8710000000000004</v>
      </c>
      <c r="AC60" s="25">
        <f t="shared" si="25"/>
        <v>29.686977133331432</v>
      </c>
      <c r="AD60" s="25">
        <f t="shared" si="26"/>
        <v>35.290386699329396</v>
      </c>
      <c r="AE60" s="25">
        <f t="shared" si="5"/>
        <v>8.623633270855187</v>
      </c>
      <c r="AG60" s="101">
        <v>7.6</v>
      </c>
      <c r="AH60" s="101">
        <v>13.458399999999999</v>
      </c>
      <c r="AI60" s="101">
        <v>0.10639999999999999</v>
      </c>
      <c r="AJ60" s="101">
        <v>-1.5699999999999999E-2</v>
      </c>
      <c r="AK60" s="101">
        <v>-0.26529999999999998</v>
      </c>
      <c r="AL60" s="101">
        <v>-3.1690999999999998</v>
      </c>
      <c r="AM60" s="101">
        <v>-1.7756000000000001</v>
      </c>
      <c r="AN60" s="101">
        <v>-2.2511999999999999</v>
      </c>
      <c r="AO60" s="101">
        <v>-1.3099000000000001</v>
      </c>
      <c r="AP60" s="101">
        <v>-2.4821</v>
      </c>
      <c r="AR60" s="50">
        <f t="shared" si="32"/>
        <v>2.8000000000000001E-2</v>
      </c>
      <c r="AS60" s="50">
        <f t="shared" si="33"/>
        <v>2.4270734878048792</v>
      </c>
      <c r="AT60" s="50">
        <f t="shared" si="30"/>
        <v>2.6880000000000003E-3</v>
      </c>
      <c r="AU60" s="50">
        <f t="shared" si="34"/>
        <v>0.95529612480000048</v>
      </c>
      <c r="AV60" s="50">
        <f t="shared" si="35"/>
        <v>86.681195993031395</v>
      </c>
    </row>
    <row r="61" spans="1:48" s="110" customFormat="1" x14ac:dyDescent="0.35">
      <c r="B61" s="28"/>
      <c r="F61" s="25"/>
      <c r="G61" s="25"/>
      <c r="H61" s="25"/>
      <c r="L61" s="27"/>
      <c r="M61" s="27"/>
      <c r="Q61" s="18"/>
      <c r="R61" s="27"/>
      <c r="S61" s="11"/>
      <c r="T61" s="11"/>
      <c r="U61" s="11"/>
      <c r="V61" s="27"/>
      <c r="W61" s="27"/>
      <c r="X61" s="27"/>
      <c r="Y61" s="27"/>
      <c r="Z61" s="27"/>
      <c r="AA61" s="27"/>
      <c r="AC61" s="25"/>
      <c r="AD61" s="25"/>
      <c r="AE61" s="25"/>
      <c r="AG61" s="71"/>
      <c r="AH61" s="71"/>
      <c r="AI61" s="71"/>
      <c r="AJ61" s="71"/>
      <c r="AK61" s="71"/>
      <c r="AL61" s="71"/>
      <c r="AM61" s="71"/>
      <c r="AN61" s="71"/>
      <c r="AO61" s="71"/>
      <c r="AP61" s="71"/>
    </row>
    <row r="62" spans="1:48" x14ac:dyDescent="0.35">
      <c r="B62" s="28"/>
      <c r="F62" s="25"/>
      <c r="G62" s="25"/>
      <c r="H62" s="25"/>
      <c r="L62" s="27"/>
      <c r="M62" s="27"/>
      <c r="Q62" s="18"/>
      <c r="R62" s="27"/>
      <c r="S62" s="11"/>
      <c r="T62" s="11"/>
      <c r="U62" s="11"/>
      <c r="V62" s="27"/>
      <c r="W62" s="27"/>
      <c r="X62" s="27"/>
      <c r="Y62" s="27"/>
      <c r="Z62" s="27"/>
      <c r="AA62" s="27"/>
      <c r="AG62" s="71"/>
      <c r="AH62" s="71"/>
      <c r="AI62" s="71"/>
      <c r="AJ62" s="71"/>
      <c r="AK62" s="71"/>
      <c r="AL62" s="71"/>
      <c r="AM62" s="71"/>
      <c r="AN62" s="71"/>
      <c r="AO62" s="71"/>
      <c r="AP62" s="71"/>
    </row>
    <row r="63" spans="1:48" x14ac:dyDescent="0.35">
      <c r="A63" s="31" t="s">
        <v>33</v>
      </c>
      <c r="F63" s="25"/>
      <c r="G63" s="25"/>
      <c r="H63" s="25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G63" s="71"/>
      <c r="AH63" s="71"/>
      <c r="AI63" s="71"/>
      <c r="AJ63" s="71"/>
      <c r="AK63" s="71"/>
      <c r="AL63" s="71"/>
      <c r="AM63" s="71"/>
      <c r="AN63" s="71"/>
      <c r="AO63" s="71"/>
      <c r="AP63" s="71"/>
    </row>
    <row r="64" spans="1:48" x14ac:dyDescent="0.35"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G64" s="71"/>
      <c r="AH64" s="71"/>
      <c r="AI64" s="71"/>
      <c r="AJ64" s="71"/>
      <c r="AK64" s="71"/>
      <c r="AL64" s="71"/>
      <c r="AM64" s="71"/>
      <c r="AN64" s="71"/>
      <c r="AO64" s="71"/>
      <c r="AP64" s="71"/>
    </row>
    <row r="65" spans="1:42" x14ac:dyDescent="0.35">
      <c r="A65" s="31" t="s">
        <v>10</v>
      </c>
      <c r="B65" s="31" t="s">
        <v>14</v>
      </c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G65" s="71"/>
      <c r="AH65" s="71"/>
      <c r="AI65" s="71"/>
      <c r="AJ65" s="71"/>
      <c r="AK65" s="71"/>
      <c r="AL65" s="71"/>
      <c r="AM65" s="71"/>
      <c r="AN65" s="71"/>
      <c r="AO65" s="71"/>
      <c r="AP65" s="71"/>
    </row>
    <row r="66" spans="1:42" x14ac:dyDescent="0.35">
      <c r="A66" s="28">
        <v>43689</v>
      </c>
      <c r="B66" s="31">
        <v>7.03</v>
      </c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</row>
    <row r="67" spans="1:42" x14ac:dyDescent="0.35">
      <c r="A67" s="28">
        <v>43690</v>
      </c>
      <c r="B67" s="31">
        <v>7.14</v>
      </c>
      <c r="V67" s="27"/>
      <c r="W67" s="27"/>
      <c r="X67" s="27"/>
      <c r="Y67" s="27"/>
      <c r="Z67" s="27"/>
      <c r="AA67" s="27"/>
    </row>
    <row r="68" spans="1:42" x14ac:dyDescent="0.35">
      <c r="A68" s="28">
        <v>43691</v>
      </c>
      <c r="B68" s="31">
        <v>7.24</v>
      </c>
      <c r="E68" s="28"/>
      <c r="V68" s="27"/>
      <c r="W68" s="27"/>
      <c r="X68" s="27"/>
      <c r="Y68" s="27"/>
      <c r="Z68" s="27"/>
      <c r="AA68" s="27"/>
    </row>
    <row r="69" spans="1:42" x14ac:dyDescent="0.35">
      <c r="A69" s="28">
        <v>43692</v>
      </c>
      <c r="B69" s="31">
        <v>7.19</v>
      </c>
      <c r="E69" s="28"/>
      <c r="V69" s="27"/>
      <c r="W69" s="27"/>
      <c r="X69" s="27"/>
      <c r="Y69" s="27"/>
      <c r="Z69" s="27"/>
      <c r="AA69" s="27"/>
    </row>
    <row r="70" spans="1:42" x14ac:dyDescent="0.35">
      <c r="A70" s="28">
        <v>43693</v>
      </c>
      <c r="E70" s="28"/>
      <c r="V70" s="27"/>
      <c r="W70" s="27"/>
      <c r="X70" s="27"/>
      <c r="Y70" s="27"/>
      <c r="Z70" s="27"/>
      <c r="AA70" s="27"/>
    </row>
    <row r="71" spans="1:42" x14ac:dyDescent="0.35">
      <c r="A71" s="28">
        <v>43694</v>
      </c>
      <c r="B71" s="31">
        <v>7.25</v>
      </c>
      <c r="E71" s="28"/>
      <c r="V71" s="27"/>
      <c r="W71" s="27"/>
      <c r="X71" s="27"/>
      <c r="Y71" s="27"/>
      <c r="Z71" s="27"/>
      <c r="AA71" s="27"/>
    </row>
    <row r="72" spans="1:42" x14ac:dyDescent="0.35">
      <c r="A72" s="28">
        <v>43695</v>
      </c>
      <c r="E72" s="28"/>
      <c r="V72" s="27"/>
      <c r="W72" s="27"/>
      <c r="X72" s="27"/>
      <c r="Y72" s="27"/>
      <c r="Z72" s="27"/>
      <c r="AA72" s="27"/>
    </row>
    <row r="73" spans="1:42" x14ac:dyDescent="0.35">
      <c r="A73" s="28">
        <v>43696</v>
      </c>
      <c r="B73" s="31">
        <v>7.34</v>
      </c>
      <c r="E73" s="28"/>
      <c r="V73" s="27"/>
      <c r="W73" s="27"/>
      <c r="X73" s="27"/>
      <c r="Y73" s="27"/>
      <c r="Z73" s="27"/>
      <c r="AA73" s="27"/>
    </row>
    <row r="74" spans="1:42" x14ac:dyDescent="0.35">
      <c r="A74" s="28">
        <v>43697</v>
      </c>
      <c r="B74" s="31">
        <v>7</v>
      </c>
      <c r="E74" s="28"/>
      <c r="V74" s="27"/>
      <c r="W74" s="27"/>
      <c r="X74" s="27"/>
      <c r="Y74" s="27"/>
      <c r="Z74" s="27"/>
      <c r="AA74" s="27"/>
    </row>
    <row r="75" spans="1:42" x14ac:dyDescent="0.35">
      <c r="A75" s="28">
        <v>43698</v>
      </c>
      <c r="B75" s="31">
        <v>7.3</v>
      </c>
      <c r="E75" s="28"/>
      <c r="V75" s="27"/>
      <c r="W75" s="27"/>
      <c r="X75" s="27"/>
      <c r="Y75" s="27"/>
      <c r="Z75" s="27"/>
      <c r="AA75" s="27"/>
    </row>
    <row r="76" spans="1:42" x14ac:dyDescent="0.35">
      <c r="A76" s="28"/>
      <c r="E76" s="28"/>
      <c r="V76" s="27"/>
      <c r="W76" s="27"/>
      <c r="X76" s="27"/>
      <c r="Y76" s="27"/>
      <c r="Z76" s="27"/>
      <c r="AA76" s="27"/>
    </row>
    <row r="77" spans="1:42" x14ac:dyDescent="0.35">
      <c r="A77" s="28"/>
      <c r="E77" s="28"/>
      <c r="V77" s="27"/>
      <c r="W77" s="27"/>
      <c r="X77" s="27"/>
      <c r="Y77" s="27"/>
      <c r="Z77" s="27"/>
      <c r="AA77" s="27"/>
    </row>
    <row r="78" spans="1:42" x14ac:dyDescent="0.35">
      <c r="A78" s="28"/>
      <c r="E78" s="28"/>
      <c r="V78" s="27"/>
      <c r="W78" s="27"/>
      <c r="X78" s="27"/>
      <c r="Y78" s="27"/>
      <c r="Z78" s="27"/>
      <c r="AA78" s="27"/>
    </row>
    <row r="79" spans="1:42" x14ac:dyDescent="0.35">
      <c r="A79" s="28"/>
      <c r="E79" s="28"/>
      <c r="V79" s="27"/>
      <c r="W79" s="27"/>
      <c r="X79" s="27"/>
      <c r="Y79" s="27"/>
      <c r="Z79" s="27"/>
      <c r="AA79" s="27"/>
    </row>
    <row r="80" spans="1:42" x14ac:dyDescent="0.35">
      <c r="A80" s="28"/>
      <c r="E80" s="28"/>
      <c r="V80" s="27"/>
      <c r="W80" s="27"/>
      <c r="X80" s="27"/>
      <c r="Y80" s="27"/>
      <c r="Z80" s="27"/>
      <c r="AA80" s="27"/>
    </row>
    <row r="81" spans="1:27" x14ac:dyDescent="0.35">
      <c r="A81" s="28"/>
      <c r="F81" s="25"/>
      <c r="G81" s="25"/>
      <c r="H81" s="25"/>
      <c r="V81" s="27"/>
      <c r="W81" s="27"/>
      <c r="X81" s="27"/>
      <c r="Y81" s="27"/>
      <c r="Z81" s="27"/>
      <c r="AA81" s="27"/>
    </row>
    <row r="82" spans="1:27" x14ac:dyDescent="0.35">
      <c r="A82" s="28"/>
      <c r="F82" s="25"/>
      <c r="G82" s="25"/>
      <c r="H82" s="25"/>
      <c r="V82" s="27"/>
      <c r="W82" s="27"/>
      <c r="X82" s="27"/>
      <c r="Y82" s="27"/>
      <c r="Z82" s="27"/>
      <c r="AA82" s="27"/>
    </row>
    <row r="83" spans="1:27" x14ac:dyDescent="0.35">
      <c r="A83" s="28"/>
      <c r="F83" s="25"/>
      <c r="G83" s="25"/>
      <c r="H83" s="25"/>
      <c r="V83" s="27"/>
      <c r="W83" s="27"/>
      <c r="X83" s="27"/>
      <c r="Y83" s="27"/>
      <c r="Z83" s="27"/>
      <c r="AA83" s="27"/>
    </row>
    <row r="84" spans="1:27" x14ac:dyDescent="0.35">
      <c r="A84" s="28"/>
      <c r="V84" s="27"/>
      <c r="W84" s="27"/>
      <c r="X84" s="27"/>
      <c r="Y84" s="27"/>
      <c r="Z84" s="27"/>
      <c r="AA84" s="27"/>
    </row>
    <row r="85" spans="1:27" x14ac:dyDescent="0.35">
      <c r="A85" s="28"/>
      <c r="B85" s="85"/>
      <c r="F85" s="25"/>
      <c r="G85" s="25"/>
      <c r="H85" s="25"/>
      <c r="V85" s="27"/>
      <c r="W85" s="27"/>
      <c r="X85" s="27"/>
      <c r="Y85" s="27"/>
      <c r="Z85" s="27"/>
      <c r="AA85" s="27"/>
    </row>
    <row r="86" spans="1:27" x14ac:dyDescent="0.35">
      <c r="A86" s="28"/>
      <c r="F86" s="25"/>
      <c r="G86" s="25"/>
      <c r="H86" s="25"/>
      <c r="V86" s="27"/>
      <c r="W86" s="27"/>
      <c r="X86" s="27"/>
      <c r="Y86" s="27"/>
      <c r="Z86" s="27"/>
      <c r="AA86" s="27"/>
    </row>
    <row r="87" spans="1:27" x14ac:dyDescent="0.35">
      <c r="A87" s="28"/>
      <c r="F87" s="25"/>
      <c r="G87" s="25"/>
      <c r="H87" s="25"/>
      <c r="V87" s="27"/>
      <c r="W87" s="27"/>
      <c r="X87" s="27"/>
      <c r="Y87" s="27"/>
      <c r="Z87" s="27"/>
      <c r="AA87" s="27"/>
    </row>
    <row r="88" spans="1:27" x14ac:dyDescent="0.35">
      <c r="A88" s="28"/>
      <c r="F88" s="25"/>
      <c r="G88" s="25"/>
      <c r="H88" s="25"/>
      <c r="V88" s="27"/>
      <c r="W88" s="27"/>
      <c r="X88" s="27"/>
      <c r="Y88" s="27"/>
      <c r="Z88" s="27"/>
      <c r="AA88" s="27"/>
    </row>
    <row r="89" spans="1:27" x14ac:dyDescent="0.35">
      <c r="A89" s="28"/>
      <c r="F89" s="25"/>
      <c r="G89" s="25"/>
      <c r="H89" s="25"/>
      <c r="V89" s="27"/>
      <c r="W89" s="27"/>
      <c r="X89" s="27"/>
      <c r="Y89" s="27"/>
      <c r="Z89" s="27"/>
      <c r="AA89" s="27"/>
    </row>
    <row r="90" spans="1:27" x14ac:dyDescent="0.35">
      <c r="A90" s="28"/>
      <c r="F90" s="25"/>
      <c r="G90" s="25"/>
      <c r="H90" s="25"/>
      <c r="V90" s="27"/>
      <c r="W90" s="27"/>
      <c r="X90" s="27"/>
      <c r="Y90" s="27"/>
      <c r="Z90" s="27"/>
      <c r="AA90" s="27"/>
    </row>
    <row r="91" spans="1:27" x14ac:dyDescent="0.35">
      <c r="A91" s="28"/>
      <c r="F91" s="25"/>
      <c r="G91" s="25"/>
      <c r="H91" s="25"/>
      <c r="N91" s="27"/>
      <c r="O91" s="27"/>
      <c r="P91" s="27"/>
      <c r="Q91" s="27"/>
      <c r="R91" s="27"/>
      <c r="S91" s="26"/>
      <c r="T91" s="26"/>
      <c r="U91" s="26"/>
      <c r="V91" s="27"/>
      <c r="W91" s="27"/>
      <c r="X91" s="18"/>
      <c r="Y91" s="27"/>
      <c r="Z91" s="27"/>
      <c r="AA91" s="27"/>
    </row>
    <row r="92" spans="1:27" x14ac:dyDescent="0.35">
      <c r="A92" s="28"/>
      <c r="F92" s="25"/>
      <c r="G92" s="25"/>
      <c r="H92" s="25"/>
      <c r="N92" s="27"/>
      <c r="O92" s="27"/>
      <c r="P92" s="27"/>
      <c r="Q92" s="27"/>
      <c r="R92" s="27"/>
      <c r="S92" s="26"/>
      <c r="T92" s="26"/>
      <c r="U92" s="26"/>
      <c r="V92" s="27"/>
      <c r="W92" s="27"/>
      <c r="X92" s="18"/>
      <c r="Y92" s="27"/>
      <c r="Z92" s="27"/>
      <c r="AA92" s="27"/>
    </row>
    <row r="93" spans="1:27" x14ac:dyDescent="0.35">
      <c r="A93" s="28"/>
      <c r="F93" s="25"/>
      <c r="G93" s="25"/>
      <c r="H93" s="25"/>
      <c r="S93" s="26"/>
      <c r="T93" s="26"/>
      <c r="U93" s="26"/>
      <c r="V93" s="27"/>
      <c r="W93" s="27"/>
      <c r="X93" s="18"/>
      <c r="Y93" s="27"/>
      <c r="Z93" s="27"/>
      <c r="AA93" s="27"/>
    </row>
    <row r="94" spans="1:27" x14ac:dyDescent="0.35">
      <c r="A94" s="28"/>
      <c r="F94" s="25"/>
      <c r="G94" s="25"/>
      <c r="H94" s="25"/>
      <c r="V94" s="27"/>
      <c r="W94" s="27"/>
      <c r="X94" s="27"/>
      <c r="Y94" s="27"/>
      <c r="Z94" s="27"/>
      <c r="AA94" s="27"/>
    </row>
    <row r="95" spans="1:27" x14ac:dyDescent="0.35">
      <c r="A95" s="28"/>
      <c r="F95" s="25"/>
      <c r="G95" s="25"/>
      <c r="H95" s="25"/>
      <c r="V95" s="27"/>
      <c r="W95" s="27"/>
      <c r="X95" s="27"/>
      <c r="Y95" s="27"/>
      <c r="Z95" s="27"/>
      <c r="AA95" s="27"/>
    </row>
    <row r="96" spans="1:27" x14ac:dyDescent="0.35">
      <c r="A96" s="28"/>
      <c r="F96" s="25"/>
      <c r="G96" s="25"/>
      <c r="H96" s="25"/>
      <c r="V96" s="27"/>
      <c r="W96" s="27"/>
      <c r="X96" s="27"/>
      <c r="Y96" s="27"/>
      <c r="Z96" s="27"/>
      <c r="AA96" s="27"/>
    </row>
    <row r="97" spans="1:27" x14ac:dyDescent="0.35">
      <c r="A97" s="28"/>
      <c r="B97" s="25"/>
      <c r="F97" s="25"/>
      <c r="G97" s="25"/>
      <c r="H97" s="25"/>
      <c r="V97" s="27"/>
      <c r="W97" s="27"/>
      <c r="X97" s="27"/>
      <c r="Y97" s="27"/>
      <c r="Z97" s="27"/>
      <c r="AA97" s="27"/>
    </row>
    <row r="98" spans="1:27" x14ac:dyDescent="0.35">
      <c r="A98" s="28"/>
      <c r="B98" s="85"/>
      <c r="F98" s="25"/>
      <c r="G98" s="25"/>
      <c r="H98" s="25"/>
      <c r="V98" s="27"/>
      <c r="W98" s="27"/>
      <c r="X98" s="27"/>
      <c r="Y98" s="27"/>
      <c r="Z98" s="27"/>
      <c r="AA98" s="27"/>
    </row>
    <row r="99" spans="1:27" x14ac:dyDescent="0.35">
      <c r="A99" s="28"/>
      <c r="B99" s="25"/>
      <c r="F99" s="25"/>
      <c r="G99" s="25"/>
      <c r="H99" s="25"/>
      <c r="I99" s="25"/>
      <c r="L99" s="27"/>
      <c r="M99" s="27"/>
      <c r="V99" s="27"/>
      <c r="W99" s="27"/>
      <c r="X99" s="27"/>
      <c r="Y99" s="27"/>
      <c r="Z99" s="27"/>
      <c r="AA99" s="27"/>
    </row>
    <row r="100" spans="1:27" x14ac:dyDescent="0.35">
      <c r="A100" s="28"/>
      <c r="B100" s="25"/>
      <c r="F100" s="25"/>
      <c r="G100" s="25"/>
      <c r="H100" s="25"/>
      <c r="L100" s="27"/>
      <c r="M100" s="27"/>
      <c r="S100" s="27"/>
      <c r="T100" s="27"/>
      <c r="U100" s="27"/>
      <c r="V100" s="11"/>
      <c r="W100" s="27"/>
      <c r="X100" s="27"/>
      <c r="Y100" s="27"/>
      <c r="Z100" s="27"/>
      <c r="AA100" s="27"/>
    </row>
    <row r="101" spans="1:27" x14ac:dyDescent="0.35">
      <c r="A101" s="28"/>
      <c r="B101" s="25"/>
      <c r="F101" s="25"/>
      <c r="G101" s="25"/>
      <c r="H101" s="25"/>
      <c r="L101" s="27"/>
      <c r="M101" s="27"/>
      <c r="P101" s="6"/>
      <c r="S101" s="27"/>
      <c r="T101" s="27"/>
      <c r="U101" s="27"/>
      <c r="V101" s="11"/>
      <c r="W101" s="18"/>
      <c r="X101" s="27"/>
      <c r="Y101" s="27"/>
      <c r="Z101" s="27"/>
      <c r="AA101" s="27"/>
    </row>
    <row r="102" spans="1:27" x14ac:dyDescent="0.35">
      <c r="A102" s="28"/>
      <c r="B102" s="25"/>
      <c r="F102" s="25"/>
      <c r="G102" s="25"/>
      <c r="H102" s="25"/>
      <c r="K102" s="27"/>
      <c r="L102" s="27"/>
      <c r="M102" s="27"/>
      <c r="S102" s="27"/>
      <c r="T102" s="27"/>
      <c r="U102" s="27"/>
      <c r="V102" s="11"/>
      <c r="W102" s="27"/>
      <c r="X102" s="21"/>
      <c r="Y102" s="27"/>
      <c r="Z102" s="27"/>
      <c r="AA102" s="27"/>
    </row>
    <row r="103" spans="1:27" x14ac:dyDescent="0.35">
      <c r="A103" s="28"/>
      <c r="B103" s="25"/>
      <c r="F103" s="25"/>
      <c r="G103" s="25"/>
      <c r="H103" s="25"/>
      <c r="K103" s="27"/>
      <c r="L103" s="27"/>
      <c r="M103" s="27"/>
      <c r="P103" s="27"/>
      <c r="S103" s="27"/>
      <c r="T103" s="27"/>
      <c r="U103" s="27"/>
      <c r="V103" s="11"/>
      <c r="W103" s="18"/>
      <c r="X103" s="27"/>
      <c r="Y103" s="27"/>
      <c r="Z103" s="27"/>
      <c r="AA103" s="27"/>
    </row>
    <row r="104" spans="1:27" x14ac:dyDescent="0.35">
      <c r="A104" s="28"/>
      <c r="B104" s="25"/>
      <c r="F104" s="25"/>
      <c r="G104" s="25"/>
      <c r="H104" s="25"/>
      <c r="K104" s="27"/>
      <c r="L104" s="27"/>
      <c r="M104" s="27"/>
      <c r="P104" s="27"/>
      <c r="S104" s="27"/>
      <c r="T104" s="27"/>
      <c r="U104" s="27"/>
      <c r="V104" s="11"/>
      <c r="W104" s="18"/>
      <c r="X104" s="27"/>
      <c r="Y104" s="27"/>
      <c r="Z104" s="27"/>
      <c r="AA104" s="27"/>
    </row>
    <row r="105" spans="1:27" x14ac:dyDescent="0.35">
      <c r="A105" s="28"/>
      <c r="B105" s="25"/>
      <c r="F105" s="25"/>
      <c r="G105" s="25"/>
      <c r="H105" s="25"/>
      <c r="K105" s="27"/>
      <c r="L105" s="27"/>
      <c r="M105" s="27"/>
      <c r="P105" s="27"/>
      <c r="S105" s="27"/>
      <c r="T105" s="27"/>
      <c r="U105" s="27"/>
      <c r="V105" s="11"/>
      <c r="W105" s="18"/>
      <c r="X105" s="27"/>
      <c r="Y105" s="27"/>
      <c r="Z105" s="27"/>
      <c r="AA105" s="27"/>
    </row>
    <row r="106" spans="1:27" x14ac:dyDescent="0.35">
      <c r="B106" s="28"/>
      <c r="F106" s="25"/>
      <c r="G106" s="25"/>
      <c r="H106" s="25"/>
      <c r="K106" s="27"/>
      <c r="L106" s="27"/>
      <c r="M106" s="27"/>
      <c r="P106" s="27"/>
      <c r="S106" s="27"/>
      <c r="T106" s="27"/>
      <c r="U106" s="27"/>
      <c r="V106" s="11"/>
      <c r="W106" s="18"/>
      <c r="X106" s="27"/>
      <c r="Y106" s="27"/>
      <c r="Z106" s="27"/>
      <c r="AA106" s="27"/>
    </row>
    <row r="107" spans="1:27" x14ac:dyDescent="0.35">
      <c r="B107" s="28"/>
      <c r="F107" s="25"/>
      <c r="G107" s="25"/>
      <c r="H107" s="25"/>
      <c r="K107" s="27"/>
      <c r="L107" s="27"/>
      <c r="M107" s="27"/>
      <c r="P107" s="27"/>
      <c r="S107" s="26"/>
      <c r="T107" s="26"/>
      <c r="U107" s="26"/>
      <c r="V107" s="11"/>
      <c r="W107" s="18"/>
      <c r="X107" s="27"/>
      <c r="Y107" s="27"/>
      <c r="Z107" s="27"/>
      <c r="AA107" s="27"/>
    </row>
    <row r="108" spans="1:27" x14ac:dyDescent="0.35">
      <c r="F108" s="25"/>
      <c r="G108" s="25"/>
      <c r="H108" s="25"/>
      <c r="V108" s="27"/>
      <c r="W108" s="27"/>
      <c r="X108" s="27"/>
      <c r="Y108" s="27"/>
      <c r="Z108" s="27"/>
      <c r="AA108" s="27"/>
    </row>
    <row r="109" spans="1:27" x14ac:dyDescent="0.35">
      <c r="F109" s="25"/>
      <c r="G109" s="25"/>
      <c r="H109" s="25"/>
      <c r="V109" s="27"/>
      <c r="W109" s="27"/>
      <c r="X109" s="27"/>
      <c r="Y109" s="27"/>
      <c r="Z109" s="27"/>
      <c r="AA109" s="27"/>
    </row>
    <row r="110" spans="1:27" x14ac:dyDescent="0.35">
      <c r="F110" s="25"/>
      <c r="G110" s="25"/>
      <c r="H110" s="25"/>
      <c r="V110" s="27"/>
      <c r="W110" s="27"/>
      <c r="X110" s="27"/>
      <c r="Y110" s="27"/>
      <c r="Z110" s="27"/>
      <c r="AA110" s="27"/>
    </row>
    <row r="111" spans="1:27" x14ac:dyDescent="0.35">
      <c r="V111" s="27"/>
      <c r="W111" s="27"/>
      <c r="X111" s="27"/>
      <c r="Y111" s="27"/>
      <c r="Z111" s="27"/>
      <c r="AA111" s="27"/>
    </row>
    <row r="112" spans="1:27" x14ac:dyDescent="0.35">
      <c r="V112" s="27"/>
      <c r="W112" s="27"/>
      <c r="X112" s="27"/>
      <c r="Y112" s="27"/>
      <c r="Z112" s="27"/>
      <c r="AA112" s="27"/>
    </row>
    <row r="113" spans="1:27" x14ac:dyDescent="0.35">
      <c r="V113" s="27"/>
      <c r="W113" s="27"/>
      <c r="X113" s="27"/>
      <c r="Y113" s="27"/>
      <c r="Z113" s="27"/>
      <c r="AA113" s="27"/>
    </row>
    <row r="114" spans="1:27" x14ac:dyDescent="0.35">
      <c r="V114" s="27"/>
      <c r="W114" s="27"/>
      <c r="X114" s="27"/>
      <c r="Y114" s="27"/>
      <c r="Z114" s="27"/>
      <c r="AA114" s="27"/>
    </row>
    <row r="115" spans="1:27" x14ac:dyDescent="0.35">
      <c r="V115" s="27"/>
      <c r="W115" s="27"/>
      <c r="X115" s="27"/>
      <c r="Y115" s="27"/>
      <c r="Z115" s="27"/>
      <c r="AA115" s="27"/>
    </row>
    <row r="116" spans="1:27" x14ac:dyDescent="0.35">
      <c r="V116" s="27"/>
      <c r="W116" s="27"/>
      <c r="X116" s="27"/>
      <c r="Y116" s="27"/>
      <c r="Z116" s="27"/>
      <c r="AA116" s="27"/>
    </row>
    <row r="117" spans="1:27" x14ac:dyDescent="0.35">
      <c r="A117" s="28"/>
      <c r="E117" s="28"/>
      <c r="K117" s="28"/>
      <c r="V117" s="27"/>
      <c r="W117" s="27"/>
      <c r="X117" s="27"/>
      <c r="Y117" s="27"/>
      <c r="Z117" s="27"/>
      <c r="AA117" s="27"/>
    </row>
    <row r="118" spans="1:27" x14ac:dyDescent="0.35">
      <c r="A118" s="28"/>
      <c r="E118" s="28"/>
      <c r="V118" s="27"/>
      <c r="W118" s="27"/>
      <c r="X118" s="27"/>
      <c r="Y118" s="27"/>
      <c r="Z118" s="27"/>
      <c r="AA118" s="27"/>
    </row>
    <row r="119" spans="1:27" x14ac:dyDescent="0.35">
      <c r="A119" s="28"/>
      <c r="E119" s="28"/>
      <c r="K119" s="28"/>
      <c r="V119" s="27"/>
      <c r="W119" s="27"/>
      <c r="X119" s="27"/>
      <c r="Y119" s="27"/>
      <c r="Z119" s="27"/>
      <c r="AA119" s="27"/>
    </row>
    <row r="120" spans="1:27" x14ac:dyDescent="0.35">
      <c r="A120" s="28"/>
      <c r="E120" s="28"/>
      <c r="K120" s="28"/>
      <c r="V120" s="27"/>
      <c r="W120" s="27"/>
      <c r="X120" s="27"/>
      <c r="Y120" s="27"/>
      <c r="Z120" s="27"/>
      <c r="AA120" s="27"/>
    </row>
    <row r="121" spans="1:27" x14ac:dyDescent="0.35">
      <c r="A121" s="28"/>
      <c r="E121" s="28"/>
      <c r="K121" s="28"/>
      <c r="V121" s="27"/>
      <c r="W121" s="27"/>
      <c r="X121" s="27"/>
      <c r="Y121" s="27"/>
      <c r="Z121" s="27"/>
      <c r="AA121" s="27"/>
    </row>
    <row r="122" spans="1:27" x14ac:dyDescent="0.35">
      <c r="A122" s="28"/>
      <c r="E122" s="28"/>
      <c r="K122" s="28"/>
      <c r="V122" s="27"/>
      <c r="W122" s="27"/>
      <c r="X122" s="27"/>
      <c r="Y122" s="27"/>
      <c r="Z122" s="27"/>
      <c r="AA122" s="27"/>
    </row>
    <row r="123" spans="1:27" x14ac:dyDescent="0.35">
      <c r="A123" s="28"/>
      <c r="E123" s="28"/>
      <c r="K123" s="28"/>
    </row>
    <row r="124" spans="1:27" x14ac:dyDescent="0.35">
      <c r="A124" s="28"/>
      <c r="E124" s="28"/>
      <c r="K124" s="28"/>
    </row>
    <row r="125" spans="1:27" x14ac:dyDescent="0.35">
      <c r="A125" s="28"/>
      <c r="E125" s="28"/>
      <c r="K125" s="28"/>
    </row>
    <row r="126" spans="1:27" x14ac:dyDescent="0.35">
      <c r="A126" s="28"/>
      <c r="E126" s="28"/>
      <c r="K126" s="28"/>
    </row>
    <row r="127" spans="1:27" x14ac:dyDescent="0.35">
      <c r="A127" s="28"/>
      <c r="E127" s="28"/>
      <c r="K127" s="28"/>
    </row>
    <row r="128" spans="1:27" x14ac:dyDescent="0.35">
      <c r="A128" s="28"/>
      <c r="E128" s="28"/>
      <c r="K128" s="28"/>
    </row>
    <row r="129" spans="1:11" x14ac:dyDescent="0.35">
      <c r="A129" s="28"/>
      <c r="E129" s="28"/>
      <c r="K129" s="28"/>
    </row>
    <row r="130" spans="1:11" x14ac:dyDescent="0.35">
      <c r="A130" s="28"/>
      <c r="F130" s="25"/>
      <c r="G130" s="25"/>
      <c r="H130" s="25"/>
    </row>
    <row r="131" spans="1:11" x14ac:dyDescent="0.35">
      <c r="A131" s="28"/>
      <c r="F131" s="25"/>
      <c r="G131" s="25"/>
      <c r="H131" s="25"/>
    </row>
    <row r="132" spans="1:11" x14ac:dyDescent="0.35">
      <c r="A132" s="22"/>
      <c r="F132" s="25"/>
      <c r="G132" s="25"/>
      <c r="H132" s="25"/>
    </row>
  </sheetData>
  <mergeCells count="2">
    <mergeCell ref="A29:F29"/>
    <mergeCell ref="A42:E42"/>
  </mergeCells>
  <pageMargins left="0.7" right="0.7" top="0.75" bottom="0.75" header="0.3" footer="0.3"/>
  <pageSetup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V137"/>
  <sheetViews>
    <sheetView zoomScaleNormal="100" workbookViewId="0">
      <selection activeCell="A8" sqref="A8"/>
    </sheetView>
  </sheetViews>
  <sheetFormatPr defaultColWidth="9.1796875" defaultRowHeight="14.5" x14ac:dyDescent="0.35"/>
  <cols>
    <col min="1" max="1" width="9.7265625" style="31" bestFit="1" customWidth="1"/>
    <col min="2" max="2" width="10.81640625" style="31" bestFit="1" customWidth="1"/>
    <col min="3" max="3" width="3.54296875" style="31" bestFit="1" customWidth="1"/>
    <col min="4" max="4" width="8.1796875" style="31" bestFit="1" customWidth="1"/>
    <col min="5" max="5" width="9.1796875" style="31"/>
    <col min="6" max="6" width="9.7265625" style="31" bestFit="1" customWidth="1"/>
    <col min="7" max="7" width="8.54296875" style="31" bestFit="1" customWidth="1"/>
    <col min="8" max="8" width="16" style="147" bestFit="1" customWidth="1"/>
    <col min="9" max="9" width="8.26953125" style="31" bestFit="1" customWidth="1"/>
    <col min="10" max="10" width="16.26953125" style="31" bestFit="1" customWidth="1"/>
    <col min="11" max="11" width="15.7265625" style="31" bestFit="1" customWidth="1"/>
    <col min="12" max="12" width="6.26953125" style="31" bestFit="1" customWidth="1"/>
    <col min="13" max="13" width="8" style="31" bestFit="1" customWidth="1"/>
    <col min="14" max="16" width="6.81640625" style="31" bestFit="1" customWidth="1"/>
    <col min="17" max="21" width="7" style="31" bestFit="1" customWidth="1"/>
    <col min="22" max="22" width="6.81640625" style="31" bestFit="1" customWidth="1"/>
    <col min="23" max="25" width="7" style="31" bestFit="1" customWidth="1"/>
    <col min="26" max="26" width="6.81640625" style="31" bestFit="1" customWidth="1"/>
    <col min="27" max="27" width="7" style="31" bestFit="1" customWidth="1"/>
    <col min="28" max="28" width="11" style="31" bestFit="1" customWidth="1"/>
    <col min="29" max="29" width="8.54296875" style="31" bestFit="1" customWidth="1"/>
    <col min="30" max="30" width="8.1796875" style="31" bestFit="1" customWidth="1"/>
    <col min="31" max="31" width="15.453125" style="31" bestFit="1" customWidth="1"/>
    <col min="32" max="32" width="11.7265625" style="31" bestFit="1" customWidth="1"/>
    <col min="33" max="33" width="12.26953125" style="31" customWidth="1"/>
    <col min="34" max="16384" width="9.1796875" style="31"/>
  </cols>
  <sheetData>
    <row r="1" spans="1:48" x14ac:dyDescent="0.35">
      <c r="A1" s="31" t="s">
        <v>46</v>
      </c>
      <c r="F1" s="25"/>
      <c r="G1" s="25"/>
      <c r="H1" s="25"/>
    </row>
    <row r="2" spans="1:48" x14ac:dyDescent="0.35">
      <c r="F2" s="25"/>
      <c r="G2" s="25"/>
      <c r="H2" s="25"/>
    </row>
    <row r="3" spans="1:48" x14ac:dyDescent="0.35">
      <c r="A3" s="31" t="s">
        <v>8</v>
      </c>
      <c r="F3" s="25"/>
      <c r="G3" s="25"/>
      <c r="H3" s="25"/>
    </row>
    <row r="4" spans="1:48" x14ac:dyDescent="0.35">
      <c r="A4" s="31" t="s">
        <v>182</v>
      </c>
      <c r="F4" s="25"/>
      <c r="G4" s="25"/>
      <c r="H4" s="25"/>
    </row>
    <row r="5" spans="1:48" x14ac:dyDescent="0.35">
      <c r="A5" s="102" t="s">
        <v>190</v>
      </c>
      <c r="F5" s="25"/>
      <c r="G5" s="25"/>
      <c r="H5" s="25"/>
    </row>
    <row r="6" spans="1:48" s="202" customFormat="1" x14ac:dyDescent="0.35">
      <c r="A6" s="26" t="s">
        <v>358</v>
      </c>
      <c r="F6" s="25"/>
      <c r="G6" s="25"/>
      <c r="H6" s="25"/>
    </row>
    <row r="7" spans="1:48" x14ac:dyDescent="0.35">
      <c r="F7" s="25"/>
      <c r="G7" s="25"/>
      <c r="H7" s="25"/>
      <c r="AR7" s="101" t="s">
        <v>254</v>
      </c>
      <c r="AS7" s="101"/>
      <c r="AT7" s="101">
        <v>0.59119999999999995</v>
      </c>
      <c r="AU7" s="101" t="s">
        <v>255</v>
      </c>
      <c r="AV7" s="101"/>
    </row>
    <row r="8" spans="1:48" x14ac:dyDescent="0.35">
      <c r="A8" s="19" t="s">
        <v>382</v>
      </c>
      <c r="F8" s="25"/>
      <c r="G8" s="25"/>
      <c r="H8" s="25"/>
      <c r="AG8" s="26" t="s">
        <v>170</v>
      </c>
      <c r="AR8" s="71"/>
      <c r="AS8" s="71"/>
      <c r="AT8" s="71"/>
      <c r="AU8" s="71"/>
      <c r="AV8" s="71"/>
    </row>
    <row r="9" spans="1:48" x14ac:dyDescent="0.35">
      <c r="F9" s="25"/>
      <c r="G9" s="25"/>
      <c r="H9" s="25"/>
      <c r="AR9" s="101"/>
      <c r="AS9" s="101"/>
      <c r="AT9" s="101"/>
      <c r="AU9" s="101"/>
      <c r="AV9" s="101"/>
    </row>
    <row r="10" spans="1:48" x14ac:dyDescent="0.35">
      <c r="A10" s="31" t="s">
        <v>9</v>
      </c>
      <c r="B10" s="31" t="s">
        <v>10</v>
      </c>
      <c r="C10" s="31" t="s">
        <v>11</v>
      </c>
      <c r="D10" s="31" t="s">
        <v>7</v>
      </c>
      <c r="E10" s="31" t="s">
        <v>12</v>
      </c>
      <c r="F10" s="25" t="s">
        <v>13</v>
      </c>
      <c r="G10" s="25" t="s">
        <v>81</v>
      </c>
      <c r="H10" s="25" t="s">
        <v>244</v>
      </c>
      <c r="I10" s="31" t="s">
        <v>14</v>
      </c>
      <c r="J10" s="31" t="s">
        <v>15</v>
      </c>
      <c r="K10" s="31" t="s">
        <v>16</v>
      </c>
      <c r="L10" s="31" t="s">
        <v>3</v>
      </c>
      <c r="M10" s="31" t="s">
        <v>31</v>
      </c>
      <c r="N10" s="31" t="s">
        <v>30</v>
      </c>
      <c r="O10" s="31" t="s">
        <v>18</v>
      </c>
      <c r="P10" s="31" t="s">
        <v>17</v>
      </c>
      <c r="Q10" s="31" t="s">
        <v>20</v>
      </c>
      <c r="R10" s="31" t="s">
        <v>19</v>
      </c>
      <c r="S10" s="31" t="s">
        <v>21</v>
      </c>
      <c r="T10" s="31" t="s">
        <v>47</v>
      </c>
      <c r="U10" s="31" t="s">
        <v>24</v>
      </c>
      <c r="V10" s="31" t="s">
        <v>48</v>
      </c>
      <c r="W10" s="31" t="s">
        <v>4</v>
      </c>
      <c r="X10" s="31" t="s">
        <v>22</v>
      </c>
      <c r="Y10" s="31" t="s">
        <v>23</v>
      </c>
      <c r="Z10" s="31" t="s">
        <v>25</v>
      </c>
      <c r="AA10" s="31" t="s">
        <v>49</v>
      </c>
      <c r="AB10" s="31" t="s">
        <v>26</v>
      </c>
      <c r="AC10" s="31" t="s">
        <v>123</v>
      </c>
      <c r="AD10" s="31" t="s">
        <v>124</v>
      </c>
      <c r="AE10" s="31" t="s">
        <v>27</v>
      </c>
      <c r="AG10" s="101" t="s">
        <v>171</v>
      </c>
      <c r="AH10" s="101" t="s">
        <v>172</v>
      </c>
      <c r="AI10" s="101" t="s">
        <v>173</v>
      </c>
      <c r="AJ10" s="101" t="s">
        <v>174</v>
      </c>
      <c r="AK10" s="101" t="s">
        <v>175</v>
      </c>
      <c r="AL10" s="101" t="s">
        <v>176</v>
      </c>
      <c r="AM10" s="101" t="s">
        <v>177</v>
      </c>
      <c r="AN10" s="101" t="s">
        <v>178</v>
      </c>
      <c r="AO10" s="101" t="s">
        <v>179</v>
      </c>
      <c r="AP10" s="101" t="s">
        <v>180</v>
      </c>
      <c r="AR10" s="151" t="s">
        <v>247</v>
      </c>
      <c r="AS10" s="151" t="s">
        <v>248</v>
      </c>
      <c r="AT10" s="151" t="s">
        <v>253</v>
      </c>
      <c r="AU10" s="151" t="s">
        <v>251</v>
      </c>
      <c r="AV10" s="151" t="s">
        <v>245</v>
      </c>
    </row>
    <row r="11" spans="1:48" x14ac:dyDescent="0.35">
      <c r="D11" s="31" t="s">
        <v>6</v>
      </c>
      <c r="E11" s="31" t="s">
        <v>6</v>
      </c>
      <c r="F11" s="25"/>
      <c r="G11" s="25"/>
      <c r="H11" s="25"/>
      <c r="J11" s="203" t="s">
        <v>357</v>
      </c>
      <c r="K11" s="31" t="s">
        <v>28</v>
      </c>
      <c r="L11" s="27" t="s">
        <v>352</v>
      </c>
      <c r="M11" s="31" t="s">
        <v>5</v>
      </c>
      <c r="N11" s="31" t="s">
        <v>5</v>
      </c>
      <c r="O11" s="31" t="s">
        <v>5</v>
      </c>
      <c r="P11" s="31" t="s">
        <v>5</v>
      </c>
      <c r="Q11" s="31" t="s">
        <v>5</v>
      </c>
      <c r="R11" s="31" t="s">
        <v>5</v>
      </c>
      <c r="S11" s="31" t="s">
        <v>5</v>
      </c>
      <c r="T11" s="31" t="s">
        <v>5</v>
      </c>
      <c r="U11" s="31" t="s">
        <v>5</v>
      </c>
      <c r="V11" s="31" t="s">
        <v>5</v>
      </c>
      <c r="W11" s="31" t="s">
        <v>5</v>
      </c>
      <c r="X11" s="31" t="s">
        <v>5</v>
      </c>
      <c r="Y11" s="31" t="s">
        <v>5</v>
      </c>
      <c r="Z11" s="31" t="s">
        <v>5</v>
      </c>
      <c r="AA11" s="31" t="s">
        <v>5</v>
      </c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R11" s="151" t="s">
        <v>246</v>
      </c>
      <c r="AS11" s="151" t="s">
        <v>249</v>
      </c>
      <c r="AT11" s="151" t="s">
        <v>252</v>
      </c>
      <c r="AU11" s="151" t="s">
        <v>252</v>
      </c>
      <c r="AV11" s="151" t="s">
        <v>250</v>
      </c>
    </row>
    <row r="12" spans="1:48" x14ac:dyDescent="0.35">
      <c r="F12" s="25"/>
      <c r="G12" s="25"/>
      <c r="H12" s="25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R12" s="151"/>
      <c r="AS12" s="151"/>
      <c r="AT12" s="151"/>
      <c r="AU12" s="151"/>
      <c r="AV12" s="151"/>
    </row>
    <row r="13" spans="1:48" x14ac:dyDescent="0.35">
      <c r="A13" s="31" t="s">
        <v>186</v>
      </c>
      <c r="F13" s="25"/>
      <c r="G13" s="25"/>
      <c r="H13" s="25"/>
      <c r="I13" s="6">
        <f>AVERAGE(B73:B76)</f>
        <v>7.7050000000000001</v>
      </c>
      <c r="J13" s="12">
        <f>'Influent Results Master'!D60</f>
        <v>498</v>
      </c>
      <c r="K13" s="12">
        <f>'Influent Results Master'!F60</f>
        <v>98.424999999999997</v>
      </c>
      <c r="L13" s="6">
        <f>'Influent Results Master'!G60</f>
        <v>3.0750000000000002</v>
      </c>
      <c r="M13" s="125">
        <f>'Influent Results Master'!H60</f>
        <v>3.875</v>
      </c>
      <c r="N13" s="125">
        <f>'Influent Results Master'!I60</f>
        <v>1.825</v>
      </c>
      <c r="O13" s="12">
        <f>'Influent Results Master'!J60</f>
        <v>137</v>
      </c>
      <c r="P13" s="12">
        <f>'Influent Results Master'!K60</f>
        <v>11.5</v>
      </c>
      <c r="Q13" s="12">
        <f>'Influent Results Master'!L60</f>
        <v>63.497500000000002</v>
      </c>
      <c r="R13" s="12">
        <f>'Influent Results Master'!M60</f>
        <v>16.197500000000002</v>
      </c>
      <c r="S13" s="12">
        <f>'Influent Results Master'!N60</f>
        <v>22.785</v>
      </c>
      <c r="T13" s="12">
        <f>'Influent Results Master'!O60</f>
        <v>14.3</v>
      </c>
      <c r="U13" s="6">
        <f>'Influent Results Master'!P60</f>
        <v>2.0294999999999996</v>
      </c>
      <c r="V13" s="169">
        <f>'Influent Results Master'!Q60</f>
        <v>0.2</v>
      </c>
      <c r="W13" s="81">
        <f>'Influent Results Master'!R60</f>
        <v>0.02</v>
      </c>
      <c r="X13" s="81">
        <f>'Influent Results Master'!S60</f>
        <v>0.02</v>
      </c>
      <c r="Y13" s="81">
        <f>'Influent Results Master'!T60</f>
        <v>0.02</v>
      </c>
      <c r="Z13" s="81">
        <f>'Influent Results Master'!U60</f>
        <v>0.04</v>
      </c>
      <c r="AA13" s="25">
        <f>'Influent Results Master'!V60</f>
        <v>0.56574999999999998</v>
      </c>
      <c r="AC13" s="25"/>
      <c r="AD13" s="25"/>
      <c r="AE13" s="25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R13" s="50">
        <v>3.0999999999999999E-3</v>
      </c>
      <c r="AS13" s="50">
        <f>(3.84-0.36)</f>
        <v>3.48</v>
      </c>
      <c r="AT13" s="50"/>
      <c r="AU13" s="50">
        <f>AT7*AS13</f>
        <v>2.0573759999999996</v>
      </c>
      <c r="AV13" s="50"/>
    </row>
    <row r="14" spans="1:48" x14ac:dyDescent="0.35">
      <c r="F14" s="25"/>
      <c r="G14" s="25"/>
      <c r="H14" s="25"/>
      <c r="N14" s="27"/>
      <c r="O14" s="27"/>
      <c r="P14" s="27"/>
      <c r="Q14" s="27"/>
      <c r="R14" s="27"/>
      <c r="S14" s="26"/>
      <c r="T14" s="26"/>
      <c r="U14" s="26"/>
      <c r="V14" s="26"/>
      <c r="W14" s="27"/>
      <c r="X14" s="18"/>
      <c r="Y14" s="26"/>
      <c r="Z14" s="27"/>
      <c r="AC14" s="25"/>
      <c r="AD14" s="25"/>
      <c r="AE14" s="25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R14" s="50"/>
      <c r="AS14" s="50"/>
      <c r="AT14" s="50"/>
      <c r="AU14" s="50"/>
      <c r="AV14" s="50"/>
    </row>
    <row r="15" spans="1:48" x14ac:dyDescent="0.35">
      <c r="A15" s="31">
        <v>18</v>
      </c>
      <c r="B15" s="28">
        <v>43676</v>
      </c>
      <c r="C15" s="31">
        <v>1</v>
      </c>
      <c r="D15" s="31">
        <v>138</v>
      </c>
      <c r="E15" s="31">
        <v>138</v>
      </c>
      <c r="F15" s="25">
        <f>D15/136</f>
        <v>1.0147058823529411</v>
      </c>
      <c r="G15" s="25">
        <v>1.01</v>
      </c>
      <c r="H15" s="25"/>
      <c r="I15" s="31">
        <v>7.99</v>
      </c>
      <c r="J15" s="31">
        <v>10190</v>
      </c>
      <c r="K15" s="12">
        <v>117.2</v>
      </c>
      <c r="L15" s="31">
        <v>375</v>
      </c>
      <c r="M15" s="31">
        <v>310</v>
      </c>
      <c r="N15" s="27">
        <v>12</v>
      </c>
      <c r="O15" s="189">
        <v>6620</v>
      </c>
      <c r="P15" s="31">
        <v>96</v>
      </c>
      <c r="Q15" s="21">
        <v>475.7</v>
      </c>
      <c r="R15" s="21">
        <v>454.2</v>
      </c>
      <c r="S15" s="21">
        <v>1940</v>
      </c>
      <c r="T15" s="21">
        <v>24.36</v>
      </c>
      <c r="U15" s="21">
        <v>25.17</v>
      </c>
      <c r="V15" s="13">
        <v>0.2</v>
      </c>
      <c r="W15" s="25">
        <v>0.86899999999999999</v>
      </c>
      <c r="X15" s="81">
        <v>0.02</v>
      </c>
      <c r="Y15" s="85">
        <v>7.5999999999999998E-2</v>
      </c>
      <c r="Z15" s="81">
        <v>0.04</v>
      </c>
      <c r="AA15" s="6">
        <v>8.0739999999999998</v>
      </c>
      <c r="AC15" s="25">
        <f t="shared" ref="AC15:AC38" si="0">((K15/50)+(M15/35.45)+(N15/62)+(O15/48.03))</f>
        <v>149.11278183751136</v>
      </c>
      <c r="AD15" s="25">
        <f t="shared" ref="AD15" si="1">((Q15/20.04)+(R15/12.16)+(S15/22.99)+(U15/39.1))</f>
        <v>146.1177476561802</v>
      </c>
      <c r="AE15" s="25">
        <f t="shared" ref="AE15" si="2">ABS((AC15-AD15)/(AC15+AD15)*100)</f>
        <v>1.0144730582123489</v>
      </c>
      <c r="AG15" s="101">
        <v>7.99</v>
      </c>
      <c r="AH15" s="101">
        <v>-1.2221299999999999</v>
      </c>
      <c r="AI15" s="101">
        <v>0.57789999999999997</v>
      </c>
      <c r="AJ15" s="101">
        <v>4.6399999999999997E-2</v>
      </c>
      <c r="AK15" s="101">
        <v>-0.20100000000000001</v>
      </c>
      <c r="AL15" s="101">
        <v>-2.9876</v>
      </c>
      <c r="AM15" s="101">
        <v>0.98399999999999999</v>
      </c>
      <c r="AN15" s="101">
        <v>-1.4278</v>
      </c>
      <c r="AO15" s="101">
        <v>-0.32979999999999998</v>
      </c>
      <c r="AP15" s="101">
        <v>-0.19389999999999999</v>
      </c>
      <c r="AR15" s="50">
        <f>L15/1000</f>
        <v>0.375</v>
      </c>
      <c r="AS15" s="50">
        <f>AU15/($AT$7)</f>
        <v>3.3944479025710415</v>
      </c>
      <c r="AT15" s="50">
        <f>(AR15-$AR$13)*0.136</f>
        <v>5.0578400000000003E-2</v>
      </c>
      <c r="AU15" s="50">
        <f>AU13-AT15</f>
        <v>2.0067975999999996</v>
      </c>
      <c r="AV15" s="50">
        <f>AS15/AR15</f>
        <v>9.0518610735227778</v>
      </c>
    </row>
    <row r="16" spans="1:48" x14ac:dyDescent="0.35">
      <c r="A16" s="104">
        <v>18</v>
      </c>
      <c r="B16" s="28">
        <v>43677</v>
      </c>
      <c r="C16" s="31">
        <v>2</v>
      </c>
      <c r="D16" s="31">
        <v>140</v>
      </c>
      <c r="E16" s="31">
        <f>E15+D16</f>
        <v>278</v>
      </c>
      <c r="F16" s="25">
        <f t="shared" ref="F16:F36" si="3">D16/136</f>
        <v>1.0294117647058822</v>
      </c>
      <c r="G16" s="25">
        <f>G15+F16</f>
        <v>2.039411764705882</v>
      </c>
      <c r="H16" s="25"/>
      <c r="I16" s="25">
        <v>7.78</v>
      </c>
      <c r="J16" s="31">
        <v>3800</v>
      </c>
      <c r="K16" s="12">
        <v>55</v>
      </c>
      <c r="L16" s="31">
        <v>213</v>
      </c>
      <c r="M16" s="31">
        <v>10</v>
      </c>
      <c r="N16" s="27">
        <v>1.9</v>
      </c>
      <c r="O16" s="189">
        <v>2689</v>
      </c>
      <c r="P16" s="31">
        <v>16</v>
      </c>
      <c r="Q16" s="21">
        <v>521.5</v>
      </c>
      <c r="R16" s="21">
        <v>288.60000000000002</v>
      </c>
      <c r="S16" s="21">
        <v>283.5</v>
      </c>
      <c r="T16" s="21">
        <v>26.79</v>
      </c>
      <c r="U16" s="21">
        <v>12.58</v>
      </c>
      <c r="V16" s="13">
        <v>0.2</v>
      </c>
      <c r="W16" s="11">
        <v>0.25600000000000001</v>
      </c>
      <c r="X16" s="81">
        <v>0.02</v>
      </c>
      <c r="Y16" s="103">
        <v>6.8000000000000005E-2</v>
      </c>
      <c r="Z16" s="81">
        <v>0.04</v>
      </c>
      <c r="AA16" s="18">
        <v>8.5609999999999999</v>
      </c>
      <c r="AC16" s="25">
        <f t="shared" si="0"/>
        <v>57.398574790368528</v>
      </c>
      <c r="AD16" s="25">
        <f t="shared" ref="AD16:AD34" si="4">((Q16/20.04)+(R16/12.16)+(S16/22.99)+(U16/39.1))</f>
        <v>62.409694309680475</v>
      </c>
      <c r="AE16" s="25">
        <f t="shared" ref="AE16:AE61" si="5">ABS((AC16-AD16)/(AC16+AD16)*100)</f>
        <v>4.1826157384239329</v>
      </c>
      <c r="AG16" s="101">
        <v>7.78</v>
      </c>
      <c r="AH16" s="101">
        <v>6.3740699999999997</v>
      </c>
      <c r="AI16" s="101">
        <v>0.3155</v>
      </c>
      <c r="AJ16" s="101">
        <v>-2.8299999999999999E-2</v>
      </c>
      <c r="AK16" s="101">
        <v>-0.27739999999999998</v>
      </c>
      <c r="AL16" s="101">
        <v>-3.0731000000000002</v>
      </c>
      <c r="AM16" s="101">
        <v>0.2099</v>
      </c>
      <c r="AN16" s="101">
        <v>-1.6788000000000001</v>
      </c>
      <c r="AO16" s="101">
        <v>-0.51770000000000005</v>
      </c>
      <c r="AP16" s="101">
        <v>-0.7056</v>
      </c>
      <c r="AR16" s="50">
        <f t="shared" ref="AR16:AR35" si="6">L16/1000</f>
        <v>0.21299999999999999</v>
      </c>
      <c r="AS16" s="50">
        <f t="shared" ref="AS16:AS35" si="7">AU16/($AT$7)</f>
        <v>3.3461623815967521</v>
      </c>
      <c r="AT16" s="50">
        <f t="shared" ref="AT16:AT38" si="8">(AR16-$AR$13)*0.136</f>
        <v>2.8546400000000003E-2</v>
      </c>
      <c r="AU16" s="50">
        <f>AU15-AT16</f>
        <v>1.9782511999999997</v>
      </c>
      <c r="AV16" s="50">
        <f t="shared" ref="AV16:AV35" si="9">AS16/AR16</f>
        <v>15.709682542707757</v>
      </c>
    </row>
    <row r="17" spans="1:48" x14ac:dyDescent="0.35">
      <c r="A17" s="104">
        <v>18</v>
      </c>
      <c r="B17" s="28">
        <v>43678</v>
      </c>
      <c r="C17" s="31">
        <v>3</v>
      </c>
      <c r="D17" s="31">
        <v>138</v>
      </c>
      <c r="E17" s="31">
        <f t="shared" ref="E17:E36" si="10">E16+D17</f>
        <v>416</v>
      </c>
      <c r="F17" s="25">
        <f t="shared" si="3"/>
        <v>1.0147058823529411</v>
      </c>
      <c r="G17" s="25">
        <f t="shared" ref="G17:G20" si="11">G16+F17</f>
        <v>3.0541176470588232</v>
      </c>
      <c r="H17" s="25"/>
      <c r="I17" s="31">
        <v>7.72</v>
      </c>
      <c r="J17" s="31">
        <v>3160</v>
      </c>
      <c r="K17" s="12">
        <v>55.2</v>
      </c>
      <c r="L17" s="27">
        <v>259</v>
      </c>
      <c r="M17" s="18">
        <v>5</v>
      </c>
      <c r="N17" s="169">
        <v>0.5</v>
      </c>
      <c r="O17" s="189">
        <v>2174</v>
      </c>
      <c r="P17" s="31">
        <v>13</v>
      </c>
      <c r="Q17" s="21">
        <v>513.1</v>
      </c>
      <c r="R17" s="21">
        <v>260.8</v>
      </c>
      <c r="S17" s="21">
        <v>76.010000000000005</v>
      </c>
      <c r="T17" s="21">
        <v>27.81</v>
      </c>
      <c r="U17" s="18">
        <v>8.5549999999999997</v>
      </c>
      <c r="V17" s="13">
        <v>0.2</v>
      </c>
      <c r="W17" s="11">
        <v>0.14899999999999999</v>
      </c>
      <c r="X17" s="81">
        <v>0.02</v>
      </c>
      <c r="Y17" s="11">
        <v>0.11799999999999999</v>
      </c>
      <c r="Z17" s="81">
        <v>0.04</v>
      </c>
      <c r="AA17" s="18">
        <v>8.6210000000000004</v>
      </c>
      <c r="AC17" s="25">
        <f t="shared" si="0"/>
        <v>46.516485295689996</v>
      </c>
      <c r="AD17" s="25">
        <f t="shared" si="4"/>
        <v>50.576178885880267</v>
      </c>
      <c r="AE17" s="25">
        <f t="shared" si="5"/>
        <v>4.1812567658029778</v>
      </c>
      <c r="AG17" s="101">
        <v>7.72</v>
      </c>
      <c r="AH17" s="101">
        <v>6.3813599999999999</v>
      </c>
      <c r="AI17" s="101">
        <v>0.30109999999999998</v>
      </c>
      <c r="AJ17" s="101">
        <v>-6.9900000000000004E-2</v>
      </c>
      <c r="AK17" s="101">
        <v>-0.31929999999999997</v>
      </c>
      <c r="AL17" s="101">
        <v>-3.0053000000000001</v>
      </c>
      <c r="AM17" s="101">
        <v>0.14130000000000001</v>
      </c>
      <c r="AN17" s="101">
        <v>-1.4349000000000001</v>
      </c>
      <c r="AO17" s="101">
        <v>-0.69199999999999995</v>
      </c>
      <c r="AP17" s="101">
        <v>-0.75980000000000003</v>
      </c>
      <c r="AR17" s="50">
        <f t="shared" si="6"/>
        <v>0.25900000000000001</v>
      </c>
      <c r="AS17" s="50">
        <f t="shared" si="7"/>
        <v>3.2872949932341</v>
      </c>
      <c r="AT17" s="50">
        <f t="shared" si="8"/>
        <v>3.4802400000000004E-2</v>
      </c>
      <c r="AU17" s="50">
        <f t="shared" ref="AU17:AU35" si="12">AU16-AT17</f>
        <v>1.9434487999999996</v>
      </c>
      <c r="AV17" s="50">
        <f t="shared" si="9"/>
        <v>12.69225866113552</v>
      </c>
    </row>
    <row r="18" spans="1:48" x14ac:dyDescent="0.35">
      <c r="A18" s="104">
        <v>18</v>
      </c>
      <c r="B18" s="28">
        <v>43679</v>
      </c>
      <c r="C18" s="31">
        <v>4</v>
      </c>
      <c r="D18" s="31">
        <v>136</v>
      </c>
      <c r="E18" s="31">
        <f t="shared" si="10"/>
        <v>552</v>
      </c>
      <c r="F18" s="25">
        <f t="shared" si="3"/>
        <v>1</v>
      </c>
      <c r="G18" s="25">
        <f t="shared" si="11"/>
        <v>4.0541176470588232</v>
      </c>
      <c r="H18" s="25"/>
      <c r="I18" s="31">
        <v>7.7</v>
      </c>
      <c r="J18" s="31">
        <v>2990</v>
      </c>
      <c r="K18" s="12">
        <v>51.8</v>
      </c>
      <c r="L18" s="27">
        <v>259</v>
      </c>
      <c r="M18" s="18">
        <v>4.4000000000000004</v>
      </c>
      <c r="N18" s="169">
        <v>0.5</v>
      </c>
      <c r="O18" s="189">
        <v>2031</v>
      </c>
      <c r="P18" s="31">
        <v>9.8000000000000007</v>
      </c>
      <c r="Q18" s="21">
        <v>537.4</v>
      </c>
      <c r="R18" s="21">
        <v>211</v>
      </c>
      <c r="S18" s="21">
        <v>45.65</v>
      </c>
      <c r="T18" s="21">
        <v>26.74</v>
      </c>
      <c r="U18" s="18">
        <v>7.0170000000000003</v>
      </c>
      <c r="V18" s="13">
        <v>0.2</v>
      </c>
      <c r="W18" s="11">
        <v>0.154</v>
      </c>
      <c r="X18" s="81">
        <v>0.02</v>
      </c>
      <c r="Y18" s="11">
        <v>0.159</v>
      </c>
      <c r="Z18" s="81">
        <v>0.04</v>
      </c>
      <c r="AA18" s="18">
        <v>8.7379999999999995</v>
      </c>
      <c r="AC18" s="25">
        <f t="shared" si="0"/>
        <v>43.454254198353382</v>
      </c>
      <c r="AD18" s="25">
        <f t="shared" si="4"/>
        <v>46.333449798294964</v>
      </c>
      <c r="AE18" s="25">
        <f t="shared" si="5"/>
        <v>3.2066702586013989</v>
      </c>
      <c r="AG18" s="101">
        <v>7.7</v>
      </c>
      <c r="AH18" s="101">
        <v>5.4232399999999998</v>
      </c>
      <c r="AI18" s="101">
        <v>0.28970000000000001</v>
      </c>
      <c r="AJ18" s="101">
        <v>-5.5899999999999998E-2</v>
      </c>
      <c r="AK18" s="101">
        <v>-0.30530000000000002</v>
      </c>
      <c r="AL18" s="101">
        <v>-3.0097999999999998</v>
      </c>
      <c r="AM18" s="101">
        <v>5.8999999999999999E-3</v>
      </c>
      <c r="AN18" s="101">
        <v>-1.3310999999999999</v>
      </c>
      <c r="AO18" s="101">
        <v>-0.63539999999999996</v>
      </c>
      <c r="AP18" s="101">
        <v>-0.88380000000000003</v>
      </c>
      <c r="AR18" s="50">
        <f t="shared" si="6"/>
        <v>0.25900000000000001</v>
      </c>
      <c r="AS18" s="50">
        <f t="shared" si="7"/>
        <v>3.2284276048714475</v>
      </c>
      <c r="AT18" s="50">
        <f t="shared" si="8"/>
        <v>3.4802400000000004E-2</v>
      </c>
      <c r="AU18" s="50">
        <f t="shared" si="12"/>
        <v>1.9086463999999996</v>
      </c>
      <c r="AV18" s="50">
        <f t="shared" si="9"/>
        <v>12.464971447380107</v>
      </c>
    </row>
    <row r="19" spans="1:48" x14ac:dyDescent="0.35">
      <c r="A19" s="104">
        <v>18</v>
      </c>
      <c r="B19" s="28">
        <v>43680</v>
      </c>
      <c r="C19" s="31">
        <v>5</v>
      </c>
      <c r="D19" s="31">
        <v>137</v>
      </c>
      <c r="E19" s="31">
        <f t="shared" si="10"/>
        <v>689</v>
      </c>
      <c r="F19" s="25">
        <f t="shared" si="3"/>
        <v>1.0073529411764706</v>
      </c>
      <c r="G19" s="25">
        <f t="shared" si="11"/>
        <v>5.0614705882352933</v>
      </c>
      <c r="H19" s="25"/>
      <c r="I19" s="31">
        <v>7.77</v>
      </c>
      <c r="J19" s="31">
        <v>2790</v>
      </c>
      <c r="K19" s="12">
        <v>51.4</v>
      </c>
      <c r="L19" s="27">
        <v>305</v>
      </c>
      <c r="M19" s="18">
        <v>4.4000000000000004</v>
      </c>
      <c r="N19" s="169">
        <v>0.5</v>
      </c>
      <c r="O19" s="189">
        <v>1843</v>
      </c>
      <c r="P19" s="31">
        <v>8.6</v>
      </c>
      <c r="Q19" s="21">
        <v>528.79999999999995</v>
      </c>
      <c r="R19" s="21">
        <v>161.30000000000001</v>
      </c>
      <c r="S19" s="21">
        <v>36.11</v>
      </c>
      <c r="T19" s="21">
        <v>26.64</v>
      </c>
      <c r="U19" s="18">
        <v>7.1029999999999998</v>
      </c>
      <c r="V19" s="13">
        <v>0.2</v>
      </c>
      <c r="W19" s="11">
        <v>0.106</v>
      </c>
      <c r="X19" s="81">
        <v>0.02</v>
      </c>
      <c r="Y19" s="11">
        <v>0.19800000000000001</v>
      </c>
      <c r="Z19" s="81">
        <v>0.04</v>
      </c>
      <c r="AA19" s="18">
        <v>9.0920000000000005</v>
      </c>
      <c r="AC19" s="25">
        <f t="shared" si="0"/>
        <v>39.532033919361083</v>
      </c>
      <c r="AD19" s="25">
        <f t="shared" si="4"/>
        <v>41.404373490184348</v>
      </c>
      <c r="AE19" s="25">
        <f t="shared" si="5"/>
        <v>2.313346528156432</v>
      </c>
      <c r="AG19" s="101">
        <v>7.77</v>
      </c>
      <c r="AH19" s="101">
        <v>4.0938299999999996</v>
      </c>
      <c r="AI19" s="101">
        <v>0.36730000000000002</v>
      </c>
      <c r="AJ19" s="101">
        <v>-7.1499999999999994E-2</v>
      </c>
      <c r="AK19" s="101">
        <v>-0.32100000000000001</v>
      </c>
      <c r="AL19" s="101">
        <v>-3.0815000000000001</v>
      </c>
      <c r="AM19" s="101">
        <v>5.0799999999999998E-2</v>
      </c>
      <c r="AN19" s="101">
        <v>-1.1446000000000001</v>
      </c>
      <c r="AO19" s="101">
        <v>-0.77669999999999995</v>
      </c>
      <c r="AP19" s="101">
        <v>-0.91649999999999998</v>
      </c>
      <c r="AR19" s="50">
        <f t="shared" si="6"/>
        <v>0.30499999999999999</v>
      </c>
      <c r="AS19" s="50">
        <f t="shared" si="7"/>
        <v>3.1589783491204324</v>
      </c>
      <c r="AT19" s="50">
        <f t="shared" si="8"/>
        <v>4.1058400000000002E-2</v>
      </c>
      <c r="AU19" s="50">
        <f t="shared" si="12"/>
        <v>1.8675879999999996</v>
      </c>
      <c r="AV19" s="50">
        <f t="shared" si="9"/>
        <v>10.357306062689943</v>
      </c>
    </row>
    <row r="20" spans="1:48" x14ac:dyDescent="0.35">
      <c r="A20" s="104">
        <v>18</v>
      </c>
      <c r="B20" s="28">
        <v>43681</v>
      </c>
      <c r="C20" s="31">
        <v>6</v>
      </c>
      <c r="D20" s="31">
        <v>136</v>
      </c>
      <c r="E20" s="31">
        <f t="shared" si="10"/>
        <v>825</v>
      </c>
      <c r="F20" s="25">
        <f t="shared" si="3"/>
        <v>1</v>
      </c>
      <c r="G20" s="25">
        <f t="shared" si="11"/>
        <v>6.0614705882352933</v>
      </c>
      <c r="H20" s="25"/>
      <c r="I20" s="31">
        <v>7.78</v>
      </c>
      <c r="J20" s="31">
        <v>2630</v>
      </c>
      <c r="K20" s="12">
        <v>56.5</v>
      </c>
      <c r="L20" s="27">
        <v>438</v>
      </c>
      <c r="M20" s="18">
        <v>4.0999999999999996</v>
      </c>
      <c r="N20" s="169">
        <v>0.5</v>
      </c>
      <c r="O20" s="189">
        <v>1798</v>
      </c>
      <c r="P20" s="31">
        <v>8.1999999999999993</v>
      </c>
      <c r="Q20" s="21">
        <v>524.6</v>
      </c>
      <c r="R20" s="21">
        <v>109.6</v>
      </c>
      <c r="S20" s="21">
        <v>28.73</v>
      </c>
      <c r="T20" s="21">
        <v>27.79</v>
      </c>
      <c r="U20" s="18">
        <v>6.1719999999999997</v>
      </c>
      <c r="V20" s="13">
        <v>0.2</v>
      </c>
      <c r="W20" s="103">
        <v>3.3000000000000002E-2</v>
      </c>
      <c r="X20" s="81">
        <v>0.02</v>
      </c>
      <c r="Y20" s="11">
        <v>0.22800000000000001</v>
      </c>
      <c r="Z20" s="81">
        <v>0.04</v>
      </c>
      <c r="AA20" s="18">
        <v>8.9030000000000005</v>
      </c>
      <c r="AC20" s="25">
        <f t="shared" si="0"/>
        <v>38.688656867465625</v>
      </c>
      <c r="AD20" s="25">
        <f t="shared" si="4"/>
        <v>36.598328038924642</v>
      </c>
      <c r="AE20" s="25">
        <f t="shared" si="5"/>
        <v>2.7764809962041106</v>
      </c>
      <c r="AG20" s="101">
        <v>7.78</v>
      </c>
      <c r="AH20" s="101">
        <v>-3.6000899999999998</v>
      </c>
      <c r="AI20" s="101">
        <v>0.42049999999999998</v>
      </c>
      <c r="AJ20" s="101">
        <v>-6.3299999999999995E-2</v>
      </c>
      <c r="AK20" s="101">
        <v>-0.31280000000000002</v>
      </c>
      <c r="AL20" s="101">
        <v>-3.0457999999999998</v>
      </c>
      <c r="AM20" s="101">
        <v>-6.1000000000000004E-3</v>
      </c>
      <c r="AN20" s="101">
        <v>-1.0192000000000001</v>
      </c>
      <c r="AO20" s="101">
        <v>-1.2778</v>
      </c>
      <c r="AP20" s="101">
        <v>-1.0266</v>
      </c>
      <c r="AR20" s="50">
        <f t="shared" si="6"/>
        <v>0.438</v>
      </c>
      <c r="AS20" s="50">
        <f t="shared" si="7"/>
        <v>3.0589336941813259</v>
      </c>
      <c r="AT20" s="50">
        <f t="shared" si="8"/>
        <v>5.9146400000000009E-2</v>
      </c>
      <c r="AU20" s="50">
        <f t="shared" si="12"/>
        <v>1.8084415999999996</v>
      </c>
      <c r="AV20" s="50">
        <f t="shared" si="9"/>
        <v>6.9838668816925251</v>
      </c>
    </row>
    <row r="21" spans="1:48" x14ac:dyDescent="0.35">
      <c r="A21" s="104">
        <v>18</v>
      </c>
      <c r="B21" s="28">
        <v>43682</v>
      </c>
      <c r="C21" s="31">
        <v>7</v>
      </c>
      <c r="D21" s="31">
        <v>138</v>
      </c>
      <c r="E21" s="31">
        <f t="shared" si="10"/>
        <v>963</v>
      </c>
      <c r="F21" s="25">
        <f t="shared" si="3"/>
        <v>1.0147058823529411</v>
      </c>
      <c r="G21" s="25">
        <f>G20+F21</f>
        <v>7.0761764705882344</v>
      </c>
      <c r="H21" s="25"/>
      <c r="I21" s="31">
        <v>7.69</v>
      </c>
      <c r="J21" s="31">
        <v>2540</v>
      </c>
      <c r="K21" s="12">
        <v>58.2</v>
      </c>
      <c r="L21" s="27">
        <v>434</v>
      </c>
      <c r="M21" s="18">
        <v>4.2</v>
      </c>
      <c r="N21" s="169">
        <v>0.5</v>
      </c>
      <c r="O21" s="189">
        <v>1584</v>
      </c>
      <c r="P21" s="31">
        <v>8.4</v>
      </c>
      <c r="Q21" s="21">
        <v>542.1</v>
      </c>
      <c r="R21" s="21">
        <v>83.2</v>
      </c>
      <c r="S21" s="21">
        <v>26.57</v>
      </c>
      <c r="T21" s="21">
        <v>29.21</v>
      </c>
      <c r="U21" s="18">
        <v>5.73</v>
      </c>
      <c r="V21" s="13">
        <v>0.2</v>
      </c>
      <c r="W21" s="103">
        <v>2.1999999999999999E-2</v>
      </c>
      <c r="X21" s="81">
        <v>0.02</v>
      </c>
      <c r="Y21" s="11">
        <v>0.22900000000000001</v>
      </c>
      <c r="Z21" s="81">
        <v>0.04</v>
      </c>
      <c r="AA21" s="18">
        <v>9.0760000000000005</v>
      </c>
      <c r="AC21" s="25">
        <f t="shared" si="0"/>
        <v>34.269929126488037</v>
      </c>
      <c r="AD21" s="25">
        <f t="shared" si="4"/>
        <v>35.195270659536639</v>
      </c>
      <c r="AE21" s="25">
        <f t="shared" si="5"/>
        <v>1.3320936755367492</v>
      </c>
      <c r="AG21" s="101">
        <v>7.69</v>
      </c>
      <c r="AH21" s="101">
        <v>2.65557</v>
      </c>
      <c r="AI21" s="101">
        <v>0.38600000000000001</v>
      </c>
      <c r="AJ21" s="101">
        <v>-7.7499999999999999E-2</v>
      </c>
      <c r="AK21" s="101">
        <v>-0.32700000000000001</v>
      </c>
      <c r="AL21" s="101">
        <v>-2.9392</v>
      </c>
      <c r="AM21" s="101">
        <v>-0.2112</v>
      </c>
      <c r="AN21" s="101">
        <v>-1.0651999999999999</v>
      </c>
      <c r="AO21" s="101">
        <v>-1.4060999999999999</v>
      </c>
      <c r="AP21" s="101">
        <v>-1.1972</v>
      </c>
      <c r="AR21" s="50">
        <f t="shared" si="6"/>
        <v>0.434</v>
      </c>
      <c r="AS21" s="50">
        <f t="shared" si="7"/>
        <v>2.9598092016238153</v>
      </c>
      <c r="AT21" s="50">
        <f t="shared" si="8"/>
        <v>5.8602400000000006E-2</v>
      </c>
      <c r="AU21" s="50">
        <f t="shared" si="12"/>
        <v>1.7498391999999996</v>
      </c>
      <c r="AV21" s="50">
        <f t="shared" si="9"/>
        <v>6.8198368701009571</v>
      </c>
    </row>
    <row r="22" spans="1:48" x14ac:dyDescent="0.35">
      <c r="A22" s="104">
        <v>18</v>
      </c>
      <c r="B22" s="28">
        <v>43683</v>
      </c>
      <c r="C22" s="31">
        <v>8</v>
      </c>
      <c r="D22" s="31">
        <v>135</v>
      </c>
      <c r="E22" s="31">
        <f t="shared" si="10"/>
        <v>1098</v>
      </c>
      <c r="F22" s="25">
        <f t="shared" si="3"/>
        <v>0.99264705882352944</v>
      </c>
      <c r="G22" s="25">
        <f>F22+G21</f>
        <v>8.0688235294117643</v>
      </c>
      <c r="H22" s="25"/>
      <c r="I22" s="31">
        <v>7.77</v>
      </c>
      <c r="J22" s="31">
        <v>2500</v>
      </c>
      <c r="K22" s="12">
        <v>60.6</v>
      </c>
      <c r="L22" s="31">
        <v>426</v>
      </c>
      <c r="M22" s="18">
        <v>4</v>
      </c>
      <c r="N22" s="169">
        <v>0.5</v>
      </c>
      <c r="O22" s="189">
        <v>1606</v>
      </c>
      <c r="P22" s="31">
        <v>16</v>
      </c>
      <c r="Q22" s="21">
        <v>557.20000000000005</v>
      </c>
      <c r="R22" s="21">
        <v>68.14</v>
      </c>
      <c r="S22" s="21">
        <v>27.36</v>
      </c>
      <c r="T22" s="21">
        <v>30.45</v>
      </c>
      <c r="U22" s="18">
        <v>5.6630000000000003</v>
      </c>
      <c r="V22" s="13">
        <v>0.2</v>
      </c>
      <c r="W22" s="81">
        <v>0.02</v>
      </c>
      <c r="X22" s="81">
        <v>0.02</v>
      </c>
      <c r="Y22" s="11">
        <v>0.224</v>
      </c>
      <c r="Z22" s="81">
        <v>0.04</v>
      </c>
      <c r="AA22" s="18">
        <v>9.3610000000000007</v>
      </c>
      <c r="AC22" s="25">
        <f t="shared" si="0"/>
        <v>34.770334431470495</v>
      </c>
      <c r="AD22" s="25">
        <f t="shared" si="4"/>
        <v>34.742926042836402</v>
      </c>
      <c r="AE22" s="25">
        <f t="shared" si="5"/>
        <v>3.9429007425459156E-2</v>
      </c>
      <c r="AG22" s="101">
        <v>7.77</v>
      </c>
      <c r="AH22" s="101">
        <v>0.597576</v>
      </c>
      <c r="AI22" s="101">
        <v>0.49</v>
      </c>
      <c r="AJ22" s="101">
        <v>-0.06</v>
      </c>
      <c r="AK22" s="101">
        <v>-0.30959999999999999</v>
      </c>
      <c r="AL22" s="101">
        <v>-3.0041000000000002</v>
      </c>
      <c r="AM22" s="101">
        <v>-0.1013</v>
      </c>
      <c r="AN22" s="101">
        <v>-0.98160000000000003</v>
      </c>
      <c r="AO22" s="101">
        <v>-1.4383999999999999</v>
      </c>
      <c r="AP22" s="101">
        <v>-1.1913</v>
      </c>
      <c r="AR22" s="50">
        <f t="shared" si="6"/>
        <v>0.42599999999999999</v>
      </c>
      <c r="AS22" s="50">
        <f t="shared" si="7"/>
        <v>2.862525033829499</v>
      </c>
      <c r="AT22" s="50">
        <f t="shared" si="8"/>
        <v>5.7514400000000007E-2</v>
      </c>
      <c r="AU22" s="50">
        <f t="shared" si="12"/>
        <v>1.6923247999999995</v>
      </c>
      <c r="AV22" s="50">
        <f t="shared" si="9"/>
        <v>6.7195423329330959</v>
      </c>
    </row>
    <row r="23" spans="1:48" x14ac:dyDescent="0.35">
      <c r="A23" s="104">
        <v>18</v>
      </c>
      <c r="B23" s="28">
        <v>43684</v>
      </c>
      <c r="C23" s="31">
        <v>9</v>
      </c>
      <c r="D23" s="31">
        <v>136</v>
      </c>
      <c r="E23" s="31">
        <f t="shared" si="10"/>
        <v>1234</v>
      </c>
      <c r="F23" s="25">
        <f t="shared" si="3"/>
        <v>1</v>
      </c>
      <c r="G23" s="25">
        <f>G22+F23</f>
        <v>9.0688235294117643</v>
      </c>
      <c r="H23" s="25"/>
      <c r="I23" s="31">
        <v>7.89</v>
      </c>
      <c r="J23" s="31">
        <v>2460</v>
      </c>
      <c r="K23" s="12">
        <v>68.599999999999994</v>
      </c>
      <c r="L23" s="27">
        <v>447</v>
      </c>
      <c r="M23" s="18">
        <v>4</v>
      </c>
      <c r="N23" s="169">
        <v>0.5</v>
      </c>
      <c r="O23" s="189">
        <v>1580</v>
      </c>
      <c r="P23" s="31">
        <v>15</v>
      </c>
      <c r="Q23" s="21">
        <v>562.20000000000005</v>
      </c>
      <c r="R23" s="21">
        <v>48.27</v>
      </c>
      <c r="S23" s="21">
        <v>26.4</v>
      </c>
      <c r="T23" s="21">
        <v>30.27</v>
      </c>
      <c r="U23" s="18">
        <v>4.9180000000000001</v>
      </c>
      <c r="V23" s="13">
        <v>0.2</v>
      </c>
      <c r="W23" s="81">
        <v>0.02</v>
      </c>
      <c r="X23" s="81">
        <v>0.02</v>
      </c>
      <c r="Y23" s="11">
        <v>0.22900000000000001</v>
      </c>
      <c r="Z23" s="81">
        <v>0.04</v>
      </c>
      <c r="AA23" s="18">
        <v>9.5609999999999999</v>
      </c>
      <c r="AC23" s="25">
        <f t="shared" si="0"/>
        <v>34.389006095014118</v>
      </c>
      <c r="AD23" s="25">
        <f t="shared" si="4"/>
        <v>33.297569993992489</v>
      </c>
      <c r="AE23" s="25">
        <f t="shared" si="5"/>
        <v>1.612485317009402</v>
      </c>
      <c r="AG23" s="101">
        <v>7.89</v>
      </c>
      <c r="AH23" s="101">
        <v>-1.73742</v>
      </c>
      <c r="AI23" s="101">
        <v>0.66579999999999995</v>
      </c>
      <c r="AJ23" s="101">
        <v>-5.4899999999999997E-2</v>
      </c>
      <c r="AK23" s="101">
        <v>-0.3044</v>
      </c>
      <c r="AL23" s="101">
        <v>-3.0737999999999999</v>
      </c>
      <c r="AM23" s="101">
        <v>9.7000000000000003E-2</v>
      </c>
      <c r="AN23" s="101">
        <v>-0.79769999999999996</v>
      </c>
      <c r="AO23" s="101">
        <v>-1.4298</v>
      </c>
      <c r="AP23" s="101">
        <v>-1.1688000000000001</v>
      </c>
      <c r="AR23" s="50">
        <f t="shared" si="6"/>
        <v>0.44700000000000001</v>
      </c>
      <c r="AS23" s="50">
        <f t="shared" si="7"/>
        <v>2.760410013531799</v>
      </c>
      <c r="AT23" s="50">
        <f t="shared" si="8"/>
        <v>6.0370400000000005E-2</v>
      </c>
      <c r="AU23" s="50">
        <f t="shared" si="12"/>
        <v>1.6319543999999995</v>
      </c>
      <c r="AV23" s="50">
        <f t="shared" si="9"/>
        <v>6.1754139005185662</v>
      </c>
    </row>
    <row r="24" spans="1:48" x14ac:dyDescent="0.35">
      <c r="A24" s="104">
        <v>18</v>
      </c>
      <c r="B24" s="28">
        <v>43685</v>
      </c>
      <c r="C24" s="31">
        <v>10</v>
      </c>
      <c r="D24" s="31">
        <v>136</v>
      </c>
      <c r="E24" s="31">
        <f t="shared" si="10"/>
        <v>1370</v>
      </c>
      <c r="F24" s="25">
        <f t="shared" si="3"/>
        <v>1</v>
      </c>
      <c r="G24" s="25">
        <f t="shared" ref="G24:G36" si="13">G23+F24</f>
        <v>10.068823529411764</v>
      </c>
      <c r="H24" s="25"/>
      <c r="I24" s="31">
        <v>7.82</v>
      </c>
      <c r="J24" s="31">
        <v>2510</v>
      </c>
      <c r="K24" s="12">
        <v>74.599999999999994</v>
      </c>
      <c r="L24" s="27">
        <v>419</v>
      </c>
      <c r="M24" s="18">
        <v>3.9</v>
      </c>
      <c r="N24" s="169">
        <v>0.5</v>
      </c>
      <c r="O24" s="189">
        <v>1551</v>
      </c>
      <c r="P24" s="31">
        <v>15</v>
      </c>
      <c r="Q24" s="21">
        <v>604.79999999999995</v>
      </c>
      <c r="R24" s="21">
        <v>41.32</v>
      </c>
      <c r="S24" s="21">
        <v>25.93</v>
      </c>
      <c r="T24" s="21">
        <v>32.5</v>
      </c>
      <c r="U24" s="18">
        <v>4.8639999999999999</v>
      </c>
      <c r="V24" s="13">
        <v>0.2</v>
      </c>
      <c r="W24" s="81">
        <v>0.02</v>
      </c>
      <c r="X24" s="81">
        <v>0.02</v>
      </c>
      <c r="Y24" s="11">
        <v>0.23300000000000001</v>
      </c>
      <c r="Z24" s="81">
        <v>0.04</v>
      </c>
      <c r="AA24" s="18">
        <v>9.6059999999999999</v>
      </c>
      <c r="AC24" s="25">
        <f t="shared" si="0"/>
        <v>33.902395922187836</v>
      </c>
      <c r="AD24" s="25">
        <f t="shared" si="4"/>
        <v>34.829947699024743</v>
      </c>
      <c r="AE24" s="25">
        <f t="shared" si="5"/>
        <v>1.3495128028060439</v>
      </c>
      <c r="AG24" s="101">
        <v>7.82</v>
      </c>
      <c r="AH24" s="101">
        <v>2.7000199999999999</v>
      </c>
      <c r="AI24" s="101">
        <v>0.66930000000000001</v>
      </c>
      <c r="AJ24" s="101">
        <v>-3.6200000000000003E-2</v>
      </c>
      <c r="AK24" s="101">
        <v>-0.28570000000000001</v>
      </c>
      <c r="AL24" s="101">
        <v>-2.9672000000000001</v>
      </c>
      <c r="AM24" s="101">
        <v>4.0000000000000001E-3</v>
      </c>
      <c r="AN24" s="101">
        <v>-0.82120000000000004</v>
      </c>
      <c r="AO24" s="101">
        <v>-1.3942000000000001</v>
      </c>
      <c r="AP24" s="101">
        <v>-1.2653000000000001</v>
      </c>
      <c r="AR24" s="50">
        <f t="shared" si="6"/>
        <v>0.41899999999999998</v>
      </c>
      <c r="AS24" s="50">
        <f t="shared" si="7"/>
        <v>2.6647361299052768</v>
      </c>
      <c r="AT24" s="50">
        <f t="shared" si="8"/>
        <v>5.6562400000000006E-2</v>
      </c>
      <c r="AU24" s="50">
        <f t="shared" si="12"/>
        <v>1.5753919999999995</v>
      </c>
      <c r="AV24" s="50">
        <f t="shared" si="9"/>
        <v>6.3597521000125941</v>
      </c>
    </row>
    <row r="25" spans="1:48" x14ac:dyDescent="0.35">
      <c r="A25" s="104">
        <v>18</v>
      </c>
      <c r="B25" s="28">
        <v>43686</v>
      </c>
      <c r="C25" s="31">
        <v>11</v>
      </c>
      <c r="D25" s="31">
        <v>135</v>
      </c>
      <c r="E25" s="31">
        <f t="shared" si="10"/>
        <v>1505</v>
      </c>
      <c r="F25" s="25">
        <f t="shared" si="3"/>
        <v>0.99264705882352944</v>
      </c>
      <c r="G25" s="25">
        <f t="shared" si="13"/>
        <v>11.061470588235293</v>
      </c>
      <c r="H25" s="25"/>
      <c r="I25" s="31">
        <v>7.85</v>
      </c>
      <c r="J25" s="31">
        <v>2610</v>
      </c>
      <c r="K25" s="12">
        <v>80</v>
      </c>
      <c r="L25" s="27">
        <v>381</v>
      </c>
      <c r="M25" s="18">
        <v>3.9</v>
      </c>
      <c r="N25" s="169">
        <v>0.5</v>
      </c>
      <c r="O25" s="189">
        <v>1534</v>
      </c>
      <c r="P25" s="116">
        <v>21</v>
      </c>
      <c r="Q25" s="21">
        <v>570.9</v>
      </c>
      <c r="R25" s="21">
        <v>36.549999999999997</v>
      </c>
      <c r="S25" s="21">
        <v>25.15</v>
      </c>
      <c r="T25" s="21">
        <v>31.11</v>
      </c>
      <c r="U25" s="18">
        <v>4.7640000000000002</v>
      </c>
      <c r="V25" s="13">
        <v>0.2</v>
      </c>
      <c r="W25" s="81">
        <v>0.02</v>
      </c>
      <c r="X25" s="81">
        <v>0.02</v>
      </c>
      <c r="Y25" s="11">
        <v>0.26</v>
      </c>
      <c r="Z25" s="81">
        <v>0.04</v>
      </c>
      <c r="AA25" s="18">
        <v>9.82</v>
      </c>
      <c r="AC25" s="25">
        <f t="shared" si="0"/>
        <v>33.656450471427895</v>
      </c>
      <c r="AD25" s="25">
        <f t="shared" si="4"/>
        <v>32.709575856265197</v>
      </c>
      <c r="AE25" s="25">
        <f t="shared" si="5"/>
        <v>1.4267459836865186</v>
      </c>
      <c r="AG25" s="101">
        <v>7.85</v>
      </c>
      <c r="AH25" s="101">
        <v>-1.4342299999999999</v>
      </c>
      <c r="AI25" s="101">
        <v>0.70709999999999995</v>
      </c>
      <c r="AJ25" s="101">
        <v>-5.45E-2</v>
      </c>
      <c r="AK25" s="101">
        <v>-0.30399999999999999</v>
      </c>
      <c r="AL25" s="101">
        <v>-2.9639000000000002</v>
      </c>
      <c r="AM25" s="101">
        <v>5.21E-2</v>
      </c>
      <c r="AN25" s="101">
        <v>-0.70730000000000004</v>
      </c>
      <c r="AO25" s="101">
        <v>-1.4160999999999999</v>
      </c>
      <c r="AP25" s="101">
        <v>-1.2551000000000001</v>
      </c>
      <c r="AR25" s="50">
        <f t="shared" si="6"/>
        <v>0.38100000000000001</v>
      </c>
      <c r="AS25" s="50">
        <f t="shared" si="7"/>
        <v>2.5778037889039238</v>
      </c>
      <c r="AT25" s="50">
        <f t="shared" si="8"/>
        <v>5.1394400000000007E-2</v>
      </c>
      <c r="AU25" s="50">
        <f t="shared" si="12"/>
        <v>1.5239975999999995</v>
      </c>
      <c r="AV25" s="50">
        <f t="shared" si="9"/>
        <v>6.7658892097215846</v>
      </c>
    </row>
    <row r="26" spans="1:48" x14ac:dyDescent="0.35">
      <c r="A26" s="104">
        <v>18</v>
      </c>
      <c r="B26" s="28">
        <v>43687</v>
      </c>
      <c r="C26" s="31">
        <v>12</v>
      </c>
      <c r="D26" s="31">
        <v>132</v>
      </c>
      <c r="E26" s="31">
        <f t="shared" si="10"/>
        <v>1637</v>
      </c>
      <c r="F26" s="25">
        <f t="shared" si="3"/>
        <v>0.97058823529411764</v>
      </c>
      <c r="G26" s="25">
        <f t="shared" si="13"/>
        <v>12.032058823529411</v>
      </c>
      <c r="H26" s="25"/>
      <c r="I26" s="31">
        <v>7.75</v>
      </c>
      <c r="J26" s="31">
        <v>2410</v>
      </c>
      <c r="K26" s="12">
        <v>83.8</v>
      </c>
      <c r="L26" s="27">
        <v>340</v>
      </c>
      <c r="M26" s="18">
        <v>3.9</v>
      </c>
      <c r="N26" s="169">
        <v>0.5</v>
      </c>
      <c r="O26" s="189">
        <v>1548</v>
      </c>
      <c r="P26" s="116">
        <v>9.8000000000000007</v>
      </c>
      <c r="Q26" s="21">
        <v>607</v>
      </c>
      <c r="R26" s="21">
        <v>34.67</v>
      </c>
      <c r="S26" s="21">
        <v>25.93</v>
      </c>
      <c r="T26" s="21">
        <v>33.76</v>
      </c>
      <c r="U26" s="18">
        <v>4.8390000000000004</v>
      </c>
      <c r="V26" s="13">
        <v>0.2</v>
      </c>
      <c r="W26" s="81">
        <v>0.02</v>
      </c>
      <c r="X26" s="81">
        <v>0.02</v>
      </c>
      <c r="Y26" s="11">
        <v>0.26600000000000001</v>
      </c>
      <c r="Z26" s="81">
        <v>0.04</v>
      </c>
      <c r="AA26" s="18">
        <v>9.8390000000000004</v>
      </c>
      <c r="AC26" s="25">
        <f t="shared" si="0"/>
        <v>34.023934960289019</v>
      </c>
      <c r="AD26" s="25">
        <f t="shared" si="4"/>
        <v>34.392213751957243</v>
      </c>
      <c r="AE26" s="25">
        <f t="shared" si="5"/>
        <v>0.53829219942967022</v>
      </c>
      <c r="AG26" s="101">
        <v>7.75</v>
      </c>
      <c r="AH26" s="101">
        <v>1.49272</v>
      </c>
      <c r="AI26" s="101">
        <v>0.65529999999999999</v>
      </c>
      <c r="AJ26" s="101">
        <v>-3.3700000000000001E-2</v>
      </c>
      <c r="AK26" s="101">
        <v>-0.2833</v>
      </c>
      <c r="AL26" s="101">
        <v>-2.8424</v>
      </c>
      <c r="AM26" s="101">
        <v>-0.1016</v>
      </c>
      <c r="AN26" s="101">
        <v>-0.77869999999999995</v>
      </c>
      <c r="AO26" s="101">
        <v>-1.3925000000000001</v>
      </c>
      <c r="AP26" s="101">
        <v>-1.3569</v>
      </c>
      <c r="AR26" s="50">
        <f t="shared" si="6"/>
        <v>0.34</v>
      </c>
      <c r="AS26" s="50">
        <f t="shared" si="7"/>
        <v>2.5003031123139374</v>
      </c>
      <c r="AT26" s="50">
        <f t="shared" si="8"/>
        <v>4.5818400000000009E-2</v>
      </c>
      <c r="AU26" s="50">
        <f t="shared" si="12"/>
        <v>1.4781791999999996</v>
      </c>
      <c r="AV26" s="50">
        <f t="shared" si="9"/>
        <v>7.3538326832762859</v>
      </c>
    </row>
    <row r="27" spans="1:48" x14ac:dyDescent="0.35">
      <c r="A27" s="104">
        <v>18</v>
      </c>
      <c r="B27" s="28">
        <v>43688</v>
      </c>
      <c r="C27" s="31">
        <v>13</v>
      </c>
      <c r="D27" s="31">
        <v>135</v>
      </c>
      <c r="E27" s="31">
        <f t="shared" si="10"/>
        <v>1772</v>
      </c>
      <c r="F27" s="25">
        <f t="shared" si="3"/>
        <v>0.99264705882352944</v>
      </c>
      <c r="G27" s="25">
        <f t="shared" si="13"/>
        <v>13.02470588235294</v>
      </c>
      <c r="H27" s="25"/>
      <c r="I27" s="31">
        <v>7.76</v>
      </c>
      <c r="J27" s="31">
        <v>2470</v>
      </c>
      <c r="K27" s="12">
        <v>88.3</v>
      </c>
      <c r="L27" s="27">
        <v>304</v>
      </c>
      <c r="M27" s="18">
        <v>3.9</v>
      </c>
      <c r="N27" s="169">
        <v>0.5</v>
      </c>
      <c r="O27" s="189">
        <v>1527</v>
      </c>
      <c r="P27" s="31">
        <v>15</v>
      </c>
      <c r="Q27" s="21">
        <v>676</v>
      </c>
      <c r="R27" s="21">
        <v>35.74</v>
      </c>
      <c r="S27" s="21">
        <v>19.149999999999999</v>
      </c>
      <c r="T27" s="21">
        <v>35.76</v>
      </c>
      <c r="U27" s="18">
        <v>5.7009999999999996</v>
      </c>
      <c r="V27" s="13">
        <v>0.2</v>
      </c>
      <c r="W27" s="81">
        <v>0.02</v>
      </c>
      <c r="X27" s="81">
        <v>0.02</v>
      </c>
      <c r="Y27" s="11">
        <v>0.27900000000000003</v>
      </c>
      <c r="Z27" s="81">
        <v>0.04</v>
      </c>
      <c r="AA27" s="21">
        <v>10</v>
      </c>
      <c r="AC27" s="25">
        <f t="shared" si="0"/>
        <v>33.676708226997327</v>
      </c>
      <c r="AD27" s="25">
        <f t="shared" si="4"/>
        <v>37.650456150474589</v>
      </c>
      <c r="AE27" s="25">
        <f t="shared" si="5"/>
        <v>5.5711564565327611</v>
      </c>
      <c r="AG27" s="101">
        <v>7.76</v>
      </c>
      <c r="AH27" s="101">
        <v>9.0934600000000003</v>
      </c>
      <c r="AI27" s="101">
        <v>0.73350000000000004</v>
      </c>
      <c r="AJ27" s="101">
        <v>-7.9000000000000008E-3</v>
      </c>
      <c r="AK27" s="101">
        <v>-0.25750000000000001</v>
      </c>
      <c r="AL27" s="101">
        <v>-2.8365999999999998</v>
      </c>
      <c r="AM27" s="101">
        <v>1.9800000000000002E-2</v>
      </c>
      <c r="AN27" s="101">
        <v>-0.73240000000000005</v>
      </c>
      <c r="AO27" s="101">
        <v>-1.3446</v>
      </c>
      <c r="AP27" s="101">
        <v>-1.3137000000000001</v>
      </c>
      <c r="AR27" s="50">
        <f t="shared" si="6"/>
        <v>0.30399999999999999</v>
      </c>
      <c r="AS27" s="50">
        <f t="shared" si="7"/>
        <v>2.4310838971583215</v>
      </c>
      <c r="AT27" s="50">
        <f t="shared" si="8"/>
        <v>4.0922400000000005E-2</v>
      </c>
      <c r="AU27" s="50">
        <f t="shared" si="12"/>
        <v>1.4372567999999997</v>
      </c>
      <c r="AV27" s="50">
        <f t="shared" si="9"/>
        <v>7.9969865038102688</v>
      </c>
    </row>
    <row r="28" spans="1:48" x14ac:dyDescent="0.35">
      <c r="A28" s="104">
        <v>18</v>
      </c>
      <c r="B28" s="28">
        <v>43689</v>
      </c>
      <c r="C28" s="31">
        <v>14</v>
      </c>
      <c r="D28" s="31">
        <v>135</v>
      </c>
      <c r="E28" s="31">
        <f t="shared" si="10"/>
        <v>1907</v>
      </c>
      <c r="F28" s="25">
        <f t="shared" si="3"/>
        <v>0.99264705882352944</v>
      </c>
      <c r="G28" s="25">
        <f t="shared" si="13"/>
        <v>14.017352941176469</v>
      </c>
      <c r="H28" s="25"/>
      <c r="I28" s="31">
        <v>7.67</v>
      </c>
      <c r="J28" s="31">
        <v>2380</v>
      </c>
      <c r="K28" s="12">
        <v>89.2</v>
      </c>
      <c r="L28" s="27">
        <v>276</v>
      </c>
      <c r="M28" s="18">
        <v>3.9</v>
      </c>
      <c r="N28" s="169">
        <v>0.5</v>
      </c>
      <c r="O28" s="189">
        <v>1611</v>
      </c>
      <c r="P28" s="31">
        <v>11</v>
      </c>
      <c r="Q28" s="21">
        <v>678.5</v>
      </c>
      <c r="R28" s="21">
        <v>31.43</v>
      </c>
      <c r="S28" s="21">
        <v>26.82</v>
      </c>
      <c r="T28" s="21">
        <v>35.57</v>
      </c>
      <c r="U28" s="18">
        <v>5.0289999999999999</v>
      </c>
      <c r="V28" s="13">
        <v>0.2</v>
      </c>
      <c r="W28" s="81">
        <v>0.02</v>
      </c>
      <c r="X28" s="81">
        <v>0.02</v>
      </c>
      <c r="Y28" s="11">
        <v>0.29199999999999998</v>
      </c>
      <c r="Z28" s="81">
        <v>0.04</v>
      </c>
      <c r="AA28" s="18">
        <v>9.8610000000000007</v>
      </c>
      <c r="AC28" s="25">
        <f t="shared" si="0"/>
        <v>35.443615160164093</v>
      </c>
      <c r="AD28" s="25">
        <f t="shared" si="4"/>
        <v>37.737202473720203</v>
      </c>
      <c r="AE28" s="25">
        <f t="shared" si="5"/>
        <v>3.1341373159161448</v>
      </c>
      <c r="AG28" s="101">
        <v>7.67</v>
      </c>
      <c r="AH28" s="101">
        <v>5.4009600000000004</v>
      </c>
      <c r="AI28" s="101">
        <v>0.64380000000000004</v>
      </c>
      <c r="AJ28" s="101">
        <v>9.5999999999999992E-3</v>
      </c>
      <c r="AK28" s="101">
        <v>-0.2399</v>
      </c>
      <c r="AL28" s="101">
        <v>-2.7378</v>
      </c>
      <c r="AM28" s="101">
        <v>-0.21590000000000001</v>
      </c>
      <c r="AN28" s="101">
        <v>-0.80310000000000004</v>
      </c>
      <c r="AO28" s="101">
        <v>-1.3554999999999999</v>
      </c>
      <c r="AP28" s="101">
        <v>-1.4597</v>
      </c>
      <c r="AR28" s="50">
        <f t="shared" si="6"/>
        <v>0.27600000000000002</v>
      </c>
      <c r="AS28" s="50">
        <f t="shared" si="7"/>
        <v>2.3683058186738832</v>
      </c>
      <c r="AT28" s="50">
        <f t="shared" si="8"/>
        <v>3.7114400000000006E-2</v>
      </c>
      <c r="AU28" s="50">
        <f t="shared" si="12"/>
        <v>1.4001423999999996</v>
      </c>
      <c r="AV28" s="50">
        <f t="shared" si="9"/>
        <v>8.5808181836010249</v>
      </c>
    </row>
    <row r="29" spans="1:48" x14ac:dyDescent="0.35">
      <c r="A29" s="104">
        <v>18</v>
      </c>
      <c r="B29" s="28">
        <v>43690</v>
      </c>
      <c r="C29" s="31">
        <v>15</v>
      </c>
      <c r="D29" s="31">
        <v>133</v>
      </c>
      <c r="E29" s="31">
        <f t="shared" si="10"/>
        <v>2040</v>
      </c>
      <c r="F29" s="25">
        <f t="shared" si="3"/>
        <v>0.9779411764705882</v>
      </c>
      <c r="G29" s="25">
        <f t="shared" si="13"/>
        <v>14.995294117647058</v>
      </c>
      <c r="H29" s="25"/>
      <c r="I29" s="31">
        <v>7.61</v>
      </c>
      <c r="J29" s="31">
        <v>2260</v>
      </c>
      <c r="K29" s="12">
        <v>90.7</v>
      </c>
      <c r="L29" s="27">
        <v>241</v>
      </c>
      <c r="M29" s="18">
        <v>3.8</v>
      </c>
      <c r="N29" s="11">
        <v>0.6</v>
      </c>
      <c r="O29" s="31">
        <v>1450</v>
      </c>
      <c r="P29" s="31">
        <v>19</v>
      </c>
      <c r="Q29" s="21">
        <v>664.6</v>
      </c>
      <c r="R29" s="21">
        <v>28.7</v>
      </c>
      <c r="S29" s="21">
        <v>25.56</v>
      </c>
      <c r="T29" s="21">
        <v>34.130000000000003</v>
      </c>
      <c r="U29" s="18">
        <v>4.7089999999999996</v>
      </c>
      <c r="V29" s="13">
        <v>0.2</v>
      </c>
      <c r="W29" s="81">
        <v>0.02</v>
      </c>
      <c r="X29" s="81">
        <v>0.02</v>
      </c>
      <c r="Y29" s="11">
        <v>0.308</v>
      </c>
      <c r="Z29" s="81">
        <v>0.04</v>
      </c>
      <c r="AA29" s="18">
        <v>9.6289999999999996</v>
      </c>
      <c r="AC29" s="25">
        <f t="shared" si="0"/>
        <v>32.120335567015843</v>
      </c>
      <c r="AD29" s="25">
        <f t="shared" si="4"/>
        <v>36.756092539517674</v>
      </c>
      <c r="AE29" s="25">
        <f t="shared" si="5"/>
        <v>6.7305420735981656</v>
      </c>
      <c r="AG29" s="101">
        <v>7.61</v>
      </c>
      <c r="AH29" s="101">
        <v>10.7515</v>
      </c>
      <c r="AI29" s="101">
        <v>0.60329999999999995</v>
      </c>
      <c r="AJ29" s="101">
        <v>-2.5499999999999998E-2</v>
      </c>
      <c r="AK29" s="101">
        <v>-0.27510000000000001</v>
      </c>
      <c r="AL29" s="101">
        <v>-2.6678999999999999</v>
      </c>
      <c r="AM29" s="101">
        <v>-0.32919999999999999</v>
      </c>
      <c r="AN29" s="101">
        <v>-0.81159999999999999</v>
      </c>
      <c r="AO29" s="101">
        <v>-1.3399000000000001</v>
      </c>
      <c r="AP29" s="101">
        <v>-1.5325</v>
      </c>
      <c r="AR29" s="50">
        <f t="shared" si="6"/>
        <v>0.24099999999999999</v>
      </c>
      <c r="AS29" s="50">
        <f t="shared" si="7"/>
        <v>2.3135791610284162</v>
      </c>
      <c r="AT29" s="50">
        <f t="shared" si="8"/>
        <v>3.2354400000000005E-2</v>
      </c>
      <c r="AU29" s="50">
        <f t="shared" si="12"/>
        <v>1.3677879999999996</v>
      </c>
      <c r="AV29" s="50">
        <f t="shared" si="9"/>
        <v>9.5999135312382418</v>
      </c>
    </row>
    <row r="30" spans="1:48" x14ac:dyDescent="0.35">
      <c r="A30" s="104">
        <v>18</v>
      </c>
      <c r="B30" s="28">
        <v>43691</v>
      </c>
      <c r="C30" s="31">
        <v>16</v>
      </c>
      <c r="D30" s="31">
        <v>134</v>
      </c>
      <c r="E30" s="31">
        <f t="shared" si="10"/>
        <v>2174</v>
      </c>
      <c r="F30" s="25">
        <f t="shared" si="3"/>
        <v>0.98529411764705888</v>
      </c>
      <c r="G30" s="25">
        <f t="shared" si="13"/>
        <v>15.980588235294118</v>
      </c>
      <c r="H30" s="25"/>
      <c r="I30" s="31">
        <v>7.68</v>
      </c>
      <c r="J30" s="31">
        <v>2370</v>
      </c>
      <c r="K30" s="12">
        <v>95.6</v>
      </c>
      <c r="L30" s="27">
        <v>222</v>
      </c>
      <c r="M30" s="18">
        <v>3.8</v>
      </c>
      <c r="N30" s="11">
        <v>0.64</v>
      </c>
      <c r="O30" s="31">
        <v>1405</v>
      </c>
      <c r="P30" s="31">
        <v>10</v>
      </c>
      <c r="Q30" s="21">
        <v>639.70000000000005</v>
      </c>
      <c r="R30" s="21">
        <v>28.13</v>
      </c>
      <c r="S30" s="21">
        <v>25.54</v>
      </c>
      <c r="T30" s="21">
        <v>33.32</v>
      </c>
      <c r="U30" s="18">
        <v>4.6779999999999999</v>
      </c>
      <c r="V30" s="13">
        <v>0.2</v>
      </c>
      <c r="W30" s="81">
        <v>0.02</v>
      </c>
      <c r="X30" s="81">
        <v>0.02</v>
      </c>
      <c r="Y30" s="11">
        <v>0.317</v>
      </c>
      <c r="Z30" s="81">
        <v>0.04</v>
      </c>
      <c r="AA30" s="18">
        <v>9.4570000000000007</v>
      </c>
      <c r="AC30" s="25">
        <f t="shared" si="0"/>
        <v>31.282066299823967</v>
      </c>
      <c r="AD30" s="25">
        <f t="shared" si="4"/>
        <v>35.465039787129442</v>
      </c>
      <c r="AE30" s="25">
        <f t="shared" si="5"/>
        <v>6.2668986455475579</v>
      </c>
      <c r="AG30" s="101">
        <v>7.68</v>
      </c>
      <c r="AH30" s="101">
        <v>10.0182</v>
      </c>
      <c r="AI30" s="101">
        <v>0.68369999999999997</v>
      </c>
      <c r="AJ30" s="101">
        <v>-4.5100000000000001E-2</v>
      </c>
      <c r="AK30" s="101">
        <v>-0.29470000000000002</v>
      </c>
      <c r="AL30" s="101">
        <v>-2.7151000000000001</v>
      </c>
      <c r="AM30" s="101">
        <v>-0.1605</v>
      </c>
      <c r="AN30" s="101">
        <v>-0.70030000000000003</v>
      </c>
      <c r="AO30" s="101">
        <v>-1.349</v>
      </c>
      <c r="AP30" s="101">
        <v>-1.4441999999999999</v>
      </c>
      <c r="AR30" s="50">
        <f t="shared" si="6"/>
        <v>0.222</v>
      </c>
      <c r="AS30" s="50">
        <f t="shared" si="7"/>
        <v>2.2632232746955339</v>
      </c>
      <c r="AT30" s="50">
        <f t="shared" si="8"/>
        <v>2.9770400000000002E-2</v>
      </c>
      <c r="AU30" s="50">
        <f t="shared" si="12"/>
        <v>1.3380175999999995</v>
      </c>
      <c r="AV30" s="50">
        <f t="shared" si="9"/>
        <v>10.194699435565468</v>
      </c>
    </row>
    <row r="31" spans="1:48" x14ac:dyDescent="0.35">
      <c r="A31" s="104">
        <v>18</v>
      </c>
      <c r="B31" s="28">
        <v>43692</v>
      </c>
      <c r="C31" s="31">
        <v>17</v>
      </c>
      <c r="D31" s="31">
        <v>135</v>
      </c>
      <c r="E31" s="31">
        <f t="shared" si="10"/>
        <v>2309</v>
      </c>
      <c r="F31" s="25">
        <f t="shared" si="3"/>
        <v>0.99264705882352944</v>
      </c>
      <c r="G31" s="25">
        <f t="shared" si="13"/>
        <v>16.973235294117647</v>
      </c>
      <c r="H31" s="25"/>
      <c r="I31" s="31">
        <v>7.73</v>
      </c>
      <c r="J31" s="31">
        <v>2350</v>
      </c>
      <c r="K31" s="12">
        <v>96.8</v>
      </c>
      <c r="L31" s="27">
        <v>203</v>
      </c>
      <c r="M31" s="18">
        <v>3.8</v>
      </c>
      <c r="N31" s="11">
        <v>0.7</v>
      </c>
      <c r="O31" s="31">
        <v>1415</v>
      </c>
      <c r="P31" s="31">
        <v>25</v>
      </c>
      <c r="Q31" s="21">
        <v>661.6</v>
      </c>
      <c r="R31" s="21">
        <v>26.67</v>
      </c>
      <c r="S31" s="21">
        <v>25.35</v>
      </c>
      <c r="T31" s="21">
        <v>33.61</v>
      </c>
      <c r="U31" s="18">
        <v>4.7960000000000003</v>
      </c>
      <c r="V31" s="13">
        <v>0.2</v>
      </c>
      <c r="W31" s="81">
        <v>0.02</v>
      </c>
      <c r="X31" s="81">
        <v>0.02</v>
      </c>
      <c r="Y31" s="11">
        <v>0.35299999999999998</v>
      </c>
      <c r="Z31" s="81">
        <v>0.04</v>
      </c>
      <c r="AA31" s="18">
        <v>9.9160000000000004</v>
      </c>
      <c r="AC31" s="25">
        <f t="shared" si="0"/>
        <v>31.515237248088827</v>
      </c>
      <c r="AD31" s="25">
        <f t="shared" si="4"/>
        <v>36.432541808916618</v>
      </c>
      <c r="AE31" s="25">
        <f t="shared" si="5"/>
        <v>7.2368878410321118</v>
      </c>
      <c r="AG31" s="101">
        <v>7.73</v>
      </c>
      <c r="AH31" s="101">
        <v>11.5037</v>
      </c>
      <c r="AI31" s="101">
        <v>0.74950000000000006</v>
      </c>
      <c r="AJ31" s="101">
        <v>-3.3700000000000001E-2</v>
      </c>
      <c r="AK31" s="101">
        <v>-0.28320000000000001</v>
      </c>
      <c r="AL31" s="101">
        <v>-2.7633999999999999</v>
      </c>
      <c r="AM31" s="101">
        <v>-6.6900000000000001E-2</v>
      </c>
      <c r="AN31" s="101">
        <v>-0.60399999999999998</v>
      </c>
      <c r="AO31" s="101">
        <v>-1.3369</v>
      </c>
      <c r="AP31" s="101">
        <v>-1.4164000000000001</v>
      </c>
      <c r="AR31" s="50">
        <f t="shared" si="6"/>
        <v>0.20300000000000001</v>
      </c>
      <c r="AS31" s="50">
        <f t="shared" si="7"/>
        <v>2.2172381596752362</v>
      </c>
      <c r="AT31" s="50">
        <f t="shared" si="8"/>
        <v>2.7186400000000006E-2</v>
      </c>
      <c r="AU31" s="50">
        <f t="shared" si="12"/>
        <v>1.3108311999999995</v>
      </c>
      <c r="AV31" s="50">
        <f t="shared" si="9"/>
        <v>10.922355466380473</v>
      </c>
    </row>
    <row r="32" spans="1:48" x14ac:dyDescent="0.35">
      <c r="A32" s="104">
        <v>18</v>
      </c>
      <c r="B32" s="28">
        <v>43693</v>
      </c>
      <c r="C32" s="31">
        <v>18</v>
      </c>
      <c r="D32" s="31">
        <v>134</v>
      </c>
      <c r="E32" s="31">
        <f t="shared" si="10"/>
        <v>2443</v>
      </c>
      <c r="F32" s="25">
        <f t="shared" si="3"/>
        <v>0.98529411764705888</v>
      </c>
      <c r="G32" s="25">
        <f t="shared" si="13"/>
        <v>17.958529411764705</v>
      </c>
      <c r="H32" s="25"/>
      <c r="I32" s="31">
        <v>7.72</v>
      </c>
      <c r="J32" s="31">
        <v>2370</v>
      </c>
      <c r="K32" s="12">
        <v>97.2</v>
      </c>
      <c r="L32" s="27">
        <v>164</v>
      </c>
      <c r="M32" s="18">
        <v>3.9</v>
      </c>
      <c r="N32" s="11">
        <v>0.72</v>
      </c>
      <c r="O32" s="31">
        <v>1474</v>
      </c>
      <c r="P32" s="31">
        <v>11</v>
      </c>
      <c r="Q32" s="21">
        <v>634</v>
      </c>
      <c r="R32" s="21">
        <v>24.62</v>
      </c>
      <c r="S32" s="21">
        <v>24.08</v>
      </c>
      <c r="T32" s="21">
        <v>32.270000000000003</v>
      </c>
      <c r="U32" s="18">
        <v>4.5640000000000001</v>
      </c>
      <c r="V32" s="13">
        <v>0.2</v>
      </c>
      <c r="W32" s="81">
        <v>0.02</v>
      </c>
      <c r="X32" s="81">
        <v>0.02</v>
      </c>
      <c r="Y32" s="11">
        <v>0.34499999999999997</v>
      </c>
      <c r="Z32" s="81">
        <v>0.04</v>
      </c>
      <c r="AA32" s="18">
        <v>9.202</v>
      </c>
      <c r="AC32" s="25">
        <f t="shared" si="0"/>
        <v>32.754779620548398</v>
      </c>
      <c r="AD32" s="25">
        <f t="shared" si="4"/>
        <v>34.825535860474083</v>
      </c>
      <c r="AE32" s="25">
        <f t="shared" si="5"/>
        <v>3.0641411262828209</v>
      </c>
      <c r="AG32" s="101">
        <v>7.72</v>
      </c>
      <c r="AH32" s="101">
        <v>5.2612300000000003</v>
      </c>
      <c r="AI32" s="101">
        <v>0.71830000000000005</v>
      </c>
      <c r="AJ32" s="101">
        <v>-3.2099999999999997E-2</v>
      </c>
      <c r="AK32" s="101">
        <v>-0.28160000000000002</v>
      </c>
      <c r="AL32" s="101">
        <v>-2.7475000000000001</v>
      </c>
      <c r="AM32" s="101">
        <v>-0.14419999999999999</v>
      </c>
      <c r="AN32" s="101">
        <v>-0.62319999999999998</v>
      </c>
      <c r="AO32" s="101">
        <v>-1.363</v>
      </c>
      <c r="AP32" s="101">
        <v>-1.4623999999999999</v>
      </c>
      <c r="AR32" s="50">
        <f t="shared" si="6"/>
        <v>0.16400000000000001</v>
      </c>
      <c r="AS32" s="50">
        <f t="shared" si="7"/>
        <v>2.1802246278755071</v>
      </c>
      <c r="AT32" s="50">
        <f t="shared" si="8"/>
        <v>2.1882400000000003E-2</v>
      </c>
      <c r="AU32" s="50">
        <f t="shared" si="12"/>
        <v>1.2889487999999996</v>
      </c>
      <c r="AV32" s="50">
        <f t="shared" si="9"/>
        <v>13.294052608996994</v>
      </c>
    </row>
    <row r="33" spans="1:48" x14ac:dyDescent="0.35">
      <c r="A33" s="104">
        <v>18</v>
      </c>
      <c r="B33" s="28">
        <v>43694</v>
      </c>
      <c r="C33" s="31">
        <v>19</v>
      </c>
      <c r="D33" s="31">
        <v>134</v>
      </c>
      <c r="E33" s="31">
        <f t="shared" si="10"/>
        <v>2577</v>
      </c>
      <c r="F33" s="25">
        <f t="shared" si="3"/>
        <v>0.98529411764705888</v>
      </c>
      <c r="G33" s="25">
        <f t="shared" si="13"/>
        <v>18.943823529411763</v>
      </c>
      <c r="H33" s="25"/>
      <c r="I33" s="31">
        <v>7.65</v>
      </c>
      <c r="J33" s="31">
        <v>2340</v>
      </c>
      <c r="K33" s="12">
        <v>98.6</v>
      </c>
      <c r="L33" s="27">
        <v>156</v>
      </c>
      <c r="M33" s="18">
        <v>3.8</v>
      </c>
      <c r="N33" s="11">
        <v>0.8</v>
      </c>
      <c r="O33" s="31">
        <v>1482</v>
      </c>
      <c r="P33" s="31">
        <v>11</v>
      </c>
      <c r="Q33" s="12">
        <v>677.4</v>
      </c>
      <c r="R33" s="12">
        <v>25.16</v>
      </c>
      <c r="S33" s="21">
        <v>24.92</v>
      </c>
      <c r="T33" s="21">
        <v>32.99</v>
      </c>
      <c r="U33" s="18">
        <v>4.4850000000000003</v>
      </c>
      <c r="V33" s="13">
        <v>0.2</v>
      </c>
      <c r="W33" s="81">
        <v>0.02</v>
      </c>
      <c r="X33" s="81">
        <v>0.02</v>
      </c>
      <c r="Y33" s="11">
        <v>0.35</v>
      </c>
      <c r="Z33" s="81">
        <v>0.04</v>
      </c>
      <c r="AA33" s="18">
        <v>9.2989999999999995</v>
      </c>
      <c r="AC33" s="25">
        <f t="shared" si="0"/>
        <v>32.947811633721464</v>
      </c>
      <c r="AD33" s="25">
        <f t="shared" si="4"/>
        <v>37.070129582581892</v>
      </c>
      <c r="AE33" s="25">
        <f t="shared" si="5"/>
        <v>5.8875166525184328</v>
      </c>
      <c r="AG33" s="101">
        <v>7.65</v>
      </c>
      <c r="AH33" s="101">
        <v>9.4993099999999995</v>
      </c>
      <c r="AI33" s="101">
        <v>0.6825</v>
      </c>
      <c r="AJ33" s="101">
        <v>-1.2999999999999999E-2</v>
      </c>
      <c r="AK33" s="101">
        <v>-0.26250000000000001</v>
      </c>
      <c r="AL33" s="101">
        <v>-2.6728999999999998</v>
      </c>
      <c r="AM33" s="101">
        <v>-0.23580000000000001</v>
      </c>
      <c r="AN33" s="101">
        <v>-0.68530000000000002</v>
      </c>
      <c r="AO33" s="101">
        <v>-1.3371999999999999</v>
      </c>
      <c r="AP33" s="101">
        <v>-1.5183</v>
      </c>
      <c r="AR33" s="50">
        <f t="shared" si="6"/>
        <v>0.156</v>
      </c>
      <c r="AS33" s="50">
        <f t="shared" si="7"/>
        <v>2.1450514208389713</v>
      </c>
      <c r="AT33" s="50">
        <f t="shared" si="8"/>
        <v>2.0794400000000001E-2</v>
      </c>
      <c r="AU33" s="50">
        <f t="shared" si="12"/>
        <v>1.2681543999999996</v>
      </c>
      <c r="AV33" s="50">
        <f t="shared" si="9"/>
        <v>13.750329620762637</v>
      </c>
    </row>
    <row r="34" spans="1:48" x14ac:dyDescent="0.35">
      <c r="A34" s="104">
        <v>18</v>
      </c>
      <c r="B34" s="28">
        <v>43695</v>
      </c>
      <c r="C34" s="31">
        <v>20</v>
      </c>
      <c r="D34" s="31">
        <v>136</v>
      </c>
      <c r="E34" s="31">
        <f t="shared" si="10"/>
        <v>2713</v>
      </c>
      <c r="F34" s="25">
        <f t="shared" si="3"/>
        <v>1</v>
      </c>
      <c r="G34" s="25">
        <f t="shared" si="13"/>
        <v>19.943823529411763</v>
      </c>
      <c r="H34" s="25"/>
      <c r="I34" s="31">
        <v>7.61</v>
      </c>
      <c r="J34" s="31">
        <v>2386</v>
      </c>
      <c r="K34" s="12">
        <v>100.2</v>
      </c>
      <c r="L34" s="27">
        <v>145</v>
      </c>
      <c r="M34" s="18">
        <v>3.8</v>
      </c>
      <c r="N34" s="11">
        <v>0.81</v>
      </c>
      <c r="O34" s="31">
        <v>1468</v>
      </c>
      <c r="P34" s="31">
        <v>11</v>
      </c>
      <c r="Q34" s="12">
        <v>590.6</v>
      </c>
      <c r="R34" s="12">
        <v>21.61</v>
      </c>
      <c r="S34" s="21">
        <v>24.97</v>
      </c>
      <c r="T34" s="21">
        <v>29.78</v>
      </c>
      <c r="U34" s="18">
        <v>4.2809999999999997</v>
      </c>
      <c r="V34" s="81">
        <v>0.2</v>
      </c>
      <c r="W34" s="81">
        <v>0.02</v>
      </c>
      <c r="X34" s="81">
        <v>0.02</v>
      </c>
      <c r="Y34" s="11">
        <v>0.36</v>
      </c>
      <c r="Z34" s="81">
        <v>0.04</v>
      </c>
      <c r="AA34" s="18">
        <v>9.5630000000000006</v>
      </c>
      <c r="AC34" s="25">
        <f t="shared" si="0"/>
        <v>32.688488435182911</v>
      </c>
      <c r="AD34" s="25">
        <f t="shared" si="4"/>
        <v>32.443808935088747</v>
      </c>
      <c r="AE34" s="25">
        <f t="shared" si="5"/>
        <v>0.3756653917843284</v>
      </c>
      <c r="AF34" s="127"/>
      <c r="AG34" s="101">
        <v>7.61</v>
      </c>
      <c r="AH34" s="101">
        <v>0.14600099999999999</v>
      </c>
      <c r="AI34" s="101">
        <v>0.59709999999999996</v>
      </c>
      <c r="AJ34" s="101">
        <v>-5.1999999999999998E-2</v>
      </c>
      <c r="AK34" s="101">
        <v>-0.30159999999999998</v>
      </c>
      <c r="AL34" s="101">
        <v>-2.6160999999999999</v>
      </c>
      <c r="AM34" s="101">
        <v>-0.41149999999999998</v>
      </c>
      <c r="AN34" s="101">
        <v>-0.69120000000000004</v>
      </c>
      <c r="AO34" s="101">
        <v>-1.3915999999999999</v>
      </c>
      <c r="AP34" s="101">
        <v>-1.6086</v>
      </c>
      <c r="AR34" s="50">
        <f t="shared" si="6"/>
        <v>0.14499999999999999</v>
      </c>
      <c r="AS34" s="50">
        <f t="shared" si="7"/>
        <v>2.112408660351826</v>
      </c>
      <c r="AT34" s="50">
        <f t="shared" si="8"/>
        <v>1.92984E-2</v>
      </c>
      <c r="AU34" s="50">
        <f t="shared" si="12"/>
        <v>1.2488559999999995</v>
      </c>
      <c r="AV34" s="50">
        <f t="shared" si="9"/>
        <v>14.568335588633284</v>
      </c>
    </row>
    <row r="35" spans="1:48" x14ac:dyDescent="0.35">
      <c r="A35" s="104">
        <v>18</v>
      </c>
      <c r="B35" s="28">
        <v>43696</v>
      </c>
      <c r="C35" s="31">
        <v>21</v>
      </c>
      <c r="D35" s="31">
        <v>135</v>
      </c>
      <c r="E35" s="31">
        <f t="shared" si="10"/>
        <v>2848</v>
      </c>
      <c r="F35" s="25">
        <f t="shared" si="3"/>
        <v>0.99264705882352944</v>
      </c>
      <c r="G35" s="25">
        <f t="shared" si="13"/>
        <v>20.936470588235292</v>
      </c>
      <c r="H35" s="25"/>
      <c r="I35" s="31">
        <v>7.62</v>
      </c>
      <c r="J35" s="31">
        <v>2360</v>
      </c>
      <c r="K35" s="12">
        <v>100.6</v>
      </c>
      <c r="L35" s="27">
        <v>142</v>
      </c>
      <c r="M35" s="18">
        <v>3.8</v>
      </c>
      <c r="N35" s="11">
        <v>0.82</v>
      </c>
      <c r="O35" s="31">
        <v>1472</v>
      </c>
      <c r="P35" s="31">
        <v>12</v>
      </c>
      <c r="Q35" s="12">
        <v>635.20000000000005</v>
      </c>
      <c r="R35" s="12">
        <v>22.96</v>
      </c>
      <c r="S35" s="12">
        <v>24.18</v>
      </c>
      <c r="T35" s="12">
        <v>31.47</v>
      </c>
      <c r="U35" s="6">
        <v>4.3639999999999999</v>
      </c>
      <c r="V35" s="13">
        <v>0.2</v>
      </c>
      <c r="W35" s="81">
        <v>0.02</v>
      </c>
      <c r="X35" s="81">
        <v>0.02</v>
      </c>
      <c r="Y35" s="11">
        <v>0.35499999999999998</v>
      </c>
      <c r="Z35" s="81">
        <v>0.04</v>
      </c>
      <c r="AA35" s="18">
        <v>9.5350000000000001</v>
      </c>
      <c r="AC35" s="25">
        <f t="shared" si="0"/>
        <v>32.779931008037245</v>
      </c>
      <c r="AD35" s="25">
        <f>((Q35/20.04)+(R35/12.16)+(S35/22.99)+(U35/39.1))</f>
        <v>34.748137569854613</v>
      </c>
      <c r="AE35" s="25">
        <f t="shared" si="5"/>
        <v>2.9146495720473529</v>
      </c>
      <c r="AF35" s="127"/>
      <c r="AG35" s="101">
        <v>7.62</v>
      </c>
      <c r="AH35" s="101">
        <v>5.0477600000000002</v>
      </c>
      <c r="AI35" s="101">
        <v>0.63770000000000004</v>
      </c>
      <c r="AJ35" s="101">
        <v>-3.15E-2</v>
      </c>
      <c r="AK35" s="101">
        <v>-0.28100000000000003</v>
      </c>
      <c r="AL35" s="101">
        <v>-2.629</v>
      </c>
      <c r="AM35" s="101">
        <v>-0.33650000000000002</v>
      </c>
      <c r="AN35" s="101">
        <v>-0.69220000000000004</v>
      </c>
      <c r="AO35" s="101">
        <v>-1.3620000000000001</v>
      </c>
      <c r="AP35" s="101">
        <v>-1.5741000000000001</v>
      </c>
      <c r="AR35" s="50">
        <f t="shared" si="6"/>
        <v>0.14199999999999999</v>
      </c>
      <c r="AS35" s="50">
        <f t="shared" si="7"/>
        <v>2.0804560216508787</v>
      </c>
      <c r="AT35" s="50">
        <f t="shared" si="8"/>
        <v>1.8890400000000002E-2</v>
      </c>
      <c r="AU35" s="50">
        <f t="shared" si="12"/>
        <v>1.2299655999999994</v>
      </c>
      <c r="AV35" s="50">
        <f t="shared" si="9"/>
        <v>14.651098744020274</v>
      </c>
    </row>
    <row r="36" spans="1:48" x14ac:dyDescent="0.35">
      <c r="A36" s="104">
        <v>18</v>
      </c>
      <c r="B36" s="28">
        <v>43697</v>
      </c>
      <c r="C36" s="31">
        <v>22</v>
      </c>
      <c r="D36" s="31">
        <v>134</v>
      </c>
      <c r="E36" s="31">
        <f t="shared" si="10"/>
        <v>2982</v>
      </c>
      <c r="F36" s="25">
        <f t="shared" si="3"/>
        <v>0.98529411764705888</v>
      </c>
      <c r="G36" s="25">
        <f t="shared" si="13"/>
        <v>21.921764705882349</v>
      </c>
      <c r="H36" s="25"/>
      <c r="I36" s="31">
        <v>7.6</v>
      </c>
      <c r="J36" s="31">
        <v>2360</v>
      </c>
      <c r="K36" s="12">
        <v>102.68</v>
      </c>
      <c r="L36" s="27">
        <v>122</v>
      </c>
      <c r="M36" s="18">
        <v>3.9</v>
      </c>
      <c r="N36" s="11">
        <v>0.74</v>
      </c>
      <c r="O36" s="31">
        <v>1468</v>
      </c>
      <c r="P36" s="31">
        <v>12</v>
      </c>
      <c r="Q36" s="12">
        <v>581.5</v>
      </c>
      <c r="R36" s="12">
        <v>20.43</v>
      </c>
      <c r="S36" s="12">
        <v>22.3</v>
      </c>
      <c r="T36" s="12">
        <v>29.67</v>
      </c>
      <c r="U36" s="6">
        <v>4.069</v>
      </c>
      <c r="V36" s="13">
        <v>0.2</v>
      </c>
      <c r="W36" s="81">
        <v>0.02</v>
      </c>
      <c r="X36" s="81">
        <v>0.02</v>
      </c>
      <c r="Y36" s="11">
        <v>0.33800000000000002</v>
      </c>
      <c r="Z36" s="81">
        <v>0.04</v>
      </c>
      <c r="AA36" s="18">
        <v>9.1809999999999992</v>
      </c>
      <c r="AC36" s="25">
        <f t="shared" si="0"/>
        <v>32.739780277395937</v>
      </c>
      <c r="AD36" s="25">
        <f>((Q36/20.04)+(R36/12.16)+(S36/22.99)+(U36/39.1))</f>
        <v>31.771118199086679</v>
      </c>
      <c r="AE36" s="25">
        <f t="shared" si="5"/>
        <v>1.5015479572996222</v>
      </c>
      <c r="AG36" s="101">
        <v>7.6</v>
      </c>
      <c r="AH36" s="101">
        <v>-1.5424</v>
      </c>
      <c r="AI36" s="101">
        <v>0.59179999999999999</v>
      </c>
      <c r="AJ36" s="101">
        <v>-5.5800000000000002E-2</v>
      </c>
      <c r="AK36" s="101">
        <v>-0.3054</v>
      </c>
      <c r="AL36" s="101">
        <v>-2.5939999999999999</v>
      </c>
      <c r="AM36" s="101">
        <v>-0.4395</v>
      </c>
      <c r="AN36" s="101">
        <v>-0.71619999999999995</v>
      </c>
      <c r="AO36" s="101">
        <v>-1.3979999999999999</v>
      </c>
      <c r="AP36" s="101">
        <v>-1.6313</v>
      </c>
      <c r="AR36" s="50">
        <f t="shared" ref="AR36:AR38" si="14">L36/1000</f>
        <v>0.122</v>
      </c>
      <c r="AS36" s="50">
        <f t="shared" ref="AS36:AS38" si="15">AU36/($AT$7)</f>
        <v>2.0531041948579154</v>
      </c>
      <c r="AT36" s="50">
        <f t="shared" si="8"/>
        <v>1.6170400000000001E-2</v>
      </c>
      <c r="AU36" s="50">
        <f t="shared" ref="AU36:AU38" si="16">AU35-AT36</f>
        <v>1.2137951999999994</v>
      </c>
      <c r="AV36" s="50">
        <f t="shared" ref="AV36:AV38" si="17">AS36/AR36</f>
        <v>16.828722908671438</v>
      </c>
    </row>
    <row r="37" spans="1:48" s="106" customFormat="1" x14ac:dyDescent="0.35">
      <c r="A37" s="106">
        <v>18</v>
      </c>
      <c r="B37" s="28">
        <v>43698</v>
      </c>
      <c r="C37" s="106">
        <v>23</v>
      </c>
      <c r="D37" s="106">
        <v>134</v>
      </c>
      <c r="E37" s="106">
        <f t="shared" ref="E37:E60" si="18">E36+D37</f>
        <v>3116</v>
      </c>
      <c r="F37" s="25">
        <f t="shared" ref="F37:F61" si="19">D37/136</f>
        <v>0.98529411764705888</v>
      </c>
      <c r="G37" s="25">
        <f t="shared" ref="G37:G60" si="20">G36+F37</f>
        <v>22.907058823529407</v>
      </c>
      <c r="H37" s="25"/>
      <c r="I37" s="106">
        <v>7.59</v>
      </c>
      <c r="J37" s="106">
        <v>2350</v>
      </c>
      <c r="K37" s="12">
        <v>103.2</v>
      </c>
      <c r="L37" s="27">
        <v>117</v>
      </c>
      <c r="M37" s="18">
        <v>3.7</v>
      </c>
      <c r="N37" s="11">
        <v>0.8</v>
      </c>
      <c r="O37" s="106">
        <v>1444</v>
      </c>
      <c r="P37" s="106">
        <v>12</v>
      </c>
      <c r="Q37" s="12">
        <v>597.70000000000005</v>
      </c>
      <c r="R37" s="12">
        <v>20.22</v>
      </c>
      <c r="S37" s="12">
        <v>22.7</v>
      </c>
      <c r="T37" s="12">
        <v>28.82</v>
      </c>
      <c r="U37" s="6">
        <v>4.0270000000000001</v>
      </c>
      <c r="V37" s="13">
        <v>0.2</v>
      </c>
      <c r="W37" s="81">
        <v>0.02</v>
      </c>
      <c r="X37" s="81">
        <v>0.02</v>
      </c>
      <c r="Y37" s="11">
        <v>0.32100000000000001</v>
      </c>
      <c r="Z37" s="81">
        <v>0.04</v>
      </c>
      <c r="AA37" s="18">
        <v>9.1790000000000003</v>
      </c>
      <c r="AC37" s="25">
        <f t="shared" si="0"/>
        <v>32.24581857519874</v>
      </c>
      <c r="AD37" s="25">
        <f>((Q37/20.04)+(R37/12.16)+(S37/22.99)+(U37/39.1))</f>
        <v>32.57855639605306</v>
      </c>
      <c r="AE37" s="25">
        <f t="shared" si="5"/>
        <v>0.51329121337750105</v>
      </c>
      <c r="AG37" s="101">
        <v>7.59</v>
      </c>
      <c r="AH37" s="101">
        <v>1.44275</v>
      </c>
      <c r="AI37" s="101">
        <v>0.59850000000000003</v>
      </c>
      <c r="AJ37" s="101">
        <v>-5.2600000000000001E-2</v>
      </c>
      <c r="AK37" s="101">
        <v>-0.30220000000000002</v>
      </c>
      <c r="AL37" s="101">
        <v>-2.5832000000000002</v>
      </c>
      <c r="AM37" s="101">
        <v>-0.44309999999999999</v>
      </c>
      <c r="AN37" s="101">
        <v>-0.74539999999999995</v>
      </c>
      <c r="AO37" s="101">
        <v>-1.3826000000000001</v>
      </c>
      <c r="AP37" s="101">
        <v>-1.6415999999999999</v>
      </c>
      <c r="AR37" s="50">
        <f t="shared" si="14"/>
        <v>0.11700000000000001</v>
      </c>
      <c r="AS37" s="50">
        <f t="shared" si="15"/>
        <v>2.0269025710419477</v>
      </c>
      <c r="AT37" s="50">
        <f t="shared" si="8"/>
        <v>1.5490400000000001E-2</v>
      </c>
      <c r="AU37" s="50">
        <f t="shared" si="16"/>
        <v>1.1983047999999994</v>
      </c>
      <c r="AV37" s="50">
        <f t="shared" si="17"/>
        <v>17.323953598649126</v>
      </c>
    </row>
    <row r="38" spans="1:48" s="106" customFormat="1" x14ac:dyDescent="0.35">
      <c r="A38" s="106">
        <v>18</v>
      </c>
      <c r="B38" s="28">
        <v>43699</v>
      </c>
      <c r="C38" s="106">
        <v>24</v>
      </c>
      <c r="D38" s="106">
        <v>133</v>
      </c>
      <c r="E38" s="106">
        <f t="shared" si="18"/>
        <v>3249</v>
      </c>
      <c r="F38" s="25">
        <f t="shared" si="19"/>
        <v>0.9779411764705882</v>
      </c>
      <c r="G38" s="25">
        <f t="shared" si="20"/>
        <v>23.884999999999994</v>
      </c>
      <c r="H38" s="25"/>
      <c r="I38" s="106">
        <v>7.51</v>
      </c>
      <c r="J38" s="106">
        <v>2360</v>
      </c>
      <c r="K38" s="12">
        <v>102.8</v>
      </c>
      <c r="L38" s="27">
        <v>110</v>
      </c>
      <c r="M38" s="18">
        <v>3.8</v>
      </c>
      <c r="N38" s="11">
        <v>0.74</v>
      </c>
      <c r="O38" s="106">
        <v>1464</v>
      </c>
      <c r="P38" s="106">
        <v>12</v>
      </c>
      <c r="Q38" s="12">
        <v>575.20000000000005</v>
      </c>
      <c r="R38" s="12">
        <v>19.78</v>
      </c>
      <c r="S38" s="12">
        <v>22.66</v>
      </c>
      <c r="T38" s="12">
        <v>28</v>
      </c>
      <c r="U38" s="6">
        <v>3.9550000000000001</v>
      </c>
      <c r="V38" s="13">
        <v>0.2</v>
      </c>
      <c r="W38" s="81">
        <v>0.02</v>
      </c>
      <c r="X38" s="81">
        <v>0.02</v>
      </c>
      <c r="Y38" s="11">
        <v>0.33100000000000002</v>
      </c>
      <c r="Z38" s="81">
        <v>0.04</v>
      </c>
      <c r="AA38" s="18">
        <v>9.4789999999999992</v>
      </c>
      <c r="AC38" s="25">
        <f t="shared" si="0"/>
        <v>32.656078120393097</v>
      </c>
      <c r="AD38" s="25">
        <f>((Q38/20.04)+(R38/12.16)+(S38/22.99)+(U38/39.1))</f>
        <v>31.416036375376372</v>
      </c>
      <c r="AE38" s="25">
        <f t="shared" si="5"/>
        <v>1.9353844566790477</v>
      </c>
      <c r="AG38" s="101">
        <v>7.51</v>
      </c>
      <c r="AH38" s="101">
        <v>-2.17178</v>
      </c>
      <c r="AI38" s="101">
        <v>0.50060000000000004</v>
      </c>
      <c r="AJ38" s="101">
        <v>-5.9400000000000001E-2</v>
      </c>
      <c r="AK38" s="101">
        <v>-0.309</v>
      </c>
      <c r="AL38" s="101">
        <v>-2.5007000000000001</v>
      </c>
      <c r="AM38" s="101">
        <v>-0.63109999999999999</v>
      </c>
      <c r="AN38" s="101">
        <v>-0.81120000000000003</v>
      </c>
      <c r="AO38" s="101">
        <v>-1.4018999999999999</v>
      </c>
      <c r="AP38" s="101">
        <v>-1.7317</v>
      </c>
      <c r="AR38" s="50">
        <f t="shared" si="14"/>
        <v>0.11</v>
      </c>
      <c r="AS38" s="50">
        <f t="shared" si="15"/>
        <v>2.0023112313937745</v>
      </c>
      <c r="AT38" s="50">
        <f t="shared" si="8"/>
        <v>1.45384E-2</v>
      </c>
      <c r="AU38" s="50">
        <f t="shared" si="16"/>
        <v>1.1837663999999994</v>
      </c>
      <c r="AV38" s="50">
        <f t="shared" si="17"/>
        <v>18.20282937630704</v>
      </c>
    </row>
    <row r="39" spans="1:48" s="164" customFormat="1" x14ac:dyDescent="0.35">
      <c r="B39" s="28"/>
      <c r="F39" s="25"/>
      <c r="G39" s="25"/>
      <c r="H39" s="25"/>
      <c r="L39" s="27"/>
      <c r="M39" s="26"/>
      <c r="N39" s="26"/>
      <c r="Q39" s="85"/>
      <c r="T39" s="85"/>
      <c r="V39" s="169"/>
      <c r="W39" s="26"/>
      <c r="X39" s="81"/>
      <c r="Y39" s="103"/>
      <c r="Z39" s="26"/>
      <c r="AA39" s="103"/>
      <c r="AC39" s="25"/>
      <c r="AD39" s="25"/>
      <c r="AE39" s="25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R39" s="176"/>
      <c r="AS39" s="176"/>
      <c r="AT39" s="176"/>
      <c r="AU39" s="176"/>
      <c r="AV39" s="176"/>
    </row>
    <row r="40" spans="1:48" s="109" customFormat="1" x14ac:dyDescent="0.35">
      <c r="A40" s="121" t="s">
        <v>277</v>
      </c>
      <c r="B40" s="121"/>
      <c r="C40" s="121"/>
      <c r="D40" s="121"/>
      <c r="E40" s="121"/>
      <c r="F40" s="121"/>
      <c r="G40" s="121"/>
      <c r="H40" s="147"/>
      <c r="I40" s="6">
        <f>AVERAGE(B77:B87)</f>
        <v>7.2636363636363646</v>
      </c>
      <c r="J40" s="12">
        <f>'Influent Results Master'!D59</f>
        <v>2617.25</v>
      </c>
      <c r="K40" s="12">
        <f>'Influent Results Master'!F59</f>
        <v>263.04999999999995</v>
      </c>
      <c r="L40" s="12">
        <f>'Influent Results Master'!G59</f>
        <v>721.75</v>
      </c>
      <c r="M40" s="12">
        <f>'Influent Results Master'!H59</f>
        <v>63.25</v>
      </c>
      <c r="N40" s="125">
        <f>'Influent Results Master'!I59</f>
        <v>0.5</v>
      </c>
      <c r="O40" s="12">
        <f>'Influent Results Master'!J59</f>
        <v>911.25</v>
      </c>
      <c r="P40" s="12">
        <f>'Influent Results Master'!K59</f>
        <v>26.5</v>
      </c>
      <c r="Q40" s="12">
        <f>'Influent Results Master'!L59</f>
        <v>159.125</v>
      </c>
      <c r="R40" s="12">
        <f>'Influent Results Master'!M59</f>
        <v>44.637500000000003</v>
      </c>
      <c r="S40" s="12">
        <f>'Influent Results Master'!N59</f>
        <v>361.32500000000005</v>
      </c>
      <c r="T40" s="12">
        <f>'Influent Results Master'!O59</f>
        <v>16.149999999999999</v>
      </c>
      <c r="U40" s="6">
        <f>'Influent Results Master'!P59</f>
        <v>8.37425</v>
      </c>
      <c r="V40" s="169">
        <f>'Influent Results Master'!Q59</f>
        <v>0.20000000000000004</v>
      </c>
      <c r="W40" s="25">
        <f>'Influent Results Master'!R59</f>
        <v>0.73666666666666669</v>
      </c>
      <c r="X40" s="81">
        <f>'Influent Results Master'!S59</f>
        <v>0.02</v>
      </c>
      <c r="Y40" s="25">
        <f>'Influent Results Master'!T59</f>
        <v>0.81966666666666665</v>
      </c>
      <c r="Z40" s="25">
        <f>'Influent Results Master'!U59</f>
        <v>0.17233333333333334</v>
      </c>
      <c r="AA40" s="6">
        <f>'Influent Results Master'!V59</f>
        <v>1.8426666666666669</v>
      </c>
      <c r="AC40" s="25"/>
      <c r="AD40" s="25"/>
      <c r="AE40" s="25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R40" s="150">
        <v>0.40799999999999997</v>
      </c>
      <c r="AS40" s="150"/>
      <c r="AT40" s="150"/>
      <c r="AU40" s="150"/>
      <c r="AV40" s="150"/>
    </row>
    <row r="41" spans="1:48" s="164" customFormat="1" x14ac:dyDescent="0.35">
      <c r="L41" s="27"/>
      <c r="M41" s="26"/>
      <c r="N41" s="26"/>
      <c r="V41" s="169"/>
      <c r="W41" s="26"/>
      <c r="X41" s="81"/>
      <c r="Y41" s="27"/>
      <c r="Z41" s="26"/>
      <c r="AA41" s="27"/>
      <c r="AC41" s="25"/>
      <c r="AD41" s="25"/>
      <c r="AE41" s="25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</row>
    <row r="42" spans="1:48" s="106" customFormat="1" x14ac:dyDescent="0.35">
      <c r="A42" s="106">
        <v>18</v>
      </c>
      <c r="B42" s="28">
        <v>43700</v>
      </c>
      <c r="C42" s="106">
        <v>25</v>
      </c>
      <c r="D42" s="106">
        <v>134</v>
      </c>
      <c r="E42" s="106">
        <f>E38+D42</f>
        <v>3383</v>
      </c>
      <c r="F42" s="25">
        <f t="shared" si="19"/>
        <v>0.98529411764705888</v>
      </c>
      <c r="G42" s="25">
        <f>G38+F42</f>
        <v>24.870294117647052</v>
      </c>
      <c r="H42" s="25">
        <v>0</v>
      </c>
      <c r="I42" s="106">
        <v>7.64</v>
      </c>
      <c r="J42" s="106">
        <v>2350</v>
      </c>
      <c r="K42" s="106">
        <v>111</v>
      </c>
      <c r="L42" s="27">
        <v>109</v>
      </c>
      <c r="M42" s="27">
        <v>3.9</v>
      </c>
      <c r="N42" s="169">
        <v>0.5</v>
      </c>
      <c r="O42" s="106">
        <v>1488</v>
      </c>
      <c r="P42" s="106">
        <v>9.5</v>
      </c>
      <c r="Q42" s="12">
        <v>588.29999999999995</v>
      </c>
      <c r="R42" s="12">
        <v>19.5</v>
      </c>
      <c r="S42" s="12">
        <v>27.55</v>
      </c>
      <c r="T42" s="12">
        <v>28.44</v>
      </c>
      <c r="U42" s="6">
        <v>4.0010000000000003</v>
      </c>
      <c r="V42" s="13">
        <v>0.2</v>
      </c>
      <c r="W42" s="81">
        <v>0.02</v>
      </c>
      <c r="X42" s="81">
        <v>0.02</v>
      </c>
      <c r="Y42" s="11">
        <v>0.33200000000000002</v>
      </c>
      <c r="Z42" s="81">
        <v>0.04</v>
      </c>
      <c r="AA42" s="18">
        <v>9.6319999999999997</v>
      </c>
      <c r="AC42" s="25">
        <f t="shared" ref="AC42:AC52" si="21">((K42/50)+(M42/35.45)+(N42/62)+(O42/48.03))</f>
        <v>33.318715722312753</v>
      </c>
      <c r="AD42" s="25">
        <f t="shared" ref="AD42:AD52" si="22">((Q42/20.04)+(R42/12.16)+(S42/22.99)+(U42/39.1))</f>
        <v>32.26058031936924</v>
      </c>
      <c r="AE42" s="25">
        <f t="shared" si="5"/>
        <v>1.6135205267695549</v>
      </c>
      <c r="AG42" s="101">
        <v>7.64</v>
      </c>
      <c r="AH42" s="101">
        <v>-1.7041999999999999</v>
      </c>
      <c r="AI42" s="101">
        <v>0.66610000000000003</v>
      </c>
      <c r="AJ42" s="101">
        <v>-4.9399999999999999E-2</v>
      </c>
      <c r="AK42" s="101">
        <v>-0.29899999999999999</v>
      </c>
      <c r="AL42" s="101">
        <v>-2.6017999999999999</v>
      </c>
      <c r="AM42" s="101">
        <v>-0.31580000000000003</v>
      </c>
      <c r="AN42" s="101">
        <v>-0.6552</v>
      </c>
      <c r="AO42" s="101">
        <v>-1.3975</v>
      </c>
      <c r="AP42" s="101">
        <v>-1.5819000000000001</v>
      </c>
      <c r="AR42" s="50">
        <f>L42/1000</f>
        <v>0.109</v>
      </c>
      <c r="AS42" s="50">
        <f t="shared" ref="AS42:AS51" si="23">AU42/($AT$7)</f>
        <v>2.0710933694181319</v>
      </c>
      <c r="AT42" s="50">
        <f>(AR42-$AR$40)*0.136</f>
        <v>-4.0663999999999999E-2</v>
      </c>
      <c r="AU42" s="50">
        <f>AU38-AT42</f>
        <v>1.2244303999999995</v>
      </c>
      <c r="AV42" s="50">
        <f t="shared" ref="AV42:AV51" si="24">AS42/AR42</f>
        <v>19.000856600166347</v>
      </c>
    </row>
    <row r="43" spans="1:48" s="106" customFormat="1" x14ac:dyDescent="0.35">
      <c r="A43" s="106">
        <v>18</v>
      </c>
      <c r="B43" s="28">
        <v>43701</v>
      </c>
      <c r="C43" s="106">
        <v>26</v>
      </c>
      <c r="D43" s="106">
        <v>135</v>
      </c>
      <c r="E43" s="106">
        <f t="shared" si="18"/>
        <v>3518</v>
      </c>
      <c r="F43" s="25">
        <f t="shared" si="19"/>
        <v>0.99264705882352944</v>
      </c>
      <c r="G43" s="25">
        <f t="shared" si="20"/>
        <v>25.862941176470581</v>
      </c>
      <c r="H43" s="25">
        <f>0+F43</f>
        <v>0.99264705882352944</v>
      </c>
      <c r="I43" s="106">
        <v>7.4</v>
      </c>
      <c r="J43" s="106">
        <v>2630</v>
      </c>
      <c r="K43" s="12">
        <v>155.19999999999999</v>
      </c>
      <c r="L43" s="27">
        <v>170</v>
      </c>
      <c r="M43" s="27">
        <v>34</v>
      </c>
      <c r="N43" s="169">
        <v>0.5</v>
      </c>
      <c r="O43" s="106">
        <v>1524</v>
      </c>
      <c r="P43" s="106">
        <v>12</v>
      </c>
      <c r="Q43" s="12">
        <v>664.4</v>
      </c>
      <c r="R43" s="12">
        <v>20.54</v>
      </c>
      <c r="S43" s="12">
        <v>79.86</v>
      </c>
      <c r="T43" s="12">
        <v>32.119999999999997</v>
      </c>
      <c r="U43" s="6">
        <v>5.2169999999999996</v>
      </c>
      <c r="V43" s="13">
        <v>0.2</v>
      </c>
      <c r="W43" s="11">
        <v>0.128</v>
      </c>
      <c r="X43" s="81">
        <v>0.02</v>
      </c>
      <c r="Y43" s="11">
        <v>0.34100000000000003</v>
      </c>
      <c r="Z43" s="81">
        <v>0.04</v>
      </c>
      <c r="AA43" s="18">
        <v>9.5069999999999997</v>
      </c>
      <c r="AC43" s="25">
        <f t="shared" si="21"/>
        <v>35.801330480895409</v>
      </c>
      <c r="AD43" s="25">
        <f t="shared" si="22"/>
        <v>38.449948672113301</v>
      </c>
      <c r="AE43" s="25">
        <f t="shared" si="5"/>
        <v>3.5671010943258183</v>
      </c>
      <c r="AG43" s="101">
        <v>7.4</v>
      </c>
      <c r="AH43" s="101">
        <v>5.5971700000000002</v>
      </c>
      <c r="AI43" s="101">
        <v>0.61719999999999997</v>
      </c>
      <c r="AJ43" s="101">
        <v>-1.7299999999999999E-2</v>
      </c>
      <c r="AK43" s="101">
        <v>-0.26679999999999998</v>
      </c>
      <c r="AL43" s="101">
        <v>-2.2185000000000001</v>
      </c>
      <c r="AM43" s="101">
        <v>-0.44469999999999998</v>
      </c>
      <c r="AN43" s="101">
        <v>-0.75629999999999997</v>
      </c>
      <c r="AO43" s="101">
        <v>-0.55649999999999999</v>
      </c>
      <c r="AP43" s="101">
        <v>-1.6618999999999999</v>
      </c>
      <c r="AR43" s="50">
        <f t="shared" ref="AR43:AR51" si="25">L43/1000</f>
        <v>0.17</v>
      </c>
      <c r="AS43" s="50">
        <f t="shared" si="23"/>
        <v>2.1258430311231384</v>
      </c>
      <c r="AT43" s="50">
        <f t="shared" ref="AT43:AT51" si="26">(AR43-$AR$40)*0.136</f>
        <v>-3.2367999999999994E-2</v>
      </c>
      <c r="AU43" s="50">
        <f>AU42-AT43</f>
        <v>1.2567983999999994</v>
      </c>
      <c r="AV43" s="50">
        <f t="shared" si="24"/>
        <v>12.504959006606695</v>
      </c>
    </row>
    <row r="44" spans="1:48" s="106" customFormat="1" x14ac:dyDescent="0.35">
      <c r="A44" s="106">
        <v>18</v>
      </c>
      <c r="B44" s="28">
        <v>43702</v>
      </c>
      <c r="C44" s="106">
        <v>27</v>
      </c>
      <c r="D44" s="106">
        <v>136</v>
      </c>
      <c r="E44" s="106">
        <f t="shared" si="18"/>
        <v>3654</v>
      </c>
      <c r="F44" s="25">
        <f t="shared" si="19"/>
        <v>1</v>
      </c>
      <c r="G44" s="25">
        <f t="shared" si="20"/>
        <v>26.862941176470581</v>
      </c>
      <c r="H44" s="25">
        <f>F44+H43</f>
        <v>1.9926470588235294</v>
      </c>
      <c r="I44" s="106">
        <v>7.46</v>
      </c>
      <c r="J44" s="106">
        <v>2930</v>
      </c>
      <c r="K44" s="12">
        <v>197.2</v>
      </c>
      <c r="L44" s="27">
        <v>267</v>
      </c>
      <c r="M44" s="27">
        <v>53</v>
      </c>
      <c r="N44" s="169">
        <v>0.5</v>
      </c>
      <c r="O44" s="106">
        <v>1636</v>
      </c>
      <c r="P44" s="106">
        <v>16</v>
      </c>
      <c r="Q44" s="12">
        <v>547.4</v>
      </c>
      <c r="R44" s="12">
        <v>22.13</v>
      </c>
      <c r="S44" s="12">
        <v>160</v>
      </c>
      <c r="T44" s="12">
        <v>29.41</v>
      </c>
      <c r="U44" s="6">
        <v>7.1550000000000002</v>
      </c>
      <c r="V44" s="13">
        <v>0.2</v>
      </c>
      <c r="W44" s="11">
        <v>0.25700000000000001</v>
      </c>
      <c r="X44" s="81">
        <v>0.02</v>
      </c>
      <c r="Y44" s="11">
        <v>0.36899999999999999</v>
      </c>
      <c r="Z44" s="81">
        <v>0.04</v>
      </c>
      <c r="AA44" s="18">
        <v>9.4410000000000007</v>
      </c>
      <c r="AC44" s="25">
        <f t="shared" si="21"/>
        <v>39.509172541290781</v>
      </c>
      <c r="AD44" s="25">
        <f t="shared" si="22"/>
        <v>36.277810534036341</v>
      </c>
      <c r="AE44" s="25">
        <f t="shared" si="5"/>
        <v>4.263742764430515</v>
      </c>
      <c r="AG44" s="101">
        <v>7.46</v>
      </c>
      <c r="AH44" s="101">
        <v>-5.5634199999999998</v>
      </c>
      <c r="AI44" s="101">
        <v>0.68010000000000004</v>
      </c>
      <c r="AJ44" s="101">
        <v>-6.5199999999999994E-2</v>
      </c>
      <c r="AK44" s="101">
        <v>-0.31459999999999999</v>
      </c>
      <c r="AL44" s="101">
        <v>-2.1673</v>
      </c>
      <c r="AM44" s="101">
        <v>-0.19869999999999999</v>
      </c>
      <c r="AN44" s="101">
        <v>-0.57030000000000003</v>
      </c>
      <c r="AO44" s="101">
        <v>-0.36430000000000001</v>
      </c>
      <c r="AP44" s="101">
        <v>-1.4787999999999999</v>
      </c>
      <c r="AR44" s="50">
        <f t="shared" si="25"/>
        <v>0.26700000000000002</v>
      </c>
      <c r="AS44" s="50">
        <f t="shared" si="23"/>
        <v>2.1582787550744245</v>
      </c>
      <c r="AT44" s="50">
        <f t="shared" si="26"/>
        <v>-1.9175999999999995E-2</v>
      </c>
      <c r="AU44" s="50">
        <f t="shared" ref="AU44:AU51" si="27">AU43-AT44</f>
        <v>1.2759743999999995</v>
      </c>
      <c r="AV44" s="50">
        <f t="shared" si="24"/>
        <v>8.0834410302412891</v>
      </c>
    </row>
    <row r="45" spans="1:48" s="106" customFormat="1" x14ac:dyDescent="0.35">
      <c r="A45" s="106">
        <v>18</v>
      </c>
      <c r="B45" s="28">
        <v>43703</v>
      </c>
      <c r="C45" s="106">
        <v>28</v>
      </c>
      <c r="D45" s="106">
        <v>136</v>
      </c>
      <c r="E45" s="106">
        <f t="shared" si="18"/>
        <v>3790</v>
      </c>
      <c r="F45" s="25">
        <f t="shared" si="19"/>
        <v>1</v>
      </c>
      <c r="G45" s="25">
        <f t="shared" si="20"/>
        <v>27.862941176470581</v>
      </c>
      <c r="H45" s="25">
        <f t="shared" ref="H45:H51" si="28">F45+H44</f>
        <v>2.9926470588235294</v>
      </c>
      <c r="I45" s="106">
        <v>7.4</v>
      </c>
      <c r="J45" s="106">
        <v>3140</v>
      </c>
      <c r="K45" s="12">
        <v>220</v>
      </c>
      <c r="L45" s="27">
        <v>349</v>
      </c>
      <c r="M45" s="27">
        <v>57</v>
      </c>
      <c r="N45" s="169">
        <v>0.5</v>
      </c>
      <c r="O45" s="106">
        <v>1791</v>
      </c>
      <c r="P45" s="106">
        <v>20</v>
      </c>
      <c r="Q45" s="12">
        <v>571.70000000000005</v>
      </c>
      <c r="R45" s="12">
        <v>23.54</v>
      </c>
      <c r="S45" s="12">
        <v>231.2</v>
      </c>
      <c r="T45" s="12">
        <v>28.48</v>
      </c>
      <c r="U45" s="6">
        <v>8.5370000000000008</v>
      </c>
      <c r="V45" s="13">
        <v>0.2</v>
      </c>
      <c r="W45" s="11">
        <v>0.38300000000000001</v>
      </c>
      <c r="X45" s="81">
        <v>0.02</v>
      </c>
      <c r="Y45" s="11">
        <v>0.36299999999999999</v>
      </c>
      <c r="Z45" s="81">
        <v>0.04</v>
      </c>
      <c r="AA45" s="18">
        <v>8.6999999999999993</v>
      </c>
      <c r="AC45" s="25">
        <f t="shared" si="21"/>
        <v>43.305157218239579</v>
      </c>
      <c r="AD45" s="25">
        <f t="shared" si="22"/>
        <v>40.738683295331178</v>
      </c>
      <c r="AE45" s="25">
        <f t="shared" si="5"/>
        <v>3.0537323225894064</v>
      </c>
      <c r="AG45" s="101">
        <v>7.4</v>
      </c>
      <c r="AH45" s="101">
        <v>-3.9080300000000001</v>
      </c>
      <c r="AI45" s="101">
        <v>0.66600000000000004</v>
      </c>
      <c r="AJ45" s="101">
        <v>-3.5400000000000001E-2</v>
      </c>
      <c r="AK45" s="101">
        <v>-0.28470000000000001</v>
      </c>
      <c r="AL45" s="101">
        <v>-2.0619000000000001</v>
      </c>
      <c r="AM45" s="101">
        <v>-0.21790000000000001</v>
      </c>
      <c r="AN45" s="101">
        <v>-0.61570000000000003</v>
      </c>
      <c r="AO45" s="101">
        <v>-0.20169999999999999</v>
      </c>
      <c r="AP45" s="101">
        <v>-1.4839</v>
      </c>
      <c r="AR45" s="50">
        <f t="shared" si="25"/>
        <v>0.34899999999999998</v>
      </c>
      <c r="AS45" s="50">
        <f t="shared" si="23"/>
        <v>2.1718511502029765</v>
      </c>
      <c r="AT45" s="50">
        <f t="shared" si="26"/>
        <v>-8.0239999999999999E-3</v>
      </c>
      <c r="AU45" s="50">
        <f t="shared" si="27"/>
        <v>1.2839983999999995</v>
      </c>
      <c r="AV45" s="50">
        <f t="shared" si="24"/>
        <v>6.2230691982893314</v>
      </c>
    </row>
    <row r="46" spans="1:48" s="106" customFormat="1" x14ac:dyDescent="0.35">
      <c r="A46" s="106">
        <v>18</v>
      </c>
      <c r="B46" s="28">
        <v>43704</v>
      </c>
      <c r="C46" s="106">
        <v>29</v>
      </c>
      <c r="D46" s="106">
        <v>133</v>
      </c>
      <c r="E46" s="106">
        <f t="shared" si="18"/>
        <v>3923</v>
      </c>
      <c r="F46" s="25">
        <f t="shared" si="19"/>
        <v>0.9779411764705882</v>
      </c>
      <c r="G46" s="25">
        <f t="shared" si="20"/>
        <v>28.840882352941168</v>
      </c>
      <c r="H46" s="25">
        <f t="shared" si="28"/>
        <v>3.9705882352941178</v>
      </c>
      <c r="I46" s="106">
        <v>7.51</v>
      </c>
      <c r="J46" s="106">
        <v>3230</v>
      </c>
      <c r="K46" s="12">
        <v>229</v>
      </c>
      <c r="L46" s="27">
        <v>432</v>
      </c>
      <c r="M46" s="27">
        <v>58</v>
      </c>
      <c r="N46" s="169">
        <v>0.5</v>
      </c>
      <c r="O46" s="106">
        <v>1855</v>
      </c>
      <c r="P46" s="106">
        <v>22</v>
      </c>
      <c r="Q46" s="12">
        <v>578</v>
      </c>
      <c r="R46" s="12">
        <v>24.55</v>
      </c>
      <c r="S46" s="12">
        <v>266.39999999999998</v>
      </c>
      <c r="T46" s="12">
        <v>29.83</v>
      </c>
      <c r="U46" s="6">
        <v>8.91</v>
      </c>
      <c r="V46" s="13">
        <v>0.2</v>
      </c>
      <c r="W46" s="11">
        <v>0.47399999999999998</v>
      </c>
      <c r="X46" s="81">
        <v>0.02</v>
      </c>
      <c r="Y46" s="11">
        <v>0.36499999999999999</v>
      </c>
      <c r="Z46" s="81">
        <v>0.04</v>
      </c>
      <c r="AA46" s="18">
        <v>8.2690000000000001</v>
      </c>
      <c r="AC46" s="25">
        <f t="shared" si="21"/>
        <v>44.845866483458451</v>
      </c>
      <c r="AD46" s="25">
        <f t="shared" si="22"/>
        <v>42.676753883755161</v>
      </c>
      <c r="AE46" s="25">
        <f t="shared" si="5"/>
        <v>2.4783451302103034</v>
      </c>
      <c r="AG46" s="101">
        <v>7.51</v>
      </c>
      <c r="AH46" s="101">
        <v>-3.12825</v>
      </c>
      <c r="AI46" s="101">
        <v>0.78739999999999999</v>
      </c>
      <c r="AJ46" s="101">
        <v>-2.64E-2</v>
      </c>
      <c r="AK46" s="101">
        <v>-0.2757</v>
      </c>
      <c r="AL46" s="101">
        <v>-2.1577000000000002</v>
      </c>
      <c r="AM46" s="101">
        <v>3.8899999999999997E-2</v>
      </c>
      <c r="AN46" s="101">
        <v>-0.49869999999999998</v>
      </c>
      <c r="AO46" s="101">
        <v>-0.1163</v>
      </c>
      <c r="AP46" s="101">
        <v>-1.3485</v>
      </c>
      <c r="AR46" s="50">
        <f t="shared" si="25"/>
        <v>0.432</v>
      </c>
      <c r="AS46" s="50">
        <f t="shared" si="23"/>
        <v>2.1663301759133962</v>
      </c>
      <c r="AT46" s="50">
        <f t="shared" si="26"/>
        <v>3.264000000000003E-3</v>
      </c>
      <c r="AU46" s="50">
        <f t="shared" si="27"/>
        <v>1.2807343999999996</v>
      </c>
      <c r="AV46" s="50">
        <f t="shared" si="24"/>
        <v>5.0146531849847138</v>
      </c>
    </row>
    <row r="47" spans="1:48" s="106" customFormat="1" x14ac:dyDescent="0.35">
      <c r="A47" s="106">
        <v>18</v>
      </c>
      <c r="B47" s="28">
        <v>43705</v>
      </c>
      <c r="C47" s="106">
        <v>30</v>
      </c>
      <c r="D47" s="106">
        <v>134</v>
      </c>
      <c r="E47" s="106">
        <f t="shared" si="18"/>
        <v>4057</v>
      </c>
      <c r="F47" s="25">
        <f t="shared" si="19"/>
        <v>0.98529411764705888</v>
      </c>
      <c r="G47" s="25">
        <f t="shared" si="20"/>
        <v>29.826176470588226</v>
      </c>
      <c r="H47" s="25">
        <f t="shared" si="28"/>
        <v>4.9558823529411766</v>
      </c>
      <c r="I47" s="106">
        <v>7.42</v>
      </c>
      <c r="J47" s="106">
        <v>3580</v>
      </c>
      <c r="K47" s="12">
        <v>239.8</v>
      </c>
      <c r="L47" s="27">
        <v>498</v>
      </c>
      <c r="M47" s="27">
        <v>58</v>
      </c>
      <c r="N47" s="169">
        <v>0.5</v>
      </c>
      <c r="O47" s="106">
        <v>1886</v>
      </c>
      <c r="P47" s="106">
        <v>19</v>
      </c>
      <c r="Q47" s="12">
        <v>545.79999999999995</v>
      </c>
      <c r="R47" s="12">
        <v>25.31</v>
      </c>
      <c r="S47" s="12">
        <v>280.7</v>
      </c>
      <c r="T47" s="12">
        <v>28.63</v>
      </c>
      <c r="U47" s="6">
        <v>9.1910000000000007</v>
      </c>
      <c r="V47" s="13">
        <v>0.2</v>
      </c>
      <c r="W47" s="11">
        <v>0.52900000000000003</v>
      </c>
      <c r="X47" s="81">
        <v>0.02</v>
      </c>
      <c r="Y47" s="11">
        <v>0.376</v>
      </c>
      <c r="Z47" s="81">
        <v>0.04</v>
      </c>
      <c r="AA47" s="18">
        <v>7.9470000000000001</v>
      </c>
      <c r="AC47" s="25">
        <f t="shared" si="21"/>
        <v>45.707296423079526</v>
      </c>
      <c r="AD47" s="25">
        <f t="shared" si="22"/>
        <v>41.761663726754705</v>
      </c>
      <c r="AE47" s="25">
        <f t="shared" si="5"/>
        <v>4.5108947100388033</v>
      </c>
      <c r="AG47" s="101">
        <v>7.42</v>
      </c>
      <c r="AH47" s="101">
        <v>-5.8725899999999998</v>
      </c>
      <c r="AI47" s="101">
        <v>0.69010000000000005</v>
      </c>
      <c r="AJ47" s="101">
        <v>-4.2700000000000002E-2</v>
      </c>
      <c r="AK47" s="101">
        <v>-0.29199999999999998</v>
      </c>
      <c r="AL47" s="101">
        <v>-2.044</v>
      </c>
      <c r="AM47" s="101">
        <v>-0.1166</v>
      </c>
      <c r="AN47" s="101">
        <v>-0.55689999999999995</v>
      </c>
      <c r="AO47" s="101">
        <v>-0.1</v>
      </c>
      <c r="AP47" s="101">
        <v>-1.4067000000000001</v>
      </c>
      <c r="AR47" s="50">
        <f t="shared" si="25"/>
        <v>0.498</v>
      </c>
      <c r="AS47" s="50">
        <f t="shared" si="23"/>
        <v>2.1456265223274689</v>
      </c>
      <c r="AT47" s="50">
        <f t="shared" si="26"/>
        <v>1.2240000000000004E-2</v>
      </c>
      <c r="AU47" s="50">
        <f t="shared" si="27"/>
        <v>1.2684943999999996</v>
      </c>
      <c r="AV47" s="50">
        <f t="shared" si="24"/>
        <v>4.3084869926254399</v>
      </c>
    </row>
    <row r="48" spans="1:48" s="106" customFormat="1" x14ac:dyDescent="0.35">
      <c r="A48" s="106">
        <v>18</v>
      </c>
      <c r="B48" s="28">
        <v>43706</v>
      </c>
      <c r="C48" s="106">
        <v>31</v>
      </c>
      <c r="D48" s="106">
        <v>133</v>
      </c>
      <c r="E48" s="106">
        <f t="shared" si="18"/>
        <v>4190</v>
      </c>
      <c r="F48" s="25">
        <f t="shared" si="19"/>
        <v>0.9779411764705882</v>
      </c>
      <c r="G48" s="25">
        <f t="shared" si="20"/>
        <v>30.804117647058813</v>
      </c>
      <c r="H48" s="25">
        <f t="shared" si="28"/>
        <v>5.9338235294117645</v>
      </c>
      <c r="I48" s="106">
        <v>7.44</v>
      </c>
      <c r="J48" s="106">
        <v>3550</v>
      </c>
      <c r="K48" s="12">
        <v>248.4</v>
      </c>
      <c r="L48" s="27">
        <v>547</v>
      </c>
      <c r="M48" s="27">
        <v>58</v>
      </c>
      <c r="N48" s="169">
        <v>0.5</v>
      </c>
      <c r="O48" s="106">
        <v>1904</v>
      </c>
      <c r="P48" s="106">
        <v>25</v>
      </c>
      <c r="Q48" s="12">
        <v>549</v>
      </c>
      <c r="R48" s="12">
        <v>28.16</v>
      </c>
      <c r="S48" s="12">
        <v>289.60000000000002</v>
      </c>
      <c r="T48" s="12">
        <v>28.41</v>
      </c>
      <c r="U48" s="6">
        <v>9.3140000000000001</v>
      </c>
      <c r="V48" s="13">
        <v>0.2</v>
      </c>
      <c r="W48" s="11">
        <v>0.57999999999999996</v>
      </c>
      <c r="X48" s="103">
        <v>6.7000000000000004E-2</v>
      </c>
      <c r="Y48" s="11">
        <v>0.373</v>
      </c>
      <c r="Z48" s="81">
        <v>0.04</v>
      </c>
      <c r="AA48" s="18">
        <v>7.8319999999999999</v>
      </c>
      <c r="AC48" s="25">
        <f t="shared" si="21"/>
        <v>46.254062194472404</v>
      </c>
      <c r="AD48" s="25">
        <f t="shared" si="22"/>
        <v>42.545989982414021</v>
      </c>
      <c r="AE48" s="25">
        <f t="shared" si="5"/>
        <v>4.17575454198162</v>
      </c>
      <c r="AG48" s="101">
        <v>7.44</v>
      </c>
      <c r="AH48" s="101">
        <v>-5.4214900000000004</v>
      </c>
      <c r="AI48" s="101">
        <v>0.72489999999999999</v>
      </c>
      <c r="AJ48" s="101">
        <v>-4.0399999999999998E-2</v>
      </c>
      <c r="AK48" s="101">
        <v>-0.28970000000000001</v>
      </c>
      <c r="AL48" s="101">
        <v>-2.0497000000000001</v>
      </c>
      <c r="AM48" s="101">
        <v>-3.0999999999999999E-3</v>
      </c>
      <c r="AN48" s="101">
        <v>-0.5292</v>
      </c>
      <c r="AO48" s="101">
        <v>-6.1100000000000002E-2</v>
      </c>
      <c r="AP48" s="101">
        <v>-1.3280000000000001</v>
      </c>
      <c r="AR48" s="50">
        <f t="shared" si="25"/>
        <v>0.54700000000000004</v>
      </c>
      <c r="AS48" s="50">
        <f t="shared" si="23"/>
        <v>2.1136508795669817</v>
      </c>
      <c r="AT48" s="50">
        <f t="shared" si="26"/>
        <v>1.8904000000000011E-2</v>
      </c>
      <c r="AU48" s="50">
        <f t="shared" si="27"/>
        <v>1.2495903999999995</v>
      </c>
      <c r="AV48" s="50">
        <f t="shared" si="24"/>
        <v>3.8640783904332388</v>
      </c>
    </row>
    <row r="49" spans="1:48" s="106" customFormat="1" x14ac:dyDescent="0.35">
      <c r="A49" s="106">
        <v>18</v>
      </c>
      <c r="B49" s="28">
        <v>43711</v>
      </c>
      <c r="C49" s="106">
        <v>32</v>
      </c>
      <c r="D49" s="106">
        <v>135</v>
      </c>
      <c r="E49" s="106">
        <f t="shared" si="18"/>
        <v>4325</v>
      </c>
      <c r="F49" s="25">
        <f t="shared" si="19"/>
        <v>0.99264705882352944</v>
      </c>
      <c r="G49" s="25">
        <f t="shared" si="20"/>
        <v>31.796764705882342</v>
      </c>
      <c r="H49" s="25">
        <f t="shared" si="28"/>
        <v>6.9264705882352935</v>
      </c>
      <c r="I49" s="106">
        <v>7.36</v>
      </c>
      <c r="J49" s="106">
        <v>3650</v>
      </c>
      <c r="K49" s="12">
        <v>224</v>
      </c>
      <c r="L49" s="27">
        <v>531</v>
      </c>
      <c r="M49" s="27">
        <v>58</v>
      </c>
      <c r="N49" s="169">
        <v>0.5</v>
      </c>
      <c r="O49" s="106">
        <v>1930</v>
      </c>
      <c r="P49" s="106">
        <v>23</v>
      </c>
      <c r="Q49" s="12">
        <v>544.6</v>
      </c>
      <c r="R49" s="12">
        <v>30.98</v>
      </c>
      <c r="S49" s="12">
        <v>291.39999999999998</v>
      </c>
      <c r="T49" s="12">
        <v>29.53</v>
      </c>
      <c r="U49" s="6">
        <v>9.2379999999999995</v>
      </c>
      <c r="V49" s="13">
        <v>0.2</v>
      </c>
      <c r="W49" s="11">
        <v>0.55600000000000005</v>
      </c>
      <c r="X49" s="81">
        <v>0.02</v>
      </c>
      <c r="Y49" s="11">
        <v>0.44</v>
      </c>
      <c r="Z49" s="81">
        <v>0.04</v>
      </c>
      <c r="AA49" s="18">
        <v>8.0299999999999994</v>
      </c>
      <c r="AC49" s="25">
        <f t="shared" si="21"/>
        <v>46.307390530928785</v>
      </c>
      <c r="AD49" s="25">
        <f t="shared" si="22"/>
        <v>42.634688175722793</v>
      </c>
      <c r="AE49" s="25">
        <f t="shared" si="5"/>
        <v>4.1293192250647568</v>
      </c>
      <c r="AG49" s="101">
        <v>7.36</v>
      </c>
      <c r="AH49" s="101">
        <v>-5.3574999999999999</v>
      </c>
      <c r="AI49" s="101">
        <v>0.59640000000000004</v>
      </c>
      <c r="AJ49" s="101">
        <v>-3.9300000000000002E-2</v>
      </c>
      <c r="AK49" s="101">
        <v>-0.28860000000000002</v>
      </c>
      <c r="AL49" s="101">
        <v>-2.0133999999999999</v>
      </c>
      <c r="AM49" s="101">
        <v>-0.21540000000000001</v>
      </c>
      <c r="AN49" s="101">
        <v>-0.58240000000000003</v>
      </c>
      <c r="AO49" s="101">
        <v>-8.48E-2</v>
      </c>
      <c r="AP49" s="101">
        <v>-1.4117999999999999</v>
      </c>
      <c r="AR49" s="50">
        <f t="shared" si="25"/>
        <v>0.53100000000000003</v>
      </c>
      <c r="AS49" s="50">
        <f t="shared" si="23"/>
        <v>2.0853558863328816</v>
      </c>
      <c r="AT49" s="50">
        <f t="shared" si="26"/>
        <v>1.672800000000001E-2</v>
      </c>
      <c r="AU49" s="50">
        <f t="shared" si="27"/>
        <v>1.2328623999999995</v>
      </c>
      <c r="AV49" s="50">
        <f t="shared" si="24"/>
        <v>3.9272238913990236</v>
      </c>
    </row>
    <row r="50" spans="1:48" s="106" customFormat="1" x14ac:dyDescent="0.35">
      <c r="A50" s="106">
        <v>18</v>
      </c>
      <c r="B50" s="28">
        <v>43712</v>
      </c>
      <c r="C50" s="106">
        <v>33</v>
      </c>
      <c r="D50" s="106">
        <v>136</v>
      </c>
      <c r="E50" s="106">
        <f t="shared" si="18"/>
        <v>4461</v>
      </c>
      <c r="F50" s="25">
        <f t="shared" si="19"/>
        <v>1</v>
      </c>
      <c r="G50" s="25">
        <f t="shared" si="20"/>
        <v>32.796764705882339</v>
      </c>
      <c r="H50" s="25">
        <f t="shared" si="28"/>
        <v>7.9264705882352935</v>
      </c>
      <c r="I50" s="106">
        <v>7.41</v>
      </c>
      <c r="J50" s="106">
        <v>3670</v>
      </c>
      <c r="K50" s="12">
        <v>237.6</v>
      </c>
      <c r="L50" s="27">
        <v>614</v>
      </c>
      <c r="M50" s="27">
        <v>58</v>
      </c>
      <c r="N50" s="169">
        <v>0.5</v>
      </c>
      <c r="O50" s="106">
        <v>1902</v>
      </c>
      <c r="P50" s="106">
        <v>25</v>
      </c>
      <c r="Q50" s="12">
        <v>550.1</v>
      </c>
      <c r="R50" s="12">
        <v>33.57</v>
      </c>
      <c r="S50" s="12">
        <v>294.60000000000002</v>
      </c>
      <c r="T50" s="12">
        <v>29.11</v>
      </c>
      <c r="U50" s="6">
        <v>8.8819999999999997</v>
      </c>
      <c r="V50" s="13">
        <v>0.2</v>
      </c>
      <c r="W50" s="11">
        <v>0.61199999999999999</v>
      </c>
      <c r="X50" s="81">
        <v>0.02</v>
      </c>
      <c r="Y50" s="11">
        <v>0.46</v>
      </c>
      <c r="Z50" s="81">
        <v>0.04</v>
      </c>
      <c r="AA50" s="18">
        <v>7.9029999999999996</v>
      </c>
      <c r="AC50" s="25">
        <f t="shared" si="21"/>
        <v>45.996421553206524</v>
      </c>
      <c r="AD50" s="25">
        <f t="shared" si="22"/>
        <v>43.252218787832867</v>
      </c>
      <c r="AE50" s="25">
        <f t="shared" si="5"/>
        <v>3.0747838341149323</v>
      </c>
      <c r="AG50" s="101">
        <v>7.41</v>
      </c>
      <c r="AH50" s="101">
        <v>-3.9252600000000002</v>
      </c>
      <c r="AI50" s="101">
        <v>0.67749999999999999</v>
      </c>
      <c r="AJ50" s="101">
        <v>-4.1399999999999999E-2</v>
      </c>
      <c r="AK50" s="101">
        <v>-0.29070000000000001</v>
      </c>
      <c r="AL50" s="101">
        <v>-2.0394000000000001</v>
      </c>
      <c r="AM50" s="101">
        <v>-2.2800000000000001E-2</v>
      </c>
      <c r="AN50" s="101">
        <v>-0.48730000000000001</v>
      </c>
      <c r="AO50" s="101">
        <v>-3.61E-2</v>
      </c>
      <c r="AP50" s="101">
        <v>-1.3004</v>
      </c>
      <c r="AR50" s="50">
        <f t="shared" si="25"/>
        <v>0.61399999999999999</v>
      </c>
      <c r="AS50" s="50">
        <f t="shared" si="23"/>
        <v>2.0379675236806487</v>
      </c>
      <c r="AT50" s="50">
        <f t="shared" si="26"/>
        <v>2.8016000000000003E-2</v>
      </c>
      <c r="AU50" s="50">
        <f t="shared" si="27"/>
        <v>1.2048463999999994</v>
      </c>
      <c r="AV50" s="50">
        <f t="shared" si="24"/>
        <v>3.3191653480140859</v>
      </c>
    </row>
    <row r="51" spans="1:48" s="106" customFormat="1" x14ac:dyDescent="0.35">
      <c r="A51" s="106">
        <v>18</v>
      </c>
      <c r="B51" s="28">
        <v>43713</v>
      </c>
      <c r="C51" s="106">
        <v>34</v>
      </c>
      <c r="D51" s="106">
        <v>135</v>
      </c>
      <c r="E51" s="106">
        <f t="shared" si="18"/>
        <v>4596</v>
      </c>
      <c r="F51" s="25">
        <f t="shared" si="19"/>
        <v>0.99264705882352944</v>
      </c>
      <c r="G51" s="25">
        <f t="shared" si="20"/>
        <v>33.789411764705868</v>
      </c>
      <c r="H51" s="25">
        <f t="shared" si="28"/>
        <v>8.9191176470588225</v>
      </c>
      <c r="I51" s="106">
        <v>7.32</v>
      </c>
      <c r="J51" s="106">
        <v>3680</v>
      </c>
      <c r="K51" s="12">
        <v>244.2</v>
      </c>
      <c r="L51" s="27">
        <v>644</v>
      </c>
      <c r="M51" s="27">
        <v>58</v>
      </c>
      <c r="N51" s="169">
        <v>0.5</v>
      </c>
      <c r="O51" s="106">
        <v>1935</v>
      </c>
      <c r="P51" s="106">
        <v>27</v>
      </c>
      <c r="Q51" s="12">
        <v>529.79999999999995</v>
      </c>
      <c r="R51" s="12">
        <v>34.14</v>
      </c>
      <c r="S51" s="12">
        <v>293.10000000000002</v>
      </c>
      <c r="T51" s="12">
        <v>28.23</v>
      </c>
      <c r="U51" s="6">
        <v>8.9879999999999995</v>
      </c>
      <c r="V51" s="13">
        <v>0.2</v>
      </c>
      <c r="W51" s="11">
        <v>0.64700000000000002</v>
      </c>
      <c r="X51" s="81">
        <v>0.02</v>
      </c>
      <c r="Y51" s="11">
        <v>0.48599999999999999</v>
      </c>
      <c r="Z51" s="81">
        <v>0.04</v>
      </c>
      <c r="AA51" s="18">
        <v>7.6539999999999999</v>
      </c>
      <c r="AC51" s="25">
        <f t="shared" si="21"/>
        <v>46.815492134093475</v>
      </c>
      <c r="AD51" s="25">
        <f t="shared" si="22"/>
        <v>42.223584974353443</v>
      </c>
      <c r="AE51" s="25">
        <f t="shared" si="5"/>
        <v>5.1571818900899284</v>
      </c>
      <c r="AG51" s="101">
        <v>7.32</v>
      </c>
      <c r="AH51" s="101">
        <v>-6.73848</v>
      </c>
      <c r="AI51" s="101">
        <v>0.58069999999999999</v>
      </c>
      <c r="AJ51" s="101">
        <v>-0.05</v>
      </c>
      <c r="AK51" s="101">
        <v>-0.29930000000000001</v>
      </c>
      <c r="AL51" s="101">
        <v>-1.9348000000000001</v>
      </c>
      <c r="AM51" s="101">
        <v>-0.19209999999999999</v>
      </c>
      <c r="AN51" s="101">
        <v>-0.54269999999999996</v>
      </c>
      <c r="AO51" s="101">
        <v>-3.3599999999999998E-2</v>
      </c>
      <c r="AP51" s="101">
        <v>-1.3728</v>
      </c>
      <c r="AR51" s="50">
        <f t="shared" si="25"/>
        <v>0.64400000000000002</v>
      </c>
      <c r="AS51" s="50">
        <f t="shared" si="23"/>
        <v>1.9836779431664404</v>
      </c>
      <c r="AT51" s="50">
        <f t="shared" si="26"/>
        <v>3.2096000000000006E-2</v>
      </c>
      <c r="AU51" s="50">
        <f t="shared" si="27"/>
        <v>1.1727503999999995</v>
      </c>
      <c r="AV51" s="50">
        <f t="shared" si="24"/>
        <v>3.0802452533640379</v>
      </c>
    </row>
    <row r="52" spans="1:48" s="106" customFormat="1" x14ac:dyDescent="0.35">
      <c r="A52" s="106">
        <v>18</v>
      </c>
      <c r="B52" s="28">
        <v>43714</v>
      </c>
      <c r="C52" s="106">
        <v>35</v>
      </c>
      <c r="D52" s="106">
        <v>135</v>
      </c>
      <c r="E52" s="106">
        <f t="shared" si="18"/>
        <v>4731</v>
      </c>
      <c r="F52" s="25">
        <f t="shared" si="19"/>
        <v>0.99264705882352944</v>
      </c>
      <c r="G52" s="25">
        <f t="shared" si="20"/>
        <v>34.782058823529397</v>
      </c>
      <c r="H52" s="25"/>
      <c r="I52" s="106">
        <v>7.51</v>
      </c>
      <c r="J52" s="106">
        <v>3660</v>
      </c>
      <c r="K52" s="12">
        <v>244</v>
      </c>
      <c r="L52" s="27">
        <v>634</v>
      </c>
      <c r="M52" s="27">
        <v>58</v>
      </c>
      <c r="N52" s="169">
        <v>0.5</v>
      </c>
      <c r="O52" s="106">
        <v>1945</v>
      </c>
      <c r="P52" s="106">
        <v>24</v>
      </c>
      <c r="Q52" s="12">
        <v>636.29999999999995</v>
      </c>
      <c r="R52" s="12">
        <v>37.71</v>
      </c>
      <c r="S52" s="12">
        <v>307.60000000000002</v>
      </c>
      <c r="T52" s="12">
        <v>29.51</v>
      </c>
      <c r="U52" s="6">
        <v>9.3740000000000006</v>
      </c>
      <c r="V52" s="13">
        <v>0.2</v>
      </c>
      <c r="W52" s="11">
        <v>0.64700000000000002</v>
      </c>
      <c r="X52" s="81">
        <v>0.02</v>
      </c>
      <c r="Y52" s="11">
        <v>0.47699999999999998</v>
      </c>
      <c r="Z52" s="81">
        <v>0.04</v>
      </c>
      <c r="AA52" s="18">
        <v>7.3019999999999996</v>
      </c>
      <c r="AC52" s="25">
        <f t="shared" si="21"/>
        <v>47.019695340422849</v>
      </c>
      <c r="AD52" s="25">
        <f t="shared" si="22"/>
        <v>48.472122884831158</v>
      </c>
      <c r="AE52" s="25">
        <f t="shared" si="5"/>
        <v>1.5209968470620199</v>
      </c>
      <c r="AG52" s="101">
        <v>7.51</v>
      </c>
      <c r="AH52" s="101">
        <v>2.3361800000000001</v>
      </c>
      <c r="AI52" s="101">
        <v>0.84419999999999995</v>
      </c>
      <c r="AJ52" s="101">
        <v>8.8999999999999999E-3</v>
      </c>
      <c r="AK52" s="101">
        <v>-0.24030000000000001</v>
      </c>
      <c r="AL52" s="101">
        <v>-2.1366000000000001</v>
      </c>
      <c r="AM52" s="101">
        <v>0.29680000000000001</v>
      </c>
      <c r="AN52" s="101">
        <v>-0.375</v>
      </c>
      <c r="AO52" s="101">
        <v>4.5400000000000003E-2</v>
      </c>
      <c r="AP52" s="101">
        <v>-1.1473</v>
      </c>
      <c r="AR52" s="50">
        <f t="shared" ref="AR52" si="29">L52/1000</f>
        <v>0.63400000000000001</v>
      </c>
      <c r="AS52" s="50">
        <f t="shared" ref="AS52" si="30">AU52/($AT$7)</f>
        <v>1.9316887686062238</v>
      </c>
      <c r="AT52" s="50">
        <f t="shared" ref="AT52" si="31">(AR52-$AR$40)*0.136</f>
        <v>3.0736000000000006E-2</v>
      </c>
      <c r="AU52" s="50">
        <f t="shared" ref="AU52" si="32">AU51-AT52</f>
        <v>1.1420143999999994</v>
      </c>
      <c r="AV52" s="50">
        <f t="shared" ref="AV52" si="33">AS52/AR52</f>
        <v>3.0468277107353687</v>
      </c>
    </row>
    <row r="53" spans="1:48" s="164" customFormat="1" x14ac:dyDescent="0.35">
      <c r="B53" s="28"/>
      <c r="F53" s="25"/>
      <c r="G53" s="25"/>
      <c r="H53" s="25"/>
      <c r="L53" s="27"/>
      <c r="M53" s="27"/>
      <c r="N53" s="26"/>
      <c r="Q53" s="85"/>
      <c r="S53" s="85"/>
      <c r="T53" s="85"/>
      <c r="U53" s="85"/>
      <c r="V53" s="169"/>
      <c r="W53" s="103"/>
      <c r="X53" s="81"/>
      <c r="Y53" s="103"/>
      <c r="Z53" s="81"/>
      <c r="AA53" s="103"/>
      <c r="AC53" s="25"/>
      <c r="AD53" s="25"/>
      <c r="AE53" s="25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R53" s="176"/>
      <c r="AS53" s="176"/>
      <c r="AT53" s="176"/>
      <c r="AU53" s="176"/>
      <c r="AV53" s="176"/>
    </row>
    <row r="54" spans="1:48" s="113" customFormat="1" x14ac:dyDescent="0.35">
      <c r="A54" s="188" t="s">
        <v>186</v>
      </c>
      <c r="B54" s="188"/>
      <c r="C54" s="188"/>
      <c r="D54" s="188"/>
      <c r="E54" s="186"/>
      <c r="F54" s="25"/>
      <c r="G54" s="25"/>
      <c r="H54" s="25"/>
      <c r="I54" s="113" t="s">
        <v>274</v>
      </c>
      <c r="J54" s="12">
        <f>'Influent Results Master'!D60</f>
        <v>498</v>
      </c>
      <c r="K54" s="12">
        <f>'Influent Results Master'!F60</f>
        <v>98.424999999999997</v>
      </c>
      <c r="L54" s="6">
        <f>'Influent Results Master'!G60</f>
        <v>3.0750000000000002</v>
      </c>
      <c r="M54" s="6">
        <f>'Influent Results Master'!H60</f>
        <v>3.875</v>
      </c>
      <c r="N54" s="6">
        <f>'Influent Results Master'!I60</f>
        <v>1.825</v>
      </c>
      <c r="O54" s="12">
        <f>'Influent Results Master'!J60</f>
        <v>137</v>
      </c>
      <c r="P54" s="12">
        <f>'Influent Results Master'!K60</f>
        <v>11.5</v>
      </c>
      <c r="Q54" s="12">
        <f>'Influent Results Master'!L60</f>
        <v>63.497500000000002</v>
      </c>
      <c r="R54" s="12">
        <f>'Influent Results Master'!M60</f>
        <v>16.197500000000002</v>
      </c>
      <c r="S54" s="12">
        <f>'Influent Results Master'!N60</f>
        <v>22.785</v>
      </c>
      <c r="T54" s="12">
        <f>'Influent Results Master'!O60</f>
        <v>14.3</v>
      </c>
      <c r="U54" s="6">
        <f>'Influent Results Master'!P60</f>
        <v>2.0294999999999996</v>
      </c>
      <c r="V54" s="169">
        <f>'Influent Results Master'!Q60</f>
        <v>0.2</v>
      </c>
      <c r="W54" s="81">
        <f>'Influent Results Master'!R60</f>
        <v>0.02</v>
      </c>
      <c r="X54" s="81">
        <f>'Influent Results Master'!S60</f>
        <v>0.02</v>
      </c>
      <c r="Y54" s="81">
        <f>'Influent Results Master'!T60</f>
        <v>0.02</v>
      </c>
      <c r="Z54" s="81">
        <f>'Influent Results Master'!U60</f>
        <v>0.04</v>
      </c>
      <c r="AA54" s="25">
        <f>'Influent Results Master'!V60</f>
        <v>0.56574999999999998</v>
      </c>
      <c r="AC54" s="25"/>
      <c r="AD54" s="25"/>
      <c r="AE54" s="25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R54" s="150">
        <v>3.0999999999999999E-3</v>
      </c>
      <c r="AS54" s="150"/>
      <c r="AT54" s="150"/>
      <c r="AU54" s="150"/>
      <c r="AV54" s="150"/>
    </row>
    <row r="55" spans="1:48" s="164" customFormat="1" x14ac:dyDescent="0.35">
      <c r="F55" s="25"/>
      <c r="G55" s="25"/>
      <c r="H55" s="25"/>
      <c r="L55" s="27"/>
      <c r="M55" s="27"/>
      <c r="N55" s="26"/>
      <c r="V55" s="169"/>
      <c r="W55" s="27"/>
      <c r="X55" s="81"/>
      <c r="Y55" s="27"/>
      <c r="Z55" s="26"/>
      <c r="AA55" s="27"/>
      <c r="AC55" s="25"/>
      <c r="AD55" s="25"/>
      <c r="AE55" s="25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</row>
    <row r="56" spans="1:48" s="106" customFormat="1" x14ac:dyDescent="0.35">
      <c r="A56" s="106">
        <v>18</v>
      </c>
      <c r="B56" s="28">
        <v>43715</v>
      </c>
      <c r="C56" s="106">
        <v>36</v>
      </c>
      <c r="D56" s="106">
        <v>135</v>
      </c>
      <c r="E56" s="106">
        <f>E52+D56</f>
        <v>4866</v>
      </c>
      <c r="F56" s="25">
        <f t="shared" si="19"/>
        <v>0.99264705882352944</v>
      </c>
      <c r="G56" s="25">
        <f>G52+F56</f>
        <v>35.774705882352926</v>
      </c>
      <c r="H56" s="25">
        <f>F56+H51</f>
        <v>9.9117647058823515</v>
      </c>
      <c r="I56" s="106">
        <v>7.43</v>
      </c>
      <c r="J56" s="106">
        <v>3740</v>
      </c>
      <c r="K56" s="106">
        <v>232</v>
      </c>
      <c r="L56" s="27">
        <v>633</v>
      </c>
      <c r="M56" s="27">
        <v>53</v>
      </c>
      <c r="N56" s="169">
        <v>0.5</v>
      </c>
      <c r="O56" s="106">
        <v>1915</v>
      </c>
      <c r="P56" s="113">
        <v>24</v>
      </c>
      <c r="Q56" s="12">
        <v>646.1</v>
      </c>
      <c r="R56" s="12">
        <v>36.770000000000003</v>
      </c>
      <c r="S56" s="12">
        <v>296.5</v>
      </c>
      <c r="T56" s="12">
        <v>28.14</v>
      </c>
      <c r="U56" s="6">
        <v>9.4390000000000001</v>
      </c>
      <c r="V56" s="13">
        <v>0.2</v>
      </c>
      <c r="W56" s="11">
        <v>0.58899999999999997</v>
      </c>
      <c r="X56" s="81">
        <v>0.02</v>
      </c>
      <c r="Y56" s="11">
        <v>0.48699999999999999</v>
      </c>
      <c r="Z56" s="81">
        <v>0.04</v>
      </c>
      <c r="AA56" s="18">
        <v>7.3479999999999999</v>
      </c>
      <c r="AC56" s="25">
        <f t="shared" ref="AC56:AC62" si="34">((K56/50)+(M56/35.45)+(N56/62)+(O56/48.03))</f>
        <v>46.014041997880419</v>
      </c>
      <c r="AD56" s="25">
        <f t="shared" ref="AD56:AD61" si="35">((Q56/20.04)+(R56/12.16)+(S56/22.99)+(U56/39.1))</f>
        <v>48.402685996642198</v>
      </c>
      <c r="AE56" s="25">
        <f t="shared" si="5"/>
        <v>2.5298949132195636</v>
      </c>
      <c r="AG56" s="101">
        <v>7.43</v>
      </c>
      <c r="AH56" s="101">
        <v>3.7543099999999998</v>
      </c>
      <c r="AI56" s="101">
        <v>0.75449999999999995</v>
      </c>
      <c r="AJ56" s="101">
        <v>1.15E-2</v>
      </c>
      <c r="AK56" s="101">
        <v>-0.23780000000000001</v>
      </c>
      <c r="AL56" s="101">
        <v>-2.0775000000000001</v>
      </c>
      <c r="AM56" s="101">
        <v>9.9199999999999997E-2</v>
      </c>
      <c r="AN56" s="101">
        <v>-0.46239999999999998</v>
      </c>
      <c r="AO56" s="101">
        <v>1.7100000000000001E-2</v>
      </c>
      <c r="AP56" s="101">
        <v>-1.2552000000000001</v>
      </c>
      <c r="AR56" s="50">
        <f>L56/1000</f>
        <v>0.63300000000000001</v>
      </c>
      <c r="AS56" s="50">
        <f t="shared" ref="AS56:AS62" si="36">AU56/($AT$7)</f>
        <v>1.8387753721244919</v>
      </c>
      <c r="AT56" s="50">
        <f>(AR56-$AR$54)*0.136</f>
        <v>8.5666400000000004E-2</v>
      </c>
      <c r="AU56" s="50">
        <f>AU51-AT56</f>
        <v>1.0870839999999995</v>
      </c>
      <c r="AV56" s="50">
        <f t="shared" ref="AV56:AV62" si="37">AS56/AR56</f>
        <v>2.9048584077796082</v>
      </c>
    </row>
    <row r="57" spans="1:48" s="106" customFormat="1" x14ac:dyDescent="0.35">
      <c r="A57" s="106">
        <v>18</v>
      </c>
      <c r="B57" s="28">
        <v>43716</v>
      </c>
      <c r="C57" s="106">
        <v>37</v>
      </c>
      <c r="D57" s="106">
        <v>136</v>
      </c>
      <c r="E57" s="106">
        <f t="shared" si="18"/>
        <v>5002</v>
      </c>
      <c r="F57" s="25">
        <f t="shared" si="19"/>
        <v>1</v>
      </c>
      <c r="G57" s="25">
        <f t="shared" si="20"/>
        <v>36.774705882352926</v>
      </c>
      <c r="H57" s="25">
        <f>F57+H56</f>
        <v>10.911764705882351</v>
      </c>
      <c r="I57" s="106">
        <v>7.49</v>
      </c>
      <c r="J57" s="106">
        <v>2080</v>
      </c>
      <c r="K57" s="106">
        <v>183</v>
      </c>
      <c r="L57" s="27">
        <v>502</v>
      </c>
      <c r="M57" s="27">
        <v>27</v>
      </c>
      <c r="N57" s="27">
        <v>0.93</v>
      </c>
      <c r="O57" s="106">
        <v>1816</v>
      </c>
      <c r="P57" s="106">
        <v>20</v>
      </c>
      <c r="Q57" s="12">
        <v>644.4</v>
      </c>
      <c r="R57" s="12">
        <v>35.03</v>
      </c>
      <c r="S57" s="12">
        <v>226.1</v>
      </c>
      <c r="T57" s="12">
        <v>26.72</v>
      </c>
      <c r="U57" s="6">
        <v>8.827</v>
      </c>
      <c r="V57" s="13">
        <v>0.2</v>
      </c>
      <c r="W57" s="11">
        <v>0.44900000000000001</v>
      </c>
      <c r="X57" s="81">
        <v>0.02</v>
      </c>
      <c r="Y57" s="11">
        <v>0.44</v>
      </c>
      <c r="Z57" s="81">
        <v>0.04</v>
      </c>
      <c r="AA57" s="18">
        <v>7.15</v>
      </c>
      <c r="AC57" s="25">
        <f t="shared" si="34"/>
        <v>42.246338376608179</v>
      </c>
      <c r="AD57" s="25">
        <f t="shared" si="35"/>
        <v>45.096910421206836</v>
      </c>
      <c r="AE57" s="25">
        <f t="shared" si="5"/>
        <v>3.2636432510052993</v>
      </c>
      <c r="AG57" s="101">
        <v>7.49</v>
      </c>
      <c r="AH57" s="101">
        <v>4.8884800000000004</v>
      </c>
      <c r="AI57" s="101">
        <v>0.72450000000000003</v>
      </c>
      <c r="AJ57" s="101">
        <v>5.4000000000000003E-3</v>
      </c>
      <c r="AK57" s="101">
        <v>-0.24390000000000001</v>
      </c>
      <c r="AL57" s="101">
        <v>-2.2404999999999999</v>
      </c>
      <c r="AM57" s="101">
        <v>1.8200000000000001E-2</v>
      </c>
      <c r="AN57" s="101">
        <v>-0.53039999999999998</v>
      </c>
      <c r="AO57" s="101">
        <v>-7.9299999999999995E-2</v>
      </c>
      <c r="AP57" s="101">
        <v>-1.3063</v>
      </c>
      <c r="AR57" s="50">
        <f t="shared" ref="AR57:AR62" si="38">L57/1000</f>
        <v>0.502</v>
      </c>
      <c r="AS57" s="50">
        <f t="shared" si="36"/>
        <v>1.7240081190798369</v>
      </c>
      <c r="AT57" s="50">
        <f t="shared" ref="AT57:AT62" si="39">(AR57-$AR$54)*0.136</f>
        <v>6.7850400000000005E-2</v>
      </c>
      <c r="AU57" s="50">
        <f>AU56-AT57</f>
        <v>1.0192335999999995</v>
      </c>
      <c r="AV57" s="50">
        <f t="shared" si="37"/>
        <v>3.434279121672982</v>
      </c>
    </row>
    <row r="58" spans="1:48" s="106" customFormat="1" x14ac:dyDescent="0.35">
      <c r="A58" s="106">
        <v>18</v>
      </c>
      <c r="B58" s="28">
        <v>43717</v>
      </c>
      <c r="C58" s="106">
        <v>38</v>
      </c>
      <c r="D58" s="106">
        <v>136</v>
      </c>
      <c r="E58" s="106">
        <f t="shared" si="18"/>
        <v>5138</v>
      </c>
      <c r="F58" s="25">
        <f t="shared" si="19"/>
        <v>1</v>
      </c>
      <c r="G58" s="25">
        <f t="shared" si="20"/>
        <v>37.774705882352926</v>
      </c>
      <c r="H58" s="25">
        <f t="shared" ref="H58:H62" si="40">F58+H57</f>
        <v>11.911764705882351</v>
      </c>
      <c r="I58" s="106">
        <v>7.45</v>
      </c>
      <c r="J58" s="106">
        <v>2820</v>
      </c>
      <c r="K58" s="12">
        <v>149.80000000000001</v>
      </c>
      <c r="L58" s="27">
        <v>366</v>
      </c>
      <c r="M58" s="27">
        <v>13</v>
      </c>
      <c r="N58" s="18">
        <v>1</v>
      </c>
      <c r="O58" s="106">
        <v>1730</v>
      </c>
      <c r="P58" s="106">
        <v>18</v>
      </c>
      <c r="Q58" s="12">
        <v>664.3</v>
      </c>
      <c r="R58" s="12">
        <v>35.119999999999997</v>
      </c>
      <c r="S58" s="12">
        <v>163.6</v>
      </c>
      <c r="T58" s="12">
        <v>26.51</v>
      </c>
      <c r="U58" s="6">
        <v>8.0030000000000001</v>
      </c>
      <c r="V58" s="13">
        <v>0.2</v>
      </c>
      <c r="W58" s="11">
        <v>0.314</v>
      </c>
      <c r="X58" s="81">
        <v>0.02</v>
      </c>
      <c r="Y58" s="11">
        <v>0.41</v>
      </c>
      <c r="Z58" s="81">
        <v>0.04</v>
      </c>
      <c r="AA58" s="18">
        <v>7.1920000000000002</v>
      </c>
      <c r="AC58" s="25">
        <f t="shared" si="34"/>
        <v>39.397997408481558</v>
      </c>
      <c r="AD58" s="25">
        <f t="shared" si="35"/>
        <v>43.35767824751828</v>
      </c>
      <c r="AE58" s="25">
        <f t="shared" si="5"/>
        <v>4.7847846176694731</v>
      </c>
      <c r="AG58" s="101">
        <v>7.45</v>
      </c>
      <c r="AH58" s="101">
        <v>7.1523300000000001</v>
      </c>
      <c r="AI58" s="101">
        <v>0.62460000000000004</v>
      </c>
      <c r="AJ58" s="101">
        <v>8.0999999999999996E-3</v>
      </c>
      <c r="AK58" s="101">
        <v>-0.24129999999999999</v>
      </c>
      <c r="AL58" s="101">
        <v>-2.2871999999999999</v>
      </c>
      <c r="AM58" s="101">
        <v>-0.19520000000000001</v>
      </c>
      <c r="AN58" s="101">
        <v>-0.6724</v>
      </c>
      <c r="AO58" s="101">
        <v>-0.2021</v>
      </c>
      <c r="AP58" s="101">
        <v>-1.4198</v>
      </c>
      <c r="AR58" s="50">
        <f t="shared" si="38"/>
        <v>0.36599999999999999</v>
      </c>
      <c r="AS58" s="50">
        <f t="shared" si="36"/>
        <v>1.6405263870094715</v>
      </c>
      <c r="AT58" s="50">
        <f t="shared" si="39"/>
        <v>4.9354400000000007E-2</v>
      </c>
      <c r="AU58" s="50">
        <f t="shared" ref="AU58:AU62" si="41">AU57-AT58</f>
        <v>0.9698791999999995</v>
      </c>
      <c r="AV58" s="50">
        <f t="shared" si="37"/>
        <v>4.482312532812764</v>
      </c>
    </row>
    <row r="59" spans="1:48" s="106" customFormat="1" x14ac:dyDescent="0.35">
      <c r="A59" s="106">
        <v>18</v>
      </c>
      <c r="B59" s="28">
        <v>43718</v>
      </c>
      <c r="C59" s="106">
        <v>39</v>
      </c>
      <c r="D59" s="106">
        <v>135</v>
      </c>
      <c r="E59" s="106">
        <f t="shared" si="18"/>
        <v>5273</v>
      </c>
      <c r="F59" s="25">
        <f t="shared" si="19"/>
        <v>0.99264705882352944</v>
      </c>
      <c r="G59" s="25">
        <f t="shared" si="20"/>
        <v>38.767352941176455</v>
      </c>
      <c r="H59" s="25">
        <f t="shared" si="40"/>
        <v>12.90441176470588</v>
      </c>
      <c r="I59" s="106">
        <v>7.46</v>
      </c>
      <c r="J59" s="106">
        <v>2620</v>
      </c>
      <c r="K59" s="12">
        <v>131.4</v>
      </c>
      <c r="L59" s="27">
        <v>289</v>
      </c>
      <c r="M59" s="18">
        <v>6.2</v>
      </c>
      <c r="N59" s="18">
        <v>1.1000000000000001</v>
      </c>
      <c r="O59" s="106">
        <v>1613</v>
      </c>
      <c r="P59" s="106">
        <v>15</v>
      </c>
      <c r="Q59" s="12">
        <v>680.9</v>
      </c>
      <c r="R59" s="12">
        <v>33.29</v>
      </c>
      <c r="S59" s="12">
        <v>106.4</v>
      </c>
      <c r="T59" s="12">
        <v>25.42</v>
      </c>
      <c r="U59" s="6">
        <v>6.5819999999999999</v>
      </c>
      <c r="V59" s="13">
        <v>0.2</v>
      </c>
      <c r="W59" s="11">
        <v>0.23100000000000001</v>
      </c>
      <c r="X59" s="81">
        <v>0.02</v>
      </c>
      <c r="Y59" s="11">
        <v>0.40799999999999997</v>
      </c>
      <c r="Z59" s="81">
        <v>0.04</v>
      </c>
      <c r="AA59" s="18">
        <v>7.2770000000000001</v>
      </c>
      <c r="AC59" s="25">
        <f t="shared" si="34"/>
        <v>36.403813333619794</v>
      </c>
      <c r="AD59" s="25">
        <f t="shared" si="35"/>
        <v>41.511147151329496</v>
      </c>
      <c r="AE59" s="25">
        <f t="shared" si="5"/>
        <v>6.5550104702886651</v>
      </c>
      <c r="AG59" s="101">
        <v>7.46</v>
      </c>
      <c r="AH59" s="101">
        <v>10.272</v>
      </c>
      <c r="AI59" s="101">
        <v>0.60389999999999999</v>
      </c>
      <c r="AJ59" s="101">
        <v>1.9E-3</v>
      </c>
      <c r="AK59" s="101">
        <v>-0.24759999999999999</v>
      </c>
      <c r="AL59" s="101">
        <v>-2.355</v>
      </c>
      <c r="AM59" s="101">
        <v>-0.27210000000000001</v>
      </c>
      <c r="AN59" s="101">
        <v>-0.70440000000000003</v>
      </c>
      <c r="AO59" s="101">
        <v>-0.3019</v>
      </c>
      <c r="AP59" s="101">
        <v>-1.476</v>
      </c>
      <c r="AR59" s="50">
        <f t="shared" si="38"/>
        <v>0.28899999999999998</v>
      </c>
      <c r="AS59" s="50">
        <f t="shared" si="36"/>
        <v>1.5747577807848436</v>
      </c>
      <c r="AT59" s="50">
        <f t="shared" si="39"/>
        <v>3.8882400000000004E-2</v>
      </c>
      <c r="AU59" s="50">
        <f t="shared" si="41"/>
        <v>0.93099679999999951</v>
      </c>
      <c r="AV59" s="50">
        <f t="shared" si="37"/>
        <v>5.4489888608472103</v>
      </c>
    </row>
    <row r="60" spans="1:48" s="106" customFormat="1" x14ac:dyDescent="0.35">
      <c r="A60" s="106">
        <v>18</v>
      </c>
      <c r="B60" s="28">
        <v>43719</v>
      </c>
      <c r="C60" s="106">
        <v>40</v>
      </c>
      <c r="D60" s="106">
        <v>134</v>
      </c>
      <c r="E60" s="106">
        <f t="shared" si="18"/>
        <v>5407</v>
      </c>
      <c r="F60" s="25">
        <f t="shared" si="19"/>
        <v>0.98529411764705888</v>
      </c>
      <c r="G60" s="25">
        <f t="shared" si="20"/>
        <v>39.752647058823513</v>
      </c>
      <c r="H60" s="25">
        <f t="shared" si="40"/>
        <v>13.889705882352938</v>
      </c>
      <c r="I60" s="106">
        <v>7.49</v>
      </c>
      <c r="J60" s="106">
        <v>2530</v>
      </c>
      <c r="K60" s="12">
        <v>122</v>
      </c>
      <c r="L60" s="27">
        <v>235</v>
      </c>
      <c r="M60" s="18">
        <v>4.7</v>
      </c>
      <c r="N60" s="18">
        <v>1.2</v>
      </c>
      <c r="O60" s="106">
        <v>1559</v>
      </c>
      <c r="P60" s="106">
        <v>13</v>
      </c>
      <c r="Q60" s="12">
        <v>673</v>
      </c>
      <c r="R60" s="12">
        <v>30.74</v>
      </c>
      <c r="S60" s="12">
        <v>71.14</v>
      </c>
      <c r="T60" s="12">
        <v>25.44</v>
      </c>
      <c r="U60" s="6">
        <v>5.5780000000000003</v>
      </c>
      <c r="V60" s="13">
        <v>0.2</v>
      </c>
      <c r="W60" s="11">
        <v>0.16400000000000001</v>
      </c>
      <c r="X60" s="81">
        <v>0.02</v>
      </c>
      <c r="Y60" s="11">
        <v>0.38200000000000001</v>
      </c>
      <c r="Z60" s="81">
        <v>0.04</v>
      </c>
      <c r="AA60" s="18">
        <v>7.3129999999999997</v>
      </c>
      <c r="AC60" s="25">
        <f t="shared" si="34"/>
        <v>35.050815805600664</v>
      </c>
      <c r="AD60" s="25">
        <f t="shared" si="35"/>
        <v>39.347843568924219</v>
      </c>
      <c r="AE60" s="25">
        <f t="shared" si="5"/>
        <v>5.7756790235858961</v>
      </c>
      <c r="AG60" s="101">
        <v>7.49</v>
      </c>
      <c r="AH60" s="101">
        <v>9.1436299999999999</v>
      </c>
      <c r="AI60" s="101">
        <v>0.60440000000000005</v>
      </c>
      <c r="AJ60" s="101">
        <v>-6.8999999999999999E-3</v>
      </c>
      <c r="AK60" s="101">
        <v>-0.25640000000000002</v>
      </c>
      <c r="AL60" s="101">
        <v>-2.4165000000000001</v>
      </c>
      <c r="AM60" s="101">
        <v>-0.30109999999999998</v>
      </c>
      <c r="AN60" s="101">
        <v>-0.72499999999999998</v>
      </c>
      <c r="AO60" s="101">
        <v>-0.44390000000000002</v>
      </c>
      <c r="AP60" s="101">
        <v>-1.5055000000000001</v>
      </c>
      <c r="AR60" s="50">
        <f t="shared" si="38"/>
        <v>0.23499999999999999</v>
      </c>
      <c r="AS60" s="50">
        <f t="shared" si="36"/>
        <v>1.5214113667117721</v>
      </c>
      <c r="AT60" s="50">
        <f t="shared" si="39"/>
        <v>3.1538400000000001E-2</v>
      </c>
      <c r="AU60" s="50">
        <f t="shared" si="41"/>
        <v>0.89945839999999955</v>
      </c>
      <c r="AV60" s="50">
        <f t="shared" si="37"/>
        <v>6.4740909221777541</v>
      </c>
    </row>
    <row r="61" spans="1:48" s="106" customFormat="1" x14ac:dyDescent="0.35">
      <c r="A61" s="106">
        <v>18</v>
      </c>
      <c r="B61" s="28">
        <v>43720</v>
      </c>
      <c r="C61" s="106">
        <v>41</v>
      </c>
      <c r="D61" s="106">
        <v>136</v>
      </c>
      <c r="E61" s="106">
        <f>E60+D61</f>
        <v>5543</v>
      </c>
      <c r="F61" s="25">
        <f t="shared" si="19"/>
        <v>1</v>
      </c>
      <c r="G61" s="25">
        <f>G60+F61</f>
        <v>40.752647058823513</v>
      </c>
      <c r="H61" s="25">
        <f t="shared" si="40"/>
        <v>14.889705882352938</v>
      </c>
      <c r="I61" s="106">
        <v>7.38</v>
      </c>
      <c r="J61" s="106">
        <v>2460</v>
      </c>
      <c r="K61" s="12">
        <v>115.4</v>
      </c>
      <c r="L61" s="27">
        <v>202</v>
      </c>
      <c r="M61" s="18">
        <v>4.3</v>
      </c>
      <c r="N61" s="18">
        <v>1.2</v>
      </c>
      <c r="O61" s="106">
        <v>1527</v>
      </c>
      <c r="P61" s="106">
        <v>13</v>
      </c>
      <c r="Q61" s="12">
        <v>684.3</v>
      </c>
      <c r="R61" s="12">
        <v>31.77</v>
      </c>
      <c r="S61" s="12">
        <v>53.33</v>
      </c>
      <c r="T61" s="12">
        <v>27.24</v>
      </c>
      <c r="U61" s="6">
        <v>5.1059999999999999</v>
      </c>
      <c r="V61" s="13">
        <v>0.2</v>
      </c>
      <c r="W61" s="11">
        <v>0.126</v>
      </c>
      <c r="X61" s="81">
        <v>0.02</v>
      </c>
      <c r="Y61" s="11">
        <v>0.35799999999999998</v>
      </c>
      <c r="Z61" s="81">
        <v>0.04</v>
      </c>
      <c r="AA61" s="18">
        <v>7.6210000000000004</v>
      </c>
      <c r="AC61" s="25">
        <f t="shared" si="34"/>
        <v>34.24128204746232</v>
      </c>
      <c r="AD61" s="25">
        <f t="shared" si="35"/>
        <v>39.209663515030428</v>
      </c>
      <c r="AE61" s="25">
        <f t="shared" si="5"/>
        <v>6.7642171649661922</v>
      </c>
      <c r="AG61" s="101">
        <v>7.38</v>
      </c>
      <c r="AH61" s="101">
        <v>10.6586</v>
      </c>
      <c r="AI61" s="101">
        <v>0.48409999999999997</v>
      </c>
      <c r="AJ61" s="101">
        <v>-7.0000000000000001E-3</v>
      </c>
      <c r="AK61" s="101">
        <v>-0.25650000000000001</v>
      </c>
      <c r="AL61" s="101">
        <v>-2.3292999999999999</v>
      </c>
      <c r="AM61" s="101">
        <v>-0.5353</v>
      </c>
      <c r="AN61" s="101">
        <v>-0.88129999999999997</v>
      </c>
      <c r="AO61" s="101">
        <v>-0.54490000000000005</v>
      </c>
      <c r="AP61" s="101">
        <v>-1.6194</v>
      </c>
      <c r="AR61" s="50">
        <f t="shared" si="38"/>
        <v>0.20200000000000001</v>
      </c>
      <c r="AS61" s="50">
        <f t="shared" si="36"/>
        <v>1.4756562922868734</v>
      </c>
      <c r="AT61" s="50">
        <f t="shared" si="39"/>
        <v>2.7050400000000006E-2</v>
      </c>
      <c r="AU61" s="50">
        <f t="shared" si="41"/>
        <v>0.87240799999999952</v>
      </c>
      <c r="AV61" s="50">
        <f t="shared" si="37"/>
        <v>7.3052291697369967</v>
      </c>
    </row>
    <row r="62" spans="1:48" s="115" customFormat="1" x14ac:dyDescent="0.35">
      <c r="A62" s="115">
        <v>18</v>
      </c>
      <c r="B62" s="28">
        <v>43721</v>
      </c>
      <c r="C62" s="115">
        <v>42</v>
      </c>
      <c r="D62" s="115">
        <v>136</v>
      </c>
      <c r="E62" s="115">
        <f t="shared" ref="E62" si="42">E61+D62</f>
        <v>5679</v>
      </c>
      <c r="F62" s="25">
        <f t="shared" ref="F62" si="43">D62/136</f>
        <v>1</v>
      </c>
      <c r="G62" s="25">
        <f t="shared" ref="G62" si="44">G61+F62</f>
        <v>41.752647058823513</v>
      </c>
      <c r="H62" s="25">
        <f t="shared" si="40"/>
        <v>15.889705882352938</v>
      </c>
      <c r="I62" s="115">
        <v>7.42</v>
      </c>
      <c r="J62" s="115">
        <v>2430</v>
      </c>
      <c r="K62" s="12">
        <v>113</v>
      </c>
      <c r="L62" s="27">
        <v>180</v>
      </c>
      <c r="M62" s="18">
        <v>4</v>
      </c>
      <c r="N62" s="18">
        <v>1.3</v>
      </c>
      <c r="O62" s="141">
        <v>1455</v>
      </c>
      <c r="P62" s="115">
        <v>14</v>
      </c>
      <c r="Q62" s="12">
        <v>696.7</v>
      </c>
      <c r="R62" s="12">
        <v>28.53</v>
      </c>
      <c r="S62" s="12">
        <v>39.729999999999997</v>
      </c>
      <c r="T62" s="12">
        <v>25.81</v>
      </c>
      <c r="U62" s="6">
        <v>4.4880000000000004</v>
      </c>
      <c r="V62" s="13">
        <v>0.2</v>
      </c>
      <c r="W62" s="103">
        <v>9.6000000000000002E-2</v>
      </c>
      <c r="X62" s="81">
        <v>0.02</v>
      </c>
      <c r="Y62" s="11">
        <v>0.32300000000000001</v>
      </c>
      <c r="Z62" s="81">
        <v>0.04</v>
      </c>
      <c r="AA62" s="18">
        <v>7.4240000000000004</v>
      </c>
      <c r="AC62" s="25">
        <f t="shared" si="34"/>
        <v>32.687369241703344</v>
      </c>
      <c r="AD62" s="25">
        <f t="shared" ref="AD62" si="45">((Q62/20.04)+(R62/12.16)+(S62/22.99)+(U62/39.1))</f>
        <v>38.954611446561472</v>
      </c>
      <c r="AE62" s="25">
        <f t="shared" ref="AE62" si="46">ABS((AC62-AD62)/(AC62+AD62)*100)</f>
        <v>8.7480024207157658</v>
      </c>
      <c r="AG62" s="101">
        <v>7.42</v>
      </c>
      <c r="AH62" s="101">
        <v>13.605700000000001</v>
      </c>
      <c r="AI62" s="101">
        <v>0.53049999999999997</v>
      </c>
      <c r="AJ62" s="101">
        <v>-1.4200000000000001E-2</v>
      </c>
      <c r="AK62" s="101">
        <v>-0.26379999999999998</v>
      </c>
      <c r="AL62" s="101">
        <v>-2.3801000000000001</v>
      </c>
      <c r="AM62" s="101">
        <v>-0.49809999999999999</v>
      </c>
      <c r="AN62" s="101">
        <v>-0.88800000000000001</v>
      </c>
      <c r="AO62" s="101">
        <v>-0.64349999999999996</v>
      </c>
      <c r="AP62" s="101">
        <v>-1.6286</v>
      </c>
      <c r="AR62" s="50">
        <f t="shared" si="38"/>
        <v>0.18</v>
      </c>
      <c r="AS62" s="50">
        <f t="shared" si="36"/>
        <v>1.4349621109607571</v>
      </c>
      <c r="AT62" s="50">
        <f t="shared" si="39"/>
        <v>2.4058400000000001E-2</v>
      </c>
      <c r="AU62" s="50">
        <f t="shared" si="41"/>
        <v>0.84834959999999948</v>
      </c>
      <c r="AV62" s="50">
        <f t="shared" si="37"/>
        <v>7.972011727559762</v>
      </c>
    </row>
    <row r="63" spans="1:48" s="115" customFormat="1" x14ac:dyDescent="0.35">
      <c r="B63" s="28"/>
      <c r="F63" s="25"/>
      <c r="G63" s="25"/>
      <c r="H63" s="25"/>
      <c r="L63" s="27"/>
      <c r="M63" s="26"/>
      <c r="N63" s="26"/>
      <c r="V63" s="27"/>
      <c r="W63" s="27"/>
      <c r="X63" s="33"/>
      <c r="Y63" s="27"/>
      <c r="Z63" s="27"/>
      <c r="AA63" s="27"/>
      <c r="AC63" s="25"/>
      <c r="AD63" s="25"/>
      <c r="AE63" s="25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R63" s="50"/>
      <c r="AS63" s="50"/>
      <c r="AT63" s="50"/>
      <c r="AU63" s="50"/>
      <c r="AV63" s="50"/>
    </row>
    <row r="64" spans="1:48" s="115" customFormat="1" x14ac:dyDescent="0.35">
      <c r="B64" s="28"/>
      <c r="F64" s="25"/>
      <c r="G64" s="25"/>
      <c r="H64" s="25"/>
      <c r="L64" s="27"/>
      <c r="M64" s="26"/>
      <c r="N64" s="26"/>
      <c r="V64" s="27"/>
      <c r="W64" s="27"/>
      <c r="X64" s="33"/>
      <c r="Y64" s="27"/>
      <c r="Z64" s="27"/>
      <c r="AA64" s="27"/>
      <c r="AC64" s="25"/>
      <c r="AD64" s="25"/>
      <c r="AE64" s="25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R64" s="50"/>
      <c r="AS64" s="50"/>
      <c r="AT64" s="50"/>
      <c r="AU64" s="50"/>
      <c r="AV64" s="50"/>
    </row>
    <row r="65" spans="1:48" s="115" customFormat="1" x14ac:dyDescent="0.35">
      <c r="B65" s="28"/>
      <c r="F65" s="25"/>
      <c r="G65" s="25"/>
      <c r="H65" s="25"/>
      <c r="L65" s="27"/>
      <c r="M65" s="26"/>
      <c r="N65" s="26"/>
      <c r="V65" s="27"/>
      <c r="W65" s="27"/>
      <c r="X65" s="33"/>
      <c r="Y65" s="27"/>
      <c r="Z65" s="27"/>
      <c r="AA65" s="27"/>
      <c r="AC65" s="25"/>
      <c r="AD65" s="25"/>
      <c r="AE65" s="25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R65" s="106"/>
      <c r="AS65" s="106"/>
      <c r="AT65" s="106"/>
      <c r="AU65" s="106"/>
      <c r="AV65" s="106"/>
    </row>
    <row r="66" spans="1:48" s="115" customFormat="1" x14ac:dyDescent="0.35">
      <c r="B66" s="28"/>
      <c r="F66" s="25"/>
      <c r="G66" s="25"/>
      <c r="H66" s="25"/>
      <c r="L66" s="27"/>
      <c r="M66" s="26"/>
      <c r="N66" s="26"/>
      <c r="AC66" s="25"/>
      <c r="AD66" s="25"/>
      <c r="AE66" s="25"/>
      <c r="AG66" s="71"/>
      <c r="AH66" s="71"/>
      <c r="AI66" s="71"/>
      <c r="AJ66" s="71"/>
      <c r="AK66" s="71"/>
      <c r="AL66" s="71"/>
      <c r="AM66" s="71"/>
      <c r="AN66" s="71"/>
      <c r="AO66" s="71"/>
      <c r="AP66" s="71"/>
    </row>
    <row r="67" spans="1:48" x14ac:dyDescent="0.35">
      <c r="B67" s="28"/>
      <c r="F67" s="25"/>
      <c r="G67" s="25"/>
      <c r="H67" s="25"/>
      <c r="L67" s="27"/>
      <c r="M67" s="27"/>
      <c r="Q67" s="6"/>
      <c r="S67" s="13"/>
      <c r="T67" s="13"/>
      <c r="U67" s="13"/>
      <c r="V67" s="27"/>
      <c r="W67" s="27"/>
      <c r="X67" s="27"/>
      <c r="Y67" s="27"/>
      <c r="Z67" s="27"/>
      <c r="AA67" s="27"/>
      <c r="AC67" s="25"/>
      <c r="AD67" s="25"/>
      <c r="AE67" s="25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R67" s="115"/>
      <c r="AS67" s="115"/>
      <c r="AT67" s="115"/>
      <c r="AU67" s="115"/>
      <c r="AV67" s="115"/>
    </row>
    <row r="68" spans="1:48" x14ac:dyDescent="0.35">
      <c r="B68" s="28"/>
      <c r="F68" s="25"/>
      <c r="G68" s="25"/>
      <c r="H68" s="25"/>
      <c r="L68" s="27"/>
      <c r="M68" s="27"/>
      <c r="Q68" s="18"/>
      <c r="R68" s="27"/>
      <c r="S68" s="11"/>
      <c r="T68" s="11"/>
      <c r="U68" s="11"/>
      <c r="V68" s="27"/>
      <c r="W68" s="27"/>
      <c r="X68" s="27"/>
      <c r="Y68" s="27"/>
      <c r="Z68" s="27"/>
      <c r="AA68" s="27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R68" s="115"/>
      <c r="AS68" s="115"/>
      <c r="AT68" s="115"/>
      <c r="AU68" s="115"/>
      <c r="AV68" s="115"/>
    </row>
    <row r="69" spans="1:48" x14ac:dyDescent="0.35">
      <c r="A69" s="31" t="s">
        <v>33</v>
      </c>
      <c r="F69" s="25"/>
      <c r="G69" s="25"/>
      <c r="H69" s="25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R69" s="115"/>
      <c r="AS69" s="115"/>
      <c r="AT69" s="115"/>
      <c r="AU69" s="115"/>
      <c r="AV69" s="115"/>
    </row>
    <row r="70" spans="1:48" x14ac:dyDescent="0.35"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R70" s="115"/>
      <c r="AS70" s="115"/>
      <c r="AT70" s="115"/>
      <c r="AU70" s="115"/>
      <c r="AV70" s="115"/>
    </row>
    <row r="71" spans="1:48" x14ac:dyDescent="0.35">
      <c r="A71" s="31" t="s">
        <v>10</v>
      </c>
      <c r="B71" s="31" t="s">
        <v>14</v>
      </c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G71" s="71"/>
      <c r="AH71" s="71"/>
      <c r="AI71" s="71"/>
      <c r="AJ71" s="71"/>
      <c r="AK71" s="71"/>
      <c r="AL71" s="71"/>
      <c r="AM71" s="71"/>
      <c r="AN71" s="71"/>
      <c r="AO71" s="71"/>
      <c r="AP71" s="71"/>
    </row>
    <row r="72" spans="1:48" x14ac:dyDescent="0.35">
      <c r="A72" s="28">
        <v>43681</v>
      </c>
      <c r="B72" s="31">
        <v>7.01</v>
      </c>
      <c r="V72" s="27"/>
      <c r="W72" s="27"/>
      <c r="X72" s="27"/>
      <c r="Y72" s="27"/>
      <c r="Z72" s="27"/>
      <c r="AA72" s="27"/>
    </row>
    <row r="73" spans="1:48" x14ac:dyDescent="0.35">
      <c r="A73" s="28">
        <v>43682</v>
      </c>
      <c r="B73" s="31">
        <v>7.68</v>
      </c>
      <c r="E73" s="28"/>
      <c r="V73" s="27"/>
      <c r="W73" s="27"/>
      <c r="X73" s="27"/>
      <c r="Y73" s="27"/>
      <c r="Z73" s="27"/>
      <c r="AA73" s="27"/>
    </row>
    <row r="74" spans="1:48" x14ac:dyDescent="0.35">
      <c r="A74" s="28">
        <v>43683</v>
      </c>
      <c r="B74" s="31">
        <v>7.58</v>
      </c>
      <c r="E74" s="28"/>
      <c r="V74" s="27"/>
      <c r="W74" s="27"/>
      <c r="X74" s="27"/>
      <c r="Y74" s="27"/>
      <c r="Z74" s="27"/>
      <c r="AA74" s="27"/>
    </row>
    <row r="75" spans="1:48" x14ac:dyDescent="0.35">
      <c r="A75" s="28">
        <v>43684</v>
      </c>
      <c r="B75" s="31">
        <v>7.8</v>
      </c>
      <c r="E75" s="28"/>
      <c r="V75" s="27"/>
      <c r="W75" s="27"/>
      <c r="X75" s="27"/>
      <c r="Y75" s="27"/>
      <c r="Z75" s="27"/>
      <c r="AA75" s="27"/>
    </row>
    <row r="76" spans="1:48" x14ac:dyDescent="0.35">
      <c r="A76" s="28">
        <v>43685</v>
      </c>
      <c r="B76" s="31">
        <v>7.76</v>
      </c>
      <c r="E76" s="28"/>
      <c r="V76" s="27"/>
      <c r="W76" s="27"/>
      <c r="X76" s="27"/>
      <c r="Y76" s="27"/>
      <c r="Z76" s="27"/>
      <c r="AA76" s="27"/>
    </row>
    <row r="77" spans="1:48" x14ac:dyDescent="0.35">
      <c r="A77" s="28">
        <v>43700</v>
      </c>
      <c r="B77" s="31">
        <v>7.2</v>
      </c>
      <c r="E77" s="28"/>
      <c r="V77" s="27"/>
      <c r="W77" s="27"/>
      <c r="X77" s="27"/>
      <c r="Y77" s="27"/>
      <c r="Z77" s="27"/>
      <c r="AA77" s="27"/>
    </row>
    <row r="78" spans="1:48" x14ac:dyDescent="0.35">
      <c r="A78" s="28">
        <v>43701</v>
      </c>
      <c r="B78" s="31">
        <v>7.35</v>
      </c>
      <c r="E78" s="28"/>
      <c r="V78" s="27"/>
      <c r="W78" s="27"/>
      <c r="X78" s="27"/>
      <c r="Y78" s="27"/>
      <c r="Z78" s="27"/>
      <c r="AA78" s="27"/>
    </row>
    <row r="79" spans="1:48" x14ac:dyDescent="0.35">
      <c r="A79" s="28">
        <v>43702</v>
      </c>
      <c r="B79" s="31">
        <v>7.3</v>
      </c>
      <c r="E79" s="28"/>
      <c r="V79" s="27"/>
      <c r="W79" s="27"/>
      <c r="X79" s="27"/>
      <c r="Y79" s="27"/>
      <c r="Z79" s="27"/>
      <c r="AA79" s="27"/>
    </row>
    <row r="80" spans="1:48" x14ac:dyDescent="0.35">
      <c r="A80" s="28">
        <v>43703</v>
      </c>
      <c r="B80" s="31">
        <v>7.28</v>
      </c>
      <c r="E80" s="28"/>
      <c r="V80" s="27"/>
      <c r="W80" s="27"/>
      <c r="X80" s="27"/>
      <c r="Y80" s="27"/>
      <c r="Z80" s="27"/>
      <c r="AA80" s="27"/>
    </row>
    <row r="81" spans="1:27" x14ac:dyDescent="0.35">
      <c r="A81" s="28">
        <v>43704</v>
      </c>
      <c r="B81" s="31">
        <v>7.25</v>
      </c>
      <c r="E81" s="28"/>
      <c r="V81" s="27"/>
      <c r="W81" s="27"/>
      <c r="X81" s="27"/>
      <c r="Y81" s="27"/>
      <c r="Z81" s="27"/>
      <c r="AA81" s="27"/>
    </row>
    <row r="82" spans="1:27" x14ac:dyDescent="0.35">
      <c r="A82" s="28">
        <v>43705</v>
      </c>
      <c r="B82" s="31">
        <v>7.22</v>
      </c>
      <c r="E82" s="28"/>
      <c r="V82" s="27"/>
      <c r="W82" s="27"/>
      <c r="X82" s="27"/>
      <c r="Y82" s="27"/>
      <c r="Z82" s="27"/>
      <c r="AA82" s="27"/>
    </row>
    <row r="83" spans="1:27" x14ac:dyDescent="0.35">
      <c r="A83" s="28">
        <v>43706</v>
      </c>
      <c r="B83" s="31">
        <v>7.25</v>
      </c>
      <c r="E83" s="28"/>
      <c r="V83" s="27"/>
      <c r="W83" s="27"/>
      <c r="X83" s="27"/>
      <c r="Y83" s="27"/>
      <c r="Z83" s="27"/>
      <c r="AA83" s="27"/>
    </row>
    <row r="84" spans="1:27" x14ac:dyDescent="0.35">
      <c r="A84" s="28">
        <v>43711</v>
      </c>
      <c r="B84" s="31">
        <v>7.26</v>
      </c>
      <c r="E84" s="28"/>
      <c r="V84" s="27"/>
      <c r="W84" s="27"/>
      <c r="X84" s="27"/>
      <c r="Y84" s="27"/>
      <c r="Z84" s="27"/>
      <c r="AA84" s="27"/>
    </row>
    <row r="85" spans="1:27" x14ac:dyDescent="0.35">
      <c r="A85" s="28">
        <v>43712</v>
      </c>
      <c r="B85" s="31">
        <v>7.21</v>
      </c>
      <c r="E85" s="28"/>
      <c r="V85" s="27"/>
      <c r="W85" s="27"/>
      <c r="X85" s="27"/>
      <c r="Y85" s="27"/>
      <c r="Z85" s="27"/>
      <c r="AA85" s="27"/>
    </row>
    <row r="86" spans="1:27" x14ac:dyDescent="0.35">
      <c r="A86" s="28">
        <v>43713</v>
      </c>
      <c r="B86" s="31">
        <v>7.29</v>
      </c>
      <c r="F86" s="25"/>
      <c r="G86" s="25"/>
      <c r="H86" s="25"/>
      <c r="V86" s="27"/>
      <c r="W86" s="27"/>
      <c r="X86" s="27"/>
      <c r="Y86" s="27"/>
      <c r="Z86" s="27"/>
      <c r="AA86" s="27"/>
    </row>
    <row r="87" spans="1:27" x14ac:dyDescent="0.35">
      <c r="A87" s="28">
        <v>43714</v>
      </c>
      <c r="B87" s="31">
        <v>7.29</v>
      </c>
      <c r="F87" s="25"/>
      <c r="G87" s="25"/>
      <c r="H87" s="25"/>
      <c r="V87" s="27"/>
      <c r="W87" s="27"/>
      <c r="X87" s="27"/>
      <c r="Y87" s="27"/>
      <c r="Z87" s="27"/>
      <c r="AA87" s="27"/>
    </row>
    <row r="88" spans="1:27" x14ac:dyDescent="0.35">
      <c r="A88" s="28">
        <v>43715</v>
      </c>
      <c r="F88" s="25"/>
      <c r="G88" s="25"/>
      <c r="H88" s="25"/>
      <c r="V88" s="27"/>
      <c r="W88" s="27"/>
      <c r="X88" s="27"/>
      <c r="Y88" s="27"/>
      <c r="Z88" s="27"/>
      <c r="AA88" s="27"/>
    </row>
    <row r="89" spans="1:27" x14ac:dyDescent="0.35">
      <c r="A89" s="28"/>
      <c r="V89" s="27"/>
      <c r="W89" s="27"/>
      <c r="X89" s="27"/>
      <c r="Y89" s="27"/>
      <c r="Z89" s="27"/>
      <c r="AA89" s="27"/>
    </row>
    <row r="90" spans="1:27" x14ac:dyDescent="0.35">
      <c r="A90" s="28"/>
      <c r="B90" s="85"/>
      <c r="F90" s="25"/>
      <c r="G90" s="25"/>
      <c r="H90" s="25"/>
      <c r="V90" s="27"/>
      <c r="W90" s="27"/>
      <c r="X90" s="27"/>
      <c r="Y90" s="27"/>
      <c r="Z90" s="27"/>
      <c r="AA90" s="27"/>
    </row>
    <row r="91" spans="1:27" x14ac:dyDescent="0.35">
      <c r="A91" s="28"/>
      <c r="F91" s="25"/>
      <c r="G91" s="25"/>
      <c r="H91" s="25"/>
      <c r="V91" s="27"/>
      <c r="W91" s="27"/>
      <c r="X91" s="27"/>
      <c r="Y91" s="27"/>
      <c r="Z91" s="27"/>
      <c r="AA91" s="27"/>
    </row>
    <row r="92" spans="1:27" x14ac:dyDescent="0.35">
      <c r="A92" s="28"/>
      <c r="F92" s="25"/>
      <c r="G92" s="25"/>
      <c r="H92" s="25"/>
      <c r="V92" s="27"/>
      <c r="W92" s="27"/>
      <c r="X92" s="27"/>
      <c r="Y92" s="27"/>
      <c r="Z92" s="27"/>
      <c r="AA92" s="27"/>
    </row>
    <row r="93" spans="1:27" x14ac:dyDescent="0.35">
      <c r="A93" s="28"/>
      <c r="F93" s="25"/>
      <c r="G93" s="25"/>
      <c r="H93" s="25"/>
      <c r="V93" s="27"/>
      <c r="W93" s="27"/>
      <c r="X93" s="27"/>
      <c r="Y93" s="27"/>
      <c r="Z93" s="27"/>
      <c r="AA93" s="27"/>
    </row>
    <row r="94" spans="1:27" x14ac:dyDescent="0.35">
      <c r="A94" s="28"/>
      <c r="F94" s="25"/>
      <c r="G94" s="25"/>
      <c r="H94" s="25"/>
      <c r="V94" s="27"/>
      <c r="W94" s="27"/>
      <c r="X94" s="27"/>
      <c r="Y94" s="27"/>
      <c r="Z94" s="27"/>
      <c r="AA94" s="27"/>
    </row>
    <row r="95" spans="1:27" x14ac:dyDescent="0.35">
      <c r="A95" s="28"/>
      <c r="F95" s="25"/>
      <c r="G95" s="25"/>
      <c r="H95" s="25"/>
      <c r="V95" s="27"/>
      <c r="W95" s="27"/>
      <c r="X95" s="27"/>
      <c r="Y95" s="27"/>
      <c r="Z95" s="27"/>
      <c r="AA95" s="27"/>
    </row>
    <row r="96" spans="1:27" x14ac:dyDescent="0.35">
      <c r="A96" s="28"/>
      <c r="F96" s="25"/>
      <c r="G96" s="25"/>
      <c r="H96" s="25"/>
      <c r="N96" s="27"/>
      <c r="O96" s="27"/>
      <c r="P96" s="27"/>
      <c r="Q96" s="27"/>
      <c r="R96" s="27"/>
      <c r="S96" s="26"/>
      <c r="T96" s="26"/>
      <c r="U96" s="26"/>
      <c r="V96" s="27"/>
      <c r="W96" s="27"/>
      <c r="X96" s="18"/>
      <c r="Y96" s="27"/>
      <c r="Z96" s="27"/>
      <c r="AA96" s="27"/>
    </row>
    <row r="97" spans="1:27" x14ac:dyDescent="0.35">
      <c r="A97" s="28"/>
      <c r="F97" s="25"/>
      <c r="G97" s="25"/>
      <c r="H97" s="25"/>
      <c r="N97" s="27"/>
      <c r="O97" s="27"/>
      <c r="P97" s="27"/>
      <c r="Q97" s="27"/>
      <c r="R97" s="27"/>
      <c r="S97" s="26"/>
      <c r="T97" s="26"/>
      <c r="U97" s="26"/>
      <c r="V97" s="27"/>
      <c r="W97" s="27"/>
      <c r="X97" s="18"/>
      <c r="Y97" s="27"/>
      <c r="Z97" s="27"/>
      <c r="AA97" s="27"/>
    </row>
    <row r="98" spans="1:27" x14ac:dyDescent="0.35">
      <c r="A98" s="28"/>
      <c r="F98" s="25"/>
      <c r="G98" s="25"/>
      <c r="H98" s="25"/>
      <c r="S98" s="26"/>
      <c r="T98" s="26"/>
      <c r="U98" s="26"/>
      <c r="V98" s="27"/>
      <c r="W98" s="27"/>
      <c r="X98" s="18"/>
      <c r="Y98" s="27"/>
      <c r="Z98" s="27"/>
      <c r="AA98" s="27"/>
    </row>
    <row r="99" spans="1:27" x14ac:dyDescent="0.35">
      <c r="A99" s="28"/>
      <c r="F99" s="25"/>
      <c r="G99" s="25"/>
      <c r="H99" s="25"/>
      <c r="V99" s="27"/>
      <c r="W99" s="27"/>
      <c r="X99" s="27"/>
      <c r="Y99" s="27"/>
      <c r="Z99" s="27"/>
      <c r="AA99" s="27"/>
    </row>
    <row r="100" spans="1:27" x14ac:dyDescent="0.35">
      <c r="A100" s="28"/>
      <c r="F100" s="25"/>
      <c r="G100" s="25"/>
      <c r="H100" s="25"/>
      <c r="V100" s="27"/>
      <c r="W100" s="27"/>
      <c r="X100" s="27"/>
      <c r="Y100" s="27"/>
      <c r="Z100" s="27"/>
      <c r="AA100" s="27"/>
    </row>
    <row r="101" spans="1:27" x14ac:dyDescent="0.35">
      <c r="A101" s="28"/>
      <c r="F101" s="25"/>
      <c r="G101" s="25"/>
      <c r="H101" s="25"/>
      <c r="V101" s="27"/>
      <c r="W101" s="27"/>
      <c r="X101" s="27"/>
      <c r="Y101" s="27"/>
      <c r="Z101" s="27"/>
      <c r="AA101" s="27"/>
    </row>
    <row r="102" spans="1:27" x14ac:dyDescent="0.35">
      <c r="A102" s="28"/>
      <c r="B102" s="25"/>
      <c r="F102" s="25"/>
      <c r="G102" s="25"/>
      <c r="H102" s="25"/>
      <c r="V102" s="27"/>
      <c r="W102" s="27"/>
      <c r="X102" s="27"/>
      <c r="Y102" s="27"/>
      <c r="Z102" s="27"/>
      <c r="AA102" s="27"/>
    </row>
    <row r="103" spans="1:27" x14ac:dyDescent="0.35">
      <c r="A103" s="28"/>
      <c r="B103" s="85"/>
      <c r="F103" s="25"/>
      <c r="G103" s="25"/>
      <c r="H103" s="25"/>
      <c r="V103" s="27"/>
      <c r="W103" s="27"/>
      <c r="X103" s="27"/>
      <c r="Y103" s="27"/>
      <c r="Z103" s="27"/>
      <c r="AA103" s="27"/>
    </row>
    <row r="104" spans="1:27" x14ac:dyDescent="0.35">
      <c r="A104" s="28"/>
      <c r="B104" s="25"/>
      <c r="F104" s="25"/>
      <c r="G104" s="25"/>
      <c r="H104" s="25"/>
      <c r="I104" s="25"/>
      <c r="L104" s="27"/>
      <c r="M104" s="27"/>
      <c r="V104" s="27"/>
      <c r="W104" s="27"/>
      <c r="X104" s="27"/>
      <c r="Y104" s="27"/>
      <c r="Z104" s="27"/>
      <c r="AA104" s="27"/>
    </row>
    <row r="105" spans="1:27" x14ac:dyDescent="0.35">
      <c r="A105" s="28"/>
      <c r="B105" s="25"/>
      <c r="F105" s="25"/>
      <c r="G105" s="25"/>
      <c r="H105" s="25"/>
      <c r="L105" s="27"/>
      <c r="M105" s="27"/>
      <c r="S105" s="27"/>
      <c r="T105" s="27"/>
      <c r="U105" s="27"/>
      <c r="V105" s="11"/>
      <c r="W105" s="27"/>
      <c r="X105" s="27"/>
      <c r="Y105" s="27"/>
      <c r="Z105" s="27"/>
      <c r="AA105" s="27"/>
    </row>
    <row r="106" spans="1:27" x14ac:dyDescent="0.35">
      <c r="A106" s="28"/>
      <c r="B106" s="25"/>
      <c r="F106" s="25"/>
      <c r="G106" s="25"/>
      <c r="H106" s="25"/>
      <c r="L106" s="27"/>
      <c r="M106" s="27"/>
      <c r="P106" s="6"/>
      <c r="S106" s="27"/>
      <c r="T106" s="27"/>
      <c r="U106" s="27"/>
      <c r="V106" s="11"/>
      <c r="W106" s="18"/>
      <c r="X106" s="27"/>
      <c r="Y106" s="27"/>
      <c r="Z106" s="27"/>
      <c r="AA106" s="27"/>
    </row>
    <row r="107" spans="1:27" x14ac:dyDescent="0.35">
      <c r="A107" s="28"/>
      <c r="B107" s="25"/>
      <c r="F107" s="25"/>
      <c r="G107" s="25"/>
      <c r="H107" s="25"/>
      <c r="K107" s="27"/>
      <c r="L107" s="27"/>
      <c r="M107" s="27"/>
      <c r="S107" s="27"/>
      <c r="T107" s="27"/>
      <c r="U107" s="27"/>
      <c r="V107" s="11"/>
      <c r="W107" s="27"/>
      <c r="X107" s="21"/>
      <c r="Y107" s="27"/>
      <c r="Z107" s="27"/>
      <c r="AA107" s="27"/>
    </row>
    <row r="108" spans="1:27" x14ac:dyDescent="0.35">
      <c r="A108" s="28"/>
      <c r="B108" s="25"/>
      <c r="F108" s="25"/>
      <c r="G108" s="25"/>
      <c r="H108" s="25"/>
      <c r="K108" s="27"/>
      <c r="L108" s="27"/>
      <c r="M108" s="27"/>
      <c r="P108" s="27"/>
      <c r="S108" s="27"/>
      <c r="T108" s="27"/>
      <c r="U108" s="27"/>
      <c r="V108" s="11"/>
      <c r="W108" s="18"/>
      <c r="X108" s="27"/>
      <c r="Y108" s="27"/>
      <c r="Z108" s="27"/>
      <c r="AA108" s="27"/>
    </row>
    <row r="109" spans="1:27" x14ac:dyDescent="0.35">
      <c r="A109" s="28"/>
      <c r="B109" s="25"/>
      <c r="F109" s="25"/>
      <c r="G109" s="25"/>
      <c r="H109" s="25"/>
      <c r="K109" s="27"/>
      <c r="L109" s="27"/>
      <c r="M109" s="27"/>
      <c r="P109" s="27"/>
      <c r="S109" s="27"/>
      <c r="T109" s="27"/>
      <c r="U109" s="27"/>
      <c r="V109" s="11"/>
      <c r="W109" s="18"/>
      <c r="X109" s="27"/>
      <c r="Y109" s="27"/>
      <c r="Z109" s="27"/>
      <c r="AA109" s="27"/>
    </row>
    <row r="110" spans="1:27" x14ac:dyDescent="0.35">
      <c r="A110" s="28"/>
      <c r="B110" s="25"/>
      <c r="F110" s="25"/>
      <c r="G110" s="25"/>
      <c r="H110" s="25"/>
      <c r="K110" s="27"/>
      <c r="L110" s="27"/>
      <c r="M110" s="27"/>
      <c r="P110" s="27"/>
      <c r="S110" s="27"/>
      <c r="T110" s="27"/>
      <c r="U110" s="27"/>
      <c r="V110" s="11"/>
      <c r="W110" s="18"/>
      <c r="X110" s="27"/>
      <c r="Y110" s="27"/>
      <c r="Z110" s="27"/>
      <c r="AA110" s="27"/>
    </row>
    <row r="111" spans="1:27" x14ac:dyDescent="0.35">
      <c r="B111" s="28"/>
      <c r="F111" s="25"/>
      <c r="G111" s="25"/>
      <c r="H111" s="25"/>
      <c r="K111" s="27"/>
      <c r="L111" s="27"/>
      <c r="M111" s="27"/>
      <c r="P111" s="27"/>
      <c r="S111" s="27"/>
      <c r="T111" s="27"/>
      <c r="U111" s="27"/>
      <c r="V111" s="11"/>
      <c r="W111" s="18"/>
      <c r="X111" s="27"/>
      <c r="Y111" s="27"/>
      <c r="Z111" s="27"/>
      <c r="AA111" s="27"/>
    </row>
    <row r="112" spans="1:27" x14ac:dyDescent="0.35">
      <c r="B112" s="28"/>
      <c r="F112" s="25"/>
      <c r="G112" s="25"/>
      <c r="H112" s="25"/>
      <c r="K112" s="27"/>
      <c r="L112" s="27"/>
      <c r="M112" s="27"/>
      <c r="P112" s="27"/>
      <c r="S112" s="26"/>
      <c r="T112" s="26"/>
      <c r="U112" s="26"/>
      <c r="V112" s="11"/>
      <c r="W112" s="18"/>
      <c r="X112" s="27"/>
      <c r="Y112" s="27"/>
      <c r="Z112" s="27"/>
      <c r="AA112" s="27"/>
    </row>
    <row r="113" spans="1:27" x14ac:dyDescent="0.35">
      <c r="F113" s="25"/>
      <c r="G113" s="25"/>
      <c r="H113" s="25"/>
      <c r="V113" s="27"/>
      <c r="W113" s="27"/>
      <c r="X113" s="27"/>
      <c r="Y113" s="27"/>
      <c r="Z113" s="27"/>
      <c r="AA113" s="27"/>
    </row>
    <row r="114" spans="1:27" x14ac:dyDescent="0.35">
      <c r="F114" s="25"/>
      <c r="G114" s="25"/>
      <c r="H114" s="25"/>
      <c r="V114" s="27"/>
      <c r="W114" s="27"/>
      <c r="X114" s="27"/>
      <c r="Y114" s="27"/>
      <c r="Z114" s="27"/>
      <c r="AA114" s="27"/>
    </row>
    <row r="115" spans="1:27" x14ac:dyDescent="0.35">
      <c r="F115" s="25"/>
      <c r="G115" s="25"/>
      <c r="H115" s="25"/>
      <c r="V115" s="27"/>
      <c r="W115" s="27"/>
      <c r="X115" s="27"/>
      <c r="Y115" s="27"/>
      <c r="Z115" s="27"/>
      <c r="AA115" s="27"/>
    </row>
    <row r="116" spans="1:27" x14ac:dyDescent="0.35">
      <c r="V116" s="27"/>
      <c r="W116" s="27"/>
      <c r="X116" s="27"/>
      <c r="Y116" s="27"/>
      <c r="Z116" s="27"/>
      <c r="AA116" s="27"/>
    </row>
    <row r="117" spans="1:27" x14ac:dyDescent="0.35">
      <c r="V117" s="27"/>
      <c r="W117" s="27"/>
      <c r="X117" s="27"/>
      <c r="Y117" s="27"/>
      <c r="Z117" s="27"/>
      <c r="AA117" s="27"/>
    </row>
    <row r="118" spans="1:27" x14ac:dyDescent="0.35">
      <c r="V118" s="27"/>
      <c r="W118" s="27"/>
      <c r="X118" s="27"/>
      <c r="Y118" s="27"/>
      <c r="Z118" s="27"/>
      <c r="AA118" s="27"/>
    </row>
    <row r="119" spans="1:27" x14ac:dyDescent="0.35">
      <c r="V119" s="27"/>
      <c r="W119" s="27"/>
      <c r="X119" s="27"/>
      <c r="Y119" s="27"/>
      <c r="Z119" s="27"/>
      <c r="AA119" s="27"/>
    </row>
    <row r="120" spans="1:27" x14ac:dyDescent="0.35">
      <c r="V120" s="27"/>
      <c r="W120" s="27"/>
      <c r="X120" s="27"/>
      <c r="Y120" s="27"/>
      <c r="Z120" s="27"/>
      <c r="AA120" s="27"/>
    </row>
    <row r="121" spans="1:27" x14ac:dyDescent="0.35">
      <c r="V121" s="27"/>
      <c r="W121" s="27"/>
      <c r="X121" s="27"/>
      <c r="Y121" s="27"/>
      <c r="Z121" s="27"/>
      <c r="AA121" s="27"/>
    </row>
    <row r="122" spans="1:27" x14ac:dyDescent="0.35">
      <c r="A122" s="28"/>
      <c r="E122" s="28"/>
      <c r="K122" s="28"/>
      <c r="V122" s="27"/>
      <c r="W122" s="27"/>
      <c r="X122" s="27"/>
      <c r="Y122" s="27"/>
      <c r="Z122" s="27"/>
      <c r="AA122" s="27"/>
    </row>
    <row r="123" spans="1:27" x14ac:dyDescent="0.35">
      <c r="A123" s="28"/>
      <c r="E123" s="28"/>
      <c r="V123" s="27"/>
      <c r="W123" s="27"/>
      <c r="X123" s="27"/>
      <c r="Y123" s="27"/>
      <c r="Z123" s="27"/>
      <c r="AA123" s="27"/>
    </row>
    <row r="124" spans="1:27" x14ac:dyDescent="0.35">
      <c r="A124" s="28"/>
      <c r="E124" s="28"/>
      <c r="K124" s="28"/>
      <c r="V124" s="27"/>
      <c r="W124" s="27"/>
      <c r="X124" s="27"/>
      <c r="Y124" s="27"/>
      <c r="Z124" s="27"/>
      <c r="AA124" s="27"/>
    </row>
    <row r="125" spans="1:27" x14ac:dyDescent="0.35">
      <c r="A125" s="28"/>
      <c r="E125" s="28"/>
      <c r="K125" s="28"/>
      <c r="V125" s="27"/>
      <c r="W125" s="27"/>
      <c r="X125" s="27"/>
      <c r="Y125" s="27"/>
      <c r="Z125" s="27"/>
      <c r="AA125" s="27"/>
    </row>
    <row r="126" spans="1:27" x14ac:dyDescent="0.35">
      <c r="A126" s="28"/>
      <c r="E126" s="28"/>
      <c r="K126" s="28"/>
      <c r="V126" s="27"/>
      <c r="W126" s="27"/>
      <c r="X126" s="27"/>
      <c r="Y126" s="27"/>
      <c r="Z126" s="27"/>
      <c r="AA126" s="27"/>
    </row>
    <row r="127" spans="1:27" x14ac:dyDescent="0.35">
      <c r="A127" s="28"/>
      <c r="E127" s="28"/>
      <c r="K127" s="28"/>
      <c r="V127" s="27"/>
      <c r="W127" s="27"/>
      <c r="X127" s="27"/>
      <c r="Y127" s="27"/>
      <c r="Z127" s="27"/>
      <c r="AA127" s="27"/>
    </row>
    <row r="128" spans="1:27" x14ac:dyDescent="0.35">
      <c r="A128" s="28"/>
      <c r="E128" s="28"/>
      <c r="K128" s="28"/>
      <c r="V128" s="27"/>
      <c r="W128" s="27"/>
      <c r="X128" s="27"/>
      <c r="Y128" s="27"/>
      <c r="Z128" s="27"/>
      <c r="AA128" s="27"/>
    </row>
    <row r="129" spans="1:27" x14ac:dyDescent="0.35">
      <c r="A129" s="28"/>
      <c r="E129" s="28"/>
      <c r="K129" s="28"/>
      <c r="V129" s="27"/>
      <c r="W129" s="27"/>
      <c r="X129" s="27"/>
      <c r="Y129" s="27"/>
      <c r="Z129" s="27"/>
      <c r="AA129" s="27"/>
    </row>
    <row r="130" spans="1:27" x14ac:dyDescent="0.35">
      <c r="A130" s="28"/>
      <c r="E130" s="28"/>
      <c r="K130" s="28"/>
      <c r="V130" s="27"/>
      <c r="W130" s="27"/>
      <c r="X130" s="27"/>
      <c r="Y130" s="27"/>
      <c r="Z130" s="27"/>
      <c r="AA130" s="27"/>
    </row>
    <row r="131" spans="1:27" x14ac:dyDescent="0.35">
      <c r="A131" s="28"/>
      <c r="E131" s="28"/>
      <c r="K131" s="28"/>
      <c r="V131" s="27"/>
      <c r="W131" s="27"/>
      <c r="X131" s="27"/>
      <c r="Y131" s="27"/>
      <c r="Z131" s="27"/>
      <c r="AA131" s="27"/>
    </row>
    <row r="132" spans="1:27" x14ac:dyDescent="0.35">
      <c r="A132" s="28"/>
      <c r="E132" s="28"/>
      <c r="K132" s="28"/>
      <c r="V132" s="27"/>
      <c r="W132" s="27"/>
      <c r="X132" s="27"/>
      <c r="Y132" s="27"/>
      <c r="Z132" s="27"/>
      <c r="AA132" s="27"/>
    </row>
    <row r="133" spans="1:27" x14ac:dyDescent="0.35">
      <c r="A133" s="28"/>
      <c r="E133" s="28"/>
      <c r="K133" s="28"/>
      <c r="V133" s="27"/>
      <c r="W133" s="27"/>
      <c r="X133" s="27"/>
      <c r="Y133" s="27"/>
      <c r="Z133" s="27"/>
      <c r="AA133" s="27"/>
    </row>
    <row r="134" spans="1:27" x14ac:dyDescent="0.35">
      <c r="A134" s="28"/>
      <c r="E134" s="28"/>
      <c r="K134" s="28"/>
      <c r="V134" s="27"/>
      <c r="W134" s="27"/>
      <c r="X134" s="27"/>
      <c r="Y134" s="27"/>
      <c r="Z134" s="27"/>
      <c r="AA134" s="27"/>
    </row>
    <row r="135" spans="1:27" x14ac:dyDescent="0.35">
      <c r="A135" s="28"/>
      <c r="F135" s="25"/>
      <c r="G135" s="25"/>
      <c r="H135" s="25"/>
      <c r="V135" s="27"/>
      <c r="W135" s="27"/>
      <c r="X135" s="27"/>
      <c r="Y135" s="27"/>
      <c r="Z135" s="27"/>
      <c r="AA135" s="27"/>
    </row>
    <row r="136" spans="1:27" x14ac:dyDescent="0.35">
      <c r="A136" s="28"/>
      <c r="F136" s="25"/>
      <c r="G136" s="25"/>
      <c r="H136" s="25"/>
      <c r="V136" s="27"/>
      <c r="W136" s="27"/>
      <c r="X136" s="27"/>
      <c r="Y136" s="27"/>
      <c r="Z136" s="27"/>
      <c r="AA136" s="27"/>
    </row>
    <row r="137" spans="1:27" x14ac:dyDescent="0.35">
      <c r="A137" s="22"/>
      <c r="F137" s="25"/>
      <c r="G137" s="25"/>
      <c r="H137" s="25"/>
      <c r="V137" s="27"/>
      <c r="W137" s="27"/>
      <c r="X137" s="27"/>
      <c r="Y137" s="27"/>
      <c r="Z137" s="27"/>
      <c r="AA137" s="27"/>
    </row>
  </sheetData>
  <pageMargins left="0.7" right="0.7" top="0.75" bottom="0.75" header="0.3" footer="0.3"/>
  <pageSetup orientation="portrait" r:id="rId1"/>
  <ignoredErrors>
    <ignoredError sqref="I13 I40" formulaRange="1"/>
  </ignoredErrors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O135"/>
  <sheetViews>
    <sheetView workbookViewId="0">
      <selection activeCell="A9" sqref="A9"/>
    </sheetView>
  </sheetViews>
  <sheetFormatPr defaultColWidth="9.1796875" defaultRowHeight="14.5" x14ac:dyDescent="0.35"/>
  <cols>
    <col min="1" max="2" width="9.7265625" style="31" bestFit="1" customWidth="1"/>
    <col min="3" max="3" width="3.453125" style="31" bestFit="1" customWidth="1"/>
    <col min="4" max="4" width="8" style="31" bestFit="1" customWidth="1"/>
    <col min="5" max="5" width="9" style="31" bestFit="1" customWidth="1"/>
    <col min="6" max="6" width="9.453125" style="31" bestFit="1" customWidth="1"/>
    <col min="7" max="7" width="8.453125" style="31" bestFit="1" customWidth="1"/>
    <col min="8" max="8" width="8.1796875" style="31" bestFit="1" customWidth="1"/>
    <col min="9" max="9" width="15.7265625" style="31" customWidth="1"/>
    <col min="10" max="10" width="15.453125" style="31" customWidth="1"/>
    <col min="11" max="11" width="6.26953125" style="31" bestFit="1" customWidth="1"/>
    <col min="12" max="26" width="6.81640625" style="31" bestFit="1" customWidth="1"/>
    <col min="27" max="27" width="35.54296875" style="31" bestFit="1" customWidth="1"/>
    <col min="28" max="28" width="8.453125" style="31" bestFit="1" customWidth="1"/>
    <col min="29" max="29" width="7.54296875" style="31" bestFit="1" customWidth="1"/>
    <col min="30" max="30" width="14.54296875" style="31" bestFit="1" customWidth="1"/>
    <col min="31" max="31" width="11.7265625" style="31" bestFit="1" customWidth="1"/>
    <col min="32" max="32" width="12.26953125" style="31" customWidth="1"/>
    <col min="33" max="16384" width="9.1796875" style="31"/>
  </cols>
  <sheetData>
    <row r="1" spans="1:41" x14ac:dyDescent="0.35">
      <c r="A1" s="31" t="s">
        <v>46</v>
      </c>
      <c r="F1" s="25"/>
      <c r="G1" s="25"/>
    </row>
    <row r="2" spans="1:41" x14ac:dyDescent="0.35">
      <c r="F2" s="25"/>
      <c r="G2" s="25"/>
    </row>
    <row r="3" spans="1:41" x14ac:dyDescent="0.35">
      <c r="A3" s="31" t="s">
        <v>8</v>
      </c>
      <c r="F3" s="25"/>
      <c r="G3" s="25"/>
    </row>
    <row r="4" spans="1:41" x14ac:dyDescent="0.35">
      <c r="A4" s="31" t="s">
        <v>191</v>
      </c>
      <c r="F4" s="25"/>
      <c r="G4" s="25"/>
    </row>
    <row r="5" spans="1:41" x14ac:dyDescent="0.35">
      <c r="A5" s="102" t="s">
        <v>183</v>
      </c>
      <c r="F5" s="25"/>
      <c r="G5" s="25"/>
    </row>
    <row r="6" spans="1:41" s="202" customFormat="1" x14ac:dyDescent="0.35">
      <c r="A6" s="26" t="s">
        <v>358</v>
      </c>
      <c r="F6" s="25"/>
      <c r="G6" s="25"/>
    </row>
    <row r="7" spans="1:41" x14ac:dyDescent="0.35">
      <c r="F7" s="25"/>
      <c r="G7" s="25"/>
    </row>
    <row r="8" spans="1:41" x14ac:dyDescent="0.35">
      <c r="A8" s="19" t="s">
        <v>383</v>
      </c>
      <c r="F8" s="25"/>
      <c r="G8" s="25"/>
      <c r="AF8" s="26" t="s">
        <v>170</v>
      </c>
    </row>
    <row r="9" spans="1:41" x14ac:dyDescent="0.35">
      <c r="A9" s="31" t="s">
        <v>192</v>
      </c>
      <c r="F9" s="25"/>
      <c r="G9" s="25"/>
      <c r="AF9" s="26"/>
    </row>
    <row r="10" spans="1:41" x14ac:dyDescent="0.35">
      <c r="F10" s="25"/>
      <c r="G10" s="25"/>
    </row>
    <row r="11" spans="1:41" x14ac:dyDescent="0.35">
      <c r="A11" s="31" t="s">
        <v>9</v>
      </c>
      <c r="B11" s="31" t="s">
        <v>10</v>
      </c>
      <c r="C11" s="31" t="s">
        <v>11</v>
      </c>
      <c r="D11" s="31" t="s">
        <v>7</v>
      </c>
      <c r="E11" s="31" t="s">
        <v>12</v>
      </c>
      <c r="F11" s="25" t="s">
        <v>13</v>
      </c>
      <c r="G11" s="25" t="s">
        <v>81</v>
      </c>
      <c r="H11" s="31" t="s">
        <v>14</v>
      </c>
      <c r="I11" s="31" t="s">
        <v>15</v>
      </c>
      <c r="J11" s="31" t="s">
        <v>16</v>
      </c>
      <c r="K11" s="31" t="s">
        <v>3</v>
      </c>
      <c r="L11" s="31" t="s">
        <v>31</v>
      </c>
      <c r="M11" s="31" t="s">
        <v>30</v>
      </c>
      <c r="N11" s="31" t="s">
        <v>18</v>
      </c>
      <c r="O11" s="31" t="s">
        <v>17</v>
      </c>
      <c r="P11" s="31" t="s">
        <v>20</v>
      </c>
      <c r="Q11" s="31" t="s">
        <v>19</v>
      </c>
      <c r="R11" s="31" t="s">
        <v>21</v>
      </c>
      <c r="S11" s="31" t="s">
        <v>47</v>
      </c>
      <c r="T11" s="31" t="s">
        <v>24</v>
      </c>
      <c r="U11" s="31" t="s">
        <v>48</v>
      </c>
      <c r="V11" s="31" t="s">
        <v>4</v>
      </c>
      <c r="W11" s="31" t="s">
        <v>22</v>
      </c>
      <c r="X11" s="31" t="s">
        <v>23</v>
      </c>
      <c r="Y11" s="31" t="s">
        <v>25</v>
      </c>
      <c r="Z11" s="31" t="s">
        <v>49</v>
      </c>
      <c r="AA11" s="31" t="s">
        <v>26</v>
      </c>
      <c r="AB11" s="31" t="s">
        <v>123</v>
      </c>
      <c r="AC11" s="31" t="s">
        <v>124</v>
      </c>
      <c r="AD11" s="31" t="s">
        <v>27</v>
      </c>
      <c r="AF11" s="101" t="s">
        <v>171</v>
      </c>
      <c r="AG11" s="101" t="s">
        <v>172</v>
      </c>
      <c r="AH11" s="101" t="s">
        <v>173</v>
      </c>
      <c r="AI11" s="101" t="s">
        <v>174</v>
      </c>
      <c r="AJ11" s="101" t="s">
        <v>175</v>
      </c>
      <c r="AK11" s="101" t="s">
        <v>176</v>
      </c>
      <c r="AL11" s="101" t="s">
        <v>177</v>
      </c>
      <c r="AM11" s="101" t="s">
        <v>178</v>
      </c>
      <c r="AN11" s="101" t="s">
        <v>179</v>
      </c>
      <c r="AO11" s="101" t="s">
        <v>180</v>
      </c>
    </row>
    <row r="12" spans="1:41" x14ac:dyDescent="0.35">
      <c r="D12" s="31" t="s">
        <v>6</v>
      </c>
      <c r="E12" s="31" t="s">
        <v>6</v>
      </c>
      <c r="F12" s="25"/>
      <c r="G12" s="25"/>
      <c r="I12" s="203" t="s">
        <v>357</v>
      </c>
      <c r="J12" s="31" t="s">
        <v>28</v>
      </c>
      <c r="K12" s="27" t="s">
        <v>352</v>
      </c>
      <c r="L12" s="31" t="s">
        <v>5</v>
      </c>
      <c r="M12" s="31" t="s">
        <v>5</v>
      </c>
      <c r="N12" s="31" t="s">
        <v>5</v>
      </c>
      <c r="O12" s="31" t="s">
        <v>5</v>
      </c>
      <c r="P12" s="31" t="s">
        <v>5</v>
      </c>
      <c r="Q12" s="31" t="s">
        <v>5</v>
      </c>
      <c r="R12" s="31" t="s">
        <v>5</v>
      </c>
      <c r="S12" s="31" t="s">
        <v>5</v>
      </c>
      <c r="T12" s="31" t="s">
        <v>5</v>
      </c>
      <c r="U12" s="31" t="s">
        <v>5</v>
      </c>
      <c r="V12" s="31" t="s">
        <v>5</v>
      </c>
      <c r="W12" s="31" t="s">
        <v>5</v>
      </c>
      <c r="X12" s="31" t="s">
        <v>5</v>
      </c>
      <c r="Y12" s="31" t="s">
        <v>5</v>
      </c>
      <c r="Z12" s="31" t="s">
        <v>5</v>
      </c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</row>
    <row r="13" spans="1:41" x14ac:dyDescent="0.35">
      <c r="F13" s="25"/>
      <c r="G13" s="25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</row>
    <row r="14" spans="1:41" x14ac:dyDescent="0.35">
      <c r="A14" s="198" t="s">
        <v>277</v>
      </c>
      <c r="B14" s="198"/>
      <c r="C14" s="198"/>
      <c r="D14" s="198"/>
      <c r="E14" s="198"/>
      <c r="F14" s="25"/>
      <c r="G14" s="25"/>
      <c r="H14" s="6">
        <f>AVERAGE(B68:B77)</f>
        <v>7.19</v>
      </c>
      <c r="I14" s="165">
        <f>'Influent Results Master'!D59</f>
        <v>2617.25</v>
      </c>
      <c r="J14" s="165">
        <f>'Influent Results Master'!F59</f>
        <v>263.04999999999995</v>
      </c>
      <c r="K14" s="165">
        <f>'Influent Results Master'!G59</f>
        <v>721.75</v>
      </c>
      <c r="L14" s="165">
        <f>'Influent Results Master'!H59</f>
        <v>63.25</v>
      </c>
      <c r="M14" s="171">
        <f>'Influent Results Master'!I59</f>
        <v>0.5</v>
      </c>
      <c r="N14" s="165">
        <f>'Influent Results Master'!J59</f>
        <v>911.25</v>
      </c>
      <c r="O14" s="165">
        <f>'Influent Results Master'!K59</f>
        <v>26.5</v>
      </c>
      <c r="P14" s="165">
        <f>'Influent Results Master'!L59</f>
        <v>159.125</v>
      </c>
      <c r="Q14" s="165">
        <f>'Influent Results Master'!M59</f>
        <v>44.637500000000003</v>
      </c>
      <c r="R14" s="165">
        <f>'Influent Results Master'!N59</f>
        <v>361.32500000000005</v>
      </c>
      <c r="S14" s="165">
        <f>'Influent Results Master'!O59</f>
        <v>16.149999999999999</v>
      </c>
      <c r="T14" s="170">
        <f>'Influent Results Master'!P59</f>
        <v>8.37425</v>
      </c>
      <c r="U14" s="171">
        <f>'Influent Results Master'!Q59</f>
        <v>0.20000000000000004</v>
      </c>
      <c r="V14" s="163">
        <f>'Influent Results Master'!R59</f>
        <v>0.73666666666666669</v>
      </c>
      <c r="W14" s="177">
        <f>'Influent Results Master'!S59</f>
        <v>0.02</v>
      </c>
      <c r="X14" s="163">
        <f>'Influent Results Master'!T59</f>
        <v>0.81966666666666665</v>
      </c>
      <c r="Y14" s="163">
        <f>'Influent Results Master'!U59</f>
        <v>0.17233333333333334</v>
      </c>
      <c r="Z14" s="170">
        <f>'Influent Results Master'!V59</f>
        <v>1.8426666666666669</v>
      </c>
      <c r="AB14" s="25"/>
      <c r="AC14" s="25"/>
      <c r="AD14" s="25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</row>
    <row r="15" spans="1:41" x14ac:dyDescent="0.35">
      <c r="F15" s="25"/>
      <c r="G15" s="25"/>
      <c r="M15" s="27"/>
      <c r="N15" s="27"/>
      <c r="O15" s="27"/>
      <c r="P15" s="27"/>
      <c r="Q15" s="27"/>
      <c r="R15" s="26"/>
      <c r="S15" s="26"/>
      <c r="T15" s="26"/>
      <c r="U15" s="26"/>
      <c r="V15" s="27"/>
      <c r="W15" s="18"/>
      <c r="X15" s="26"/>
      <c r="Y15" s="27"/>
      <c r="AB15" s="25"/>
      <c r="AC15" s="25"/>
      <c r="AD15" s="25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</row>
    <row r="16" spans="1:41" x14ac:dyDescent="0.35">
      <c r="A16" s="31">
        <v>19</v>
      </c>
      <c r="B16" s="28">
        <v>43679</v>
      </c>
      <c r="C16" s="31">
        <v>1</v>
      </c>
      <c r="D16" s="31">
        <v>126</v>
      </c>
      <c r="E16" s="31">
        <v>126</v>
      </c>
      <c r="F16" s="25">
        <f>D16/116</f>
        <v>1.0862068965517242</v>
      </c>
      <c r="G16" s="25">
        <v>1.0900000000000001</v>
      </c>
      <c r="H16" s="31">
        <v>7.79</v>
      </c>
      <c r="I16" s="31">
        <v>3570</v>
      </c>
      <c r="J16" s="12">
        <v>221</v>
      </c>
      <c r="K16" s="31">
        <v>1070</v>
      </c>
      <c r="L16" s="31">
        <v>114</v>
      </c>
      <c r="M16" s="27">
        <v>3.4</v>
      </c>
      <c r="N16" s="31">
        <v>1566</v>
      </c>
      <c r="O16" s="129">
        <v>101</v>
      </c>
      <c r="P16" s="21">
        <v>301.10000000000002</v>
      </c>
      <c r="Q16" s="21">
        <v>56.77</v>
      </c>
      <c r="R16" s="21">
        <v>582.29999999999995</v>
      </c>
      <c r="S16" s="21">
        <v>14.42</v>
      </c>
      <c r="T16" s="21">
        <v>29.44</v>
      </c>
      <c r="U16" s="169">
        <v>0.2</v>
      </c>
      <c r="V16" s="6">
        <v>1.79</v>
      </c>
      <c r="W16" s="81">
        <v>0.02</v>
      </c>
      <c r="X16" s="25">
        <v>0.26900000000000002</v>
      </c>
      <c r="Y16" s="81">
        <v>0.04</v>
      </c>
      <c r="Z16" s="6">
        <v>2.1230000000000002</v>
      </c>
      <c r="AA16" s="31" t="s">
        <v>200</v>
      </c>
      <c r="AB16" s="25">
        <f t="shared" ref="AB16:AB25" si="0">((J16/50)+(L16/35.45)+(M16/62)+(N16/48.03))</f>
        <v>40.295257717896014</v>
      </c>
      <c r="AC16" s="25">
        <f t="shared" ref="AC16" si="1">((P16/20.04)+(Q16/12.16)+(R16/22.99)+(T16/39.1))</f>
        <v>45.77488045634928</v>
      </c>
      <c r="AD16" s="25">
        <f t="shared" ref="AD16" si="2">ABS((AB16-AC16)/(AB16+AC16)*100)</f>
        <v>6.366462114142311</v>
      </c>
      <c r="AF16" s="101">
        <v>7.79</v>
      </c>
      <c r="AG16" s="101">
        <v>7.8306800000000001</v>
      </c>
      <c r="AH16" s="101">
        <v>0.7863</v>
      </c>
      <c r="AI16" s="101">
        <v>-0.33189999999999997</v>
      </c>
      <c r="AJ16" s="101">
        <v>-0.58109999999999995</v>
      </c>
      <c r="AK16" s="101">
        <v>-2.4483999999999999</v>
      </c>
      <c r="AL16" s="101">
        <v>0.68279999999999996</v>
      </c>
      <c r="AM16" s="101">
        <v>-0.35110000000000002</v>
      </c>
      <c r="AN16" s="101">
        <v>0.19220000000000001</v>
      </c>
      <c r="AO16" s="101">
        <v>-0.70350000000000001</v>
      </c>
    </row>
    <row r="17" spans="1:41" x14ac:dyDescent="0.35">
      <c r="A17" s="104">
        <v>19</v>
      </c>
      <c r="B17" s="28">
        <v>43680</v>
      </c>
      <c r="C17" s="31">
        <v>2</v>
      </c>
      <c r="D17" s="31">
        <v>116</v>
      </c>
      <c r="E17" s="31">
        <f>E16+D17</f>
        <v>242</v>
      </c>
      <c r="F17" s="25">
        <f t="shared" ref="F17:F43" si="3">D17/116</f>
        <v>1</v>
      </c>
      <c r="G17" s="25">
        <f>G16+F17</f>
        <v>2.09</v>
      </c>
      <c r="H17" s="25">
        <v>7.95</v>
      </c>
      <c r="I17" s="31">
        <v>2320</v>
      </c>
      <c r="J17" s="12">
        <v>285.60000000000002</v>
      </c>
      <c r="K17" s="31">
        <v>1300</v>
      </c>
      <c r="L17" s="31">
        <v>59</v>
      </c>
      <c r="M17" s="169">
        <v>0.5</v>
      </c>
      <c r="N17" s="31">
        <v>852</v>
      </c>
      <c r="O17" s="129">
        <v>38</v>
      </c>
      <c r="P17" s="21">
        <v>158.4</v>
      </c>
      <c r="Q17" s="21">
        <v>31.78</v>
      </c>
      <c r="R17" s="21">
        <v>373.6</v>
      </c>
      <c r="S17" s="21">
        <v>15.38</v>
      </c>
      <c r="T17" s="21">
        <v>20.420000000000002</v>
      </c>
      <c r="U17" s="169">
        <v>0.2</v>
      </c>
      <c r="V17" s="18">
        <v>1.2150000000000001</v>
      </c>
      <c r="W17" s="81">
        <v>0.02</v>
      </c>
      <c r="X17" s="11">
        <v>0.19900000000000001</v>
      </c>
      <c r="Y17" s="81">
        <v>0.04</v>
      </c>
      <c r="Z17" s="18">
        <v>1.2310000000000001</v>
      </c>
      <c r="AB17" s="25">
        <f t="shared" si="0"/>
        <v>25.123293633332757</v>
      </c>
      <c r="AC17" s="25">
        <f t="shared" ref="AC17:AC62" si="4">((P17/20.04)+(Q17/12.16)+(R17/22.99)+(T17/39.1))</f>
        <v>27.29047281291647</v>
      </c>
      <c r="AD17" s="25">
        <f t="shared" ref="AD17:AD62" si="5">ABS((AB17-AC17)/(AB17+AC17)*100)</f>
        <v>4.1347518534203669</v>
      </c>
      <c r="AF17" s="101">
        <v>7.95</v>
      </c>
      <c r="AG17" s="101">
        <v>4.7464899999999997</v>
      </c>
      <c r="AH17" s="101">
        <v>0.88660000000000005</v>
      </c>
      <c r="AI17" s="101">
        <v>-0.7026</v>
      </c>
      <c r="AJ17" s="101">
        <v>-0.95209999999999995</v>
      </c>
      <c r="AK17" s="101">
        <v>-2.4767999999999999</v>
      </c>
      <c r="AL17" s="101">
        <v>0.90800000000000003</v>
      </c>
      <c r="AM17" s="101">
        <v>-7.85E-2</v>
      </c>
      <c r="AN17" s="101">
        <v>-0.1116</v>
      </c>
      <c r="AO17" s="101">
        <v>-0.57869999999999999</v>
      </c>
    </row>
    <row r="18" spans="1:41" x14ac:dyDescent="0.35">
      <c r="A18" s="104">
        <v>19</v>
      </c>
      <c r="B18" s="28">
        <v>43681</v>
      </c>
      <c r="C18" s="31">
        <v>3</v>
      </c>
      <c r="D18" s="31">
        <v>117</v>
      </c>
      <c r="E18" s="31">
        <f t="shared" ref="E18:E39" si="6">E17+D18</f>
        <v>359</v>
      </c>
      <c r="F18" s="25">
        <f t="shared" si="3"/>
        <v>1.0086206896551724</v>
      </c>
      <c r="G18" s="25">
        <f t="shared" ref="G18:G21" si="7">G17+F18</f>
        <v>3.0986206896551725</v>
      </c>
      <c r="H18" s="31">
        <v>7.89</v>
      </c>
      <c r="I18" s="31">
        <v>2290</v>
      </c>
      <c r="J18" s="12">
        <v>289.2</v>
      </c>
      <c r="K18" s="27">
        <v>1330</v>
      </c>
      <c r="L18" s="27">
        <v>58</v>
      </c>
      <c r="M18" s="169">
        <v>0.5</v>
      </c>
      <c r="N18" s="31">
        <v>824</v>
      </c>
      <c r="O18" s="129">
        <v>33</v>
      </c>
      <c r="P18" s="21">
        <v>156.19999999999999</v>
      </c>
      <c r="Q18" s="21">
        <v>32.869999999999997</v>
      </c>
      <c r="R18" s="21">
        <v>352.7</v>
      </c>
      <c r="S18" s="21">
        <v>15.4</v>
      </c>
      <c r="T18" s="21">
        <v>19.32</v>
      </c>
      <c r="U18" s="169">
        <v>0.2</v>
      </c>
      <c r="V18" s="11">
        <v>0.93400000000000005</v>
      </c>
      <c r="W18" s="81">
        <v>0.02</v>
      </c>
      <c r="X18" s="11">
        <v>0.21099999999999999</v>
      </c>
      <c r="Y18" s="81">
        <v>0.04</v>
      </c>
      <c r="Z18" s="18">
        <v>1.2689999999999999</v>
      </c>
      <c r="AB18" s="25">
        <f t="shared" si="0"/>
        <v>24.584115910899634</v>
      </c>
      <c r="AC18" s="25">
        <f t="shared" si="4"/>
        <v>26.333106630271168</v>
      </c>
      <c r="AD18" s="25">
        <f t="shared" si="5"/>
        <v>3.434968822105978</v>
      </c>
      <c r="AF18" s="101">
        <v>7.89</v>
      </c>
      <c r="AG18" s="101">
        <v>3.98827</v>
      </c>
      <c r="AH18" s="101">
        <v>0.83330000000000004</v>
      </c>
      <c r="AI18" s="101">
        <v>-0.71489999999999998</v>
      </c>
      <c r="AJ18" s="101">
        <v>-0.96430000000000005</v>
      </c>
      <c r="AK18" s="101">
        <v>-2.4097</v>
      </c>
      <c r="AL18" s="101">
        <v>0.82169999999999999</v>
      </c>
      <c r="AM18" s="101">
        <v>-9.98E-2</v>
      </c>
      <c r="AN18" s="101">
        <v>-0.22320000000000001</v>
      </c>
      <c r="AO18" s="101">
        <v>-0.61170000000000002</v>
      </c>
    </row>
    <row r="19" spans="1:41" x14ac:dyDescent="0.35">
      <c r="A19" s="104">
        <v>19</v>
      </c>
      <c r="B19" s="28">
        <v>43682</v>
      </c>
      <c r="C19" s="31">
        <v>4</v>
      </c>
      <c r="D19" s="31">
        <v>122</v>
      </c>
      <c r="E19" s="31">
        <f t="shared" si="6"/>
        <v>481</v>
      </c>
      <c r="F19" s="25">
        <f t="shared" si="3"/>
        <v>1.0517241379310345</v>
      </c>
      <c r="G19" s="25">
        <f t="shared" si="7"/>
        <v>4.1503448275862072</v>
      </c>
      <c r="H19" s="31">
        <v>7.83</v>
      </c>
      <c r="I19" s="31">
        <v>2280</v>
      </c>
      <c r="J19" s="12">
        <v>291</v>
      </c>
      <c r="K19" s="27">
        <v>1230</v>
      </c>
      <c r="L19" s="27">
        <v>60</v>
      </c>
      <c r="M19" s="169">
        <v>0.5</v>
      </c>
      <c r="N19" s="31">
        <v>809</v>
      </c>
      <c r="O19" s="129">
        <v>33</v>
      </c>
      <c r="P19" s="21">
        <v>158.69999999999999</v>
      </c>
      <c r="Q19" s="21">
        <v>32.450000000000003</v>
      </c>
      <c r="R19" s="21">
        <v>338</v>
      </c>
      <c r="S19" s="21">
        <v>15.34</v>
      </c>
      <c r="T19" s="21">
        <v>19.02</v>
      </c>
      <c r="U19" s="169">
        <v>0.2</v>
      </c>
      <c r="V19" s="11">
        <v>0.82499999999999996</v>
      </c>
      <c r="W19" s="81">
        <v>0.02</v>
      </c>
      <c r="X19" s="11">
        <v>0.23200000000000001</v>
      </c>
      <c r="Y19" s="81">
        <v>0.04</v>
      </c>
      <c r="Z19" s="18">
        <v>1.2649999999999999</v>
      </c>
      <c r="AB19" s="25">
        <f t="shared" si="0"/>
        <v>24.364228590827292</v>
      </c>
      <c r="AC19" s="25">
        <f t="shared" si="4"/>
        <v>25.776236582866357</v>
      </c>
      <c r="AD19" s="25">
        <f t="shared" si="5"/>
        <v>2.8161046913858301</v>
      </c>
      <c r="AF19" s="101">
        <v>7.83</v>
      </c>
      <c r="AG19" s="101">
        <v>3.27535</v>
      </c>
      <c r="AH19" s="101">
        <v>0.78859999999999997</v>
      </c>
      <c r="AI19" s="101">
        <v>-0.71179999999999999</v>
      </c>
      <c r="AJ19" s="101">
        <v>-0.96130000000000004</v>
      </c>
      <c r="AK19" s="101">
        <v>-2.3448000000000002</v>
      </c>
      <c r="AL19" s="101">
        <v>0.71940000000000004</v>
      </c>
      <c r="AM19" s="101">
        <v>-0.1103</v>
      </c>
      <c r="AN19" s="101">
        <v>-0.26519999999999999</v>
      </c>
      <c r="AO19" s="101">
        <v>-0.66920000000000002</v>
      </c>
    </row>
    <row r="20" spans="1:41" x14ac:dyDescent="0.35">
      <c r="A20" s="104">
        <v>19</v>
      </c>
      <c r="B20" s="28">
        <v>43683</v>
      </c>
      <c r="C20" s="31">
        <v>5</v>
      </c>
      <c r="D20" s="31">
        <v>118</v>
      </c>
      <c r="E20" s="31">
        <f t="shared" si="6"/>
        <v>599</v>
      </c>
      <c r="F20" s="25">
        <f t="shared" si="3"/>
        <v>1.0172413793103448</v>
      </c>
      <c r="G20" s="25">
        <f t="shared" si="7"/>
        <v>5.1675862068965515</v>
      </c>
      <c r="H20" s="31">
        <v>7.83</v>
      </c>
      <c r="I20" s="31">
        <v>2290</v>
      </c>
      <c r="J20" s="12">
        <v>288.60000000000002</v>
      </c>
      <c r="K20" s="27">
        <v>1100</v>
      </c>
      <c r="L20" s="27">
        <v>58</v>
      </c>
      <c r="M20" s="169">
        <v>0.5</v>
      </c>
      <c r="N20" s="31">
        <v>793</v>
      </c>
      <c r="O20" s="129">
        <v>31</v>
      </c>
      <c r="P20" s="21">
        <v>155.5</v>
      </c>
      <c r="Q20" s="21">
        <v>31.33</v>
      </c>
      <c r="R20" s="21">
        <v>334.3</v>
      </c>
      <c r="S20" s="21">
        <v>15.76</v>
      </c>
      <c r="T20" s="21">
        <v>19.29</v>
      </c>
      <c r="U20" s="169">
        <v>0.2</v>
      </c>
      <c r="V20" s="11">
        <v>0.79500000000000004</v>
      </c>
      <c r="W20" s="81">
        <v>0.02</v>
      </c>
      <c r="X20" s="11">
        <v>0.23799999999999999</v>
      </c>
      <c r="Y20" s="81">
        <v>0.04</v>
      </c>
      <c r="Z20" s="18">
        <v>1.2749999999999999</v>
      </c>
      <c r="AB20" s="25">
        <f t="shared" si="0"/>
        <v>23.926685971278566</v>
      </c>
      <c r="AC20" s="25">
        <f t="shared" si="4"/>
        <v>25.370416512899929</v>
      </c>
      <c r="AD20" s="25">
        <f t="shared" si="5"/>
        <v>2.9286316413519775</v>
      </c>
      <c r="AF20" s="101">
        <v>7.83</v>
      </c>
      <c r="AG20" s="101">
        <v>3.3988100000000001</v>
      </c>
      <c r="AH20" s="101">
        <v>0.78010000000000002</v>
      </c>
      <c r="AI20" s="101">
        <v>-0.72360000000000002</v>
      </c>
      <c r="AJ20" s="101">
        <v>-0.97309999999999997</v>
      </c>
      <c r="AK20" s="101">
        <v>-2.3473999999999999</v>
      </c>
      <c r="AL20" s="101">
        <v>0.69579999999999997</v>
      </c>
      <c r="AM20" s="101">
        <v>-9.8299999999999998E-2</v>
      </c>
      <c r="AN20" s="101">
        <v>-0.2853</v>
      </c>
      <c r="AO20" s="101">
        <v>-0.68430000000000002</v>
      </c>
    </row>
    <row r="21" spans="1:41" x14ac:dyDescent="0.35">
      <c r="A21" s="104">
        <v>19</v>
      </c>
      <c r="B21" s="28">
        <v>43684</v>
      </c>
      <c r="C21" s="31">
        <v>6</v>
      </c>
      <c r="D21" s="31">
        <v>116</v>
      </c>
      <c r="E21" s="31">
        <f t="shared" si="6"/>
        <v>715</v>
      </c>
      <c r="F21" s="25">
        <f t="shared" si="3"/>
        <v>1</v>
      </c>
      <c r="G21" s="25">
        <f t="shared" si="7"/>
        <v>6.1675862068965515</v>
      </c>
      <c r="H21" s="31">
        <v>8.0299999999999994</v>
      </c>
      <c r="I21" s="31">
        <v>2290</v>
      </c>
      <c r="J21" s="12">
        <v>287.60000000000002</v>
      </c>
      <c r="K21" s="27">
        <v>1000</v>
      </c>
      <c r="L21" s="27">
        <v>58</v>
      </c>
      <c r="M21" s="169">
        <v>0.5</v>
      </c>
      <c r="N21" s="31">
        <v>806</v>
      </c>
      <c r="O21" s="129">
        <v>30</v>
      </c>
      <c r="P21" s="21">
        <v>161.19999999999999</v>
      </c>
      <c r="Q21" s="21">
        <v>32.32</v>
      </c>
      <c r="R21" s="21">
        <v>342.7</v>
      </c>
      <c r="S21" s="21">
        <v>15.89</v>
      </c>
      <c r="T21" s="21">
        <v>18.78</v>
      </c>
      <c r="U21" s="169">
        <v>0.2</v>
      </c>
      <c r="V21" s="11">
        <v>0.78500000000000003</v>
      </c>
      <c r="W21" s="81">
        <v>0.02</v>
      </c>
      <c r="X21" s="11">
        <v>0.23100000000000001</v>
      </c>
      <c r="Y21" s="81">
        <v>0.04</v>
      </c>
      <c r="Z21" s="18">
        <v>1.2969999999999999</v>
      </c>
      <c r="AB21" s="25">
        <f t="shared" si="0"/>
        <v>24.17735013950676</v>
      </c>
      <c r="AC21" s="25">
        <f t="shared" si="4"/>
        <v>26.088594896591534</v>
      </c>
      <c r="AD21" s="25">
        <f t="shared" si="5"/>
        <v>3.8022656407080788</v>
      </c>
      <c r="AF21" s="101">
        <v>8.0299999999999994</v>
      </c>
      <c r="AG21" s="101">
        <v>4.4215999999999998</v>
      </c>
      <c r="AH21" s="101">
        <v>0.98329999999999995</v>
      </c>
      <c r="AI21" s="101">
        <v>-0.70850000000000002</v>
      </c>
      <c r="AJ21" s="101">
        <v>-0.95799999999999996</v>
      </c>
      <c r="AK21" s="101">
        <v>-2.5560999999999998</v>
      </c>
      <c r="AL21" s="101">
        <v>1.1007</v>
      </c>
      <c r="AM21" s="101">
        <v>7.7200000000000005E-2</v>
      </c>
      <c r="AN21" s="101">
        <v>-0.28079999999999999</v>
      </c>
      <c r="AO21" s="101">
        <v>-0.48249999999999998</v>
      </c>
    </row>
    <row r="22" spans="1:41" x14ac:dyDescent="0.35">
      <c r="A22" s="104">
        <v>19</v>
      </c>
      <c r="B22" s="28">
        <v>43685</v>
      </c>
      <c r="C22" s="31">
        <v>7</v>
      </c>
      <c r="D22" s="31">
        <v>118</v>
      </c>
      <c r="E22" s="31">
        <f t="shared" si="6"/>
        <v>833</v>
      </c>
      <c r="F22" s="25">
        <f t="shared" si="3"/>
        <v>1.0172413793103448</v>
      </c>
      <c r="G22" s="25">
        <f>G21+F22</f>
        <v>7.1848275862068967</v>
      </c>
      <c r="H22" s="31">
        <v>7.99</v>
      </c>
      <c r="I22" s="31">
        <v>2290</v>
      </c>
      <c r="J22" s="12">
        <v>283.39999999999998</v>
      </c>
      <c r="K22" s="27">
        <v>887</v>
      </c>
      <c r="L22" s="31">
        <v>58</v>
      </c>
      <c r="M22" s="169">
        <v>0.5</v>
      </c>
      <c r="N22" s="31">
        <v>800</v>
      </c>
      <c r="O22" s="129">
        <v>29</v>
      </c>
      <c r="P22" s="21">
        <v>158.9</v>
      </c>
      <c r="Q22" s="21">
        <v>33.090000000000003</v>
      </c>
      <c r="R22" s="21">
        <v>341.6</v>
      </c>
      <c r="S22" s="21">
        <v>16.149999999999999</v>
      </c>
      <c r="T22" s="21">
        <v>18.399999999999999</v>
      </c>
      <c r="U22" s="169">
        <v>0.2</v>
      </c>
      <c r="V22" s="11">
        <v>0.77300000000000002</v>
      </c>
      <c r="W22" s="81">
        <v>0.02</v>
      </c>
      <c r="X22" s="11">
        <v>0.246</v>
      </c>
      <c r="Y22" s="81">
        <v>0.04</v>
      </c>
      <c r="Z22" s="18">
        <v>1.266</v>
      </c>
      <c r="AB22" s="25">
        <f t="shared" si="0"/>
        <v>23.968428215709128</v>
      </c>
      <c r="AC22" s="25">
        <f t="shared" si="4"/>
        <v>25.979581245901873</v>
      </c>
      <c r="AD22" s="25">
        <f t="shared" si="5"/>
        <v>4.0264928510083564</v>
      </c>
      <c r="AF22" s="101">
        <v>7.99</v>
      </c>
      <c r="AG22" s="101">
        <v>4.6748900000000004</v>
      </c>
      <c r="AH22" s="101">
        <v>0.93440000000000001</v>
      </c>
      <c r="AI22" s="101">
        <v>-0.71540000000000004</v>
      </c>
      <c r="AJ22" s="101">
        <v>-0.96489999999999998</v>
      </c>
      <c r="AK22" s="101">
        <v>-2.5205000000000002</v>
      </c>
      <c r="AL22" s="101">
        <v>1.0189999999999999</v>
      </c>
      <c r="AM22" s="101">
        <v>6.1600000000000002E-2</v>
      </c>
      <c r="AN22" s="101">
        <v>-0.2913</v>
      </c>
      <c r="AO22" s="101">
        <v>-0.51529999999999998</v>
      </c>
    </row>
    <row r="23" spans="1:41" x14ac:dyDescent="0.35">
      <c r="A23" s="104">
        <v>19</v>
      </c>
      <c r="B23" s="28">
        <v>43686</v>
      </c>
      <c r="C23" s="31">
        <v>8</v>
      </c>
      <c r="D23" s="31">
        <v>115</v>
      </c>
      <c r="E23" s="31">
        <f t="shared" si="6"/>
        <v>948</v>
      </c>
      <c r="F23" s="25">
        <f t="shared" si="3"/>
        <v>0.99137931034482762</v>
      </c>
      <c r="G23" s="25">
        <f>F23+G22</f>
        <v>8.1762068965517241</v>
      </c>
      <c r="H23" s="31">
        <v>7.99</v>
      </c>
      <c r="I23" s="31">
        <v>2450</v>
      </c>
      <c r="J23" s="12">
        <v>286.2</v>
      </c>
      <c r="K23" s="31">
        <v>827</v>
      </c>
      <c r="L23" s="27">
        <v>58</v>
      </c>
      <c r="M23" s="169">
        <v>0.5</v>
      </c>
      <c r="N23" s="31">
        <v>804</v>
      </c>
      <c r="O23" s="129">
        <v>27</v>
      </c>
      <c r="P23" s="21">
        <v>156.1</v>
      </c>
      <c r="Q23" s="21">
        <v>33.68</v>
      </c>
      <c r="R23" s="21">
        <v>341.2</v>
      </c>
      <c r="S23" s="21">
        <v>16.309999999999999</v>
      </c>
      <c r="T23" s="21">
        <v>18.25</v>
      </c>
      <c r="U23" s="169">
        <v>0.2</v>
      </c>
      <c r="V23" s="11">
        <v>0.76600000000000001</v>
      </c>
      <c r="W23" s="81">
        <v>0.02</v>
      </c>
      <c r="X23" s="11">
        <v>0.255</v>
      </c>
      <c r="Y23" s="81">
        <v>0.04</v>
      </c>
      <c r="Z23" s="18">
        <v>1.268</v>
      </c>
      <c r="AB23" s="25">
        <f t="shared" si="0"/>
        <v>24.107709498240879</v>
      </c>
      <c r="AC23" s="25">
        <f t="shared" si="4"/>
        <v>25.867145237652682</v>
      </c>
      <c r="AD23" s="25">
        <f t="shared" si="5"/>
        <v>3.5206420282961206</v>
      </c>
      <c r="AF23" s="101">
        <v>7.99</v>
      </c>
      <c r="AG23" s="101">
        <v>4.0875899999999996</v>
      </c>
      <c r="AH23" s="101">
        <v>0.93020000000000003</v>
      </c>
      <c r="AI23" s="101">
        <v>-0.72130000000000005</v>
      </c>
      <c r="AJ23" s="101">
        <v>-0.9708</v>
      </c>
      <c r="AK23" s="101">
        <v>-2.5158999999999998</v>
      </c>
      <c r="AL23" s="101">
        <v>1.0263</v>
      </c>
      <c r="AM23" s="101">
        <v>8.09E-2</v>
      </c>
      <c r="AN23" s="101">
        <v>-0.30420000000000003</v>
      </c>
      <c r="AO23" s="101">
        <v>-0.50390000000000001</v>
      </c>
    </row>
    <row r="24" spans="1:41" x14ac:dyDescent="0.35">
      <c r="A24" s="104">
        <v>19</v>
      </c>
      <c r="B24" s="28">
        <v>43687</v>
      </c>
      <c r="C24" s="31">
        <v>9</v>
      </c>
      <c r="D24" s="31">
        <v>112</v>
      </c>
      <c r="E24" s="31">
        <f t="shared" si="6"/>
        <v>1060</v>
      </c>
      <c r="F24" s="25">
        <f t="shared" si="3"/>
        <v>0.96551724137931039</v>
      </c>
      <c r="G24" s="25">
        <f>G23+F24</f>
        <v>9.1417241379310337</v>
      </c>
      <c r="H24" s="31">
        <v>8.0500000000000007</v>
      </c>
      <c r="I24" s="31">
        <v>2250</v>
      </c>
      <c r="J24" s="12">
        <v>289.2</v>
      </c>
      <c r="K24" s="27">
        <v>773</v>
      </c>
      <c r="L24" s="27">
        <v>58</v>
      </c>
      <c r="M24" s="169">
        <v>0.5</v>
      </c>
      <c r="N24" s="31">
        <v>803</v>
      </c>
      <c r="O24" s="129">
        <v>20</v>
      </c>
      <c r="P24" s="21">
        <v>168.8</v>
      </c>
      <c r="Q24" s="21">
        <v>34.83</v>
      </c>
      <c r="R24" s="21">
        <v>385.8</v>
      </c>
      <c r="S24" s="21">
        <v>17.399999999999999</v>
      </c>
      <c r="T24" s="21">
        <v>18.77</v>
      </c>
      <c r="U24" s="169">
        <v>0.2</v>
      </c>
      <c r="V24" s="11">
        <v>0.76100000000000001</v>
      </c>
      <c r="W24" s="81">
        <v>0.02</v>
      </c>
      <c r="X24" s="11">
        <v>0.27700000000000002</v>
      </c>
      <c r="Y24" s="81">
        <v>0.04</v>
      </c>
      <c r="Z24" s="18">
        <v>1.2889999999999999</v>
      </c>
      <c r="AB24" s="25">
        <f t="shared" si="0"/>
        <v>24.146889177607946</v>
      </c>
      <c r="AC24" s="25">
        <f t="shared" si="4"/>
        <v>28.548723275436839</v>
      </c>
      <c r="AD24" s="25">
        <f t="shared" si="5"/>
        <v>8.3533218287408886</v>
      </c>
      <c r="AF24" s="101">
        <v>8.0500000000000007</v>
      </c>
      <c r="AG24" s="101">
        <v>9.6693899999999999</v>
      </c>
      <c r="AH24" s="101">
        <v>1.0225</v>
      </c>
      <c r="AI24" s="101">
        <v>-0.69930000000000003</v>
      </c>
      <c r="AJ24" s="101">
        <v>-0.94869999999999999</v>
      </c>
      <c r="AK24" s="101">
        <v>-2.5764999999999998</v>
      </c>
      <c r="AL24" s="101">
        <v>1.1911</v>
      </c>
      <c r="AM24" s="101">
        <v>0.17230000000000001</v>
      </c>
      <c r="AN24" s="101">
        <v>-0.27879999999999999</v>
      </c>
      <c r="AO24" s="101">
        <v>-0.43130000000000002</v>
      </c>
    </row>
    <row r="25" spans="1:41" x14ac:dyDescent="0.35">
      <c r="A25" s="104">
        <v>19</v>
      </c>
      <c r="B25" s="28">
        <v>43688</v>
      </c>
      <c r="C25" s="31">
        <v>10</v>
      </c>
      <c r="D25" s="31">
        <v>118</v>
      </c>
      <c r="E25" s="31">
        <f t="shared" si="6"/>
        <v>1178</v>
      </c>
      <c r="F25" s="25">
        <f t="shared" si="3"/>
        <v>1.0172413793103448</v>
      </c>
      <c r="G25" s="25">
        <f t="shared" ref="G25:G39" si="8">G24+F25</f>
        <v>10.158965517241379</v>
      </c>
      <c r="H25" s="31">
        <v>7.88</v>
      </c>
      <c r="I25" s="31">
        <v>2340</v>
      </c>
      <c r="J25" s="12">
        <v>295</v>
      </c>
      <c r="K25" s="27">
        <v>748</v>
      </c>
      <c r="L25" s="27">
        <v>58</v>
      </c>
      <c r="M25" s="169">
        <v>0.5</v>
      </c>
      <c r="N25" s="31">
        <v>801</v>
      </c>
      <c r="O25" s="116">
        <v>29</v>
      </c>
      <c r="P25" s="21">
        <v>167.5</v>
      </c>
      <c r="Q25" s="21">
        <v>34.18</v>
      </c>
      <c r="R25" s="21">
        <v>383.3</v>
      </c>
      <c r="S25" s="21">
        <v>17.579999999999998</v>
      </c>
      <c r="T25" s="21">
        <v>18.739999999999998</v>
      </c>
      <c r="U25" s="169">
        <v>0.2</v>
      </c>
      <c r="V25" s="11">
        <v>0.72899999999999998</v>
      </c>
      <c r="W25" s="81">
        <v>0.02</v>
      </c>
      <c r="X25" s="11">
        <v>0.29099999999999998</v>
      </c>
      <c r="Y25" s="81">
        <v>0.04</v>
      </c>
      <c r="Z25" s="18">
        <v>1.244</v>
      </c>
      <c r="AB25" s="25">
        <f t="shared" si="0"/>
        <v>24.22124853634207</v>
      </c>
      <c r="AC25" s="25">
        <f t="shared" si="4"/>
        <v>28.320888873450834</v>
      </c>
      <c r="AD25" s="25">
        <f t="shared" si="5"/>
        <v>7.8025762544343404</v>
      </c>
      <c r="AF25" s="101">
        <v>7.88</v>
      </c>
      <c r="AG25" s="101">
        <v>9.0134899999999991</v>
      </c>
      <c r="AH25" s="101">
        <v>0.86539999999999995</v>
      </c>
      <c r="AI25" s="101">
        <v>-0.70140000000000002</v>
      </c>
      <c r="AJ25" s="101">
        <v>-0.95089999999999997</v>
      </c>
      <c r="AK25" s="101">
        <v>-2.3917000000000002</v>
      </c>
      <c r="AL25" s="101">
        <v>0.87170000000000003</v>
      </c>
      <c r="AM25" s="101">
        <v>3.8600000000000002E-2</v>
      </c>
      <c r="AN25" s="101">
        <v>-0.29909999999999998</v>
      </c>
      <c r="AO25" s="101">
        <v>-0.59370000000000001</v>
      </c>
    </row>
    <row r="26" spans="1:41" s="186" customFormat="1" x14ac:dyDescent="0.35">
      <c r="B26" s="28"/>
      <c r="F26" s="25"/>
      <c r="G26" s="25"/>
      <c r="J26" s="12"/>
      <c r="K26" s="27"/>
      <c r="L26" s="27"/>
      <c r="M26" s="169"/>
      <c r="P26" s="103"/>
      <c r="Q26" s="103"/>
      <c r="R26" s="103"/>
      <c r="S26" s="103"/>
      <c r="T26" s="103"/>
      <c r="U26" s="169"/>
      <c r="V26" s="103"/>
      <c r="W26" s="81"/>
      <c r="X26" s="103"/>
      <c r="Y26" s="81"/>
      <c r="Z26" s="103"/>
      <c r="AB26" s="25"/>
      <c r="AC26" s="25"/>
      <c r="AD26" s="25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</row>
    <row r="27" spans="1:41" x14ac:dyDescent="0.35">
      <c r="A27" s="188" t="s">
        <v>279</v>
      </c>
      <c r="B27" s="197"/>
      <c r="C27" s="197"/>
      <c r="D27" s="197"/>
      <c r="E27" s="197"/>
      <c r="F27" s="25"/>
      <c r="G27" s="25"/>
      <c r="H27" s="25" t="s">
        <v>274</v>
      </c>
      <c r="I27" s="165">
        <f>'Influent Results Master'!D60</f>
        <v>498</v>
      </c>
      <c r="J27" s="165">
        <f>'Influent Results Master'!F60</f>
        <v>98.424999999999997</v>
      </c>
      <c r="K27" s="170">
        <f>'Influent Results Master'!G60</f>
        <v>3.0750000000000002</v>
      </c>
      <c r="L27" s="170">
        <f>'Influent Results Master'!H60</f>
        <v>3.875</v>
      </c>
      <c r="M27" s="170">
        <f>'Influent Results Master'!I60</f>
        <v>1.825</v>
      </c>
      <c r="N27" s="165">
        <f>'Influent Results Master'!J60</f>
        <v>137</v>
      </c>
      <c r="O27" s="165">
        <f>'Influent Results Master'!K60</f>
        <v>11.5</v>
      </c>
      <c r="P27" s="165">
        <f>'Influent Results Master'!L60</f>
        <v>63.497500000000002</v>
      </c>
      <c r="Q27" s="165">
        <f>'Influent Results Master'!M60</f>
        <v>16.197500000000002</v>
      </c>
      <c r="R27" s="165">
        <f>'Influent Results Master'!N60</f>
        <v>22.785</v>
      </c>
      <c r="S27" s="165">
        <f>'Influent Results Master'!O60</f>
        <v>14.3</v>
      </c>
      <c r="T27" s="170">
        <f>'Influent Results Master'!P60</f>
        <v>2.0294999999999996</v>
      </c>
      <c r="U27" s="171">
        <f>'Influent Results Master'!Q60</f>
        <v>0.2</v>
      </c>
      <c r="V27" s="177">
        <f>'Influent Results Master'!R60</f>
        <v>0.02</v>
      </c>
      <c r="W27" s="177">
        <f>'Influent Results Master'!S60</f>
        <v>0.02</v>
      </c>
      <c r="X27" s="177">
        <f>'Influent Results Master'!T60</f>
        <v>0.02</v>
      </c>
      <c r="Y27" s="177">
        <f>'Influent Results Master'!U60</f>
        <v>0.04</v>
      </c>
      <c r="Z27" s="163">
        <f>'Influent Results Master'!V60</f>
        <v>0.56574999999999998</v>
      </c>
      <c r="AB27" s="25"/>
      <c r="AC27" s="25"/>
      <c r="AD27" s="25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</row>
    <row r="28" spans="1:41" s="186" customFormat="1" x14ac:dyDescent="0.35">
      <c r="B28" s="187"/>
      <c r="C28" s="187"/>
      <c r="D28" s="187"/>
      <c r="E28" s="187"/>
      <c r="F28" s="25"/>
      <c r="G28" s="25"/>
      <c r="J28" s="12"/>
      <c r="K28" s="27"/>
      <c r="L28" s="27"/>
      <c r="M28" s="26"/>
      <c r="P28" s="27"/>
      <c r="Q28" s="27"/>
      <c r="R28" s="11"/>
      <c r="S28" s="11"/>
      <c r="T28" s="11"/>
      <c r="U28" s="169"/>
      <c r="V28" s="33"/>
      <c r="W28" s="81"/>
      <c r="X28" s="11"/>
      <c r="Y28" s="81"/>
      <c r="Z28" s="27"/>
      <c r="AB28" s="25"/>
      <c r="AC28" s="25"/>
      <c r="AD28" s="25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</row>
    <row r="29" spans="1:41" x14ac:dyDescent="0.35">
      <c r="A29" s="104">
        <v>19</v>
      </c>
      <c r="B29" s="28">
        <v>43689</v>
      </c>
      <c r="C29" s="31">
        <v>11</v>
      </c>
      <c r="D29" s="31">
        <v>113</v>
      </c>
      <c r="E29" s="31">
        <f>E25+D29</f>
        <v>1291</v>
      </c>
      <c r="F29" s="25">
        <f t="shared" si="3"/>
        <v>0.97413793103448276</v>
      </c>
      <c r="G29" s="25">
        <f>G25+F29</f>
        <v>11.133103448275861</v>
      </c>
      <c r="H29" s="31">
        <v>7.75</v>
      </c>
      <c r="I29" s="31">
        <v>2220</v>
      </c>
      <c r="J29" s="12">
        <v>289.2</v>
      </c>
      <c r="K29" s="27">
        <v>691</v>
      </c>
      <c r="L29" s="27">
        <v>56</v>
      </c>
      <c r="M29" s="169">
        <v>0.5</v>
      </c>
      <c r="N29" s="31">
        <v>843</v>
      </c>
      <c r="O29" s="31">
        <v>30</v>
      </c>
      <c r="P29" s="21">
        <v>163.1</v>
      </c>
      <c r="Q29" s="21">
        <v>35.33</v>
      </c>
      <c r="R29" s="21">
        <v>386.9</v>
      </c>
      <c r="S29" s="21">
        <v>18.32</v>
      </c>
      <c r="T29" s="21">
        <v>18.690000000000001</v>
      </c>
      <c r="U29" s="169">
        <v>0.2</v>
      </c>
      <c r="V29" s="11">
        <v>0.72799999999999998</v>
      </c>
      <c r="W29" s="81">
        <v>0.02</v>
      </c>
      <c r="X29" s="11">
        <v>0.316</v>
      </c>
      <c r="Y29" s="81">
        <v>0.04</v>
      </c>
      <c r="Z29" s="18">
        <v>1.2470000000000001</v>
      </c>
      <c r="AB29" s="25">
        <f t="shared" ref="AB29:AB39" si="9">((J29/50)+(L29/35.45)+(M29/62)+(N29/48.03))</f>
        <v>24.923284513503734</v>
      </c>
      <c r="AC29" s="25">
        <f t="shared" si="4"/>
        <v>28.351211412911443</v>
      </c>
      <c r="AD29" s="25">
        <f t="shared" si="5"/>
        <v>6.4344614431312408</v>
      </c>
      <c r="AF29" s="101">
        <v>7.75</v>
      </c>
      <c r="AG29" s="101">
        <v>7.4399199999999999</v>
      </c>
      <c r="AH29" s="101">
        <v>0.71240000000000003</v>
      </c>
      <c r="AI29" s="101">
        <v>-0.69679999999999997</v>
      </c>
      <c r="AJ29" s="101">
        <v>-0.94630000000000003</v>
      </c>
      <c r="AK29" s="101">
        <v>-2.2669000000000001</v>
      </c>
      <c r="AL29" s="101">
        <v>0.5917</v>
      </c>
      <c r="AM29" s="101">
        <v>-6.7599999999999993E-2</v>
      </c>
      <c r="AN29" s="101">
        <v>-0.3196</v>
      </c>
      <c r="AO29" s="101">
        <v>-0.72060000000000002</v>
      </c>
    </row>
    <row r="30" spans="1:41" x14ac:dyDescent="0.35">
      <c r="A30" s="104">
        <v>19</v>
      </c>
      <c r="B30" s="28">
        <v>43690</v>
      </c>
      <c r="C30" s="31">
        <v>12</v>
      </c>
      <c r="D30" s="31">
        <v>113</v>
      </c>
      <c r="E30" s="31">
        <f t="shared" si="6"/>
        <v>1404</v>
      </c>
      <c r="F30" s="25">
        <f t="shared" si="3"/>
        <v>0.97413793103448276</v>
      </c>
      <c r="G30" s="25">
        <f t="shared" si="8"/>
        <v>12.107241379310343</v>
      </c>
      <c r="H30" s="31">
        <v>7.94</v>
      </c>
      <c r="I30" s="31">
        <v>1297</v>
      </c>
      <c r="J30" s="12">
        <v>239.6</v>
      </c>
      <c r="K30" s="27">
        <v>289</v>
      </c>
      <c r="L30" s="27">
        <v>31</v>
      </c>
      <c r="M30" s="169">
        <v>0.5</v>
      </c>
      <c r="N30" s="141">
        <v>512</v>
      </c>
      <c r="O30" s="141">
        <v>25</v>
      </c>
      <c r="P30" s="21">
        <v>68.680000000000007</v>
      </c>
      <c r="Q30" s="21">
        <v>12.26</v>
      </c>
      <c r="R30" s="21">
        <v>255.2</v>
      </c>
      <c r="S30" s="21">
        <v>17.899999999999999</v>
      </c>
      <c r="T30" s="21">
        <v>13.37</v>
      </c>
      <c r="U30" s="169">
        <v>0.2</v>
      </c>
      <c r="V30" s="11">
        <v>0.57399999999999995</v>
      </c>
      <c r="W30" s="81">
        <v>0.02</v>
      </c>
      <c r="X30" s="11">
        <v>0.122</v>
      </c>
      <c r="Y30" s="81">
        <v>0.04</v>
      </c>
      <c r="Z30" s="11">
        <v>0.55200000000000005</v>
      </c>
      <c r="AB30" s="25">
        <f t="shared" si="9"/>
        <v>16.334539766229831</v>
      </c>
      <c r="AC30" s="25">
        <f t="shared" si="4"/>
        <v>15.877791595708228</v>
      </c>
      <c r="AD30" s="25">
        <f t="shared" si="5"/>
        <v>1.4179295667537271</v>
      </c>
      <c r="AF30" s="101">
        <v>7.94</v>
      </c>
      <c r="AG30" s="101">
        <v>-1.5942000000000001</v>
      </c>
      <c r="AH30" s="101">
        <v>0.53410000000000002</v>
      </c>
      <c r="AI30" s="101">
        <v>-1.1284000000000001</v>
      </c>
      <c r="AJ30" s="101">
        <v>-1.3779999999999999</v>
      </c>
      <c r="AK30" s="101">
        <v>-2.5192000000000001</v>
      </c>
      <c r="AL30" s="101">
        <v>0.1487</v>
      </c>
      <c r="AM30" s="101">
        <v>-0.26479999999999998</v>
      </c>
      <c r="AN30" s="101">
        <v>-0.67810000000000004</v>
      </c>
      <c r="AO30" s="101">
        <v>-0.98529999999999995</v>
      </c>
    </row>
    <row r="31" spans="1:41" x14ac:dyDescent="0.35">
      <c r="A31" s="104">
        <v>19</v>
      </c>
      <c r="B31" s="28">
        <v>43691</v>
      </c>
      <c r="C31" s="31">
        <v>13</v>
      </c>
      <c r="D31" s="31">
        <v>115</v>
      </c>
      <c r="E31" s="31">
        <f t="shared" si="6"/>
        <v>1519</v>
      </c>
      <c r="F31" s="25">
        <f t="shared" si="3"/>
        <v>0.99137931034482762</v>
      </c>
      <c r="G31" s="25">
        <f t="shared" si="8"/>
        <v>13.098620689655171</v>
      </c>
      <c r="H31" s="31">
        <v>8.07</v>
      </c>
      <c r="I31" s="31">
        <v>854</v>
      </c>
      <c r="J31" s="12">
        <v>190.2</v>
      </c>
      <c r="K31" s="27">
        <v>141</v>
      </c>
      <c r="L31" s="27">
        <v>8.4</v>
      </c>
      <c r="M31" s="169">
        <v>0.5</v>
      </c>
      <c r="N31" s="31">
        <v>205</v>
      </c>
      <c r="O31" s="31">
        <v>20</v>
      </c>
      <c r="P31" s="21">
        <v>30.45</v>
      </c>
      <c r="Q31" s="21">
        <v>7.0039999999999996</v>
      </c>
      <c r="R31" s="21">
        <v>144.1</v>
      </c>
      <c r="S31" s="21">
        <v>15.63</v>
      </c>
      <c r="T31" s="18">
        <v>7.8410000000000002</v>
      </c>
      <c r="U31" s="169">
        <v>0.2</v>
      </c>
      <c r="V31" s="11">
        <v>0.32200000000000001</v>
      </c>
      <c r="W31" s="81">
        <v>0.02</v>
      </c>
      <c r="X31" s="103">
        <v>5.6000000000000001E-2</v>
      </c>
      <c r="Y31" s="81">
        <v>0.04</v>
      </c>
      <c r="Z31" s="11">
        <v>0.26700000000000002</v>
      </c>
      <c r="AB31" s="25">
        <f t="shared" si="9"/>
        <v>8.3171837014524961</v>
      </c>
      <c r="AC31" s="25">
        <f t="shared" si="4"/>
        <v>8.5639275880806096</v>
      </c>
      <c r="AD31" s="25">
        <f t="shared" si="5"/>
        <v>1.4616566551581447</v>
      </c>
      <c r="AF31" s="101">
        <v>8.07</v>
      </c>
      <c r="AG31" s="101">
        <v>1.11829</v>
      </c>
      <c r="AH31" s="101">
        <v>0.33760000000000001</v>
      </c>
      <c r="AI31" s="101">
        <v>-1.6913</v>
      </c>
      <c r="AJ31" s="101">
        <v>-1.9411</v>
      </c>
      <c r="AK31" s="101">
        <v>-2.7326000000000001</v>
      </c>
      <c r="AL31" s="101">
        <v>-0.1419</v>
      </c>
      <c r="AM31" s="101">
        <v>-0.43769999999999998</v>
      </c>
      <c r="AN31" s="101">
        <v>-1.1129</v>
      </c>
      <c r="AO31" s="101">
        <v>-1.0794999999999999</v>
      </c>
    </row>
    <row r="32" spans="1:41" x14ac:dyDescent="0.35">
      <c r="A32" s="104">
        <v>19</v>
      </c>
      <c r="B32" s="28">
        <v>43692</v>
      </c>
      <c r="C32" s="31">
        <v>14</v>
      </c>
      <c r="D32" s="31">
        <v>116</v>
      </c>
      <c r="E32" s="31">
        <f t="shared" si="6"/>
        <v>1635</v>
      </c>
      <c r="F32" s="25">
        <f t="shared" si="3"/>
        <v>1</v>
      </c>
      <c r="G32" s="25">
        <f t="shared" si="8"/>
        <v>14.098620689655171</v>
      </c>
      <c r="H32" s="31">
        <v>8.16</v>
      </c>
      <c r="I32" s="31">
        <v>694</v>
      </c>
      <c r="J32" s="12">
        <v>160.19999999999999</v>
      </c>
      <c r="K32" s="27">
        <v>123</v>
      </c>
      <c r="L32" s="27">
        <v>5.8</v>
      </c>
      <c r="M32" s="169">
        <v>0.5</v>
      </c>
      <c r="N32" s="31">
        <v>160</v>
      </c>
      <c r="O32" s="31">
        <v>17</v>
      </c>
      <c r="P32" s="21">
        <v>29.87</v>
      </c>
      <c r="Q32" s="21">
        <v>6.9489999999999998</v>
      </c>
      <c r="R32" s="21">
        <v>100.6</v>
      </c>
      <c r="S32" s="21">
        <v>16.649999999999999</v>
      </c>
      <c r="T32" s="18">
        <v>7.3170000000000002</v>
      </c>
      <c r="U32" s="169">
        <v>0.2</v>
      </c>
      <c r="V32" s="11">
        <v>0.159</v>
      </c>
      <c r="W32" s="81">
        <v>0.02</v>
      </c>
      <c r="X32" s="103">
        <v>5.7000000000000002E-2</v>
      </c>
      <c r="Y32" s="81">
        <v>0.04</v>
      </c>
      <c r="Z32" s="11">
        <v>0.27300000000000002</v>
      </c>
      <c r="AB32" s="25">
        <f t="shared" si="9"/>
        <v>6.7069265367220616</v>
      </c>
      <c r="AC32" s="25">
        <f t="shared" si="4"/>
        <v>6.6249338997252654</v>
      </c>
      <c r="AD32" s="25">
        <f t="shared" si="5"/>
        <v>0.61501271624956833</v>
      </c>
      <c r="AF32" s="101">
        <v>8.16</v>
      </c>
      <c r="AG32" s="101">
        <v>0.39158700000000002</v>
      </c>
      <c r="AH32" s="101">
        <v>0.376</v>
      </c>
      <c r="AI32" s="101">
        <v>-1.7608999999999999</v>
      </c>
      <c r="AJ32" s="101">
        <v>-2.0108000000000001</v>
      </c>
      <c r="AK32" s="101">
        <v>-2.8950999999999998</v>
      </c>
      <c r="AL32" s="101">
        <v>-6.2399999999999997E-2</v>
      </c>
      <c r="AM32" s="101">
        <v>-0.38040000000000002</v>
      </c>
      <c r="AN32" s="101">
        <v>-1.3807</v>
      </c>
      <c r="AO32" s="101">
        <v>-1.0384</v>
      </c>
    </row>
    <row r="33" spans="1:41" x14ac:dyDescent="0.35">
      <c r="A33" s="104">
        <v>19</v>
      </c>
      <c r="B33" s="28">
        <v>43693</v>
      </c>
      <c r="C33" s="31">
        <v>15</v>
      </c>
      <c r="D33" s="31">
        <v>115</v>
      </c>
      <c r="E33" s="31">
        <f t="shared" si="6"/>
        <v>1750</v>
      </c>
      <c r="F33" s="25">
        <f t="shared" si="3"/>
        <v>0.99137931034482762</v>
      </c>
      <c r="G33" s="25">
        <f t="shared" si="8"/>
        <v>15.089999999999998</v>
      </c>
      <c r="H33" s="31">
        <v>8.06</v>
      </c>
      <c r="I33" s="31">
        <v>625</v>
      </c>
      <c r="J33" s="12">
        <v>140.4</v>
      </c>
      <c r="K33" s="27">
        <v>127</v>
      </c>
      <c r="L33" s="27">
        <v>4.3</v>
      </c>
      <c r="M33" s="169">
        <v>0.5</v>
      </c>
      <c r="N33" s="31">
        <v>147</v>
      </c>
      <c r="O33" s="31">
        <v>15</v>
      </c>
      <c r="P33" s="21">
        <v>38.99</v>
      </c>
      <c r="Q33" s="21">
        <v>8.8979999999999997</v>
      </c>
      <c r="R33" s="21">
        <v>72.56</v>
      </c>
      <c r="S33" s="21">
        <v>15.41</v>
      </c>
      <c r="T33" s="18">
        <v>6.9450000000000003</v>
      </c>
      <c r="U33" s="169">
        <v>0.2</v>
      </c>
      <c r="V33" s="103">
        <v>8.5999999999999993E-2</v>
      </c>
      <c r="W33" s="81">
        <v>0.02</v>
      </c>
      <c r="X33" s="103">
        <v>7.3999999999999996E-2</v>
      </c>
      <c r="Y33" s="81">
        <v>0.04</v>
      </c>
      <c r="Z33" s="11">
        <v>0.35499999999999998</v>
      </c>
      <c r="AB33" s="25">
        <f t="shared" si="9"/>
        <v>5.9979492514275812</v>
      </c>
      <c r="AC33" s="25">
        <f t="shared" si="4"/>
        <v>6.0111285367984753</v>
      </c>
      <c r="AD33" s="25">
        <f t="shared" si="5"/>
        <v>0.10974435842038859</v>
      </c>
      <c r="AF33" s="101">
        <v>8.06</v>
      </c>
      <c r="AG33" s="101">
        <v>0.94822099999999998</v>
      </c>
      <c r="AH33" s="101">
        <v>0.3493</v>
      </c>
      <c r="AI33" s="101">
        <v>-1.6737</v>
      </c>
      <c r="AJ33" s="101">
        <v>-1.9236</v>
      </c>
      <c r="AK33" s="101">
        <v>-2.8509000000000002</v>
      </c>
      <c r="AL33" s="101">
        <v>-0.12640000000000001</v>
      </c>
      <c r="AM33" s="101">
        <v>-0.41110000000000002</v>
      </c>
      <c r="AN33" s="101">
        <v>-1.5135000000000001</v>
      </c>
      <c r="AO33" s="101">
        <v>-1.0757000000000001</v>
      </c>
    </row>
    <row r="34" spans="1:41" x14ac:dyDescent="0.35">
      <c r="A34" s="104">
        <v>19</v>
      </c>
      <c r="B34" s="28">
        <v>43694</v>
      </c>
      <c r="C34" s="31">
        <v>16</v>
      </c>
      <c r="D34" s="31">
        <v>114</v>
      </c>
      <c r="E34" s="31">
        <f t="shared" si="6"/>
        <v>1864</v>
      </c>
      <c r="F34" s="25">
        <f t="shared" si="3"/>
        <v>0.98275862068965514</v>
      </c>
      <c r="G34" s="25">
        <f t="shared" si="8"/>
        <v>16.072758620689655</v>
      </c>
      <c r="H34" s="31">
        <v>8.09</v>
      </c>
      <c r="I34" s="31">
        <v>590</v>
      </c>
      <c r="J34" s="12">
        <v>133</v>
      </c>
      <c r="K34" s="27">
        <v>133</v>
      </c>
      <c r="L34" s="27">
        <v>3.9</v>
      </c>
      <c r="M34" s="169">
        <v>0.5</v>
      </c>
      <c r="N34" s="31">
        <v>141</v>
      </c>
      <c r="O34" s="31">
        <v>14</v>
      </c>
      <c r="P34" s="21">
        <v>45.99</v>
      </c>
      <c r="Q34" s="21">
        <v>10.77</v>
      </c>
      <c r="R34" s="21">
        <v>54.59</v>
      </c>
      <c r="S34" s="21">
        <v>15.81</v>
      </c>
      <c r="T34" s="18">
        <v>6.74</v>
      </c>
      <c r="U34" s="169">
        <v>0.2</v>
      </c>
      <c r="V34" s="103">
        <v>5.1999999999999998E-2</v>
      </c>
      <c r="W34" s="81">
        <v>0.02</v>
      </c>
      <c r="X34" s="103">
        <v>9.4E-2</v>
      </c>
      <c r="Y34" s="81">
        <v>0.04</v>
      </c>
      <c r="Z34" s="11">
        <v>0.41799999999999998</v>
      </c>
      <c r="AB34" s="25">
        <f t="shared" si="9"/>
        <v>5.71374382974561</v>
      </c>
      <c r="AC34" s="25">
        <f t="shared" si="4"/>
        <v>5.7274901425457516</v>
      </c>
      <c r="AD34" s="25">
        <f t="shared" si="5"/>
        <v>0.12014711729025675</v>
      </c>
      <c r="AF34" s="101">
        <v>8.09</v>
      </c>
      <c r="AG34" s="101">
        <v>0.932226</v>
      </c>
      <c r="AH34" s="101">
        <v>0.43030000000000002</v>
      </c>
      <c r="AI34" s="101">
        <v>-1.6214999999999999</v>
      </c>
      <c r="AJ34" s="101">
        <v>-1.8713</v>
      </c>
      <c r="AK34" s="101">
        <v>-2.9066000000000001</v>
      </c>
      <c r="AL34" s="101">
        <v>4.5900000000000003E-2</v>
      </c>
      <c r="AM34" s="101">
        <v>-0.29820000000000002</v>
      </c>
      <c r="AN34" s="101">
        <v>-1.6536999999999999</v>
      </c>
      <c r="AO34" s="101">
        <v>-0.98429999999999995</v>
      </c>
    </row>
    <row r="35" spans="1:41" x14ac:dyDescent="0.35">
      <c r="A35" s="104">
        <v>19</v>
      </c>
      <c r="B35" s="28">
        <v>43695</v>
      </c>
      <c r="C35" s="31">
        <v>17</v>
      </c>
      <c r="D35" s="31">
        <v>116</v>
      </c>
      <c r="E35" s="31">
        <f t="shared" si="6"/>
        <v>1980</v>
      </c>
      <c r="F35" s="25">
        <f t="shared" si="3"/>
        <v>1</v>
      </c>
      <c r="G35" s="25">
        <f t="shared" si="8"/>
        <v>17.072758620689655</v>
      </c>
      <c r="H35" s="31">
        <v>7.98</v>
      </c>
      <c r="I35" s="31">
        <v>575</v>
      </c>
      <c r="J35" s="12">
        <v>127.4</v>
      </c>
      <c r="K35" s="27">
        <v>138</v>
      </c>
      <c r="L35" s="27">
        <v>3.9</v>
      </c>
      <c r="M35" s="169">
        <v>0.5</v>
      </c>
      <c r="N35" s="31">
        <v>139</v>
      </c>
      <c r="O35" s="31">
        <v>14</v>
      </c>
      <c r="P35" s="21">
        <v>52.19</v>
      </c>
      <c r="Q35" s="21">
        <v>12.4</v>
      </c>
      <c r="R35" s="21">
        <v>41.63</v>
      </c>
      <c r="S35" s="21">
        <v>15.98</v>
      </c>
      <c r="T35" s="18">
        <v>6.4539999999999997</v>
      </c>
      <c r="U35" s="169">
        <v>0.2</v>
      </c>
      <c r="V35" s="103">
        <v>3.5999999999999997E-2</v>
      </c>
      <c r="W35" s="81">
        <v>0.02</v>
      </c>
      <c r="X35" s="11">
        <v>0.114</v>
      </c>
      <c r="Y35" s="81">
        <v>0.04</v>
      </c>
      <c r="Z35" s="11">
        <v>0.495</v>
      </c>
      <c r="AB35" s="25">
        <f t="shared" si="9"/>
        <v>5.5601031884797347</v>
      </c>
      <c r="AC35" s="25">
        <f t="shared" si="4"/>
        <v>5.5998794967154337</v>
      </c>
      <c r="AD35" s="25">
        <f t="shared" si="5"/>
        <v>0.35641908556422985</v>
      </c>
      <c r="AF35" s="101">
        <v>7.98</v>
      </c>
      <c r="AG35" s="101">
        <v>1.2490699999999999</v>
      </c>
      <c r="AH35" s="101">
        <v>0.36130000000000001</v>
      </c>
      <c r="AI35" s="101">
        <v>-1.5761000000000001</v>
      </c>
      <c r="AJ35" s="101">
        <v>-1.8260000000000001</v>
      </c>
      <c r="AK35" s="101">
        <v>-2.8140000000000001</v>
      </c>
      <c r="AL35" s="101">
        <v>-8.6699999999999999E-2</v>
      </c>
      <c r="AM35" s="101">
        <v>-0.3397</v>
      </c>
      <c r="AN35" s="101">
        <v>-1.7548999999999999</v>
      </c>
      <c r="AO35" s="101">
        <v>-1.048</v>
      </c>
    </row>
    <row r="36" spans="1:41" x14ac:dyDescent="0.35">
      <c r="A36" s="104">
        <v>19</v>
      </c>
      <c r="B36" s="28">
        <v>43696</v>
      </c>
      <c r="C36" s="31">
        <v>18</v>
      </c>
      <c r="D36" s="31">
        <v>113</v>
      </c>
      <c r="E36" s="31">
        <f t="shared" si="6"/>
        <v>2093</v>
      </c>
      <c r="F36" s="25">
        <f t="shared" si="3"/>
        <v>0.97413793103448276</v>
      </c>
      <c r="G36" s="25">
        <f t="shared" si="8"/>
        <v>18.046896551724139</v>
      </c>
      <c r="H36" s="31">
        <v>7.95</v>
      </c>
      <c r="I36" s="31">
        <v>564</v>
      </c>
      <c r="J36" s="12">
        <v>121.8</v>
      </c>
      <c r="K36" s="27">
        <v>140</v>
      </c>
      <c r="L36" s="27">
        <v>3.9</v>
      </c>
      <c r="M36" s="169">
        <v>0.5</v>
      </c>
      <c r="N36" s="31">
        <v>139</v>
      </c>
      <c r="O36" s="31">
        <v>14</v>
      </c>
      <c r="P36" s="21">
        <v>55.92</v>
      </c>
      <c r="Q36" s="21">
        <v>13.5</v>
      </c>
      <c r="R36" s="21">
        <v>34.25</v>
      </c>
      <c r="S36" s="21">
        <v>16.27</v>
      </c>
      <c r="T36" s="18">
        <v>6.1740000000000004</v>
      </c>
      <c r="U36" s="169">
        <v>0.2</v>
      </c>
      <c r="V36" s="81">
        <v>0.02</v>
      </c>
      <c r="W36" s="81">
        <v>0.02</v>
      </c>
      <c r="X36" s="11">
        <v>0.126</v>
      </c>
      <c r="Y36" s="81">
        <v>0.04</v>
      </c>
      <c r="Z36" s="11">
        <v>0.51</v>
      </c>
      <c r="AB36" s="25">
        <f t="shared" si="9"/>
        <v>5.4481031884797346</v>
      </c>
      <c r="AC36" s="25">
        <f t="shared" si="4"/>
        <v>5.5482975078162449</v>
      </c>
      <c r="AD36" s="25">
        <f t="shared" si="5"/>
        <v>0.91115558721191048</v>
      </c>
      <c r="AF36" s="101">
        <v>7.95</v>
      </c>
      <c r="AG36" s="101">
        <v>1.8952100000000001</v>
      </c>
      <c r="AH36" s="101">
        <v>0.34300000000000003</v>
      </c>
      <c r="AI36" s="101">
        <v>-1.5488999999999999</v>
      </c>
      <c r="AJ36" s="101">
        <v>-1.7988</v>
      </c>
      <c r="AK36" s="101">
        <v>-2.8037000000000001</v>
      </c>
      <c r="AL36" s="101">
        <v>-0.11700000000000001</v>
      </c>
      <c r="AM36" s="101">
        <v>-0.34510000000000002</v>
      </c>
      <c r="AN36" s="101">
        <v>-1.9787999999999999</v>
      </c>
      <c r="AO36" s="101">
        <v>-1.06</v>
      </c>
    </row>
    <row r="37" spans="1:41" x14ac:dyDescent="0.35">
      <c r="A37" s="104">
        <v>19</v>
      </c>
      <c r="B37" s="28">
        <v>43697</v>
      </c>
      <c r="C37" s="31">
        <v>19</v>
      </c>
      <c r="D37" s="31">
        <v>117</v>
      </c>
      <c r="E37" s="31">
        <f t="shared" si="6"/>
        <v>2210</v>
      </c>
      <c r="F37" s="25">
        <f t="shared" si="3"/>
        <v>1.0086206896551724</v>
      </c>
      <c r="G37" s="25">
        <f t="shared" si="8"/>
        <v>19.055517241379309</v>
      </c>
      <c r="H37" s="31">
        <v>7.94</v>
      </c>
      <c r="I37" s="31">
        <v>561</v>
      </c>
      <c r="J37" s="12">
        <v>123.6</v>
      </c>
      <c r="K37" s="27">
        <v>140</v>
      </c>
      <c r="L37" s="27">
        <v>3.9</v>
      </c>
      <c r="M37" s="169">
        <v>0.5</v>
      </c>
      <c r="N37" s="31">
        <v>139</v>
      </c>
      <c r="O37" s="31">
        <v>14</v>
      </c>
      <c r="P37" s="12">
        <v>59.65</v>
      </c>
      <c r="Q37" s="12">
        <v>14.72</v>
      </c>
      <c r="R37" s="21">
        <v>29.88</v>
      </c>
      <c r="S37" s="21">
        <v>16.190000000000001</v>
      </c>
      <c r="T37" s="18">
        <v>5.8179999999999996</v>
      </c>
      <c r="U37" s="169">
        <v>0.2</v>
      </c>
      <c r="V37" s="81">
        <v>0.02</v>
      </c>
      <c r="W37" s="81">
        <v>0.02</v>
      </c>
      <c r="X37" s="11">
        <v>0.13900000000000001</v>
      </c>
      <c r="Y37" s="81">
        <v>0.04</v>
      </c>
      <c r="Z37" s="11">
        <v>0.54200000000000004</v>
      </c>
      <c r="AB37" s="25">
        <f t="shared" si="9"/>
        <v>5.4841031884797342</v>
      </c>
      <c r="AC37" s="25">
        <f t="shared" si="4"/>
        <v>5.6355666957325061</v>
      </c>
      <c r="AD37" s="25">
        <f t="shared" si="5"/>
        <v>1.3621223366335768</v>
      </c>
      <c r="AF37" s="101">
        <v>7.94</v>
      </c>
      <c r="AG37" s="101">
        <v>2.4082400000000002</v>
      </c>
      <c r="AH37" s="101">
        <v>0.36580000000000001</v>
      </c>
      <c r="AI37" s="101">
        <v>-1.5268999999999999</v>
      </c>
      <c r="AJ37" s="101">
        <v>-1.7767999999999999</v>
      </c>
      <c r="AK37" s="101">
        <v>-2.7883</v>
      </c>
      <c r="AL37" s="101">
        <v>-6.1899999999999997E-2</v>
      </c>
      <c r="AM37" s="101">
        <v>-0.30819999999999997</v>
      </c>
      <c r="AN37" s="101">
        <v>-1.9528000000000001</v>
      </c>
      <c r="AO37" s="101">
        <v>-1.0277000000000001</v>
      </c>
    </row>
    <row r="38" spans="1:41" x14ac:dyDescent="0.35">
      <c r="A38" s="104">
        <v>19</v>
      </c>
      <c r="B38" s="28">
        <v>43698</v>
      </c>
      <c r="C38" s="31">
        <v>20</v>
      </c>
      <c r="D38" s="31">
        <v>117</v>
      </c>
      <c r="E38" s="31">
        <f t="shared" si="6"/>
        <v>2327</v>
      </c>
      <c r="F38" s="25">
        <f t="shared" si="3"/>
        <v>1.0086206896551724</v>
      </c>
      <c r="G38" s="25">
        <f t="shared" si="8"/>
        <v>20.06413793103448</v>
      </c>
      <c r="H38" s="31">
        <v>7.91</v>
      </c>
      <c r="I38" s="31">
        <v>556</v>
      </c>
      <c r="J38" s="12">
        <v>120.4</v>
      </c>
      <c r="K38" s="27">
        <v>143</v>
      </c>
      <c r="L38" s="27">
        <v>3.7</v>
      </c>
      <c r="M38" s="169">
        <v>0.5</v>
      </c>
      <c r="N38" s="31">
        <v>133</v>
      </c>
      <c r="O38" s="31">
        <v>13</v>
      </c>
      <c r="P38" s="12">
        <v>60.9</v>
      </c>
      <c r="Q38" s="12">
        <v>15.35</v>
      </c>
      <c r="R38" s="21">
        <v>26.84</v>
      </c>
      <c r="S38" s="21">
        <v>16.8</v>
      </c>
      <c r="T38" s="18">
        <v>5.5570000000000004</v>
      </c>
      <c r="U38" s="169">
        <v>0.2</v>
      </c>
      <c r="V38" s="81">
        <v>0.02</v>
      </c>
      <c r="W38" s="81">
        <v>0.02</v>
      </c>
      <c r="X38" s="11">
        <v>0.153</v>
      </c>
      <c r="Y38" s="81">
        <v>0.04</v>
      </c>
      <c r="Z38" s="11">
        <v>0.54800000000000004</v>
      </c>
      <c r="AB38" s="25">
        <f t="shared" si="9"/>
        <v>5.2895395157399356</v>
      </c>
      <c r="AC38" s="25">
        <f t="shared" si="4"/>
        <v>5.6108445589852858</v>
      </c>
      <c r="AD38" s="25">
        <f t="shared" si="5"/>
        <v>2.9476488263414669</v>
      </c>
      <c r="AF38" s="101">
        <v>7.91</v>
      </c>
      <c r="AG38" s="101">
        <v>4.13788</v>
      </c>
      <c r="AH38" s="101">
        <v>0.33750000000000002</v>
      </c>
      <c r="AI38" s="101">
        <v>-1.5347999999999999</v>
      </c>
      <c r="AJ38" s="101">
        <v>-1.7847</v>
      </c>
      <c r="AK38" s="101">
        <v>-2.7692000000000001</v>
      </c>
      <c r="AL38" s="101">
        <v>-0.11</v>
      </c>
      <c r="AM38" s="101">
        <v>-0.3044</v>
      </c>
      <c r="AN38" s="101">
        <v>-1.9393</v>
      </c>
      <c r="AO38" s="101">
        <v>-1.0475000000000001</v>
      </c>
    </row>
    <row r="39" spans="1:41" x14ac:dyDescent="0.35">
      <c r="A39" s="104">
        <v>19</v>
      </c>
      <c r="B39" s="28">
        <v>43699</v>
      </c>
      <c r="C39" s="31">
        <v>21</v>
      </c>
      <c r="D39" s="31">
        <v>117</v>
      </c>
      <c r="E39" s="31">
        <f t="shared" si="6"/>
        <v>2444</v>
      </c>
      <c r="F39" s="25">
        <f t="shared" si="3"/>
        <v>1.0086206896551724</v>
      </c>
      <c r="G39" s="25">
        <f t="shared" si="8"/>
        <v>21.072758620689651</v>
      </c>
      <c r="H39" s="31">
        <v>7.81</v>
      </c>
      <c r="I39" s="31">
        <v>570</v>
      </c>
      <c r="J39" s="12">
        <v>118.4</v>
      </c>
      <c r="K39" s="27">
        <v>140</v>
      </c>
      <c r="L39" s="27">
        <v>3.8</v>
      </c>
      <c r="M39" s="169">
        <v>0.5</v>
      </c>
      <c r="N39" s="31">
        <v>137</v>
      </c>
      <c r="O39" s="31">
        <v>14</v>
      </c>
      <c r="P39" s="12">
        <v>62.13</v>
      </c>
      <c r="Q39" s="12">
        <v>15.86</v>
      </c>
      <c r="R39" s="12">
        <v>25.65</v>
      </c>
      <c r="S39" s="12">
        <v>15.94</v>
      </c>
      <c r="T39" s="6">
        <v>5.2530000000000001</v>
      </c>
      <c r="U39" s="169">
        <v>0.2</v>
      </c>
      <c r="V39" s="81">
        <v>0.02</v>
      </c>
      <c r="W39" s="81">
        <v>0.02</v>
      </c>
      <c r="X39" s="11">
        <v>0.16500000000000001</v>
      </c>
      <c r="Y39" s="81">
        <v>0.04</v>
      </c>
      <c r="Z39" s="11">
        <v>0.54600000000000004</v>
      </c>
      <c r="AB39" s="25">
        <f t="shared" si="9"/>
        <v>5.3356416727427733</v>
      </c>
      <c r="AC39" s="25">
        <f t="shared" si="4"/>
        <v>5.6546260224128782</v>
      </c>
      <c r="AD39" s="25">
        <f t="shared" si="5"/>
        <v>2.9024256598472884</v>
      </c>
      <c r="AF39" s="101">
        <v>7.81</v>
      </c>
      <c r="AG39" s="101">
        <v>4.1224499999999997</v>
      </c>
      <c r="AH39" s="101">
        <v>0.23930000000000001</v>
      </c>
      <c r="AI39" s="101">
        <v>-1.5165</v>
      </c>
      <c r="AJ39" s="101">
        <v>-1.7664</v>
      </c>
      <c r="AK39" s="101">
        <v>-2.6749999999999998</v>
      </c>
      <c r="AL39" s="101">
        <v>-0.30099999999999999</v>
      </c>
      <c r="AM39" s="101">
        <v>-0.379</v>
      </c>
      <c r="AN39" s="101">
        <v>-1.9327000000000001</v>
      </c>
      <c r="AO39" s="101">
        <v>-1.1403000000000001</v>
      </c>
    </row>
    <row r="40" spans="1:41" s="186" customFormat="1" x14ac:dyDescent="0.35">
      <c r="B40" s="28"/>
      <c r="F40" s="25"/>
      <c r="G40" s="25"/>
      <c r="J40" s="12"/>
      <c r="K40" s="27"/>
      <c r="L40" s="27"/>
      <c r="M40" s="169"/>
      <c r="P40" s="85"/>
      <c r="Q40" s="85"/>
      <c r="R40" s="85"/>
      <c r="T40" s="85"/>
      <c r="U40" s="169"/>
      <c r="V40" s="81"/>
      <c r="W40" s="81"/>
      <c r="X40" s="103"/>
      <c r="Y40" s="81"/>
      <c r="Z40" s="103"/>
      <c r="AB40" s="25"/>
      <c r="AC40" s="25"/>
      <c r="AD40" s="25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</row>
    <row r="41" spans="1:41" s="109" customFormat="1" x14ac:dyDescent="0.35">
      <c r="A41" s="206" t="s">
        <v>277</v>
      </c>
      <c r="B41" s="207"/>
      <c r="C41" s="207"/>
      <c r="D41" s="207"/>
      <c r="E41" s="207"/>
      <c r="F41" s="207"/>
      <c r="G41" s="25"/>
      <c r="H41" s="6">
        <f>AVERAGE(B78:B84)</f>
        <v>7.2228571428571424</v>
      </c>
      <c r="I41" s="165">
        <f>'Influent Results Master'!D59</f>
        <v>2617.25</v>
      </c>
      <c r="J41" s="165">
        <f>'Influent Results Master'!F59</f>
        <v>263.04999999999995</v>
      </c>
      <c r="K41" s="165">
        <f>'Influent Results Master'!G59</f>
        <v>721.75</v>
      </c>
      <c r="L41" s="165">
        <f>'Influent Results Master'!H59</f>
        <v>63.25</v>
      </c>
      <c r="M41" s="171">
        <f>'Influent Results Master'!I59</f>
        <v>0.5</v>
      </c>
      <c r="N41" s="165">
        <f>'Influent Results Master'!J59</f>
        <v>911.25</v>
      </c>
      <c r="O41" s="165">
        <f>'Influent Results Master'!K59</f>
        <v>26.5</v>
      </c>
      <c r="P41" s="165">
        <f>'Influent Results Master'!L59</f>
        <v>159.125</v>
      </c>
      <c r="Q41" s="165">
        <f>'Influent Results Master'!M59</f>
        <v>44.637500000000003</v>
      </c>
      <c r="R41" s="165">
        <f>'Influent Results Master'!N59</f>
        <v>361.32500000000005</v>
      </c>
      <c r="S41" s="165">
        <f>'Influent Results Master'!O59</f>
        <v>16.149999999999999</v>
      </c>
      <c r="T41" s="170">
        <f>'Influent Results Master'!P59</f>
        <v>8.37425</v>
      </c>
      <c r="U41" s="171">
        <f>'Influent Results Master'!Q59</f>
        <v>0.20000000000000004</v>
      </c>
      <c r="V41" s="163">
        <f>'Influent Results Master'!R59</f>
        <v>0.73666666666666669</v>
      </c>
      <c r="W41" s="177">
        <f>'Influent Results Master'!S59</f>
        <v>0.02</v>
      </c>
      <c r="X41" s="163">
        <f>'Influent Results Master'!T59</f>
        <v>0.81966666666666665</v>
      </c>
      <c r="Y41" s="163">
        <f>'Influent Results Master'!U59</f>
        <v>0.17233333333333334</v>
      </c>
      <c r="Z41" s="170">
        <f>'Influent Results Master'!V59</f>
        <v>1.8426666666666669</v>
      </c>
      <c r="AB41" s="25"/>
      <c r="AC41" s="25"/>
      <c r="AD41" s="25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</row>
    <row r="42" spans="1:41" s="186" customFormat="1" x14ac:dyDescent="0.35">
      <c r="B42" s="187"/>
      <c r="C42" s="187"/>
      <c r="D42" s="187"/>
      <c r="E42" s="187"/>
      <c r="F42" s="187"/>
      <c r="G42" s="25"/>
      <c r="J42" s="12"/>
      <c r="K42" s="27"/>
      <c r="L42" s="26"/>
      <c r="M42" s="26"/>
      <c r="U42" s="169"/>
      <c r="V42" s="81"/>
      <c r="W42" s="81"/>
      <c r="X42" s="27"/>
      <c r="Y42" s="81"/>
      <c r="Z42" s="27"/>
      <c r="AB42" s="25"/>
      <c r="AC42" s="25"/>
      <c r="AD42" s="25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</row>
    <row r="43" spans="1:41" x14ac:dyDescent="0.35">
      <c r="A43" s="104">
        <v>19</v>
      </c>
      <c r="B43" s="28">
        <v>43700</v>
      </c>
      <c r="C43" s="31">
        <v>22</v>
      </c>
      <c r="D43" s="31">
        <v>116</v>
      </c>
      <c r="E43" s="31">
        <f>E39+D43</f>
        <v>2560</v>
      </c>
      <c r="F43" s="25">
        <f t="shared" si="3"/>
        <v>1</v>
      </c>
      <c r="G43" s="25">
        <f>G39+F43</f>
        <v>22.072758620689651</v>
      </c>
      <c r="H43" s="31">
        <v>7.91</v>
      </c>
      <c r="I43" s="31">
        <v>546</v>
      </c>
      <c r="J43" s="12">
        <v>118.2</v>
      </c>
      <c r="K43" s="27">
        <v>151</v>
      </c>
      <c r="L43" s="191"/>
      <c r="M43" s="169">
        <v>0.5</v>
      </c>
      <c r="N43" s="31">
        <v>140</v>
      </c>
      <c r="O43" s="198"/>
      <c r="P43" s="12">
        <v>63.9</v>
      </c>
      <c r="Q43" s="12">
        <v>16.45</v>
      </c>
      <c r="R43" s="12">
        <v>24</v>
      </c>
      <c r="S43" s="12">
        <v>16.18</v>
      </c>
      <c r="T43" s="6">
        <v>5.1420000000000003</v>
      </c>
      <c r="U43" s="169">
        <v>0.2</v>
      </c>
      <c r="V43" s="81">
        <v>0.02</v>
      </c>
      <c r="W43" s="81">
        <v>0.02</v>
      </c>
      <c r="X43" s="11">
        <v>0.17100000000000001</v>
      </c>
      <c r="Y43" s="81">
        <v>0.04</v>
      </c>
      <c r="Z43" s="11">
        <v>0.56299999999999994</v>
      </c>
      <c r="AB43" s="25">
        <f t="shared" ref="AB43:AB49" si="10">((J43/50)+(L43/35.45)+(M43/62)+(N43/48.03))</f>
        <v>5.2869094047403173</v>
      </c>
      <c r="AC43" s="25">
        <f t="shared" si="4"/>
        <v>5.7168599029398601</v>
      </c>
      <c r="AD43" s="25">
        <f t="shared" si="5"/>
        <v>3.9073019996834635</v>
      </c>
      <c r="AF43" s="101">
        <v>7.91</v>
      </c>
      <c r="AG43" s="101">
        <v>4.1393899999999997</v>
      </c>
      <c r="AH43" s="101">
        <v>0.34589999999999999</v>
      </c>
      <c r="AI43" s="101">
        <v>-1.4997</v>
      </c>
      <c r="AJ43" s="101">
        <v>-1.7496</v>
      </c>
      <c r="AK43" s="101">
        <v>-2.7783000000000002</v>
      </c>
      <c r="AL43" s="101">
        <v>-8.3699999999999997E-2</v>
      </c>
      <c r="AM43" s="101">
        <v>-0.26860000000000001</v>
      </c>
      <c r="AN43" s="101">
        <v>-1.9237</v>
      </c>
      <c r="AO43" s="101">
        <v>-1.0297000000000001</v>
      </c>
    </row>
    <row r="44" spans="1:41" s="106" customFormat="1" x14ac:dyDescent="0.35">
      <c r="A44" s="106">
        <v>19</v>
      </c>
      <c r="B44" s="28">
        <v>43701</v>
      </c>
      <c r="C44" s="106">
        <v>23</v>
      </c>
      <c r="D44" s="106">
        <v>116</v>
      </c>
      <c r="E44" s="106">
        <f t="shared" ref="E44:E63" si="11">E43+D44</f>
        <v>2676</v>
      </c>
      <c r="F44" s="25">
        <f t="shared" ref="F44:F63" si="12">D44/116</f>
        <v>1</v>
      </c>
      <c r="G44" s="25">
        <f t="shared" ref="G44:G63" si="13">G43+F44</f>
        <v>23.072758620689651</v>
      </c>
      <c r="H44" s="106">
        <v>7.59</v>
      </c>
      <c r="I44" s="106">
        <v>1355</v>
      </c>
      <c r="J44" s="12">
        <v>179.4</v>
      </c>
      <c r="K44" s="27">
        <v>611</v>
      </c>
      <c r="L44" s="27">
        <v>38</v>
      </c>
      <c r="M44" s="169">
        <v>0.5</v>
      </c>
      <c r="N44" s="106">
        <v>596</v>
      </c>
      <c r="O44" s="198"/>
      <c r="P44" s="12">
        <v>184.9</v>
      </c>
      <c r="Q44" s="12">
        <v>48.18</v>
      </c>
      <c r="R44" s="12">
        <v>80.099999999999994</v>
      </c>
      <c r="S44" s="12">
        <v>17.63</v>
      </c>
      <c r="T44" s="6">
        <v>9.1329999999999991</v>
      </c>
      <c r="U44" s="169">
        <v>0.2</v>
      </c>
      <c r="V44" s="11">
        <v>0.20300000000000001</v>
      </c>
      <c r="W44" s="81">
        <v>0.02</v>
      </c>
      <c r="X44" s="11">
        <v>0.58399999999999996</v>
      </c>
      <c r="Y44" s="81">
        <v>0.04</v>
      </c>
      <c r="Z44" s="18">
        <v>1.6759999999999999</v>
      </c>
      <c r="AB44" s="25">
        <f t="shared" si="10"/>
        <v>17.076907912372622</v>
      </c>
      <c r="AC44" s="25">
        <f t="shared" si="4"/>
        <v>16.906422053449472</v>
      </c>
      <c r="AD44" s="25">
        <f t="shared" si="5"/>
        <v>0.50167496562171099</v>
      </c>
      <c r="AF44" s="101">
        <v>7.59</v>
      </c>
      <c r="AG44" s="101">
        <v>-0.47610799999999998</v>
      </c>
      <c r="AH44" s="101">
        <v>0.47899999999999998</v>
      </c>
      <c r="AI44" s="101">
        <v>-0.70689999999999997</v>
      </c>
      <c r="AJ44" s="101">
        <v>-0.95660000000000001</v>
      </c>
      <c r="AK44" s="101">
        <v>-2.3065000000000002</v>
      </c>
      <c r="AL44" s="101">
        <v>0.19889999999999999</v>
      </c>
      <c r="AM44" s="101">
        <v>-7.8200000000000006E-2</v>
      </c>
      <c r="AN44" s="101">
        <v>-0.70789999999999997</v>
      </c>
      <c r="AO44" s="101">
        <v>-0.88009999999999999</v>
      </c>
    </row>
    <row r="45" spans="1:41" s="106" customFormat="1" x14ac:dyDescent="0.35">
      <c r="A45" s="106">
        <v>19</v>
      </c>
      <c r="B45" s="28">
        <v>43702</v>
      </c>
      <c r="C45" s="106">
        <v>24</v>
      </c>
      <c r="D45" s="106">
        <v>118</v>
      </c>
      <c r="E45" s="106">
        <f t="shared" si="11"/>
        <v>2794</v>
      </c>
      <c r="F45" s="25">
        <f t="shared" si="12"/>
        <v>1.0172413793103448</v>
      </c>
      <c r="G45" s="25">
        <f t="shared" si="13"/>
        <v>24.089999999999996</v>
      </c>
      <c r="H45" s="106">
        <v>7.66</v>
      </c>
      <c r="I45" s="106">
        <v>2050</v>
      </c>
      <c r="J45" s="12">
        <v>228</v>
      </c>
      <c r="K45" s="27">
        <v>672</v>
      </c>
      <c r="L45" s="27">
        <v>58</v>
      </c>
      <c r="M45" s="169">
        <v>0.5</v>
      </c>
      <c r="N45" s="106">
        <v>916</v>
      </c>
      <c r="O45" s="198"/>
      <c r="P45" s="12">
        <v>226.3</v>
      </c>
      <c r="Q45" s="12">
        <v>57.73</v>
      </c>
      <c r="R45" s="12">
        <v>184.7</v>
      </c>
      <c r="S45" s="12">
        <v>18.14</v>
      </c>
      <c r="T45" s="12">
        <v>13.35</v>
      </c>
      <c r="U45" s="169">
        <v>0.2</v>
      </c>
      <c r="V45" s="11">
        <v>0.45100000000000001</v>
      </c>
      <c r="W45" s="81">
        <v>0.02</v>
      </c>
      <c r="X45" s="11">
        <v>0.69899999999999995</v>
      </c>
      <c r="Y45" s="81">
        <v>0.04</v>
      </c>
      <c r="Z45" s="18">
        <v>1.919</v>
      </c>
      <c r="AB45" s="25">
        <f t="shared" si="10"/>
        <v>25.27558540912991</v>
      </c>
      <c r="AC45" s="25">
        <f t="shared" si="4"/>
        <v>24.415308084154805</v>
      </c>
      <c r="AD45" s="25">
        <f t="shared" si="5"/>
        <v>1.7312575091678786</v>
      </c>
      <c r="AF45" s="101">
        <v>7.66</v>
      </c>
      <c r="AG45" s="101">
        <v>-2.0339499999999999</v>
      </c>
      <c r="AH45" s="101">
        <v>0.66080000000000005</v>
      </c>
      <c r="AI45" s="101">
        <v>-0.53690000000000004</v>
      </c>
      <c r="AJ45" s="101">
        <v>-0.78649999999999998</v>
      </c>
      <c r="AK45" s="101">
        <v>-2.2837000000000001</v>
      </c>
      <c r="AL45" s="101">
        <v>0.55869999999999997</v>
      </c>
      <c r="AM45" s="101">
        <v>8.5999999999999993E-2</v>
      </c>
      <c r="AN45" s="101">
        <v>-0.37840000000000001</v>
      </c>
      <c r="AO45" s="101">
        <v>-0.70209999999999995</v>
      </c>
    </row>
    <row r="46" spans="1:41" s="106" customFormat="1" x14ac:dyDescent="0.35">
      <c r="A46" s="106">
        <v>19</v>
      </c>
      <c r="B46" s="28">
        <v>43703</v>
      </c>
      <c r="C46" s="106">
        <v>25</v>
      </c>
      <c r="D46" s="106">
        <v>116</v>
      </c>
      <c r="E46" s="106">
        <f t="shared" si="11"/>
        <v>2910</v>
      </c>
      <c r="F46" s="25">
        <f t="shared" si="12"/>
        <v>1</v>
      </c>
      <c r="G46" s="25">
        <f t="shared" si="13"/>
        <v>25.089999999999996</v>
      </c>
      <c r="H46" s="106">
        <v>7.65</v>
      </c>
      <c r="I46" s="106">
        <v>2210</v>
      </c>
      <c r="J46" s="12">
        <v>262</v>
      </c>
      <c r="K46" s="27">
        <v>744</v>
      </c>
      <c r="L46" s="27">
        <v>61</v>
      </c>
      <c r="M46" s="169">
        <v>0.5</v>
      </c>
      <c r="N46" s="106">
        <v>849</v>
      </c>
      <c r="O46" s="106">
        <v>24</v>
      </c>
      <c r="P46" s="12">
        <v>192.1</v>
      </c>
      <c r="Q46" s="12">
        <v>53.01</v>
      </c>
      <c r="R46" s="12">
        <v>332</v>
      </c>
      <c r="S46" s="12">
        <v>18.510000000000002</v>
      </c>
      <c r="T46" s="12">
        <v>14.91</v>
      </c>
      <c r="U46" s="169">
        <v>0.2</v>
      </c>
      <c r="V46" s="11">
        <v>0.61799999999999999</v>
      </c>
      <c r="W46" s="81">
        <v>0.02</v>
      </c>
      <c r="X46" s="11">
        <v>0.63600000000000001</v>
      </c>
      <c r="Y46" s="81">
        <v>0.04</v>
      </c>
      <c r="Z46" s="18">
        <v>1.7030000000000001</v>
      </c>
      <c r="AB46" s="25">
        <f t="shared" si="10"/>
        <v>24.64525016085566</v>
      </c>
      <c r="AC46" s="25">
        <f t="shared" si="4"/>
        <v>28.767594597600517</v>
      </c>
      <c r="AD46" s="25">
        <f t="shared" si="5"/>
        <v>7.7178896862485855</v>
      </c>
      <c r="AF46" s="101">
        <v>7.65</v>
      </c>
      <c r="AG46" s="101">
        <v>9.2128700000000006</v>
      </c>
      <c r="AH46" s="101">
        <v>0.64380000000000004</v>
      </c>
      <c r="AI46" s="101">
        <v>-0.63500000000000001</v>
      </c>
      <c r="AJ46" s="101">
        <v>-0.88449999999999995</v>
      </c>
      <c r="AK46" s="101">
        <v>-2.2122000000000002</v>
      </c>
      <c r="AL46" s="101">
        <v>0.55810000000000004</v>
      </c>
      <c r="AM46" s="101">
        <v>9.3899999999999997E-2</v>
      </c>
      <c r="AN46" s="101">
        <v>-0.31519999999999998</v>
      </c>
      <c r="AO46" s="101">
        <v>-0.68569999999999998</v>
      </c>
    </row>
    <row r="47" spans="1:41" s="106" customFormat="1" x14ac:dyDescent="0.35">
      <c r="A47" s="106">
        <v>19</v>
      </c>
      <c r="B47" s="28">
        <v>43704</v>
      </c>
      <c r="C47" s="106">
        <v>26</v>
      </c>
      <c r="D47" s="106">
        <v>115</v>
      </c>
      <c r="E47" s="106">
        <f t="shared" si="11"/>
        <v>3025</v>
      </c>
      <c r="F47" s="25">
        <f t="shared" si="12"/>
        <v>0.99137931034482762</v>
      </c>
      <c r="G47" s="25">
        <f t="shared" si="13"/>
        <v>26.081379310344825</v>
      </c>
      <c r="H47" s="106">
        <v>7.69</v>
      </c>
      <c r="I47" s="106">
        <v>2260</v>
      </c>
      <c r="J47" s="12">
        <v>268.39999999999998</v>
      </c>
      <c r="K47" s="27">
        <v>678</v>
      </c>
      <c r="L47" s="27">
        <v>61</v>
      </c>
      <c r="M47" s="169">
        <v>0.5</v>
      </c>
      <c r="N47" s="106">
        <v>846</v>
      </c>
      <c r="O47" s="124">
        <v>28</v>
      </c>
      <c r="P47" s="12">
        <v>173.3</v>
      </c>
      <c r="Q47" s="12">
        <v>46.41</v>
      </c>
      <c r="R47" s="12">
        <v>373.9</v>
      </c>
      <c r="S47" s="12">
        <v>17.84</v>
      </c>
      <c r="T47" s="12">
        <v>14.7</v>
      </c>
      <c r="U47" s="169">
        <v>0.2</v>
      </c>
      <c r="V47" s="11">
        <v>0.67800000000000005</v>
      </c>
      <c r="W47" s="81">
        <v>0.02</v>
      </c>
      <c r="X47" s="11">
        <v>0.58499999999999996</v>
      </c>
      <c r="Y47" s="81">
        <v>0.04</v>
      </c>
      <c r="Z47" s="18">
        <v>1.512</v>
      </c>
      <c r="AB47" s="25">
        <f t="shared" si="10"/>
        <v>24.710789198956846</v>
      </c>
      <c r="AC47" s="25">
        <f t="shared" si="4"/>
        <v>29.103868378671194</v>
      </c>
      <c r="AD47" s="25">
        <f t="shared" si="5"/>
        <v>8.1633506138681629</v>
      </c>
      <c r="AF47" s="101">
        <v>7.69</v>
      </c>
      <c r="AG47" s="101">
        <v>9.5718099999999993</v>
      </c>
      <c r="AH47" s="101">
        <v>0.6482</v>
      </c>
      <c r="AI47" s="101">
        <v>-0.67579999999999996</v>
      </c>
      <c r="AJ47" s="101">
        <v>-0.92520000000000002</v>
      </c>
      <c r="AK47" s="101">
        <v>-2.2404000000000002</v>
      </c>
      <c r="AL47" s="101">
        <v>0.5544</v>
      </c>
      <c r="AM47" s="101">
        <v>0.1074</v>
      </c>
      <c r="AN47" s="101">
        <v>-0.3226</v>
      </c>
      <c r="AO47" s="101">
        <v>-0.69379999999999997</v>
      </c>
    </row>
    <row r="48" spans="1:41" s="106" customFormat="1" x14ac:dyDescent="0.35">
      <c r="A48" s="106">
        <v>19</v>
      </c>
      <c r="B48" s="28">
        <v>43705</v>
      </c>
      <c r="C48" s="106">
        <v>27</v>
      </c>
      <c r="D48" s="106">
        <v>115</v>
      </c>
      <c r="E48" s="106">
        <f t="shared" si="11"/>
        <v>3140</v>
      </c>
      <c r="F48" s="25">
        <f t="shared" si="12"/>
        <v>0.99137931034482762</v>
      </c>
      <c r="G48" s="25">
        <f t="shared" si="13"/>
        <v>27.072758620689655</v>
      </c>
      <c r="H48" s="106">
        <v>7.64</v>
      </c>
      <c r="I48" s="106">
        <v>2280</v>
      </c>
      <c r="J48" s="12">
        <v>271.10000000000002</v>
      </c>
      <c r="K48" s="27">
        <v>640</v>
      </c>
      <c r="L48" s="27">
        <v>61</v>
      </c>
      <c r="M48" s="169">
        <v>0.5</v>
      </c>
      <c r="N48" s="106">
        <v>843</v>
      </c>
      <c r="O48" s="106">
        <v>25</v>
      </c>
      <c r="P48" s="12">
        <v>157.80000000000001</v>
      </c>
      <c r="Q48" s="12">
        <v>42.85</v>
      </c>
      <c r="R48" s="12">
        <v>398.6</v>
      </c>
      <c r="S48" s="12">
        <v>17.670000000000002</v>
      </c>
      <c r="T48" s="12">
        <v>14.44</v>
      </c>
      <c r="U48" s="169">
        <v>0.2</v>
      </c>
      <c r="V48" s="11">
        <v>0.69599999999999995</v>
      </c>
      <c r="W48" s="81">
        <v>0.02</v>
      </c>
      <c r="X48" s="11">
        <v>0.56399999999999995</v>
      </c>
      <c r="Y48" s="81">
        <v>0.04</v>
      </c>
      <c r="Z48" s="18">
        <v>1.454</v>
      </c>
      <c r="AB48" s="25">
        <f t="shared" si="10"/>
        <v>24.702328237058037</v>
      </c>
      <c r="AC48" s="25">
        <f t="shared" si="4"/>
        <v>29.105382675885057</v>
      </c>
      <c r="AD48" s="25">
        <f t="shared" si="5"/>
        <v>8.1829432327103415</v>
      </c>
      <c r="AF48" s="101">
        <v>7.64</v>
      </c>
      <c r="AG48" s="101">
        <v>9.4846000000000004</v>
      </c>
      <c r="AH48" s="101">
        <v>0.56320000000000003</v>
      </c>
      <c r="AI48" s="101">
        <v>-0.71279999999999999</v>
      </c>
      <c r="AJ48" s="101">
        <v>-0.96220000000000006</v>
      </c>
      <c r="AK48" s="101">
        <v>-2.1835</v>
      </c>
      <c r="AL48" s="101">
        <v>0.39069999999999999</v>
      </c>
      <c r="AM48" s="101">
        <v>4.7500000000000001E-2</v>
      </c>
      <c r="AN48" s="101">
        <v>-0.35289999999999999</v>
      </c>
      <c r="AO48" s="101">
        <v>-0.77249999999999996</v>
      </c>
    </row>
    <row r="49" spans="1:41" s="106" customFormat="1" x14ac:dyDescent="0.35">
      <c r="A49" s="106">
        <v>19</v>
      </c>
      <c r="B49" s="28">
        <v>43706</v>
      </c>
      <c r="C49" s="106">
        <v>28</v>
      </c>
      <c r="D49" s="106">
        <v>118</v>
      </c>
      <c r="E49" s="106">
        <f t="shared" si="11"/>
        <v>3258</v>
      </c>
      <c r="F49" s="25">
        <f t="shared" si="12"/>
        <v>1.0172413793103448</v>
      </c>
      <c r="G49" s="25">
        <f t="shared" si="13"/>
        <v>28.09</v>
      </c>
      <c r="H49" s="106">
        <v>7.73</v>
      </c>
      <c r="I49" s="106">
        <v>2210</v>
      </c>
      <c r="J49" s="12">
        <v>272</v>
      </c>
      <c r="K49" s="27">
        <v>619</v>
      </c>
      <c r="L49" s="27">
        <v>61</v>
      </c>
      <c r="M49" s="169">
        <v>0.5</v>
      </c>
      <c r="N49" s="106">
        <v>866</v>
      </c>
      <c r="O49" s="106">
        <v>25</v>
      </c>
      <c r="P49" s="12">
        <v>153.6</v>
      </c>
      <c r="Q49" s="12">
        <v>41.97</v>
      </c>
      <c r="R49" s="12">
        <v>410.2</v>
      </c>
      <c r="S49" s="12">
        <v>17.7</v>
      </c>
      <c r="T49" s="12">
        <v>13.91</v>
      </c>
      <c r="U49" s="169">
        <v>0.2</v>
      </c>
      <c r="V49" s="11">
        <v>0.70399999999999996</v>
      </c>
      <c r="W49" s="81">
        <v>0.02</v>
      </c>
      <c r="X49" s="11">
        <v>0.57999999999999996</v>
      </c>
      <c r="Y49" s="81">
        <v>0.04</v>
      </c>
      <c r="Z49" s="18">
        <v>1.3939999999999999</v>
      </c>
      <c r="AB49" s="25">
        <f t="shared" si="10"/>
        <v>25.199195611615604</v>
      </c>
      <c r="AC49" s="25">
        <f t="shared" si="4"/>
        <v>29.314445632428587</v>
      </c>
      <c r="AD49" s="25">
        <f t="shared" si="5"/>
        <v>7.5490279623590322</v>
      </c>
      <c r="AF49" s="101">
        <v>7.73</v>
      </c>
      <c r="AG49" s="101">
        <v>8.7345299999999995</v>
      </c>
      <c r="AH49" s="101">
        <v>0.63639999999999997</v>
      </c>
      <c r="AI49" s="101">
        <v>-0.71679999999999999</v>
      </c>
      <c r="AJ49" s="101">
        <v>-0.96630000000000005</v>
      </c>
      <c r="AK49" s="101">
        <v>-2.2734999999999999</v>
      </c>
      <c r="AL49" s="101">
        <v>0.54049999999999998</v>
      </c>
      <c r="AM49" s="101">
        <v>0.14510000000000001</v>
      </c>
      <c r="AN49" s="101">
        <v>-0.36620000000000003</v>
      </c>
      <c r="AO49" s="101">
        <v>-0.69589999999999996</v>
      </c>
    </row>
    <row r="50" spans="1:41" s="186" customFormat="1" x14ac:dyDescent="0.35">
      <c r="B50" s="28"/>
      <c r="F50" s="25"/>
      <c r="G50" s="25"/>
      <c r="J50" s="12"/>
      <c r="K50" s="27"/>
      <c r="L50" s="27"/>
      <c r="M50" s="169"/>
      <c r="P50" s="85"/>
      <c r="Q50" s="85"/>
      <c r="R50" s="85"/>
      <c r="S50" s="85"/>
      <c r="T50" s="85"/>
      <c r="U50" s="169"/>
      <c r="V50" s="103"/>
      <c r="W50" s="81"/>
      <c r="X50" s="103"/>
      <c r="Y50" s="81"/>
      <c r="Z50" s="103"/>
      <c r="AB50" s="25"/>
      <c r="AC50" s="25"/>
      <c r="AD50" s="25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</row>
    <row r="51" spans="1:41" s="112" customFormat="1" x14ac:dyDescent="0.35">
      <c r="A51" s="206" t="s">
        <v>280</v>
      </c>
      <c r="B51" s="206"/>
      <c r="C51" s="206"/>
      <c r="D51" s="206"/>
      <c r="E51" s="206"/>
      <c r="F51" s="25"/>
      <c r="G51" s="25"/>
      <c r="H51" s="6">
        <f>AVERAGE(B85:B95)</f>
        <v>7.7199999999999989</v>
      </c>
      <c r="I51" s="165">
        <f>'Influent Results Master'!D61</f>
        <v>2818.6666666666665</v>
      </c>
      <c r="J51" s="165">
        <f>'Influent Results Master'!F61</f>
        <v>239.16666666666666</v>
      </c>
      <c r="K51" s="165">
        <f>'Influent Results Master'!G61</f>
        <v>92.25</v>
      </c>
      <c r="L51" s="165">
        <f>'Influent Results Master'!H61</f>
        <v>85.5</v>
      </c>
      <c r="M51" s="170">
        <f>'Influent Results Master'!I61</f>
        <v>8.6749999999999989</v>
      </c>
      <c r="N51" s="165">
        <f>'Influent Results Master'!J61</f>
        <v>1102.75</v>
      </c>
      <c r="O51" s="165">
        <f>'Influent Results Master'!K61</f>
        <v>22</v>
      </c>
      <c r="P51" s="165">
        <f>'Influent Results Master'!L61</f>
        <v>186.625</v>
      </c>
      <c r="Q51" s="165">
        <f>'Influent Results Master'!M61</f>
        <v>54.629999999999995</v>
      </c>
      <c r="R51" s="165">
        <f>'Influent Results Master'!N61</f>
        <v>477.95000000000005</v>
      </c>
      <c r="S51" s="165">
        <f>'Influent Results Master'!O61</f>
        <v>22.017500000000002</v>
      </c>
      <c r="T51" s="170">
        <f>'Influent Results Master'!P61</f>
        <v>9.5917500000000011</v>
      </c>
      <c r="U51" s="170">
        <f>'Influent Results Master'!Q61</f>
        <v>0</v>
      </c>
      <c r="V51" s="170">
        <f>'Influent Results Master'!R61</f>
        <v>0</v>
      </c>
      <c r="W51" s="170">
        <f>'Influent Results Master'!S61</f>
        <v>0</v>
      </c>
      <c r="X51" s="170">
        <f>'Influent Results Master'!T61</f>
        <v>0</v>
      </c>
      <c r="Y51" s="170">
        <f>'Influent Results Master'!U61</f>
        <v>0</v>
      </c>
      <c r="Z51" s="170">
        <f>'Influent Results Master'!V61</f>
        <v>0</v>
      </c>
      <c r="AB51" s="25"/>
      <c r="AC51" s="25"/>
      <c r="AD51" s="25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</row>
    <row r="52" spans="1:41" s="186" customFormat="1" x14ac:dyDescent="0.35">
      <c r="F52" s="25"/>
      <c r="G52" s="25"/>
      <c r="J52" s="12"/>
      <c r="K52" s="27"/>
      <c r="L52" s="27"/>
      <c r="M52" s="26"/>
      <c r="U52" s="169"/>
      <c r="V52" s="27"/>
      <c r="W52" s="81"/>
      <c r="X52" s="27"/>
      <c r="Y52" s="81"/>
      <c r="Z52" s="27"/>
      <c r="AB52" s="25"/>
      <c r="AC52" s="25"/>
      <c r="AD52" s="25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</row>
    <row r="53" spans="1:41" s="106" customFormat="1" x14ac:dyDescent="0.35">
      <c r="A53" s="106">
        <v>19</v>
      </c>
      <c r="B53" s="28">
        <v>43711</v>
      </c>
      <c r="C53" s="106">
        <v>29</v>
      </c>
      <c r="D53" s="106">
        <v>116</v>
      </c>
      <c r="E53" s="106">
        <f>E49+D53</f>
        <v>3374</v>
      </c>
      <c r="F53" s="25">
        <f t="shared" si="12"/>
        <v>1</v>
      </c>
      <c r="G53" s="25">
        <f>G49+F53</f>
        <v>29.09</v>
      </c>
      <c r="H53" s="106">
        <v>7.63</v>
      </c>
      <c r="I53" s="106">
        <v>2310</v>
      </c>
      <c r="J53" s="12">
        <v>279.8</v>
      </c>
      <c r="K53" s="27">
        <v>603</v>
      </c>
      <c r="L53" s="27">
        <v>62</v>
      </c>
      <c r="M53" s="169">
        <v>0.5</v>
      </c>
      <c r="N53" s="106">
        <v>858</v>
      </c>
      <c r="O53" s="106">
        <v>26</v>
      </c>
      <c r="P53" s="12">
        <v>157.6</v>
      </c>
      <c r="Q53" s="12">
        <v>43.79</v>
      </c>
      <c r="R53" s="12">
        <v>418.2</v>
      </c>
      <c r="S53" s="12">
        <v>18.8</v>
      </c>
      <c r="T53" s="12">
        <v>14.11</v>
      </c>
      <c r="U53" s="169">
        <v>0.2</v>
      </c>
      <c r="V53" s="11">
        <v>0.65400000000000003</v>
      </c>
      <c r="W53" s="81">
        <v>0.02</v>
      </c>
      <c r="X53" s="11">
        <v>0.56899999999999995</v>
      </c>
      <c r="Y53" s="81">
        <v>0.04</v>
      </c>
      <c r="Z53" s="18">
        <v>1.468</v>
      </c>
      <c r="AB53" s="25">
        <f t="shared" ref="AB53:AB63" si="14">((J53/50)+(L53/35.45)+(M53/62)+(N53/48.03))</f>
        <v>25.216841791262961</v>
      </c>
      <c r="AC53" s="25">
        <f t="shared" si="4"/>
        <v>30.016809954447631</v>
      </c>
      <c r="AD53" s="25">
        <f t="shared" si="5"/>
        <v>8.6902966062848304</v>
      </c>
      <c r="AF53" s="101">
        <v>7.63</v>
      </c>
      <c r="AG53" s="101">
        <v>10.0533</v>
      </c>
      <c r="AH53" s="101">
        <v>0.56230000000000002</v>
      </c>
      <c r="AI53" s="101">
        <v>-0.71189999999999998</v>
      </c>
      <c r="AJ53" s="101">
        <v>-0.96140000000000003</v>
      </c>
      <c r="AK53" s="101">
        <v>-2.1602000000000001</v>
      </c>
      <c r="AL53" s="101">
        <v>0.39910000000000001</v>
      </c>
      <c r="AM53" s="101">
        <v>4.9799999999999997E-2</v>
      </c>
      <c r="AN53" s="101">
        <v>-0.38669999999999999</v>
      </c>
      <c r="AO53" s="101">
        <v>-0.76319999999999999</v>
      </c>
    </row>
    <row r="54" spans="1:41" s="106" customFormat="1" x14ac:dyDescent="0.35">
      <c r="A54" s="106">
        <v>19</v>
      </c>
      <c r="B54" s="28">
        <v>43712</v>
      </c>
      <c r="C54" s="106">
        <v>30</v>
      </c>
      <c r="D54" s="106">
        <v>115</v>
      </c>
      <c r="E54" s="106">
        <f>E53+D54</f>
        <v>3489</v>
      </c>
      <c r="F54" s="25">
        <f t="shared" si="12"/>
        <v>0.99137931034482762</v>
      </c>
      <c r="G54" s="25">
        <f t="shared" si="13"/>
        <v>30.081379310344829</v>
      </c>
      <c r="H54" s="106">
        <v>7.56</v>
      </c>
      <c r="I54" s="106">
        <v>2550</v>
      </c>
      <c r="J54" s="12">
        <v>258.39999999999998</v>
      </c>
      <c r="K54" s="27">
        <v>738</v>
      </c>
      <c r="L54" s="27">
        <v>76</v>
      </c>
      <c r="M54" s="18">
        <v>2.8</v>
      </c>
      <c r="N54" s="106">
        <v>1005</v>
      </c>
      <c r="O54" s="106">
        <v>27</v>
      </c>
      <c r="P54" s="12">
        <v>185</v>
      </c>
      <c r="Q54" s="12">
        <v>49.85</v>
      </c>
      <c r="R54" s="12">
        <v>449.5</v>
      </c>
      <c r="S54" s="12">
        <v>18.54</v>
      </c>
      <c r="T54" s="12">
        <v>14.32</v>
      </c>
      <c r="U54" s="169">
        <v>0.2</v>
      </c>
      <c r="V54" s="11">
        <v>0.45100000000000001</v>
      </c>
      <c r="W54" s="81">
        <v>0.02</v>
      </c>
      <c r="X54" s="11">
        <v>0.76</v>
      </c>
      <c r="Y54" s="81">
        <v>0.04</v>
      </c>
      <c r="Z54" s="18">
        <v>1.7370000000000001</v>
      </c>
      <c r="AB54" s="25">
        <f t="shared" si="14"/>
        <v>28.281448124450407</v>
      </c>
      <c r="AC54" s="25">
        <f t="shared" si="4"/>
        <v>33.249263035659347</v>
      </c>
      <c r="AD54" s="25">
        <f t="shared" si="5"/>
        <v>8.0737160639702878</v>
      </c>
      <c r="AF54" s="101">
        <v>7.56</v>
      </c>
      <c r="AG54" s="101">
        <v>9.5911500000000007</v>
      </c>
      <c r="AH54" s="101">
        <v>0.50209999999999999</v>
      </c>
      <c r="AI54" s="101">
        <v>-0.61350000000000005</v>
      </c>
      <c r="AJ54" s="101">
        <v>-0.8629</v>
      </c>
      <c r="AK54" s="101">
        <v>-2.1288999999999998</v>
      </c>
      <c r="AL54" s="101">
        <v>0.2661</v>
      </c>
      <c r="AM54" s="101">
        <v>4.1599999999999998E-2</v>
      </c>
      <c r="AN54" s="101">
        <v>-0.51190000000000002</v>
      </c>
      <c r="AO54" s="101">
        <v>-0.83599999999999997</v>
      </c>
    </row>
    <row r="55" spans="1:41" s="106" customFormat="1" x14ac:dyDescent="0.35">
      <c r="A55" s="106">
        <v>19</v>
      </c>
      <c r="B55" s="28">
        <v>43713</v>
      </c>
      <c r="C55" s="106">
        <v>31</v>
      </c>
      <c r="D55" s="106">
        <v>126</v>
      </c>
      <c r="E55" s="106">
        <f t="shared" si="11"/>
        <v>3615</v>
      </c>
      <c r="F55" s="25">
        <f t="shared" si="12"/>
        <v>1.0862068965517242</v>
      </c>
      <c r="G55" s="25">
        <f t="shared" si="13"/>
        <v>31.167586206896551</v>
      </c>
      <c r="H55" s="106">
        <v>7.62</v>
      </c>
      <c r="I55" s="106">
        <v>2690</v>
      </c>
      <c r="J55" s="12">
        <v>236.6</v>
      </c>
      <c r="K55" s="27">
        <v>697</v>
      </c>
      <c r="L55" s="27">
        <v>86</v>
      </c>
      <c r="M55" s="18">
        <v>5.5</v>
      </c>
      <c r="N55" s="106">
        <v>1107</v>
      </c>
      <c r="O55" s="106">
        <v>26</v>
      </c>
      <c r="P55" s="12">
        <v>201</v>
      </c>
      <c r="Q55" s="12">
        <v>52.31</v>
      </c>
      <c r="R55" s="12">
        <v>475.9</v>
      </c>
      <c r="S55" s="12">
        <v>19.010000000000002</v>
      </c>
      <c r="T55" s="12">
        <v>14.77</v>
      </c>
      <c r="U55" s="169">
        <v>0.2</v>
      </c>
      <c r="V55" s="11">
        <v>0.22800000000000001</v>
      </c>
      <c r="W55" s="81">
        <v>0.02</v>
      </c>
      <c r="X55" s="11">
        <v>0.84299999999999997</v>
      </c>
      <c r="Y55" s="81">
        <v>0.04</v>
      </c>
      <c r="Z55" s="18">
        <v>1.8</v>
      </c>
      <c r="AB55" s="25">
        <f t="shared" si="14"/>
        <v>30.294756663215431</v>
      </c>
      <c r="AC55" s="25">
        <f t="shared" si="4"/>
        <v>35.409803171109395</v>
      </c>
      <c r="AD55" s="25">
        <f t="shared" si="5"/>
        <v>7.784918612637604</v>
      </c>
      <c r="AF55" s="101">
        <v>7.62</v>
      </c>
      <c r="AG55" s="101">
        <v>9.4160299999999992</v>
      </c>
      <c r="AH55" s="101">
        <v>0.54249999999999998</v>
      </c>
      <c r="AI55" s="101">
        <v>-0.55920000000000003</v>
      </c>
      <c r="AJ55" s="101">
        <v>-0.80859999999999999</v>
      </c>
      <c r="AK55" s="101">
        <v>-2.2309999999999999</v>
      </c>
      <c r="AL55" s="101">
        <v>0.33229999999999998</v>
      </c>
      <c r="AM55" s="101">
        <v>8.8800000000000004E-2</v>
      </c>
      <c r="AN55" s="101">
        <v>-0.79310000000000003</v>
      </c>
      <c r="AO55" s="101">
        <v>-0.81020000000000003</v>
      </c>
    </row>
    <row r="56" spans="1:41" s="106" customFormat="1" x14ac:dyDescent="0.35">
      <c r="A56" s="106">
        <v>19</v>
      </c>
      <c r="B56" s="28">
        <v>43714</v>
      </c>
      <c r="C56" s="106">
        <v>32</v>
      </c>
      <c r="D56" s="106">
        <v>119</v>
      </c>
      <c r="E56" s="106">
        <f t="shared" si="11"/>
        <v>3734</v>
      </c>
      <c r="F56" s="25">
        <f t="shared" si="12"/>
        <v>1.0258620689655173</v>
      </c>
      <c r="G56" s="25">
        <f t="shared" si="13"/>
        <v>32.193448275862067</v>
      </c>
      <c r="H56" s="106">
        <v>7.75</v>
      </c>
      <c r="I56" s="106">
        <v>2710</v>
      </c>
      <c r="J56" s="12">
        <v>233.2</v>
      </c>
      <c r="K56" s="27">
        <v>627</v>
      </c>
      <c r="L56" s="27">
        <v>85</v>
      </c>
      <c r="M56" s="18">
        <v>6</v>
      </c>
      <c r="N56" s="106">
        <v>1101</v>
      </c>
      <c r="O56" s="106">
        <v>21</v>
      </c>
      <c r="P56" s="12">
        <v>187.9</v>
      </c>
      <c r="Q56" s="12">
        <v>51.43</v>
      </c>
      <c r="R56" s="12">
        <v>489.7</v>
      </c>
      <c r="S56" s="12">
        <v>18.440000000000001</v>
      </c>
      <c r="T56" s="12">
        <v>13.61</v>
      </c>
      <c r="U56" s="169">
        <v>0.2</v>
      </c>
      <c r="V56" s="11">
        <v>0.122</v>
      </c>
      <c r="W56" s="81">
        <v>0.02</v>
      </c>
      <c r="X56" s="11">
        <v>0.82399999999999995</v>
      </c>
      <c r="Y56" s="81">
        <v>0.04</v>
      </c>
      <c r="Z56" s="18">
        <v>1.7809999999999999</v>
      </c>
      <c r="AB56" s="25">
        <f t="shared" si="14"/>
        <v>30.081690510835976</v>
      </c>
      <c r="AC56" s="25">
        <f t="shared" si="4"/>
        <v>35.254335599140823</v>
      </c>
      <c r="AD56" s="25">
        <f t="shared" si="5"/>
        <v>7.9169876043547509</v>
      </c>
      <c r="AF56" s="101">
        <v>7.75</v>
      </c>
      <c r="AG56" s="101">
        <v>9.5335599999999996</v>
      </c>
      <c r="AH56" s="101">
        <v>0.6351</v>
      </c>
      <c r="AI56" s="101">
        <v>-0.58709999999999996</v>
      </c>
      <c r="AJ56" s="101">
        <v>-0.83640000000000003</v>
      </c>
      <c r="AK56" s="101">
        <v>-2.3685999999999998</v>
      </c>
      <c r="AL56" s="101">
        <v>0.53969999999999996</v>
      </c>
      <c r="AM56" s="101">
        <v>0.20180000000000001</v>
      </c>
      <c r="AN56" s="101">
        <v>-1.0938000000000001</v>
      </c>
      <c r="AO56" s="101">
        <v>-0.69540000000000002</v>
      </c>
    </row>
    <row r="57" spans="1:41" s="106" customFormat="1" x14ac:dyDescent="0.35">
      <c r="A57" s="106">
        <v>19</v>
      </c>
      <c r="B57" s="28">
        <v>43715</v>
      </c>
      <c r="C57" s="106">
        <v>33</v>
      </c>
      <c r="D57" s="106">
        <v>116</v>
      </c>
      <c r="E57" s="106">
        <f t="shared" si="11"/>
        <v>3850</v>
      </c>
      <c r="F57" s="25">
        <f t="shared" si="12"/>
        <v>1</v>
      </c>
      <c r="G57" s="25">
        <f t="shared" si="13"/>
        <v>33.193448275862067</v>
      </c>
      <c r="H57" s="106">
        <v>7.57</v>
      </c>
      <c r="I57" s="106">
        <v>2800</v>
      </c>
      <c r="J57" s="12">
        <v>232.4</v>
      </c>
      <c r="K57" s="27">
        <v>574</v>
      </c>
      <c r="L57" s="27">
        <v>84</v>
      </c>
      <c r="M57" s="18">
        <v>6.3</v>
      </c>
      <c r="N57" s="106">
        <v>1111</v>
      </c>
      <c r="O57" s="106">
        <v>21</v>
      </c>
      <c r="P57" s="12">
        <v>184</v>
      </c>
      <c r="Q57" s="12">
        <v>49.99</v>
      </c>
      <c r="R57" s="12">
        <v>484.9</v>
      </c>
      <c r="S57" s="12">
        <v>18.920000000000002</v>
      </c>
      <c r="T57" s="12">
        <v>13.5</v>
      </c>
      <c r="U57" s="169">
        <v>0.2</v>
      </c>
      <c r="V57" s="103">
        <v>6.8000000000000005E-2</v>
      </c>
      <c r="W57" s="81">
        <v>0.02</v>
      </c>
      <c r="X57" s="11">
        <v>0.82799999999999996</v>
      </c>
      <c r="Y57" s="81">
        <v>0.04</v>
      </c>
      <c r="Z57" s="18">
        <v>1.7230000000000001</v>
      </c>
      <c r="AB57" s="25">
        <f t="shared" si="14"/>
        <v>30.250523682131913</v>
      </c>
      <c r="AC57" s="25">
        <f t="shared" si="4"/>
        <v>34.729704039951272</v>
      </c>
      <c r="AD57" s="25">
        <f t="shared" si="5"/>
        <v>6.8931435220211359</v>
      </c>
      <c r="AF57" s="101">
        <v>7.57</v>
      </c>
      <c r="AG57" s="101">
        <v>8.3317700000000006</v>
      </c>
      <c r="AH57" s="101">
        <v>0.44750000000000001</v>
      </c>
      <c r="AI57" s="101">
        <v>-0.59099999999999997</v>
      </c>
      <c r="AJ57" s="101">
        <v>-0.84030000000000005</v>
      </c>
      <c r="AK57" s="101">
        <v>-2.1859999999999999</v>
      </c>
      <c r="AL57" s="101">
        <v>0.16120000000000001</v>
      </c>
      <c r="AM57" s="101">
        <v>2.5600000000000001E-2</v>
      </c>
      <c r="AN57" s="101">
        <v>-1.3575999999999999</v>
      </c>
      <c r="AO57" s="101">
        <v>-0.88629999999999998</v>
      </c>
    </row>
    <row r="58" spans="1:41" s="106" customFormat="1" x14ac:dyDescent="0.35">
      <c r="A58" s="106">
        <v>19</v>
      </c>
      <c r="B58" s="28">
        <v>43716</v>
      </c>
      <c r="C58" s="106">
        <v>34</v>
      </c>
      <c r="D58" s="106">
        <v>116</v>
      </c>
      <c r="E58" s="106">
        <f t="shared" si="11"/>
        <v>3966</v>
      </c>
      <c r="F58" s="25">
        <f t="shared" si="12"/>
        <v>1</v>
      </c>
      <c r="G58" s="25">
        <f t="shared" si="13"/>
        <v>34.193448275862067</v>
      </c>
      <c r="H58" s="106">
        <v>7.64</v>
      </c>
      <c r="I58" s="106">
        <v>2720</v>
      </c>
      <c r="J58" s="12">
        <v>231.6</v>
      </c>
      <c r="K58" s="27">
        <v>527</v>
      </c>
      <c r="L58" s="27">
        <v>84</v>
      </c>
      <c r="M58" s="18">
        <v>6.9</v>
      </c>
      <c r="N58" s="106">
        <v>1110</v>
      </c>
      <c r="O58" s="106">
        <v>22</v>
      </c>
      <c r="P58" s="12">
        <v>180.5</v>
      </c>
      <c r="Q58" s="12">
        <v>51.32</v>
      </c>
      <c r="R58" s="12">
        <v>487.8</v>
      </c>
      <c r="S58" s="12">
        <v>19.34</v>
      </c>
      <c r="T58" s="12">
        <v>13.16</v>
      </c>
      <c r="U58" s="169">
        <v>0.2</v>
      </c>
      <c r="V58" s="103">
        <v>4.5999999999999999E-2</v>
      </c>
      <c r="W58" s="81">
        <v>0.02</v>
      </c>
      <c r="X58" s="11">
        <v>0.84799999999999998</v>
      </c>
      <c r="Y58" s="81">
        <v>0.04</v>
      </c>
      <c r="Z58" s="18">
        <v>1.7509999999999999</v>
      </c>
      <c r="AB58" s="25">
        <f t="shared" si="14"/>
        <v>30.223380780853816</v>
      </c>
      <c r="AC58" s="25">
        <f t="shared" si="4"/>
        <v>34.781874489957517</v>
      </c>
      <c r="AD58" s="25">
        <f t="shared" si="5"/>
        <v>7.0125002818819118</v>
      </c>
      <c r="AF58" s="101">
        <v>7.64</v>
      </c>
      <c r="AG58" s="101">
        <v>8.4860100000000003</v>
      </c>
      <c r="AH58" s="101">
        <v>0.50660000000000005</v>
      </c>
      <c r="AI58" s="101">
        <v>-0.59950000000000003</v>
      </c>
      <c r="AJ58" s="101">
        <v>-0.8488</v>
      </c>
      <c r="AK58" s="101">
        <v>-2.2584</v>
      </c>
      <c r="AL58" s="101">
        <v>0.29920000000000002</v>
      </c>
      <c r="AM58" s="101">
        <v>0.1036</v>
      </c>
      <c r="AN58" s="101">
        <v>-1.5359</v>
      </c>
      <c r="AO58" s="101">
        <v>-0.80740000000000001</v>
      </c>
    </row>
    <row r="59" spans="1:41" s="106" customFormat="1" x14ac:dyDescent="0.35">
      <c r="A59" s="106">
        <v>19</v>
      </c>
      <c r="B59" s="28">
        <v>43717</v>
      </c>
      <c r="C59" s="106">
        <v>35</v>
      </c>
      <c r="D59" s="106">
        <v>116</v>
      </c>
      <c r="E59" s="106">
        <f t="shared" si="11"/>
        <v>4082</v>
      </c>
      <c r="F59" s="25">
        <f t="shared" si="12"/>
        <v>1</v>
      </c>
      <c r="G59" s="25">
        <f t="shared" si="13"/>
        <v>35.193448275862067</v>
      </c>
      <c r="H59" s="106">
        <v>7.55</v>
      </c>
      <c r="I59" s="106">
        <v>2720</v>
      </c>
      <c r="J59" s="12">
        <v>227.4</v>
      </c>
      <c r="K59" s="27">
        <v>467</v>
      </c>
      <c r="L59" s="27">
        <v>84</v>
      </c>
      <c r="M59" s="18">
        <v>7</v>
      </c>
      <c r="N59" s="106">
        <v>1134</v>
      </c>
      <c r="O59" s="106">
        <v>22</v>
      </c>
      <c r="P59" s="12">
        <v>186.2</v>
      </c>
      <c r="Q59" s="12">
        <v>50.76</v>
      </c>
      <c r="R59" s="12">
        <v>497.7</v>
      </c>
      <c r="S59" s="12">
        <v>19.79</v>
      </c>
      <c r="T59" s="12">
        <v>13.27</v>
      </c>
      <c r="U59" s="169">
        <v>0.2</v>
      </c>
      <c r="V59" s="103">
        <v>2.9000000000000001E-2</v>
      </c>
      <c r="W59" s="81">
        <v>0.02</v>
      </c>
      <c r="X59" s="11">
        <v>0.85399999999999998</v>
      </c>
      <c r="Y59" s="81">
        <v>0.04</v>
      </c>
      <c r="Z59" s="18">
        <v>1.784</v>
      </c>
      <c r="AB59" s="25">
        <f t="shared" si="14"/>
        <v>30.640681379270127</v>
      </c>
      <c r="AC59" s="25">
        <f t="shared" si="4"/>
        <v>35.453688304905228</v>
      </c>
      <c r="AD59" s="25">
        <f t="shared" si="5"/>
        <v>7.2820225817017743</v>
      </c>
      <c r="AF59" s="101">
        <v>7.55</v>
      </c>
      <c r="AG59" s="101">
        <v>8.8138000000000005</v>
      </c>
      <c r="AH59" s="101">
        <v>0.42009999999999997</v>
      </c>
      <c r="AI59" s="101">
        <v>-0.58230000000000004</v>
      </c>
      <c r="AJ59" s="101">
        <v>-0.83160000000000001</v>
      </c>
      <c r="AK59" s="101">
        <v>-2.1756000000000002</v>
      </c>
      <c r="AL59" s="101">
        <v>0.108</v>
      </c>
      <c r="AM59" s="101">
        <v>5.7000000000000002E-3</v>
      </c>
      <c r="AN59" s="101">
        <v>-1.7274</v>
      </c>
      <c r="AO59" s="101">
        <v>-0.91210000000000002</v>
      </c>
    </row>
    <row r="60" spans="1:41" s="106" customFormat="1" x14ac:dyDescent="0.35">
      <c r="A60" s="106">
        <v>19</v>
      </c>
      <c r="B60" s="28">
        <v>43718</v>
      </c>
      <c r="C60" s="106">
        <v>36</v>
      </c>
      <c r="D60" s="106">
        <v>119</v>
      </c>
      <c r="E60" s="106">
        <f t="shared" si="11"/>
        <v>4201</v>
      </c>
      <c r="F60" s="25">
        <f t="shared" si="12"/>
        <v>1.0258620689655173</v>
      </c>
      <c r="G60" s="25">
        <f t="shared" si="13"/>
        <v>36.219310344827583</v>
      </c>
      <c r="H60" s="106">
        <v>7.58</v>
      </c>
      <c r="I60" s="106">
        <v>2720</v>
      </c>
      <c r="J60" s="12">
        <v>226.4</v>
      </c>
      <c r="K60" s="27">
        <v>420</v>
      </c>
      <c r="L60" s="27">
        <v>84</v>
      </c>
      <c r="M60" s="18">
        <v>7.2</v>
      </c>
      <c r="N60" s="106">
        <v>1121</v>
      </c>
      <c r="O60" s="106">
        <v>22</v>
      </c>
      <c r="P60" s="12">
        <v>182.7</v>
      </c>
      <c r="Q60" s="12">
        <v>51.06</v>
      </c>
      <c r="R60" s="12">
        <v>489.8</v>
      </c>
      <c r="S60" s="12">
        <v>19.350000000000001</v>
      </c>
      <c r="T60" s="12">
        <v>13.04</v>
      </c>
      <c r="U60" s="169">
        <v>0.2</v>
      </c>
      <c r="V60" s="33">
        <v>0.02</v>
      </c>
      <c r="W60" s="81">
        <v>0.02</v>
      </c>
      <c r="X60" s="11">
        <v>0.878</v>
      </c>
      <c r="Y60" s="81">
        <v>0.04</v>
      </c>
      <c r="Z60" s="18">
        <v>1.8069999999999999</v>
      </c>
      <c r="AB60" s="25">
        <f t="shared" si="14"/>
        <v>30.353243017493551</v>
      </c>
      <c r="AC60" s="25">
        <f t="shared" si="4"/>
        <v>34.95419864179101</v>
      </c>
      <c r="AD60" s="25">
        <f t="shared" si="5"/>
        <v>7.0450709863986143</v>
      </c>
      <c r="AF60" s="101">
        <v>7.58</v>
      </c>
      <c r="AG60" s="101">
        <v>8.5431399999999993</v>
      </c>
      <c r="AH60" s="101">
        <v>0.44190000000000002</v>
      </c>
      <c r="AI60" s="101">
        <v>-0.59179999999999999</v>
      </c>
      <c r="AJ60" s="101">
        <v>-0.84119999999999995</v>
      </c>
      <c r="AK60" s="101">
        <v>-2.2073</v>
      </c>
      <c r="AL60" s="101">
        <v>0.16239999999999999</v>
      </c>
      <c r="AM60" s="101">
        <v>4.8500000000000001E-2</v>
      </c>
      <c r="AN60" s="101">
        <v>-1.8938999999999999</v>
      </c>
      <c r="AO60" s="101">
        <v>-0.87960000000000005</v>
      </c>
    </row>
    <row r="61" spans="1:41" s="106" customFormat="1" x14ac:dyDescent="0.35">
      <c r="A61" s="106">
        <v>19</v>
      </c>
      <c r="B61" s="28">
        <v>43719</v>
      </c>
      <c r="C61" s="106">
        <v>37</v>
      </c>
      <c r="D61" s="106">
        <v>118</v>
      </c>
      <c r="E61" s="106">
        <f t="shared" si="11"/>
        <v>4319</v>
      </c>
      <c r="F61" s="25">
        <f t="shared" si="12"/>
        <v>1.0172413793103448</v>
      </c>
      <c r="G61" s="25">
        <f t="shared" si="13"/>
        <v>37.236551724137925</v>
      </c>
      <c r="H61" s="106">
        <v>7.65</v>
      </c>
      <c r="I61" s="106">
        <v>2720</v>
      </c>
      <c r="J61" s="12">
        <v>227.6</v>
      </c>
      <c r="K61" s="27">
        <v>365</v>
      </c>
      <c r="L61" s="27">
        <v>84</v>
      </c>
      <c r="M61" s="18">
        <v>7.3</v>
      </c>
      <c r="N61" s="106">
        <v>1112</v>
      </c>
      <c r="O61" s="106">
        <v>21</v>
      </c>
      <c r="P61" s="12">
        <v>178.5</v>
      </c>
      <c r="Q61" s="12">
        <v>51.22</v>
      </c>
      <c r="R61" s="12">
        <v>495.2</v>
      </c>
      <c r="S61" s="12">
        <v>19.52</v>
      </c>
      <c r="T61" s="12">
        <v>12.21</v>
      </c>
      <c r="U61" s="169">
        <v>0.2</v>
      </c>
      <c r="V61" s="81">
        <v>0.02</v>
      </c>
      <c r="W61" s="81">
        <v>0.02</v>
      </c>
      <c r="X61" s="11">
        <v>0.88800000000000001</v>
      </c>
      <c r="Y61" s="81">
        <v>0.04</v>
      </c>
      <c r="Z61" s="18">
        <v>1.8009999999999999</v>
      </c>
      <c r="AB61" s="25">
        <f t="shared" si="14"/>
        <v>30.191473035022916</v>
      </c>
      <c r="AC61" s="25">
        <f t="shared" si="4"/>
        <v>34.97143280921351</v>
      </c>
      <c r="AD61" s="25">
        <f t="shared" si="5"/>
        <v>7.3353999676080663</v>
      </c>
      <c r="AF61" s="101">
        <v>7.65</v>
      </c>
      <c r="AG61" s="101">
        <v>8.8671299999999995</v>
      </c>
      <c r="AH61" s="101">
        <v>0.50409999999999999</v>
      </c>
      <c r="AI61" s="101">
        <v>-0.60360000000000003</v>
      </c>
      <c r="AJ61" s="101">
        <v>-0.85299999999999998</v>
      </c>
      <c r="AK61" s="101">
        <v>-2.2757000000000001</v>
      </c>
      <c r="AL61" s="101">
        <v>0.29820000000000002</v>
      </c>
      <c r="AM61" s="101">
        <v>0.12590000000000001</v>
      </c>
      <c r="AN61" s="101">
        <v>-1.903</v>
      </c>
      <c r="AO61" s="101">
        <v>-0.80589999999999995</v>
      </c>
    </row>
    <row r="62" spans="1:41" s="106" customFormat="1" x14ac:dyDescent="0.35">
      <c r="A62" s="106">
        <v>19</v>
      </c>
      <c r="B62" s="28">
        <v>43720</v>
      </c>
      <c r="C62" s="106">
        <v>38</v>
      </c>
      <c r="D62" s="106">
        <v>116</v>
      </c>
      <c r="E62" s="106">
        <f t="shared" si="11"/>
        <v>4435</v>
      </c>
      <c r="F62" s="25">
        <f t="shared" si="12"/>
        <v>1</v>
      </c>
      <c r="G62" s="25">
        <f t="shared" si="13"/>
        <v>38.236551724137925</v>
      </c>
      <c r="H62" s="106">
        <v>7.52</v>
      </c>
      <c r="I62" s="106">
        <v>2730</v>
      </c>
      <c r="J62" s="12">
        <v>226.6</v>
      </c>
      <c r="K62" s="27">
        <v>343</v>
      </c>
      <c r="L62" s="27">
        <v>84</v>
      </c>
      <c r="M62" s="18">
        <v>7.5</v>
      </c>
      <c r="N62" s="106">
        <v>1110</v>
      </c>
      <c r="O62" s="106">
        <v>20</v>
      </c>
      <c r="P62" s="12">
        <v>183.2</v>
      </c>
      <c r="Q62" s="12">
        <v>49.49</v>
      </c>
      <c r="R62" s="12">
        <v>497.3</v>
      </c>
      <c r="S62" s="12">
        <v>19.32</v>
      </c>
      <c r="T62" s="12">
        <v>12.22</v>
      </c>
      <c r="U62" s="169">
        <v>0.2</v>
      </c>
      <c r="V62" s="81">
        <v>0.02</v>
      </c>
      <c r="W62" s="81">
        <v>0.02</v>
      </c>
      <c r="X62" s="11">
        <v>0.85499999999999998</v>
      </c>
      <c r="Y62" s="81">
        <v>0.04</v>
      </c>
      <c r="Z62" s="18">
        <v>1.87</v>
      </c>
      <c r="AB62" s="25">
        <f t="shared" si="14"/>
        <v>30.133058200208655</v>
      </c>
      <c r="AC62" s="25">
        <f t="shared" si="4"/>
        <v>35.155293827606783</v>
      </c>
      <c r="AD62" s="25">
        <f t="shared" si="5"/>
        <v>7.6923914778220412</v>
      </c>
      <c r="AF62" s="101">
        <v>7.52</v>
      </c>
      <c r="AG62" s="101">
        <v>9.2928999999999995</v>
      </c>
      <c r="AH62" s="101">
        <v>0.3861</v>
      </c>
      <c r="AI62" s="101">
        <v>-0.59319999999999995</v>
      </c>
      <c r="AJ62" s="101">
        <v>-0.84250000000000003</v>
      </c>
      <c r="AK62" s="101">
        <v>-2.1459000000000001</v>
      </c>
      <c r="AL62" s="101">
        <v>3.5799999999999998E-2</v>
      </c>
      <c r="AM62" s="101">
        <v>-2.0400000000000001E-2</v>
      </c>
      <c r="AN62" s="101">
        <v>-1.891</v>
      </c>
      <c r="AO62" s="101">
        <v>-0.95030000000000003</v>
      </c>
    </row>
    <row r="63" spans="1:41" s="106" customFormat="1" x14ac:dyDescent="0.35">
      <c r="A63" s="106">
        <v>19</v>
      </c>
      <c r="B63" s="28">
        <v>43721</v>
      </c>
      <c r="C63" s="106">
        <v>39</v>
      </c>
      <c r="D63" s="106">
        <v>118</v>
      </c>
      <c r="E63" s="106">
        <f t="shared" si="11"/>
        <v>4553</v>
      </c>
      <c r="F63" s="25">
        <f t="shared" si="12"/>
        <v>1.0172413793103448</v>
      </c>
      <c r="G63" s="25">
        <f t="shared" si="13"/>
        <v>39.253793103448267</v>
      </c>
      <c r="H63" s="106">
        <v>7.46</v>
      </c>
      <c r="I63" s="106">
        <v>2720</v>
      </c>
      <c r="J63" s="12">
        <v>232</v>
      </c>
      <c r="K63" s="27">
        <v>310</v>
      </c>
      <c r="L63" s="27">
        <v>83</v>
      </c>
      <c r="M63" s="18">
        <v>7.5</v>
      </c>
      <c r="N63" s="106">
        <v>1154</v>
      </c>
      <c r="O63" s="106">
        <v>21</v>
      </c>
      <c r="P63" s="12">
        <v>181.3</v>
      </c>
      <c r="Q63" s="12">
        <v>52.21</v>
      </c>
      <c r="R63" s="12">
        <v>491.9</v>
      </c>
      <c r="S63" s="12">
        <v>19.54</v>
      </c>
      <c r="T63" s="12">
        <v>12.26</v>
      </c>
      <c r="U63" s="169">
        <v>0.2</v>
      </c>
      <c r="V63" s="81">
        <v>0.02</v>
      </c>
      <c r="W63" s="81">
        <v>0.02</v>
      </c>
      <c r="X63" s="11">
        <v>0.82599999999999996</v>
      </c>
      <c r="Y63" s="81">
        <v>0.04</v>
      </c>
      <c r="Z63" s="18">
        <v>1.847</v>
      </c>
      <c r="AB63" s="25">
        <f t="shared" si="14"/>
        <v>31.12894356334705</v>
      </c>
      <c r="AC63" s="25">
        <f t="shared" ref="AC63" si="15">((P63/20.04)+(Q63/12.16)+(R63/22.99)+(T63/39.1))</f>
        <v>35.050305944302018</v>
      </c>
      <c r="AD63" s="25">
        <f t="shared" ref="AD63" si="16">ABS((AB63-AC63)/(AB63+AC63)*100)</f>
        <v>5.9253654432900937</v>
      </c>
      <c r="AF63" s="101">
        <v>7.46</v>
      </c>
      <c r="AG63" s="101">
        <v>7.2389099999999997</v>
      </c>
      <c r="AH63" s="101">
        <v>0.32590000000000002</v>
      </c>
      <c r="AI63" s="101">
        <v>-0.58819999999999995</v>
      </c>
      <c r="AJ63" s="101">
        <v>-0.83750000000000002</v>
      </c>
      <c r="AK63" s="101">
        <v>-2.0750000000000002</v>
      </c>
      <c r="AL63" s="101">
        <v>-5.62E-2</v>
      </c>
      <c r="AM63" s="101">
        <v>-9.0999999999999998E-2</v>
      </c>
      <c r="AN63" s="101">
        <v>-1.9039999999999999</v>
      </c>
      <c r="AO63" s="101">
        <v>-0.98209999999999997</v>
      </c>
    </row>
    <row r="64" spans="1:41" x14ac:dyDescent="0.35">
      <c r="B64" s="28"/>
      <c r="F64" s="25"/>
      <c r="G64" s="25"/>
      <c r="K64" s="27"/>
      <c r="L64" s="27"/>
      <c r="P64" s="18"/>
      <c r="Q64" s="27"/>
      <c r="R64" s="11"/>
      <c r="S64" s="11"/>
      <c r="T64" s="11"/>
      <c r="U64" s="27"/>
      <c r="V64" s="27"/>
      <c r="W64" s="27"/>
      <c r="X64" s="27"/>
      <c r="Y64" s="27"/>
      <c r="Z64" s="27"/>
      <c r="AF64" s="71"/>
      <c r="AG64" s="71"/>
      <c r="AH64" s="71"/>
      <c r="AI64" s="71"/>
      <c r="AJ64" s="71"/>
      <c r="AK64" s="71"/>
      <c r="AL64" s="71"/>
      <c r="AM64" s="71"/>
      <c r="AN64" s="71"/>
      <c r="AO64" s="71"/>
    </row>
    <row r="65" spans="1:41" x14ac:dyDescent="0.35">
      <c r="A65" s="31" t="s">
        <v>33</v>
      </c>
      <c r="F65" s="25"/>
      <c r="G65" s="25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F65" s="71"/>
      <c r="AG65" s="71"/>
      <c r="AH65" s="71"/>
      <c r="AI65" s="71"/>
      <c r="AJ65" s="71"/>
      <c r="AK65" s="71"/>
      <c r="AL65" s="71"/>
      <c r="AM65" s="71"/>
      <c r="AN65" s="71"/>
      <c r="AO65" s="71"/>
    </row>
    <row r="66" spans="1:41" x14ac:dyDescent="0.35"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F66" s="71"/>
      <c r="AG66" s="71"/>
      <c r="AH66" s="71"/>
      <c r="AI66" s="71"/>
      <c r="AJ66" s="71"/>
      <c r="AK66" s="71"/>
      <c r="AL66" s="71"/>
      <c r="AM66" s="71"/>
      <c r="AN66" s="71"/>
      <c r="AO66" s="71"/>
    </row>
    <row r="67" spans="1:41" x14ac:dyDescent="0.35">
      <c r="A67" s="31" t="s">
        <v>10</v>
      </c>
      <c r="B67" s="31" t="s">
        <v>14</v>
      </c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F67" s="71"/>
      <c r="AG67" s="71"/>
      <c r="AH67" s="71"/>
      <c r="AI67" s="71"/>
      <c r="AJ67" s="71"/>
      <c r="AK67" s="71"/>
      <c r="AL67" s="71"/>
      <c r="AM67" s="71"/>
      <c r="AN67" s="71"/>
      <c r="AO67" s="71"/>
    </row>
    <row r="68" spans="1:41" s="200" customFormat="1" x14ac:dyDescent="0.35">
      <c r="A68" s="28">
        <v>43679</v>
      </c>
      <c r="B68" s="200">
        <v>7.5</v>
      </c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F68" s="71"/>
      <c r="AG68" s="71"/>
      <c r="AH68" s="71"/>
      <c r="AI68" s="71"/>
      <c r="AJ68" s="71"/>
      <c r="AK68" s="71"/>
      <c r="AL68" s="71"/>
      <c r="AM68" s="71"/>
      <c r="AN68" s="71"/>
      <c r="AO68" s="71"/>
    </row>
    <row r="69" spans="1:41" x14ac:dyDescent="0.35">
      <c r="A69" s="28">
        <v>43680</v>
      </c>
      <c r="B69" s="200">
        <v>7.13</v>
      </c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F69" s="71"/>
      <c r="AG69" s="71"/>
      <c r="AH69" s="71"/>
      <c r="AI69" s="71"/>
      <c r="AJ69" s="71"/>
      <c r="AK69" s="71"/>
      <c r="AL69" s="71"/>
      <c r="AM69" s="71"/>
      <c r="AN69" s="71"/>
      <c r="AO69" s="71"/>
    </row>
    <row r="70" spans="1:41" x14ac:dyDescent="0.35">
      <c r="A70" s="28">
        <v>43681</v>
      </c>
      <c r="B70" s="200">
        <v>7.23</v>
      </c>
      <c r="U70" s="27"/>
      <c r="V70" s="27"/>
      <c r="W70" s="27"/>
      <c r="X70" s="27"/>
      <c r="Y70" s="27"/>
      <c r="Z70" s="27"/>
    </row>
    <row r="71" spans="1:41" x14ac:dyDescent="0.35">
      <c r="A71" s="28">
        <v>43682</v>
      </c>
      <c r="B71" s="200">
        <v>7.04</v>
      </c>
      <c r="E71" s="28"/>
      <c r="U71" s="27"/>
      <c r="V71" s="27"/>
      <c r="W71" s="27"/>
      <c r="X71" s="27"/>
      <c r="Y71" s="27"/>
      <c r="Z71" s="27"/>
    </row>
    <row r="72" spans="1:41" x14ac:dyDescent="0.35">
      <c r="A72" s="28">
        <v>43683</v>
      </c>
      <c r="B72" s="200">
        <v>7.01</v>
      </c>
      <c r="E72" s="28"/>
      <c r="U72" s="27"/>
      <c r="V72" s="27"/>
      <c r="W72" s="27"/>
      <c r="X72" s="27"/>
      <c r="Y72" s="27"/>
      <c r="Z72" s="27"/>
    </row>
    <row r="73" spans="1:41" x14ac:dyDescent="0.35">
      <c r="A73" s="28">
        <v>43684</v>
      </c>
      <c r="B73" s="200">
        <v>7.24</v>
      </c>
      <c r="E73" s="28"/>
      <c r="U73" s="27"/>
      <c r="V73" s="27"/>
      <c r="W73" s="27"/>
      <c r="X73" s="27"/>
      <c r="Y73" s="27"/>
      <c r="Z73" s="27"/>
    </row>
    <row r="74" spans="1:41" x14ac:dyDescent="0.35">
      <c r="A74" s="28">
        <v>43685</v>
      </c>
      <c r="B74" s="200">
        <v>7.25</v>
      </c>
      <c r="E74" s="28"/>
      <c r="U74" s="27"/>
      <c r="V74" s="27"/>
      <c r="W74" s="27"/>
      <c r="X74" s="27"/>
      <c r="Y74" s="27"/>
      <c r="Z74" s="27"/>
    </row>
    <row r="75" spans="1:41" x14ac:dyDescent="0.35">
      <c r="A75" s="28">
        <v>43686</v>
      </c>
      <c r="B75" s="200">
        <v>7.21</v>
      </c>
      <c r="E75" s="28"/>
      <c r="U75" s="27"/>
      <c r="V75" s="27"/>
      <c r="W75" s="27"/>
      <c r="X75" s="27"/>
      <c r="Y75" s="27"/>
      <c r="Z75" s="27"/>
    </row>
    <row r="76" spans="1:41" x14ac:dyDescent="0.35">
      <c r="A76" s="28">
        <v>43687</v>
      </c>
      <c r="B76" s="200">
        <v>7.11</v>
      </c>
      <c r="E76" s="28"/>
      <c r="U76" s="27"/>
      <c r="V76" s="27"/>
      <c r="W76" s="27"/>
      <c r="X76" s="27"/>
      <c r="Y76" s="27"/>
      <c r="Z76" s="27"/>
    </row>
    <row r="77" spans="1:41" x14ac:dyDescent="0.35">
      <c r="A77" s="28">
        <v>43688</v>
      </c>
      <c r="B77" s="31">
        <v>7.18</v>
      </c>
      <c r="E77" s="28"/>
      <c r="U77" s="27"/>
      <c r="V77" s="27"/>
      <c r="W77" s="27"/>
      <c r="X77" s="27"/>
      <c r="Y77" s="27"/>
      <c r="Z77" s="27"/>
    </row>
    <row r="78" spans="1:41" x14ac:dyDescent="0.35">
      <c r="A78" s="28">
        <v>43700</v>
      </c>
      <c r="B78" s="31">
        <v>7.22</v>
      </c>
      <c r="E78" s="28"/>
      <c r="U78" s="27"/>
      <c r="V78" s="27"/>
      <c r="W78" s="27"/>
      <c r="X78" s="27"/>
      <c r="Y78" s="27"/>
      <c r="Z78" s="27"/>
    </row>
    <row r="79" spans="1:41" x14ac:dyDescent="0.35">
      <c r="A79" s="28">
        <v>43701</v>
      </c>
      <c r="B79" s="31">
        <v>7.32</v>
      </c>
      <c r="E79" s="28"/>
      <c r="U79" s="27"/>
      <c r="V79" s="27"/>
      <c r="W79" s="27"/>
      <c r="X79" s="27"/>
      <c r="Y79" s="27"/>
      <c r="Z79" s="27"/>
    </row>
    <row r="80" spans="1:41" x14ac:dyDescent="0.35">
      <c r="A80" s="28">
        <v>43702</v>
      </c>
      <c r="B80" s="31">
        <v>7.28</v>
      </c>
      <c r="E80" s="28"/>
      <c r="U80" s="27"/>
      <c r="V80" s="27"/>
      <c r="W80" s="27"/>
      <c r="X80" s="27"/>
      <c r="Y80" s="27"/>
      <c r="Z80" s="27"/>
    </row>
    <row r="81" spans="1:26" x14ac:dyDescent="0.35">
      <c r="A81" s="28">
        <v>43703</v>
      </c>
      <c r="B81" s="31">
        <v>7.23</v>
      </c>
      <c r="E81" s="28"/>
      <c r="U81" s="27"/>
      <c r="V81" s="27"/>
      <c r="W81" s="27"/>
      <c r="X81" s="27"/>
      <c r="Y81" s="27"/>
      <c r="Z81" s="27"/>
    </row>
    <row r="82" spans="1:26" x14ac:dyDescent="0.35">
      <c r="A82" s="28">
        <v>43704</v>
      </c>
      <c r="B82" s="31">
        <v>7.25</v>
      </c>
      <c r="E82" s="28"/>
      <c r="U82" s="27"/>
      <c r="V82" s="27"/>
      <c r="W82" s="27"/>
      <c r="X82" s="27"/>
      <c r="Y82" s="27"/>
      <c r="Z82" s="27"/>
    </row>
    <row r="83" spans="1:26" x14ac:dyDescent="0.35">
      <c r="A83" s="28">
        <v>43705</v>
      </c>
      <c r="B83" s="31">
        <v>7.27</v>
      </c>
      <c r="E83" s="28"/>
      <c r="U83" s="27"/>
      <c r="V83" s="27"/>
      <c r="W83" s="27"/>
      <c r="X83" s="27"/>
      <c r="Y83" s="27"/>
      <c r="Z83" s="27"/>
    </row>
    <row r="84" spans="1:26" x14ac:dyDescent="0.35">
      <c r="A84" s="28">
        <v>43706</v>
      </c>
      <c r="B84" s="31">
        <v>6.99</v>
      </c>
      <c r="F84" s="25"/>
      <c r="G84" s="25"/>
      <c r="U84" s="27"/>
      <c r="V84" s="27"/>
      <c r="W84" s="27"/>
      <c r="X84" s="27"/>
      <c r="Y84" s="27"/>
      <c r="Z84" s="27"/>
    </row>
    <row r="85" spans="1:26" x14ac:dyDescent="0.35">
      <c r="A85" s="28">
        <v>43711</v>
      </c>
      <c r="B85" s="31">
        <v>7.86</v>
      </c>
      <c r="F85" s="25"/>
      <c r="G85" s="25"/>
      <c r="U85" s="27"/>
      <c r="V85" s="27"/>
      <c r="W85" s="27"/>
      <c r="X85" s="27"/>
      <c r="Y85" s="27"/>
      <c r="Z85" s="27"/>
    </row>
    <row r="86" spans="1:26" x14ac:dyDescent="0.35">
      <c r="A86" s="28">
        <v>43712</v>
      </c>
      <c r="B86" s="31">
        <v>7.81</v>
      </c>
      <c r="F86" s="25"/>
      <c r="G86" s="25"/>
      <c r="U86" s="27"/>
      <c r="V86" s="27"/>
      <c r="W86" s="27"/>
      <c r="X86" s="27"/>
      <c r="Y86" s="27"/>
      <c r="Z86" s="27"/>
    </row>
    <row r="87" spans="1:26" x14ac:dyDescent="0.35">
      <c r="A87" s="28">
        <v>43713</v>
      </c>
      <c r="B87" s="31">
        <v>7.63</v>
      </c>
      <c r="U87" s="27"/>
      <c r="V87" s="27"/>
      <c r="W87" s="27"/>
      <c r="X87" s="27"/>
      <c r="Y87" s="27"/>
      <c r="Z87" s="27"/>
    </row>
    <row r="88" spans="1:26" x14ac:dyDescent="0.35">
      <c r="A88" s="28">
        <v>43714</v>
      </c>
      <c r="B88" s="85">
        <v>7.63</v>
      </c>
      <c r="F88" s="25"/>
      <c r="G88" s="25"/>
      <c r="U88" s="27"/>
      <c r="V88" s="27"/>
      <c r="W88" s="27"/>
      <c r="X88" s="27"/>
      <c r="Y88" s="27"/>
      <c r="Z88" s="27"/>
    </row>
    <row r="89" spans="1:26" x14ac:dyDescent="0.35">
      <c r="A89" s="28">
        <v>43715</v>
      </c>
      <c r="B89" s="31">
        <v>7.69</v>
      </c>
      <c r="F89" s="25"/>
      <c r="G89" s="25"/>
      <c r="U89" s="27"/>
      <c r="V89" s="27"/>
      <c r="W89" s="27"/>
      <c r="X89" s="27"/>
      <c r="Y89" s="27"/>
      <c r="Z89" s="27"/>
    </row>
    <row r="90" spans="1:26" x14ac:dyDescent="0.35">
      <c r="A90" s="28">
        <v>43716</v>
      </c>
      <c r="B90" s="31">
        <v>7.71</v>
      </c>
      <c r="F90" s="25"/>
      <c r="G90" s="25"/>
      <c r="U90" s="27"/>
      <c r="V90" s="27"/>
      <c r="W90" s="27"/>
      <c r="X90" s="27"/>
      <c r="Y90" s="27"/>
      <c r="Z90" s="27"/>
    </row>
    <row r="91" spans="1:26" x14ac:dyDescent="0.35">
      <c r="A91" s="28">
        <v>43717</v>
      </c>
      <c r="B91" s="31">
        <v>7.72</v>
      </c>
      <c r="F91" s="25"/>
      <c r="G91" s="25"/>
      <c r="U91" s="27"/>
      <c r="V91" s="27"/>
      <c r="W91" s="27"/>
      <c r="X91" s="27"/>
      <c r="Y91" s="27"/>
      <c r="Z91" s="27"/>
    </row>
    <row r="92" spans="1:26" x14ac:dyDescent="0.35">
      <c r="A92" s="28">
        <v>43718</v>
      </c>
      <c r="B92" s="31">
        <v>7.69</v>
      </c>
      <c r="F92" s="25"/>
      <c r="G92" s="25"/>
    </row>
    <row r="93" spans="1:26" x14ac:dyDescent="0.35">
      <c r="A93" s="28">
        <v>43719</v>
      </c>
      <c r="B93" s="31">
        <v>7.68</v>
      </c>
      <c r="F93" s="25"/>
      <c r="G93" s="25"/>
    </row>
    <row r="94" spans="1:26" x14ac:dyDescent="0.35">
      <c r="A94" s="28">
        <v>43720</v>
      </c>
      <c r="B94" s="31">
        <v>7.69</v>
      </c>
      <c r="F94" s="25"/>
      <c r="G94" s="25"/>
      <c r="M94" s="27"/>
      <c r="N94" s="27"/>
      <c r="O94" s="27"/>
      <c r="P94" s="27"/>
      <c r="Q94" s="27"/>
      <c r="R94" s="26"/>
      <c r="S94" s="26"/>
      <c r="T94" s="26"/>
      <c r="U94" s="26"/>
      <c r="V94" s="27"/>
      <c r="W94" s="18"/>
      <c r="X94" s="26"/>
      <c r="Y94" s="27"/>
    </row>
    <row r="95" spans="1:26" x14ac:dyDescent="0.35">
      <c r="A95" s="28">
        <v>43721</v>
      </c>
      <c r="B95" s="31">
        <v>7.81</v>
      </c>
      <c r="F95" s="25"/>
      <c r="G95" s="25"/>
      <c r="M95" s="27"/>
      <c r="N95" s="27"/>
      <c r="O95" s="27"/>
      <c r="P95" s="27"/>
      <c r="Q95" s="27"/>
      <c r="R95" s="26"/>
      <c r="S95" s="26"/>
      <c r="T95" s="26"/>
      <c r="U95" s="26"/>
      <c r="V95" s="27"/>
      <c r="W95" s="18"/>
      <c r="X95" s="26"/>
      <c r="Y95" s="27"/>
    </row>
    <row r="96" spans="1:26" x14ac:dyDescent="0.35">
      <c r="A96" s="28"/>
      <c r="F96" s="25"/>
      <c r="G96" s="25"/>
      <c r="R96" s="26"/>
      <c r="S96" s="26"/>
      <c r="T96" s="26"/>
      <c r="U96" s="27"/>
      <c r="W96" s="6"/>
      <c r="X96" s="26"/>
      <c r="Y96" s="27"/>
    </row>
    <row r="97" spans="1:25" x14ac:dyDescent="0.35">
      <c r="A97" s="28"/>
      <c r="F97" s="25"/>
      <c r="G97" s="25"/>
    </row>
    <row r="98" spans="1:25" x14ac:dyDescent="0.35">
      <c r="A98" s="28"/>
      <c r="F98" s="25"/>
      <c r="G98" s="25"/>
    </row>
    <row r="99" spans="1:25" x14ac:dyDescent="0.35">
      <c r="A99" s="28"/>
      <c r="F99" s="25"/>
      <c r="G99" s="25"/>
    </row>
    <row r="100" spans="1:25" x14ac:dyDescent="0.35">
      <c r="A100" s="28"/>
      <c r="B100" s="25"/>
      <c r="F100" s="25"/>
      <c r="G100" s="25"/>
    </row>
    <row r="101" spans="1:25" x14ac:dyDescent="0.35">
      <c r="A101" s="28"/>
      <c r="B101" s="85"/>
      <c r="F101" s="25"/>
      <c r="G101" s="25"/>
      <c r="X101" s="26"/>
      <c r="Y101" s="26"/>
    </row>
    <row r="102" spans="1:25" x14ac:dyDescent="0.35">
      <c r="A102" s="28"/>
      <c r="B102" s="25"/>
      <c r="F102" s="25"/>
      <c r="G102" s="25"/>
      <c r="H102" s="25"/>
      <c r="K102" s="27"/>
      <c r="L102" s="27"/>
      <c r="U102" s="26"/>
      <c r="X102" s="26"/>
      <c r="Y102" s="26"/>
    </row>
    <row r="103" spans="1:25" x14ac:dyDescent="0.35">
      <c r="A103" s="28"/>
      <c r="B103" s="25"/>
      <c r="F103" s="25"/>
      <c r="G103" s="25"/>
      <c r="K103" s="27"/>
      <c r="L103" s="27"/>
      <c r="R103" s="27"/>
      <c r="S103" s="27"/>
      <c r="T103" s="27"/>
      <c r="U103" s="13"/>
      <c r="X103" s="26"/>
      <c r="Y103" s="26"/>
    </row>
    <row r="104" spans="1:25" x14ac:dyDescent="0.35">
      <c r="A104" s="28"/>
      <c r="B104" s="25"/>
      <c r="F104" s="25"/>
      <c r="G104" s="25"/>
      <c r="K104" s="27"/>
      <c r="L104" s="27"/>
      <c r="O104" s="6"/>
      <c r="R104" s="27"/>
      <c r="S104" s="27"/>
      <c r="T104" s="27"/>
      <c r="U104" s="13"/>
      <c r="V104" s="6"/>
      <c r="X104" s="26"/>
    </row>
    <row r="105" spans="1:25" x14ac:dyDescent="0.35">
      <c r="A105" s="28"/>
      <c r="B105" s="25"/>
      <c r="F105" s="25"/>
      <c r="G105" s="25"/>
      <c r="J105" s="27"/>
      <c r="K105" s="27"/>
      <c r="L105" s="27"/>
      <c r="R105" s="27"/>
      <c r="S105" s="27"/>
      <c r="T105" s="27"/>
      <c r="U105" s="13"/>
      <c r="W105" s="12"/>
      <c r="X105" s="26"/>
    </row>
    <row r="106" spans="1:25" x14ac:dyDescent="0.35">
      <c r="A106" s="28"/>
      <c r="B106" s="25"/>
      <c r="F106" s="25"/>
      <c r="G106" s="25"/>
      <c r="J106" s="27"/>
      <c r="K106" s="27"/>
      <c r="L106" s="27"/>
      <c r="O106" s="27"/>
      <c r="R106" s="27"/>
      <c r="S106" s="27"/>
      <c r="T106" s="27"/>
      <c r="U106" s="13"/>
      <c r="V106" s="18"/>
      <c r="X106" s="26"/>
    </row>
    <row r="107" spans="1:25" x14ac:dyDescent="0.35">
      <c r="A107" s="28"/>
      <c r="B107" s="25"/>
      <c r="F107" s="25"/>
      <c r="G107" s="25"/>
      <c r="J107" s="27"/>
      <c r="K107" s="27"/>
      <c r="L107" s="27"/>
      <c r="O107" s="27"/>
      <c r="R107" s="27"/>
      <c r="S107" s="27"/>
      <c r="T107" s="27"/>
      <c r="U107" s="13"/>
      <c r="V107" s="18"/>
      <c r="X107" s="26"/>
    </row>
    <row r="108" spans="1:25" x14ac:dyDescent="0.35">
      <c r="A108" s="28"/>
      <c r="B108" s="25"/>
      <c r="F108" s="25"/>
      <c r="G108" s="25"/>
      <c r="J108" s="27"/>
      <c r="K108" s="27"/>
      <c r="L108" s="27"/>
      <c r="O108" s="27"/>
      <c r="R108" s="27"/>
      <c r="S108" s="27"/>
      <c r="T108" s="27"/>
      <c r="U108" s="13"/>
      <c r="V108" s="18"/>
      <c r="X108" s="26"/>
    </row>
    <row r="109" spans="1:25" x14ac:dyDescent="0.35">
      <c r="B109" s="28"/>
      <c r="F109" s="25"/>
      <c r="G109" s="25"/>
      <c r="J109" s="27"/>
      <c r="K109" s="27"/>
      <c r="L109" s="27"/>
      <c r="O109" s="27"/>
      <c r="R109" s="27"/>
      <c r="S109" s="27"/>
      <c r="T109" s="27"/>
      <c r="U109" s="13"/>
      <c r="V109" s="18"/>
      <c r="X109" s="26"/>
    </row>
    <row r="110" spans="1:25" x14ac:dyDescent="0.35">
      <c r="B110" s="28"/>
      <c r="F110" s="25"/>
      <c r="G110" s="25"/>
      <c r="J110" s="27"/>
      <c r="K110" s="27"/>
      <c r="L110" s="27"/>
      <c r="O110" s="27"/>
      <c r="R110" s="26"/>
      <c r="S110" s="26"/>
      <c r="T110" s="26"/>
      <c r="U110" s="13"/>
      <c r="V110" s="18"/>
      <c r="X110" s="26"/>
    </row>
    <row r="111" spans="1:25" x14ac:dyDescent="0.35">
      <c r="F111" s="25"/>
      <c r="G111" s="25"/>
    </row>
    <row r="112" spans="1:25" x14ac:dyDescent="0.35">
      <c r="F112" s="25"/>
      <c r="G112" s="25"/>
    </row>
    <row r="113" spans="1:10" x14ac:dyDescent="0.35">
      <c r="F113" s="25"/>
      <c r="G113" s="25"/>
    </row>
    <row r="120" spans="1:10" x14ac:dyDescent="0.35">
      <c r="A120" s="28"/>
      <c r="E120" s="28"/>
      <c r="J120" s="28"/>
    </row>
    <row r="121" spans="1:10" x14ac:dyDescent="0.35">
      <c r="A121" s="28"/>
      <c r="E121" s="28"/>
    </row>
    <row r="122" spans="1:10" x14ac:dyDescent="0.35">
      <c r="A122" s="28"/>
      <c r="E122" s="28"/>
      <c r="J122" s="28"/>
    </row>
    <row r="123" spans="1:10" x14ac:dyDescent="0.35">
      <c r="A123" s="28"/>
      <c r="E123" s="28"/>
      <c r="J123" s="28"/>
    </row>
    <row r="124" spans="1:10" x14ac:dyDescent="0.35">
      <c r="A124" s="28"/>
      <c r="E124" s="28"/>
      <c r="J124" s="28"/>
    </row>
    <row r="125" spans="1:10" x14ac:dyDescent="0.35">
      <c r="A125" s="28"/>
      <c r="E125" s="28"/>
      <c r="J125" s="28"/>
    </row>
    <row r="126" spans="1:10" x14ac:dyDescent="0.35">
      <c r="A126" s="28"/>
      <c r="E126" s="28"/>
      <c r="J126" s="28"/>
    </row>
    <row r="127" spans="1:10" x14ac:dyDescent="0.35">
      <c r="A127" s="28"/>
      <c r="E127" s="28"/>
      <c r="J127" s="28"/>
    </row>
    <row r="128" spans="1:10" x14ac:dyDescent="0.35">
      <c r="A128" s="28"/>
      <c r="E128" s="28"/>
      <c r="J128" s="28"/>
    </row>
    <row r="129" spans="1:10" x14ac:dyDescent="0.35">
      <c r="A129" s="28"/>
      <c r="E129" s="28"/>
      <c r="J129" s="28"/>
    </row>
    <row r="130" spans="1:10" x14ac:dyDescent="0.35">
      <c r="A130" s="28"/>
      <c r="E130" s="28"/>
      <c r="J130" s="28"/>
    </row>
    <row r="131" spans="1:10" x14ac:dyDescent="0.35">
      <c r="A131" s="28"/>
      <c r="E131" s="28"/>
      <c r="J131" s="28"/>
    </row>
    <row r="132" spans="1:10" x14ac:dyDescent="0.35">
      <c r="A132" s="28"/>
      <c r="E132" s="28"/>
      <c r="J132" s="28"/>
    </row>
    <row r="133" spans="1:10" x14ac:dyDescent="0.35">
      <c r="A133" s="28"/>
      <c r="F133" s="25"/>
      <c r="G133" s="25"/>
    </row>
    <row r="134" spans="1:10" x14ac:dyDescent="0.35">
      <c r="A134" s="28"/>
      <c r="F134" s="25"/>
      <c r="G134" s="25"/>
    </row>
    <row r="135" spans="1:10" x14ac:dyDescent="0.35">
      <c r="A135" s="22"/>
      <c r="F135" s="25"/>
      <c r="G135" s="25"/>
    </row>
  </sheetData>
  <mergeCells count="2">
    <mergeCell ref="A41:F41"/>
    <mergeCell ref="A51:E51"/>
  </mergeCells>
  <pageMargins left="0.7" right="0.7" top="0.75" bottom="0.75" header="0.3" footer="0.3"/>
  <pageSetup orientation="portrait" r:id="rId1"/>
  <ignoredErrors>
    <ignoredError sqref="H41 H51" formulaRange="1"/>
  </ignoredErrors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V106"/>
  <sheetViews>
    <sheetView zoomScaleNormal="100" workbookViewId="0">
      <selection activeCell="A8" sqref="A8"/>
    </sheetView>
  </sheetViews>
  <sheetFormatPr defaultColWidth="9.1796875" defaultRowHeight="14.5" x14ac:dyDescent="0.35"/>
  <cols>
    <col min="1" max="1" width="9.7265625" style="38" bestFit="1" customWidth="1"/>
    <col min="2" max="2" width="10.54296875" style="71" bestFit="1" customWidth="1"/>
    <col min="3" max="3" width="3.81640625" style="38" bestFit="1" customWidth="1"/>
    <col min="4" max="4" width="8.7265625" style="38" bestFit="1" customWidth="1"/>
    <col min="5" max="5" width="9.54296875" style="38" bestFit="1" customWidth="1"/>
    <col min="6" max="6" width="10.1796875" style="38" bestFit="1" customWidth="1"/>
    <col min="7" max="7" width="8.7265625" style="101" bestFit="1" customWidth="1"/>
    <col min="8" max="8" width="8.54296875" style="38" bestFit="1" customWidth="1"/>
    <col min="9" max="9" width="17.1796875" style="38" bestFit="1" customWidth="1"/>
    <col min="10" max="10" width="16.7265625" style="38" bestFit="1" customWidth="1"/>
    <col min="11" max="11" width="6.7265625" style="38" bestFit="1" customWidth="1"/>
    <col min="12" max="20" width="7.26953125" style="38" bestFit="1" customWidth="1"/>
    <col min="21" max="21" width="7.26953125" style="101" bestFit="1" customWidth="1"/>
    <col min="22" max="26" width="7.26953125" style="38" bestFit="1" customWidth="1"/>
    <col min="27" max="27" width="11.453125" style="38" bestFit="1" customWidth="1"/>
    <col min="28" max="28" width="16.453125" style="38" bestFit="1" customWidth="1"/>
    <col min="29" max="29" width="8.54296875" style="38" bestFit="1" customWidth="1"/>
    <col min="30" max="30" width="5" style="38" bestFit="1" customWidth="1"/>
    <col min="31" max="16384" width="9.1796875" style="38"/>
  </cols>
  <sheetData>
    <row r="1" spans="1:48" x14ac:dyDescent="0.35">
      <c r="A1" s="31" t="s">
        <v>46</v>
      </c>
      <c r="B1" s="198"/>
      <c r="C1" s="31"/>
      <c r="D1" s="31"/>
      <c r="E1" s="31"/>
      <c r="F1" s="25"/>
      <c r="G1" s="25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122"/>
      <c r="V1" s="31"/>
      <c r="W1" s="31"/>
      <c r="X1" s="31"/>
    </row>
    <row r="2" spans="1:48" x14ac:dyDescent="0.35">
      <c r="A2" s="1"/>
      <c r="B2" s="198"/>
      <c r="C2" s="1"/>
      <c r="D2" s="1"/>
      <c r="E2" s="1"/>
      <c r="F2" s="25"/>
      <c r="G2" s="25"/>
      <c r="H2" s="31"/>
      <c r="I2" s="1"/>
      <c r="J2" s="1"/>
      <c r="K2" s="1"/>
      <c r="L2" s="1"/>
      <c r="M2" s="1"/>
      <c r="N2" s="31"/>
      <c r="O2" s="1"/>
      <c r="P2" s="1"/>
      <c r="Q2" s="1"/>
      <c r="R2" s="1"/>
      <c r="S2" s="1"/>
      <c r="T2" s="1"/>
      <c r="U2" s="123"/>
      <c r="V2" s="1"/>
      <c r="W2" s="1"/>
      <c r="X2" s="1"/>
    </row>
    <row r="3" spans="1:48" x14ac:dyDescent="0.35">
      <c r="A3" s="1" t="s">
        <v>8</v>
      </c>
      <c r="B3" s="198"/>
      <c r="C3" s="1"/>
      <c r="D3" s="1"/>
      <c r="E3" s="1"/>
      <c r="F3" s="2"/>
      <c r="G3" s="69"/>
      <c r="H3" s="1"/>
      <c r="I3" s="1"/>
      <c r="J3" s="1"/>
      <c r="K3" s="1"/>
      <c r="L3" s="1"/>
      <c r="M3" s="1"/>
      <c r="N3" s="31"/>
      <c r="O3" s="1"/>
      <c r="P3" s="1"/>
      <c r="Q3" s="1"/>
      <c r="R3" s="1"/>
      <c r="S3" s="1"/>
      <c r="T3" s="1"/>
      <c r="U3" s="123"/>
      <c r="V3" s="1"/>
      <c r="W3" s="1"/>
      <c r="X3" s="1"/>
    </row>
    <row r="4" spans="1:48" x14ac:dyDescent="0.35">
      <c r="A4" s="31" t="s">
        <v>199</v>
      </c>
      <c r="B4" s="198"/>
      <c r="C4" s="31"/>
      <c r="D4" s="31"/>
      <c r="E4" s="31"/>
      <c r="F4" s="25"/>
      <c r="G4" s="25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122"/>
      <c r="V4" s="31"/>
      <c r="W4" s="31"/>
      <c r="X4" s="31"/>
    </row>
    <row r="5" spans="1:48" x14ac:dyDescent="0.35">
      <c r="A5" s="26" t="s">
        <v>358</v>
      </c>
      <c r="B5" s="198"/>
      <c r="C5" s="1"/>
      <c r="D5" s="1"/>
      <c r="E5" s="1"/>
      <c r="F5" s="2"/>
      <c r="G5" s="69"/>
      <c r="H5" s="1"/>
      <c r="I5" s="1"/>
      <c r="J5" s="1"/>
      <c r="K5" s="1"/>
      <c r="L5" s="1"/>
      <c r="M5" s="1"/>
      <c r="N5" s="31"/>
      <c r="O5" s="1"/>
      <c r="P5" s="1"/>
      <c r="Q5" s="1"/>
      <c r="R5" s="1"/>
      <c r="S5" s="1"/>
      <c r="T5" s="1"/>
      <c r="U5" s="123"/>
      <c r="V5" s="1"/>
      <c r="W5" s="1"/>
      <c r="X5" s="1"/>
    </row>
    <row r="6" spans="1:48" x14ac:dyDescent="0.35">
      <c r="AQ6" s="101" t="s">
        <v>254</v>
      </c>
      <c r="AR6" s="101"/>
      <c r="AS6" s="101">
        <v>0.40529999999999999</v>
      </c>
      <c r="AT6" s="101" t="s">
        <v>255</v>
      </c>
      <c r="AU6" s="101"/>
    </row>
    <row r="7" spans="1:48" s="71" customFormat="1" x14ac:dyDescent="0.35">
      <c r="A7" s="143" t="s">
        <v>376</v>
      </c>
      <c r="B7" s="198"/>
      <c r="C7" s="143"/>
      <c r="D7" s="143"/>
      <c r="E7" s="143"/>
      <c r="F7" s="25"/>
      <c r="G7" s="25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F7" s="26" t="s">
        <v>170</v>
      </c>
    </row>
    <row r="8" spans="1:48" x14ac:dyDescent="0.35">
      <c r="A8" s="1"/>
      <c r="B8" s="198"/>
      <c r="C8" s="1"/>
      <c r="D8" s="1"/>
      <c r="E8" s="1"/>
      <c r="F8" s="2"/>
      <c r="G8" s="69"/>
      <c r="H8" s="1"/>
      <c r="I8" s="1"/>
      <c r="J8" s="1"/>
      <c r="K8" s="1"/>
      <c r="L8" s="1"/>
      <c r="M8" s="1"/>
      <c r="N8" s="31"/>
      <c r="O8" s="1"/>
      <c r="P8" s="1"/>
      <c r="Q8" s="1"/>
      <c r="R8" s="1"/>
      <c r="S8" s="1"/>
      <c r="T8" s="1"/>
      <c r="U8" s="123"/>
      <c r="V8" s="1"/>
      <c r="W8" s="1"/>
      <c r="X8" s="1"/>
      <c r="Y8" s="1"/>
      <c r="Z8" s="1"/>
      <c r="AA8" s="1"/>
      <c r="AB8" s="1"/>
      <c r="AQ8" s="101"/>
      <c r="AR8" s="101"/>
      <c r="AS8" s="101"/>
      <c r="AT8" s="101"/>
      <c r="AU8" s="101"/>
    </row>
    <row r="9" spans="1:48" x14ac:dyDescent="0.35">
      <c r="A9" s="1" t="s">
        <v>9</v>
      </c>
      <c r="B9" s="198" t="s">
        <v>10</v>
      </c>
      <c r="C9" s="1" t="s">
        <v>11</v>
      </c>
      <c r="D9" s="1" t="s">
        <v>7</v>
      </c>
      <c r="E9" s="1" t="s">
        <v>12</v>
      </c>
      <c r="F9" s="2" t="s">
        <v>13</v>
      </c>
      <c r="G9" s="69" t="s">
        <v>81</v>
      </c>
      <c r="H9" s="1" t="s">
        <v>14</v>
      </c>
      <c r="I9" s="1" t="s">
        <v>15</v>
      </c>
      <c r="J9" s="1" t="s">
        <v>16</v>
      </c>
      <c r="K9" s="1" t="s">
        <v>3</v>
      </c>
      <c r="L9" s="1" t="s">
        <v>31</v>
      </c>
      <c r="M9" s="1" t="s">
        <v>30</v>
      </c>
      <c r="N9" s="1" t="s">
        <v>18</v>
      </c>
      <c r="O9" s="1" t="s">
        <v>17</v>
      </c>
      <c r="P9" s="1" t="s">
        <v>20</v>
      </c>
      <c r="Q9" s="1" t="s">
        <v>19</v>
      </c>
      <c r="R9" s="1" t="s">
        <v>21</v>
      </c>
      <c r="S9" s="1" t="s">
        <v>47</v>
      </c>
      <c r="T9" s="1" t="s">
        <v>24</v>
      </c>
      <c r="U9" s="123" t="s">
        <v>48</v>
      </c>
      <c r="V9" s="1" t="s">
        <v>4</v>
      </c>
      <c r="W9" s="1" t="s">
        <v>22</v>
      </c>
      <c r="X9" s="1" t="s">
        <v>23</v>
      </c>
      <c r="Y9" s="1" t="s">
        <v>25</v>
      </c>
      <c r="Z9" s="1" t="s">
        <v>49</v>
      </c>
      <c r="AA9" s="1" t="s">
        <v>26</v>
      </c>
      <c r="AB9" s="1" t="s">
        <v>27</v>
      </c>
      <c r="AF9" s="101" t="s">
        <v>171</v>
      </c>
      <c r="AG9" s="101" t="s">
        <v>172</v>
      </c>
      <c r="AH9" s="101" t="s">
        <v>173</v>
      </c>
      <c r="AI9" s="101" t="s">
        <v>174</v>
      </c>
      <c r="AJ9" s="101" t="s">
        <v>175</v>
      </c>
      <c r="AK9" s="101" t="s">
        <v>176</v>
      </c>
      <c r="AL9" s="101" t="s">
        <v>177</v>
      </c>
      <c r="AM9" s="101" t="s">
        <v>178</v>
      </c>
      <c r="AN9" s="101" t="s">
        <v>179</v>
      </c>
      <c r="AO9" s="101" t="s">
        <v>180</v>
      </c>
      <c r="AQ9" s="149" t="s">
        <v>247</v>
      </c>
      <c r="AR9" s="149" t="s">
        <v>248</v>
      </c>
      <c r="AS9" s="149" t="s">
        <v>253</v>
      </c>
      <c r="AT9" s="149" t="s">
        <v>251</v>
      </c>
      <c r="AU9" s="149" t="s">
        <v>245</v>
      </c>
      <c r="AV9" s="152" t="s">
        <v>262</v>
      </c>
    </row>
    <row r="10" spans="1:48" x14ac:dyDescent="0.35">
      <c r="A10" s="1"/>
      <c r="B10" s="198"/>
      <c r="C10" s="1"/>
      <c r="D10" s="1" t="s">
        <v>6</v>
      </c>
      <c r="E10" s="1" t="s">
        <v>6</v>
      </c>
      <c r="F10" s="2"/>
      <c r="G10" s="69"/>
      <c r="H10" s="1"/>
      <c r="I10" s="203" t="s">
        <v>357</v>
      </c>
      <c r="J10" s="1" t="s">
        <v>28</v>
      </c>
      <c r="K10" s="27" t="s">
        <v>352</v>
      </c>
      <c r="L10" s="1" t="s">
        <v>5</v>
      </c>
      <c r="M10" s="1" t="s">
        <v>5</v>
      </c>
      <c r="N10" s="1" t="s">
        <v>5</v>
      </c>
      <c r="O10" s="1" t="s">
        <v>5</v>
      </c>
      <c r="P10" s="1" t="s">
        <v>5</v>
      </c>
      <c r="Q10" s="1" t="s">
        <v>5</v>
      </c>
      <c r="R10" s="1" t="s">
        <v>5</v>
      </c>
      <c r="S10" s="1" t="s">
        <v>5</v>
      </c>
      <c r="T10" s="1" t="s">
        <v>5</v>
      </c>
      <c r="U10" s="123" t="s">
        <v>5</v>
      </c>
      <c r="V10" s="1" t="s">
        <v>5</v>
      </c>
      <c r="W10" s="1" t="s">
        <v>5</v>
      </c>
      <c r="X10" s="1" t="s">
        <v>5</v>
      </c>
      <c r="Y10" s="1" t="s">
        <v>5</v>
      </c>
      <c r="Z10" s="1" t="s">
        <v>5</v>
      </c>
      <c r="AA10" s="1"/>
      <c r="AB10" s="1" t="s">
        <v>123</v>
      </c>
      <c r="AC10" s="128" t="s">
        <v>124</v>
      </c>
      <c r="AD10" s="128" t="s">
        <v>201</v>
      </c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Q10" s="149" t="s">
        <v>246</v>
      </c>
      <c r="AR10" s="149" t="s">
        <v>249</v>
      </c>
      <c r="AS10" s="149" t="s">
        <v>252</v>
      </c>
      <c r="AT10" s="149" t="s">
        <v>252</v>
      </c>
      <c r="AU10" s="149" t="s">
        <v>250</v>
      </c>
    </row>
    <row r="11" spans="1:48" x14ac:dyDescent="0.35">
      <c r="A11" s="1"/>
      <c r="B11" s="198"/>
      <c r="C11" s="1"/>
      <c r="D11" s="1"/>
      <c r="E11" s="1"/>
      <c r="F11" s="2"/>
      <c r="G11" s="69"/>
      <c r="H11" s="1"/>
      <c r="I11" s="1"/>
      <c r="J11" s="1"/>
      <c r="K11" s="1"/>
      <c r="L11" s="1"/>
      <c r="M11" s="1"/>
      <c r="N11" s="31"/>
      <c r="O11" s="1"/>
      <c r="P11" s="1"/>
      <c r="Q11" s="1"/>
      <c r="R11" s="1"/>
      <c r="S11" s="1"/>
      <c r="T11" s="1"/>
      <c r="U11" s="123"/>
      <c r="V11" s="1"/>
      <c r="W11" s="1"/>
      <c r="X11" s="1"/>
      <c r="Y11" s="1"/>
      <c r="Z11" s="1"/>
      <c r="AA11" s="1"/>
      <c r="AB11" s="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Q11" s="149"/>
      <c r="AR11" s="149"/>
      <c r="AS11" s="149"/>
      <c r="AT11" s="149"/>
      <c r="AU11" s="149"/>
    </row>
    <row r="12" spans="1:48" x14ac:dyDescent="0.35">
      <c r="A12" s="1" t="s">
        <v>277</v>
      </c>
      <c r="B12" s="198"/>
      <c r="C12" s="1"/>
      <c r="D12" s="1"/>
      <c r="E12" s="1"/>
      <c r="F12" s="2"/>
      <c r="G12" s="69"/>
      <c r="H12" s="1">
        <v>7.3</v>
      </c>
      <c r="I12" s="165">
        <f>'Influent Results Master'!D59</f>
        <v>2617.25</v>
      </c>
      <c r="J12" s="165">
        <f>'Influent Results Master'!F59</f>
        <v>263.04999999999995</v>
      </c>
      <c r="K12" s="165">
        <f>'Influent Results Master'!G59</f>
        <v>721.75</v>
      </c>
      <c r="L12" s="165">
        <f>'Influent Results Master'!H59</f>
        <v>63.25</v>
      </c>
      <c r="M12" s="171">
        <f>'Influent Results Master'!I59</f>
        <v>0.5</v>
      </c>
      <c r="N12" s="165">
        <f>'Influent Results Master'!J59</f>
        <v>911.25</v>
      </c>
      <c r="O12" s="165">
        <f>'Influent Results Master'!K59</f>
        <v>26.5</v>
      </c>
      <c r="P12" s="165">
        <f>'Influent Results Master'!L59</f>
        <v>159.125</v>
      </c>
      <c r="Q12" s="165">
        <f>'Influent Results Master'!M59</f>
        <v>44.637500000000003</v>
      </c>
      <c r="R12" s="165">
        <f>'Influent Results Master'!N59</f>
        <v>361.32500000000005</v>
      </c>
      <c r="S12" s="165">
        <f>'Influent Results Master'!O59</f>
        <v>16.149999999999999</v>
      </c>
      <c r="T12" s="170">
        <f>'Influent Results Master'!P59</f>
        <v>8.37425</v>
      </c>
      <c r="U12" s="171">
        <f>'Influent Results Master'!Q59</f>
        <v>0.20000000000000004</v>
      </c>
      <c r="V12" s="163">
        <f>'Influent Results Master'!R59</f>
        <v>0.73666666666666669</v>
      </c>
      <c r="W12" s="177">
        <f>'Influent Results Master'!S59</f>
        <v>0.02</v>
      </c>
      <c r="X12" s="163">
        <f>'Influent Results Master'!T59</f>
        <v>0.81966666666666665</v>
      </c>
      <c r="Y12" s="163">
        <f>'Influent Results Master'!U59</f>
        <v>0.17233333333333334</v>
      </c>
      <c r="Z12" s="170">
        <f>'Influent Results Master'!V59</f>
        <v>1.8426666666666669</v>
      </c>
      <c r="AA12" s="1"/>
      <c r="AB12" s="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Q12" s="50">
        <f>K12/1000</f>
        <v>0.72175</v>
      </c>
      <c r="AR12" s="50">
        <f>(3.92-0.36)</f>
        <v>3.56</v>
      </c>
      <c r="AS12" s="50"/>
      <c r="AT12" s="50">
        <f>AS6*AR12</f>
        <v>1.442868</v>
      </c>
      <c r="AU12" s="50">
        <f>AR12/AQ12</f>
        <v>4.9324558365084865</v>
      </c>
    </row>
    <row r="13" spans="1:48" s="101" customFormat="1" x14ac:dyDescent="0.35">
      <c r="A13" s="120"/>
      <c r="B13" s="198"/>
      <c r="C13" s="120"/>
      <c r="D13" s="120"/>
      <c r="E13" s="120"/>
      <c r="F13" s="69"/>
      <c r="G13" s="69"/>
      <c r="H13" s="120"/>
      <c r="I13" s="120"/>
      <c r="J13" s="120"/>
      <c r="K13" s="120"/>
      <c r="L13" s="120"/>
      <c r="M13" s="65"/>
      <c r="N13" s="27"/>
      <c r="O13" s="65"/>
      <c r="P13" s="65"/>
      <c r="Q13" s="65"/>
      <c r="R13" s="67"/>
      <c r="S13" s="67"/>
      <c r="T13" s="167"/>
      <c r="U13" s="67"/>
      <c r="V13" s="65"/>
      <c r="W13" s="66"/>
      <c r="X13" s="67"/>
      <c r="Y13" s="65"/>
      <c r="Z13" s="120"/>
      <c r="AA13" s="120"/>
      <c r="AB13" s="120"/>
      <c r="AQ13" s="50"/>
      <c r="AR13" s="50"/>
      <c r="AS13" s="50"/>
      <c r="AT13" s="50"/>
      <c r="AU13" s="50"/>
    </row>
    <row r="14" spans="1:48" s="101" customFormat="1" x14ac:dyDescent="0.35">
      <c r="A14" s="119">
        <v>20</v>
      </c>
      <c r="B14" s="28">
        <v>43732</v>
      </c>
      <c r="C14" s="119">
        <v>1</v>
      </c>
      <c r="D14" s="119">
        <v>96</v>
      </c>
      <c r="E14" s="12">
        <f>D14</f>
        <v>96</v>
      </c>
      <c r="F14" s="25">
        <f>D14/96</f>
        <v>1</v>
      </c>
      <c r="G14" s="25">
        <f>F14</f>
        <v>1</v>
      </c>
      <c r="H14" s="25">
        <v>7.52</v>
      </c>
      <c r="I14" s="120">
        <v>11010</v>
      </c>
      <c r="J14" s="165">
        <v>141.19999999999999</v>
      </c>
      <c r="K14" s="120">
        <v>673</v>
      </c>
      <c r="L14" s="120">
        <v>360</v>
      </c>
      <c r="M14" s="65">
        <v>7.2</v>
      </c>
      <c r="N14" s="189">
        <v>6835</v>
      </c>
      <c r="O14" s="65">
        <v>156</v>
      </c>
      <c r="P14" s="21">
        <v>471.8</v>
      </c>
      <c r="Q14" s="21">
        <v>481.3</v>
      </c>
      <c r="R14" s="21">
        <v>2212</v>
      </c>
      <c r="S14" s="175">
        <v>27.6</v>
      </c>
      <c r="T14" s="175">
        <v>26.8</v>
      </c>
      <c r="U14" s="171">
        <v>0.2</v>
      </c>
      <c r="V14" s="172">
        <v>1.21</v>
      </c>
      <c r="W14" s="177">
        <v>0.02</v>
      </c>
      <c r="X14" s="130">
        <v>8.7999999999999995E-2</v>
      </c>
      <c r="Y14" s="177">
        <v>0.04</v>
      </c>
      <c r="Z14" s="172">
        <v>9.61</v>
      </c>
      <c r="AA14" s="120"/>
      <c r="AB14" s="25">
        <f t="shared" ref="AB14:AB26" si="0">((J14/50)+(L14/35.45)+(M14/62)+(N14/48.03))</f>
        <v>155.4021686542973</v>
      </c>
      <c r="AC14" s="25">
        <f t="shared" ref="AC14" si="1">((P14/20.04)+(Q14/12.16)+(R14/22.99)+(T14/39.1))</f>
        <v>160.02467424831627</v>
      </c>
      <c r="AD14" s="25">
        <f t="shared" ref="AD14" si="2">ABS((AB14-AC14)/(AB14+AC14)*100)</f>
        <v>1.4654762896784121</v>
      </c>
      <c r="AF14" s="101">
        <v>7.52</v>
      </c>
      <c r="AG14" s="101">
        <v>2.0741900000000002</v>
      </c>
      <c r="AH14" s="101">
        <v>0.19550000000000001</v>
      </c>
      <c r="AI14" s="101">
        <v>4.1200000000000001E-2</v>
      </c>
      <c r="AJ14" s="101">
        <v>-0.20599999999999999</v>
      </c>
      <c r="AK14" s="101">
        <v>-2.4222999999999999</v>
      </c>
      <c r="AL14" s="101">
        <v>0.248</v>
      </c>
      <c r="AM14" s="101">
        <v>-1.7572000000000001</v>
      </c>
      <c r="AN14" s="101">
        <v>-0.1991</v>
      </c>
      <c r="AO14" s="101">
        <v>-0.54759999999999998</v>
      </c>
      <c r="AQ14" s="50">
        <f>K14/1000</f>
        <v>0.67300000000000004</v>
      </c>
      <c r="AR14" s="50">
        <f>AT14/($AS$6)</f>
        <v>3.5715470022205777</v>
      </c>
      <c r="AS14" s="50">
        <f>(AQ14-$AQ$12)*0.096</f>
        <v>-4.6799999999999967E-3</v>
      </c>
      <c r="AT14" s="50">
        <f>AT12-AS14</f>
        <v>1.4475480000000001</v>
      </c>
      <c r="AU14" s="50">
        <f>AR14/AQ14</f>
        <v>5.3069049067170546</v>
      </c>
      <c r="AV14" s="153">
        <f>F14</f>
        <v>1</v>
      </c>
    </row>
    <row r="15" spans="1:48" x14ac:dyDescent="0.35">
      <c r="A15" s="119">
        <v>20</v>
      </c>
      <c r="B15" s="201"/>
      <c r="C15" s="1">
        <v>2</v>
      </c>
      <c r="D15" s="122">
        <v>96</v>
      </c>
      <c r="E15" s="12">
        <f>E14+D15</f>
        <v>192</v>
      </c>
      <c r="F15" s="25">
        <f t="shared" ref="F15:F84" si="3">D15/96</f>
        <v>1</v>
      </c>
      <c r="G15" s="25">
        <f>G14+F15</f>
        <v>2</v>
      </c>
      <c r="H15" s="25">
        <v>7.88</v>
      </c>
      <c r="I15" s="1">
        <v>5280</v>
      </c>
      <c r="J15" s="165">
        <v>150.80000000000001</v>
      </c>
      <c r="K15" s="1">
        <v>1210</v>
      </c>
      <c r="L15" s="1">
        <v>67</v>
      </c>
      <c r="M15" s="65">
        <v>0.53</v>
      </c>
      <c r="N15" s="189">
        <v>3380</v>
      </c>
      <c r="O15" s="65">
        <v>46</v>
      </c>
      <c r="P15" s="21">
        <v>537.20000000000005</v>
      </c>
      <c r="Q15" s="21">
        <v>305.39999999999998</v>
      </c>
      <c r="R15" s="21">
        <v>621.5</v>
      </c>
      <c r="S15" s="175">
        <v>33.15</v>
      </c>
      <c r="T15" s="175">
        <v>17.420000000000002</v>
      </c>
      <c r="U15" s="171">
        <v>0.2</v>
      </c>
      <c r="V15" s="174">
        <v>0.58199999999999996</v>
      </c>
      <c r="W15" s="177">
        <v>0.02</v>
      </c>
      <c r="X15" s="130">
        <v>7.4999999999999997E-2</v>
      </c>
      <c r="Y15" s="177">
        <v>0.04</v>
      </c>
      <c r="Z15" s="172">
        <v>9.077</v>
      </c>
      <c r="AA15" s="1"/>
      <c r="AB15" s="25">
        <f t="shared" si="0"/>
        <v>75.287218022054006</v>
      </c>
      <c r="AC15" s="25">
        <f t="shared" ref="AC15:AC84" si="4">((P15/20.04)+(Q15/12.16)+(R15/22.99)+(T15/39.1))</f>
        <v>79.400535924137969</v>
      </c>
      <c r="AD15" s="25">
        <f t="shared" ref="AD15:AD84" si="5">ABS((AB15-AC15)/(AB15+AC15)*100)</f>
        <v>2.6591102379796516</v>
      </c>
      <c r="AF15" s="101">
        <v>7.88</v>
      </c>
      <c r="AG15" s="101">
        <v>3.94373</v>
      </c>
      <c r="AH15" s="101">
        <v>0.79959999999999998</v>
      </c>
      <c r="AI15" s="101">
        <v>1.26E-2</v>
      </c>
      <c r="AJ15" s="101">
        <v>-0.23619999999999999</v>
      </c>
      <c r="AK15" s="101">
        <v>-2.7467000000000001</v>
      </c>
      <c r="AL15" s="101">
        <v>1.1940999999999999</v>
      </c>
      <c r="AM15" s="101">
        <v>-1.1847000000000001</v>
      </c>
      <c r="AN15" s="101">
        <v>-0.2321</v>
      </c>
      <c r="AO15" s="101">
        <v>-0.20549999999999999</v>
      </c>
      <c r="AQ15" s="50">
        <f t="shared" ref="AQ15:AQ20" si="6">K15/1000</f>
        <v>1.21</v>
      </c>
      <c r="AR15" s="50">
        <f t="shared" ref="AR15:AR20" si="7">AT15/($AS$6)</f>
        <v>3.4558993338267952</v>
      </c>
      <c r="AS15" s="50">
        <f t="shared" ref="AS15:AS20" si="8">(AQ15-$AQ$12)*0.096</f>
        <v>4.6871999999999997E-2</v>
      </c>
      <c r="AT15" s="50">
        <f>AT14-AS15</f>
        <v>1.400676</v>
      </c>
      <c r="AU15" s="50">
        <f t="shared" ref="AU15:AU20" si="9">AR15/AQ15</f>
        <v>2.8561151519229715</v>
      </c>
      <c r="AV15" s="153">
        <f>AV14+1</f>
        <v>2</v>
      </c>
    </row>
    <row r="16" spans="1:48" x14ac:dyDescent="0.35">
      <c r="A16" s="119">
        <v>20</v>
      </c>
      <c r="B16" s="198"/>
      <c r="C16" s="1">
        <v>3</v>
      </c>
      <c r="D16" s="122">
        <v>96</v>
      </c>
      <c r="E16" s="12">
        <f t="shared" ref="E16:E26" si="10">E15+D16</f>
        <v>288</v>
      </c>
      <c r="F16" s="25">
        <f t="shared" si="3"/>
        <v>1</v>
      </c>
      <c r="G16" s="25">
        <f t="shared" ref="G16:G26" si="11">G15+F16</f>
        <v>3</v>
      </c>
      <c r="H16" s="1">
        <v>7.87</v>
      </c>
      <c r="I16" s="1">
        <v>4550</v>
      </c>
      <c r="J16" s="165">
        <v>201.8</v>
      </c>
      <c r="K16" s="1">
        <v>1300</v>
      </c>
      <c r="L16" s="1">
        <v>59</v>
      </c>
      <c r="M16" s="171">
        <v>0.5</v>
      </c>
      <c r="N16" s="189">
        <v>2797</v>
      </c>
      <c r="O16" s="65">
        <v>45</v>
      </c>
      <c r="P16" s="21">
        <v>552.6</v>
      </c>
      <c r="Q16" s="175">
        <v>267.2</v>
      </c>
      <c r="R16" s="175">
        <v>412.4</v>
      </c>
      <c r="S16" s="175">
        <v>37.57</v>
      </c>
      <c r="T16" s="175">
        <v>15.47</v>
      </c>
      <c r="U16" s="171">
        <v>0.2</v>
      </c>
      <c r="V16" s="174">
        <v>0.58199999999999996</v>
      </c>
      <c r="W16" s="177">
        <v>0.02</v>
      </c>
      <c r="X16" s="130">
        <v>8.5999999999999993E-2</v>
      </c>
      <c r="Y16" s="177">
        <v>0.04</v>
      </c>
      <c r="Z16" s="172">
        <v>9.3919999999999995</v>
      </c>
      <c r="AA16" s="1"/>
      <c r="AB16" s="25">
        <f t="shared" si="0"/>
        <v>63.942817264396673</v>
      </c>
      <c r="AC16" s="25">
        <f t="shared" si="4"/>
        <v>67.882420698629602</v>
      </c>
      <c r="AD16" s="25">
        <f t="shared" si="5"/>
        <v>2.9885047014577668</v>
      </c>
      <c r="AF16" s="101">
        <v>7.87</v>
      </c>
      <c r="AG16" s="101">
        <v>4.5049099999999997</v>
      </c>
      <c r="AH16" s="101">
        <v>0.97119999999999995</v>
      </c>
      <c r="AI16" s="101">
        <v>-7.7000000000000002E-3</v>
      </c>
      <c r="AJ16" s="101">
        <v>-0.25669999999999998</v>
      </c>
      <c r="AK16" s="101">
        <v>-2.6055000000000001</v>
      </c>
      <c r="AL16" s="101">
        <v>1.4652000000000001</v>
      </c>
      <c r="AM16" s="101">
        <v>-0.95379999999999998</v>
      </c>
      <c r="AN16" s="101">
        <v>-0.1628</v>
      </c>
      <c r="AO16" s="101">
        <v>-0.106</v>
      </c>
      <c r="AQ16" s="50">
        <f t="shared" si="6"/>
        <v>1.3</v>
      </c>
      <c r="AR16" s="50">
        <f t="shared" si="7"/>
        <v>3.3189341228719469</v>
      </c>
      <c r="AS16" s="50">
        <f t="shared" si="8"/>
        <v>5.5512000000000006E-2</v>
      </c>
      <c r="AT16" s="50">
        <f t="shared" ref="AT16:AT20" si="12">AT15-AS16</f>
        <v>1.345164</v>
      </c>
      <c r="AU16" s="50">
        <f t="shared" si="9"/>
        <v>2.5530262483630359</v>
      </c>
      <c r="AV16" s="153">
        <f t="shared" ref="AV16:AV84" si="13">AV15+1</f>
        <v>3</v>
      </c>
    </row>
    <row r="17" spans="1:48" s="101" customFormat="1" x14ac:dyDescent="0.35">
      <c r="A17" s="119">
        <v>20</v>
      </c>
      <c r="B17" s="198"/>
      <c r="C17" s="119">
        <v>4</v>
      </c>
      <c r="D17" s="122">
        <v>96</v>
      </c>
      <c r="E17" s="12">
        <f t="shared" si="10"/>
        <v>384</v>
      </c>
      <c r="F17" s="25">
        <f t="shared" si="3"/>
        <v>1</v>
      </c>
      <c r="G17" s="25">
        <f t="shared" si="11"/>
        <v>4</v>
      </c>
      <c r="H17" s="120">
        <v>7.87</v>
      </c>
      <c r="I17" s="120">
        <v>4310</v>
      </c>
      <c r="J17" s="165">
        <v>212.4</v>
      </c>
      <c r="K17" s="120">
        <v>1030</v>
      </c>
      <c r="L17" s="120">
        <v>60</v>
      </c>
      <c r="M17" s="171">
        <v>0.5</v>
      </c>
      <c r="N17" s="189">
        <v>2575</v>
      </c>
      <c r="O17" s="65">
        <v>44</v>
      </c>
      <c r="P17" s="21">
        <v>543.9</v>
      </c>
      <c r="Q17" s="175">
        <v>198</v>
      </c>
      <c r="R17" s="175">
        <v>364.1</v>
      </c>
      <c r="S17" s="175">
        <v>36.28</v>
      </c>
      <c r="T17" s="175">
        <v>13.91</v>
      </c>
      <c r="U17" s="171">
        <v>0.2</v>
      </c>
      <c r="V17" s="174">
        <v>0.63</v>
      </c>
      <c r="W17" s="177">
        <v>0.02</v>
      </c>
      <c r="X17" s="130">
        <v>8.4000000000000005E-2</v>
      </c>
      <c r="Y17" s="177">
        <v>0.04</v>
      </c>
      <c r="Z17" s="172">
        <v>9.5250000000000004</v>
      </c>
      <c r="AA17" s="120"/>
      <c r="AB17" s="25">
        <f t="shared" si="0"/>
        <v>59.560914828595351</v>
      </c>
      <c r="AC17" s="25">
        <f t="shared" si="4"/>
        <v>59.616688349582361</v>
      </c>
      <c r="AD17" s="25">
        <f t="shared" si="5"/>
        <v>4.6798659731078406E-2</v>
      </c>
      <c r="AF17" s="101">
        <v>7.87</v>
      </c>
      <c r="AG17" s="101">
        <v>0.31184200000000001</v>
      </c>
      <c r="AH17" s="101">
        <v>1.0057</v>
      </c>
      <c r="AI17" s="101">
        <v>-1.6899999999999998E-2</v>
      </c>
      <c r="AJ17" s="101">
        <v>-0.26600000000000001</v>
      </c>
      <c r="AK17" s="101">
        <v>-2.5758999999999999</v>
      </c>
      <c r="AL17" s="101">
        <v>1.411</v>
      </c>
      <c r="AM17" s="101">
        <v>-0.91239999999999999</v>
      </c>
      <c r="AN17" s="101">
        <v>-0.11219999999999999</v>
      </c>
      <c r="AO17" s="101">
        <v>-0.19470000000000001</v>
      </c>
      <c r="AQ17" s="50">
        <f t="shared" si="6"/>
        <v>1.03</v>
      </c>
      <c r="AR17" s="50">
        <f t="shared" si="7"/>
        <v>3.2459215396002961</v>
      </c>
      <c r="AS17" s="50">
        <f t="shared" si="8"/>
        <v>2.9592000000000004E-2</v>
      </c>
      <c r="AT17" s="50">
        <f t="shared" si="12"/>
        <v>1.315572</v>
      </c>
      <c r="AU17" s="50">
        <f t="shared" si="9"/>
        <v>3.1513801355342679</v>
      </c>
      <c r="AV17" s="153">
        <f t="shared" si="13"/>
        <v>4</v>
      </c>
    </row>
    <row r="18" spans="1:48" s="101" customFormat="1" x14ac:dyDescent="0.35">
      <c r="A18" s="119">
        <v>20</v>
      </c>
      <c r="B18" s="198"/>
      <c r="C18" s="120">
        <v>5</v>
      </c>
      <c r="D18" s="122">
        <v>96</v>
      </c>
      <c r="E18" s="12">
        <f t="shared" si="10"/>
        <v>480</v>
      </c>
      <c r="F18" s="25">
        <f t="shared" si="3"/>
        <v>1</v>
      </c>
      <c r="G18" s="25">
        <f t="shared" si="11"/>
        <v>5</v>
      </c>
      <c r="H18" s="120">
        <v>7.78</v>
      </c>
      <c r="I18" s="120">
        <v>4050</v>
      </c>
      <c r="J18" s="165">
        <v>219.4</v>
      </c>
      <c r="K18" s="120">
        <v>920</v>
      </c>
      <c r="L18" s="120">
        <v>59</v>
      </c>
      <c r="M18" s="171">
        <v>0.5</v>
      </c>
      <c r="N18" s="189">
        <v>2351</v>
      </c>
      <c r="O18" s="65">
        <v>46</v>
      </c>
      <c r="P18" s="21">
        <v>552.6</v>
      </c>
      <c r="Q18" s="175">
        <v>148.1</v>
      </c>
      <c r="R18" s="175">
        <v>352.9</v>
      </c>
      <c r="S18" s="175">
        <v>36.369999999999997</v>
      </c>
      <c r="T18" s="175">
        <v>12.95</v>
      </c>
      <c r="U18" s="171">
        <v>0.2</v>
      </c>
      <c r="V18" s="174">
        <v>0.64200000000000002</v>
      </c>
      <c r="W18" s="177">
        <v>0.02</v>
      </c>
      <c r="X18" s="130">
        <v>7.4999999999999997E-2</v>
      </c>
      <c r="Y18" s="177">
        <v>0.04</v>
      </c>
      <c r="Z18" s="172">
        <v>8.9689999999999994</v>
      </c>
      <c r="AA18" s="120"/>
      <c r="AB18" s="25">
        <f t="shared" si="0"/>
        <v>55.008954262106435</v>
      </c>
      <c r="AC18" s="25">
        <f t="shared" si="4"/>
        <v>55.43548090133087</v>
      </c>
      <c r="AD18" s="25">
        <f t="shared" si="5"/>
        <v>0.38619115448709918</v>
      </c>
      <c r="AF18" s="101">
        <v>7.78</v>
      </c>
      <c r="AG18" s="101">
        <v>0.78113500000000002</v>
      </c>
      <c r="AH18" s="101">
        <v>0.96</v>
      </c>
      <c r="AI18" s="101">
        <v>-2.1499999999999998E-2</v>
      </c>
      <c r="AJ18" s="101">
        <v>-0.2707</v>
      </c>
      <c r="AK18" s="101">
        <v>-2.4645000000000001</v>
      </c>
      <c r="AL18" s="101">
        <v>1.1859</v>
      </c>
      <c r="AM18" s="101">
        <v>-1.0092000000000001</v>
      </c>
      <c r="AN18" s="101">
        <v>-7.2099999999999997E-2</v>
      </c>
      <c r="AO18" s="101">
        <v>-0.37409999999999999</v>
      </c>
      <c r="AQ18" s="50">
        <f t="shared" si="6"/>
        <v>0.92</v>
      </c>
      <c r="AR18" s="50">
        <f t="shared" si="7"/>
        <v>3.1989637305699481</v>
      </c>
      <c r="AS18" s="50">
        <f t="shared" si="8"/>
        <v>1.9032000000000004E-2</v>
      </c>
      <c r="AT18" s="50">
        <f t="shared" si="12"/>
        <v>1.29654</v>
      </c>
      <c r="AU18" s="50">
        <f t="shared" si="9"/>
        <v>3.4771344897499432</v>
      </c>
      <c r="AV18" s="153">
        <f t="shared" si="13"/>
        <v>5</v>
      </c>
    </row>
    <row r="19" spans="1:48" s="101" customFormat="1" x14ac:dyDescent="0.35">
      <c r="A19" s="119">
        <v>20</v>
      </c>
      <c r="B19" s="198"/>
      <c r="C19" s="120">
        <v>6</v>
      </c>
      <c r="D19" s="122">
        <v>96</v>
      </c>
      <c r="E19" s="12">
        <f t="shared" si="10"/>
        <v>576</v>
      </c>
      <c r="F19" s="25">
        <f t="shared" si="3"/>
        <v>1</v>
      </c>
      <c r="G19" s="25">
        <f t="shared" si="11"/>
        <v>6</v>
      </c>
      <c r="H19" s="120">
        <v>7.75</v>
      </c>
      <c r="I19" s="120">
        <v>3960</v>
      </c>
      <c r="J19" s="165">
        <v>223.8</v>
      </c>
      <c r="K19" s="120">
        <v>810</v>
      </c>
      <c r="L19" s="120">
        <v>58</v>
      </c>
      <c r="M19" s="171">
        <v>0.5</v>
      </c>
      <c r="N19" s="27">
        <v>2191</v>
      </c>
      <c r="O19" s="65">
        <v>48</v>
      </c>
      <c r="P19" s="12">
        <v>568.20000000000005</v>
      </c>
      <c r="Q19" s="165">
        <v>115.8</v>
      </c>
      <c r="R19" s="165">
        <v>299.7</v>
      </c>
      <c r="S19" s="165">
        <v>35.979999999999997</v>
      </c>
      <c r="T19" s="165">
        <v>12.58</v>
      </c>
      <c r="U19" s="171">
        <v>0.2</v>
      </c>
      <c r="V19" s="174">
        <v>0.66400000000000003</v>
      </c>
      <c r="W19" s="177">
        <v>0.02</v>
      </c>
      <c r="X19" s="130">
        <v>6.8000000000000005E-2</v>
      </c>
      <c r="Y19" s="177">
        <v>0.04</v>
      </c>
      <c r="Z19" s="172">
        <v>8.9849999999999994</v>
      </c>
      <c r="AA19" s="120"/>
      <c r="AB19" s="25">
        <f t="shared" si="0"/>
        <v>51.73749421612554</v>
      </c>
      <c r="AC19" s="25">
        <f t="shared" ref="AC19:AC22" si="14">((P19/20.04)+(Q19/12.16)+(R19/22.99)+(T19/39.1))</f>
        <v>51.234161512725443</v>
      </c>
      <c r="AD19" s="25">
        <f t="shared" ref="AD19:AD22" si="15">ABS((AB19-AC19)/(AB19+AC19)*100)</f>
        <v>0.48880704096425631</v>
      </c>
      <c r="AF19" s="101">
        <v>7.75</v>
      </c>
      <c r="AG19" s="101">
        <v>-0.43100300000000002</v>
      </c>
      <c r="AH19" s="101">
        <v>0.96750000000000003</v>
      </c>
      <c r="AI19" s="101">
        <v>-1.83E-2</v>
      </c>
      <c r="AJ19" s="101">
        <v>-0.26750000000000002</v>
      </c>
      <c r="AK19" s="101">
        <v>-2.4224000000000001</v>
      </c>
      <c r="AL19" s="101">
        <v>1.0813999999999999</v>
      </c>
      <c r="AM19" s="101">
        <v>-1.0515000000000001</v>
      </c>
      <c r="AN19" s="101">
        <v>-2.3900000000000001E-2</v>
      </c>
      <c r="AO19" s="101">
        <v>-0.48620000000000002</v>
      </c>
      <c r="AQ19" s="50">
        <f t="shared" si="6"/>
        <v>0.81</v>
      </c>
      <c r="AR19" s="50">
        <f t="shared" si="7"/>
        <v>3.178060695780903</v>
      </c>
      <c r="AS19" s="50">
        <f t="shared" si="8"/>
        <v>8.4720000000000056E-3</v>
      </c>
      <c r="AT19" s="50">
        <f t="shared" si="12"/>
        <v>1.288068</v>
      </c>
      <c r="AU19" s="50">
        <f t="shared" si="9"/>
        <v>3.9235317231862998</v>
      </c>
      <c r="AV19" s="153">
        <f t="shared" si="13"/>
        <v>6</v>
      </c>
    </row>
    <row r="20" spans="1:48" s="101" customFormat="1" x14ac:dyDescent="0.35">
      <c r="A20" s="119">
        <v>20</v>
      </c>
      <c r="B20" s="198"/>
      <c r="C20" s="119">
        <v>7</v>
      </c>
      <c r="D20" s="122">
        <v>96</v>
      </c>
      <c r="E20" s="12">
        <f t="shared" si="10"/>
        <v>672</v>
      </c>
      <c r="F20" s="25">
        <f t="shared" si="3"/>
        <v>1</v>
      </c>
      <c r="G20" s="25">
        <f t="shared" si="11"/>
        <v>7</v>
      </c>
      <c r="H20" s="120">
        <v>7.69</v>
      </c>
      <c r="I20" s="120">
        <v>3880</v>
      </c>
      <c r="J20" s="165">
        <v>224.8</v>
      </c>
      <c r="K20" s="120">
        <v>794</v>
      </c>
      <c r="L20" s="120">
        <v>58</v>
      </c>
      <c r="M20" s="171">
        <v>0.5</v>
      </c>
      <c r="N20" s="27">
        <v>2146</v>
      </c>
      <c r="O20" s="65">
        <v>48</v>
      </c>
      <c r="P20" s="21">
        <v>560</v>
      </c>
      <c r="Q20" s="175">
        <v>80.349999999999994</v>
      </c>
      <c r="R20" s="165">
        <v>281.7</v>
      </c>
      <c r="S20" s="165">
        <v>34.5</v>
      </c>
      <c r="T20" s="165">
        <v>12.07</v>
      </c>
      <c r="U20" s="171">
        <v>0.2</v>
      </c>
      <c r="V20" s="174">
        <v>0.66200000000000003</v>
      </c>
      <c r="W20" s="177">
        <v>0.02</v>
      </c>
      <c r="X20" s="130">
        <v>6.3E-2</v>
      </c>
      <c r="Y20" s="177">
        <v>0.04</v>
      </c>
      <c r="Z20" s="172">
        <v>8.8049999999999997</v>
      </c>
      <c r="AA20" s="120"/>
      <c r="AB20" s="25">
        <f t="shared" si="0"/>
        <v>50.820579787643332</v>
      </c>
      <c r="AC20" s="25">
        <f t="shared" si="14"/>
        <v>47.113691236798488</v>
      </c>
      <c r="AD20" s="25">
        <f t="shared" si="15"/>
        <v>3.7850780039192844</v>
      </c>
      <c r="AF20" s="101">
        <v>7.69</v>
      </c>
      <c r="AG20" s="101">
        <v>-5.0143800000000001</v>
      </c>
      <c r="AH20" s="101">
        <v>0.9103</v>
      </c>
      <c r="AI20" s="101">
        <v>-1.78E-2</v>
      </c>
      <c r="AJ20" s="101">
        <v>-0.2671</v>
      </c>
      <c r="AK20" s="101">
        <v>-2.3544</v>
      </c>
      <c r="AL20" s="101">
        <v>0.81499999999999995</v>
      </c>
      <c r="AM20" s="101">
        <v>-1.1302000000000001</v>
      </c>
      <c r="AN20" s="101">
        <v>-2.5000000000000001E-2</v>
      </c>
      <c r="AO20" s="101">
        <v>-0.69520000000000004</v>
      </c>
      <c r="AQ20" s="50">
        <f t="shared" si="6"/>
        <v>0.79400000000000004</v>
      </c>
      <c r="AR20" s="50">
        <f t="shared" si="7"/>
        <v>3.1609474463360474</v>
      </c>
      <c r="AS20" s="50">
        <f t="shared" si="8"/>
        <v>6.9360000000000038E-3</v>
      </c>
      <c r="AT20" s="50">
        <f t="shared" si="12"/>
        <v>1.2811319999999999</v>
      </c>
      <c r="AU20" s="50">
        <f t="shared" si="9"/>
        <v>3.9810421238489262</v>
      </c>
      <c r="AV20" s="153">
        <f t="shared" si="13"/>
        <v>7</v>
      </c>
    </row>
    <row r="21" spans="1:48" s="101" customFormat="1" x14ac:dyDescent="0.35">
      <c r="A21" s="119">
        <v>20</v>
      </c>
      <c r="B21" s="198"/>
      <c r="C21" s="120">
        <v>8</v>
      </c>
      <c r="D21" s="122">
        <v>96</v>
      </c>
      <c r="E21" s="12">
        <f t="shared" si="10"/>
        <v>768</v>
      </c>
      <c r="F21" s="25">
        <f t="shared" si="3"/>
        <v>1</v>
      </c>
      <c r="G21" s="25">
        <f t="shared" si="11"/>
        <v>8</v>
      </c>
      <c r="H21" s="120">
        <v>7.53</v>
      </c>
      <c r="I21" s="120">
        <v>3810</v>
      </c>
      <c r="J21" s="165">
        <v>225</v>
      </c>
      <c r="K21" s="120">
        <v>781</v>
      </c>
      <c r="L21" s="120">
        <v>58</v>
      </c>
      <c r="M21" s="171">
        <v>0.5</v>
      </c>
      <c r="N21" s="27">
        <v>2107</v>
      </c>
      <c r="O21" s="65">
        <v>43</v>
      </c>
      <c r="P21" s="21">
        <v>566.5</v>
      </c>
      <c r="Q21" s="175">
        <v>63.54</v>
      </c>
      <c r="R21" s="165">
        <v>353.2</v>
      </c>
      <c r="S21" s="165">
        <v>37.56</v>
      </c>
      <c r="T21" s="165">
        <v>14.5</v>
      </c>
      <c r="U21" s="171">
        <v>0.2</v>
      </c>
      <c r="V21" s="174">
        <v>0.66300000000000003</v>
      </c>
      <c r="W21" s="177">
        <v>0.02</v>
      </c>
      <c r="X21" s="130">
        <v>5.8000000000000003E-2</v>
      </c>
      <c r="Y21" s="177">
        <v>0.04</v>
      </c>
      <c r="Z21" s="172">
        <v>8.9160000000000004</v>
      </c>
      <c r="AA21" s="120"/>
      <c r="AB21" s="25">
        <f t="shared" si="0"/>
        <v>50.012587282958769</v>
      </c>
      <c r="AC21" s="25">
        <f t="shared" si="14"/>
        <v>49.227837402900064</v>
      </c>
      <c r="AD21" s="25">
        <f t="shared" si="15"/>
        <v>0.79075626947667299</v>
      </c>
      <c r="AF21" s="101">
        <v>7.53</v>
      </c>
      <c r="AG21" s="101">
        <v>-0.83148</v>
      </c>
      <c r="AH21" s="101">
        <v>0.76229999999999998</v>
      </c>
      <c r="AI21" s="101">
        <v>-1.83E-2</v>
      </c>
      <c r="AJ21" s="101">
        <v>-0.2676</v>
      </c>
      <c r="AK21" s="101">
        <v>-2.1901999999999999</v>
      </c>
      <c r="AL21" s="101">
        <v>0.41139999999999999</v>
      </c>
      <c r="AM21" s="101">
        <v>-1.3214999999999999</v>
      </c>
      <c r="AN21" s="101">
        <v>-1.77E-2</v>
      </c>
      <c r="AO21" s="101">
        <v>-0.95079999999999998</v>
      </c>
      <c r="AQ21" s="50">
        <f t="shared" ref="AQ21:AQ26" si="16">K21/1000</f>
        <v>0.78100000000000003</v>
      </c>
      <c r="AR21" s="50">
        <f t="shared" ref="AR21:AR26" si="17">AT21/($AS$6)</f>
        <v>3.1469133974833459</v>
      </c>
      <c r="AS21" s="50">
        <f t="shared" ref="AS21:AS26" si="18">(AQ21-$AQ$12)*0.096</f>
        <v>5.6880000000000021E-3</v>
      </c>
      <c r="AT21" s="50">
        <f t="shared" ref="AT21:AT26" si="19">AT20-AS21</f>
        <v>1.275444</v>
      </c>
      <c r="AU21" s="50">
        <f t="shared" ref="AU21:AU26" si="20">AR21/AQ21</f>
        <v>4.0293385371105579</v>
      </c>
      <c r="AV21" s="153">
        <f t="shared" si="13"/>
        <v>8</v>
      </c>
    </row>
    <row r="22" spans="1:48" s="101" customFormat="1" x14ac:dyDescent="0.35">
      <c r="A22" s="119">
        <v>20</v>
      </c>
      <c r="B22" s="198"/>
      <c r="C22" s="120">
        <v>9</v>
      </c>
      <c r="D22" s="122">
        <v>96</v>
      </c>
      <c r="E22" s="12">
        <f t="shared" si="10"/>
        <v>864</v>
      </c>
      <c r="F22" s="25">
        <f t="shared" si="3"/>
        <v>1</v>
      </c>
      <c r="G22" s="25">
        <f t="shared" si="11"/>
        <v>9</v>
      </c>
      <c r="H22" s="120">
        <v>7.59</v>
      </c>
      <c r="I22" s="120">
        <v>3760</v>
      </c>
      <c r="J22" s="165">
        <v>229</v>
      </c>
      <c r="K22" s="120">
        <v>761</v>
      </c>
      <c r="L22" s="120">
        <v>58</v>
      </c>
      <c r="M22" s="171">
        <v>0.5</v>
      </c>
      <c r="N22" s="27">
        <v>2026</v>
      </c>
      <c r="O22" s="65">
        <v>47</v>
      </c>
      <c r="P22" s="21">
        <v>584.70000000000005</v>
      </c>
      <c r="Q22" s="21">
        <v>56.79</v>
      </c>
      <c r="R22" s="165">
        <v>347.2</v>
      </c>
      <c r="S22" s="165">
        <v>35.76</v>
      </c>
      <c r="T22" s="165">
        <v>13.28</v>
      </c>
      <c r="U22" s="171">
        <v>0.2</v>
      </c>
      <c r="V22" s="174">
        <v>0.67200000000000004</v>
      </c>
      <c r="W22" s="177">
        <v>0.02</v>
      </c>
      <c r="X22" s="130">
        <v>5.6000000000000001E-2</v>
      </c>
      <c r="Y22" s="177">
        <v>0.04</v>
      </c>
      <c r="Z22" s="172">
        <v>8.7669999999999995</v>
      </c>
      <c r="AA22" s="120"/>
      <c r="AB22" s="25">
        <f t="shared" si="0"/>
        <v>48.40614131169081</v>
      </c>
      <c r="AC22" s="25">
        <f t="shared" si="14"/>
        <v>49.288737269285612</v>
      </c>
      <c r="AD22" s="25">
        <f t="shared" si="15"/>
        <v>0.90342090641245232</v>
      </c>
      <c r="AF22" s="101">
        <v>7.59</v>
      </c>
      <c r="AG22" s="101">
        <v>1.48807</v>
      </c>
      <c r="AH22" s="101">
        <v>0.84989999999999999</v>
      </c>
      <c r="AI22" s="101">
        <v>-1.5599999999999999E-2</v>
      </c>
      <c r="AJ22" s="101">
        <v>-0.26479999999999998</v>
      </c>
      <c r="AK22" s="101">
        <v>-2.2446999999999999</v>
      </c>
      <c r="AL22" s="101">
        <v>0.52339999999999998</v>
      </c>
      <c r="AM22" s="101">
        <v>-1.2630999999999999</v>
      </c>
      <c r="AN22" s="101">
        <v>1.2500000000000001E-2</v>
      </c>
      <c r="AO22" s="101">
        <v>-0.9264</v>
      </c>
      <c r="AQ22" s="50">
        <f t="shared" si="16"/>
        <v>0.76100000000000001</v>
      </c>
      <c r="AR22" s="50">
        <f t="shared" si="17"/>
        <v>3.1376165803108811</v>
      </c>
      <c r="AS22" s="50">
        <f t="shared" si="18"/>
        <v>3.7680000000000009E-3</v>
      </c>
      <c r="AT22" s="50">
        <f t="shared" si="19"/>
        <v>1.271676</v>
      </c>
      <c r="AU22" s="50">
        <f t="shared" si="20"/>
        <v>4.1230178453493842</v>
      </c>
      <c r="AV22" s="153">
        <f t="shared" si="13"/>
        <v>9</v>
      </c>
    </row>
    <row r="23" spans="1:48" s="101" customFormat="1" x14ac:dyDescent="0.35">
      <c r="A23" s="119">
        <v>20</v>
      </c>
      <c r="B23" s="198"/>
      <c r="C23" s="119">
        <v>10</v>
      </c>
      <c r="D23" s="122">
        <v>96</v>
      </c>
      <c r="E23" s="12">
        <f t="shared" si="10"/>
        <v>960</v>
      </c>
      <c r="F23" s="25">
        <f t="shared" si="3"/>
        <v>1</v>
      </c>
      <c r="G23" s="25">
        <f t="shared" si="11"/>
        <v>10</v>
      </c>
      <c r="H23" s="120">
        <v>7.52</v>
      </c>
      <c r="I23" s="120">
        <v>3730</v>
      </c>
      <c r="J23" s="165">
        <v>229.2</v>
      </c>
      <c r="K23" s="120">
        <v>742</v>
      </c>
      <c r="L23" s="120">
        <v>58</v>
      </c>
      <c r="M23" s="171">
        <v>0.5</v>
      </c>
      <c r="N23" s="27">
        <v>2032</v>
      </c>
      <c r="O23" s="65">
        <v>48</v>
      </c>
      <c r="P23" s="21">
        <v>595.1</v>
      </c>
      <c r="Q23" s="21">
        <v>47.96</v>
      </c>
      <c r="R23" s="21">
        <v>346.4</v>
      </c>
      <c r="S23" s="21">
        <v>35.03</v>
      </c>
      <c r="T23" s="21">
        <v>13.25</v>
      </c>
      <c r="U23" s="171">
        <v>0.2</v>
      </c>
      <c r="V23" s="174">
        <v>0.67</v>
      </c>
      <c r="W23" s="177">
        <v>0.02</v>
      </c>
      <c r="X23" s="130">
        <v>5.6000000000000001E-2</v>
      </c>
      <c r="Y23" s="177">
        <v>0.04</v>
      </c>
      <c r="Z23" s="172">
        <v>8.7959999999999994</v>
      </c>
      <c r="AA23" s="120"/>
      <c r="AB23" s="25">
        <f t="shared" si="0"/>
        <v>48.535063235488437</v>
      </c>
      <c r="AC23" s="25">
        <f t="shared" si="4"/>
        <v>49.045983027770312</v>
      </c>
      <c r="AD23" s="25">
        <f t="shared" si="5"/>
        <v>0.52358507296948997</v>
      </c>
      <c r="AF23" s="101">
        <v>7.52</v>
      </c>
      <c r="AG23" s="101">
        <v>0.96804699999999999</v>
      </c>
      <c r="AH23" s="101">
        <v>0.78910000000000002</v>
      </c>
      <c r="AI23" s="101">
        <v>-6.4000000000000003E-3</v>
      </c>
      <c r="AJ23" s="101">
        <v>-0.25559999999999999</v>
      </c>
      <c r="AK23" s="101">
        <v>-2.1726000000000001</v>
      </c>
      <c r="AL23" s="101">
        <v>0.32090000000000002</v>
      </c>
      <c r="AM23" s="101">
        <v>-1.3312999999999999</v>
      </c>
      <c r="AN23" s="101">
        <v>1.8499999999999999E-2</v>
      </c>
      <c r="AO23" s="101">
        <v>-1.0682</v>
      </c>
      <c r="AQ23" s="50">
        <f t="shared" si="16"/>
        <v>0.74199999999999999</v>
      </c>
      <c r="AR23" s="50">
        <f t="shared" si="17"/>
        <v>3.1328201332346413</v>
      </c>
      <c r="AS23" s="50">
        <f t="shared" si="18"/>
        <v>1.9439999999999991E-3</v>
      </c>
      <c r="AT23" s="50">
        <f t="shared" si="19"/>
        <v>1.2697320000000001</v>
      </c>
      <c r="AU23" s="50">
        <f t="shared" si="20"/>
        <v>4.2221295596154196</v>
      </c>
      <c r="AV23" s="153">
        <f t="shared" si="13"/>
        <v>10</v>
      </c>
    </row>
    <row r="24" spans="1:48" s="101" customFormat="1" x14ac:dyDescent="0.35">
      <c r="A24" s="119">
        <v>20</v>
      </c>
      <c r="B24" s="198"/>
      <c r="C24" s="120">
        <v>11</v>
      </c>
      <c r="D24" s="122">
        <v>96</v>
      </c>
      <c r="E24" s="12">
        <f t="shared" si="10"/>
        <v>1056</v>
      </c>
      <c r="F24" s="25">
        <f t="shared" si="3"/>
        <v>1</v>
      </c>
      <c r="G24" s="25">
        <f t="shared" si="11"/>
        <v>11</v>
      </c>
      <c r="H24" s="120">
        <v>7.93</v>
      </c>
      <c r="I24" s="120">
        <v>3750</v>
      </c>
      <c r="J24" s="165">
        <v>231.4</v>
      </c>
      <c r="K24" s="120">
        <v>739</v>
      </c>
      <c r="L24" s="120">
        <v>60</v>
      </c>
      <c r="M24" s="171">
        <v>0.5</v>
      </c>
      <c r="N24" s="27">
        <v>1971</v>
      </c>
      <c r="O24" s="65">
        <v>44</v>
      </c>
      <c r="P24" s="21">
        <v>597.9</v>
      </c>
      <c r="Q24" s="21">
        <v>48.68</v>
      </c>
      <c r="R24" s="21">
        <v>323.39999999999998</v>
      </c>
      <c r="S24" s="21">
        <v>32.869999999999997</v>
      </c>
      <c r="T24" s="21">
        <v>11.47</v>
      </c>
      <c r="U24" s="171">
        <v>0.2</v>
      </c>
      <c r="V24" s="174">
        <v>0.71499999999999997</v>
      </c>
      <c r="W24" s="177">
        <v>0.02</v>
      </c>
      <c r="X24" s="130">
        <v>5.8999999999999997E-2</v>
      </c>
      <c r="Y24" s="177">
        <v>0.04</v>
      </c>
      <c r="Z24" s="172">
        <v>9.5690000000000008</v>
      </c>
      <c r="AA24" s="120"/>
      <c r="AB24" s="25">
        <f t="shared" si="0"/>
        <v>47.365441166300954</v>
      </c>
      <c r="AC24" s="25">
        <f t="shared" si="4"/>
        <v>48.198954844566302</v>
      </c>
      <c r="AD24" s="25">
        <f t="shared" si="5"/>
        <v>0.87220106342801929</v>
      </c>
      <c r="AF24" s="101">
        <v>7.93</v>
      </c>
      <c r="AG24" s="101">
        <v>1.4828600000000001</v>
      </c>
      <c r="AH24" s="101">
        <v>1.1960999999999999</v>
      </c>
      <c r="AI24" s="101">
        <v>-1.2200000000000001E-2</v>
      </c>
      <c r="AJ24" s="101">
        <v>-0.26150000000000001</v>
      </c>
      <c r="AK24" s="101">
        <v>-2.5929000000000002</v>
      </c>
      <c r="AL24" s="101">
        <v>1.1394</v>
      </c>
      <c r="AM24" s="101">
        <v>-0.90159999999999996</v>
      </c>
      <c r="AN24" s="101">
        <v>5.67E-2</v>
      </c>
      <c r="AO24" s="101">
        <v>-0.65669999999999995</v>
      </c>
      <c r="AQ24" s="50">
        <f t="shared" si="16"/>
        <v>0.73899999999999999</v>
      </c>
      <c r="AR24" s="50">
        <f t="shared" si="17"/>
        <v>3.1287342709104369</v>
      </c>
      <c r="AS24" s="50">
        <f t="shared" si="18"/>
        <v>1.6559999999999988E-3</v>
      </c>
      <c r="AT24" s="50">
        <f t="shared" si="19"/>
        <v>1.268076</v>
      </c>
      <c r="AU24" s="50">
        <f t="shared" si="20"/>
        <v>4.2337405560357739</v>
      </c>
      <c r="AV24" s="153">
        <f t="shared" si="13"/>
        <v>11</v>
      </c>
    </row>
    <row r="25" spans="1:48" s="101" customFormat="1" x14ac:dyDescent="0.35">
      <c r="A25" s="119">
        <v>20</v>
      </c>
      <c r="B25" s="198"/>
      <c r="C25" s="120">
        <v>12</v>
      </c>
      <c r="D25" s="122">
        <v>96</v>
      </c>
      <c r="E25" s="12">
        <f t="shared" si="10"/>
        <v>1152</v>
      </c>
      <c r="F25" s="25">
        <f t="shared" si="3"/>
        <v>1</v>
      </c>
      <c r="G25" s="25">
        <f t="shared" si="11"/>
        <v>12</v>
      </c>
      <c r="H25" s="120">
        <v>7.92</v>
      </c>
      <c r="I25" s="120">
        <v>3750</v>
      </c>
      <c r="J25" s="165">
        <v>232.4</v>
      </c>
      <c r="K25" s="120">
        <v>746</v>
      </c>
      <c r="L25" s="120">
        <v>59</v>
      </c>
      <c r="M25" s="171">
        <v>0.5</v>
      </c>
      <c r="N25" s="27">
        <v>1971</v>
      </c>
      <c r="O25" s="65">
        <v>48</v>
      </c>
      <c r="P25" s="21">
        <v>617</v>
      </c>
      <c r="Q25" s="175">
        <v>44.8</v>
      </c>
      <c r="R25" s="175">
        <v>289.2</v>
      </c>
      <c r="S25" s="175">
        <v>29.6</v>
      </c>
      <c r="T25" s="175">
        <v>10.87</v>
      </c>
      <c r="U25" s="171">
        <v>0.2</v>
      </c>
      <c r="V25" s="174">
        <v>0.70299999999999996</v>
      </c>
      <c r="W25" s="177">
        <v>0.02</v>
      </c>
      <c r="X25" s="30">
        <v>0.06</v>
      </c>
      <c r="Y25" s="177">
        <v>0.04</v>
      </c>
      <c r="Z25" s="172">
        <v>8.9359999999999999</v>
      </c>
      <c r="AA25" s="120"/>
      <c r="AB25" s="25">
        <f t="shared" si="0"/>
        <v>47.357232421590091</v>
      </c>
      <c r="AC25" s="25">
        <f t="shared" si="4"/>
        <v>47.330021135245815</v>
      </c>
      <c r="AD25" s="25">
        <f t="shared" si="5"/>
        <v>2.8738066975342334E-2</v>
      </c>
      <c r="AF25" s="101">
        <v>7.92</v>
      </c>
      <c r="AG25" s="101">
        <v>0.22525300000000001</v>
      </c>
      <c r="AH25" s="101">
        <v>1.2025999999999999</v>
      </c>
      <c r="AI25" s="101">
        <v>1.4E-3</v>
      </c>
      <c r="AJ25" s="101">
        <v>-0.24779999999999999</v>
      </c>
      <c r="AK25" s="101">
        <v>-2.5811999999999999</v>
      </c>
      <c r="AL25" s="101">
        <v>1.1027</v>
      </c>
      <c r="AM25" s="101">
        <v>-0.90069999999999995</v>
      </c>
      <c r="AN25" s="101">
        <v>6.5299999999999997E-2</v>
      </c>
      <c r="AO25" s="101">
        <v>-0.69989999999999997</v>
      </c>
      <c r="AQ25" s="50">
        <f t="shared" si="16"/>
        <v>0.746</v>
      </c>
      <c r="AR25" s="50">
        <f t="shared" si="17"/>
        <v>3.1229903774981493</v>
      </c>
      <c r="AS25" s="50">
        <f t="shared" si="18"/>
        <v>2.3279999999999993E-3</v>
      </c>
      <c r="AT25" s="50">
        <f t="shared" si="19"/>
        <v>1.2657479999999999</v>
      </c>
      <c r="AU25" s="50">
        <f t="shared" si="20"/>
        <v>4.1863141789519425</v>
      </c>
      <c r="AV25" s="153">
        <f t="shared" si="13"/>
        <v>12</v>
      </c>
    </row>
    <row r="26" spans="1:48" s="101" customFormat="1" x14ac:dyDescent="0.35">
      <c r="A26" s="119">
        <v>20</v>
      </c>
      <c r="B26" s="198"/>
      <c r="C26" s="119">
        <v>13</v>
      </c>
      <c r="D26" s="122">
        <v>96</v>
      </c>
      <c r="E26" s="12">
        <f t="shared" si="10"/>
        <v>1248</v>
      </c>
      <c r="F26" s="25">
        <f t="shared" si="3"/>
        <v>1</v>
      </c>
      <c r="G26" s="25">
        <f t="shared" si="11"/>
        <v>13</v>
      </c>
      <c r="H26" s="120">
        <v>7.87</v>
      </c>
      <c r="I26" s="120">
        <v>3740</v>
      </c>
      <c r="J26" s="165">
        <v>231.4</v>
      </c>
      <c r="K26" s="120">
        <v>716</v>
      </c>
      <c r="L26" s="120">
        <v>58</v>
      </c>
      <c r="M26" s="171">
        <v>0.5</v>
      </c>
      <c r="N26" s="27">
        <v>2026</v>
      </c>
      <c r="O26" s="65">
        <v>45</v>
      </c>
      <c r="P26" s="21">
        <v>592</v>
      </c>
      <c r="Q26" s="175">
        <v>40.42</v>
      </c>
      <c r="R26" s="175">
        <v>283.7</v>
      </c>
      <c r="S26" s="175">
        <v>28.84</v>
      </c>
      <c r="T26" s="175">
        <v>10.26</v>
      </c>
      <c r="U26" s="171">
        <v>0.2</v>
      </c>
      <c r="V26" s="174">
        <v>0.68600000000000005</v>
      </c>
      <c r="W26" s="130">
        <v>6.9000000000000006E-2</v>
      </c>
      <c r="X26" s="130">
        <v>5.8000000000000003E-2</v>
      </c>
      <c r="Y26" s="177">
        <v>0.04</v>
      </c>
      <c r="Z26" s="172">
        <v>8.9939999999999998</v>
      </c>
      <c r="AA26" s="120"/>
      <c r="AB26" s="25">
        <f t="shared" si="0"/>
        <v>48.454141311690812</v>
      </c>
      <c r="AC26" s="25">
        <f t="shared" si="4"/>
        <v>45.467483304026139</v>
      </c>
      <c r="AD26" s="25">
        <f t="shared" si="5"/>
        <v>3.179947131328563</v>
      </c>
      <c r="AF26" s="101">
        <v>7.87</v>
      </c>
      <c r="AG26" s="101">
        <v>-4.1392800000000003</v>
      </c>
      <c r="AH26" s="101">
        <v>1.131</v>
      </c>
      <c r="AI26" s="101">
        <v>-3.2000000000000002E-3</v>
      </c>
      <c r="AJ26" s="101">
        <v>-0.2525</v>
      </c>
      <c r="AK26" s="101">
        <v>-2.5276000000000001</v>
      </c>
      <c r="AL26" s="101">
        <v>0.93359999999999999</v>
      </c>
      <c r="AM26" s="101">
        <v>-0.96660000000000001</v>
      </c>
      <c r="AN26" s="101">
        <v>2.98E-2</v>
      </c>
      <c r="AO26" s="101">
        <v>-0.79730000000000001</v>
      </c>
      <c r="AQ26" s="50">
        <f t="shared" si="16"/>
        <v>0.71599999999999997</v>
      </c>
      <c r="AR26" s="50">
        <f t="shared" si="17"/>
        <v>3.1243523316062176</v>
      </c>
      <c r="AS26" s="50">
        <f t="shared" si="18"/>
        <v>-5.5200000000000312E-4</v>
      </c>
      <c r="AT26" s="50">
        <f t="shared" si="19"/>
        <v>1.2663</v>
      </c>
      <c r="AU26" s="50">
        <f t="shared" si="20"/>
        <v>4.3636205748690191</v>
      </c>
      <c r="AV26" s="153">
        <f t="shared" si="13"/>
        <v>13</v>
      </c>
    </row>
    <row r="27" spans="1:48" s="101" customFormat="1" x14ac:dyDescent="0.35">
      <c r="A27" s="179"/>
      <c r="B27" s="198"/>
      <c r="C27" s="179"/>
      <c r="D27" s="179"/>
      <c r="E27" s="12"/>
      <c r="F27" s="25"/>
      <c r="G27" s="25"/>
      <c r="H27" s="180"/>
      <c r="I27" s="180"/>
      <c r="J27" s="180"/>
      <c r="K27" s="180"/>
      <c r="L27" s="180"/>
      <c r="M27" s="166"/>
      <c r="N27" s="27"/>
      <c r="O27" s="65"/>
      <c r="P27" s="21"/>
      <c r="Q27" s="175"/>
      <c r="R27" s="175"/>
      <c r="S27" s="175"/>
      <c r="T27" s="172"/>
      <c r="U27" s="166"/>
      <c r="V27" s="130"/>
      <c r="W27" s="130"/>
      <c r="X27" s="130"/>
      <c r="Y27" s="166"/>
      <c r="Z27" s="130"/>
      <c r="AA27" s="180"/>
      <c r="AB27" s="25"/>
      <c r="AC27" s="25"/>
      <c r="AD27" s="25"/>
      <c r="AQ27" s="176"/>
      <c r="AR27" s="176"/>
      <c r="AS27" s="176"/>
      <c r="AT27" s="176"/>
      <c r="AU27" s="176"/>
      <c r="AV27" s="178"/>
    </row>
    <row r="28" spans="1:48" s="101" customFormat="1" x14ac:dyDescent="0.35">
      <c r="A28" s="188" t="s">
        <v>279</v>
      </c>
      <c r="B28" s="188"/>
      <c r="C28" s="188"/>
      <c r="D28" s="188"/>
      <c r="E28" s="12"/>
      <c r="F28" s="25"/>
      <c r="G28" s="25"/>
      <c r="H28" s="25" t="s">
        <v>274</v>
      </c>
      <c r="I28" s="165">
        <f>'Influent Results Master'!D60</f>
        <v>498</v>
      </c>
      <c r="J28" s="165">
        <f>'Influent Results Master'!F60</f>
        <v>98.424999999999997</v>
      </c>
      <c r="K28" s="170">
        <f>'Influent Results Master'!G60</f>
        <v>3.0750000000000002</v>
      </c>
      <c r="L28" s="170">
        <f>'Influent Results Master'!H60</f>
        <v>3.875</v>
      </c>
      <c r="M28" s="170">
        <f>'Influent Results Master'!I60</f>
        <v>1.825</v>
      </c>
      <c r="N28" s="165">
        <f>'Influent Results Master'!J60</f>
        <v>137</v>
      </c>
      <c r="O28" s="165">
        <f>'Influent Results Master'!K60</f>
        <v>11.5</v>
      </c>
      <c r="P28" s="165">
        <f>'Influent Results Master'!L60</f>
        <v>63.497500000000002</v>
      </c>
      <c r="Q28" s="165">
        <f>'Influent Results Master'!M60</f>
        <v>16.197500000000002</v>
      </c>
      <c r="R28" s="165">
        <f>'Influent Results Master'!N60</f>
        <v>22.785</v>
      </c>
      <c r="S28" s="165">
        <f>'Influent Results Master'!O60</f>
        <v>14.3</v>
      </c>
      <c r="T28" s="170">
        <f>'Influent Results Master'!P60</f>
        <v>2.0294999999999996</v>
      </c>
      <c r="U28" s="171">
        <f>'Influent Results Master'!Q60</f>
        <v>0.2</v>
      </c>
      <c r="V28" s="177">
        <f>'Influent Results Master'!R60</f>
        <v>0.02</v>
      </c>
      <c r="W28" s="177">
        <f>'Influent Results Master'!S60</f>
        <v>0.02</v>
      </c>
      <c r="X28" s="177">
        <f>'Influent Results Master'!T60</f>
        <v>0.02</v>
      </c>
      <c r="Y28" s="177">
        <f>'Influent Results Master'!U60</f>
        <v>0.04</v>
      </c>
      <c r="Z28" s="163">
        <f>'Influent Results Master'!V60</f>
        <v>0.56574999999999998</v>
      </c>
      <c r="AA28" s="120"/>
      <c r="AB28" s="25"/>
      <c r="AC28" s="25"/>
      <c r="AD28" s="25"/>
      <c r="AQ28" s="50">
        <f>K28/1000</f>
        <v>3.075E-3</v>
      </c>
      <c r="AV28" s="153"/>
    </row>
    <row r="29" spans="1:48" s="101" customFormat="1" x14ac:dyDescent="0.35">
      <c r="A29" s="179"/>
      <c r="B29" s="198"/>
      <c r="C29" s="179"/>
      <c r="D29" s="179"/>
      <c r="E29" s="12"/>
      <c r="F29" s="25"/>
      <c r="G29" s="25"/>
      <c r="H29" s="180"/>
      <c r="I29" s="180"/>
      <c r="J29" s="180"/>
      <c r="K29" s="180"/>
      <c r="L29" s="166"/>
      <c r="M29" s="166"/>
      <c r="N29" s="180"/>
      <c r="O29" s="180"/>
      <c r="P29" s="165"/>
      <c r="Q29" s="165"/>
      <c r="R29" s="165"/>
      <c r="S29" s="165"/>
      <c r="T29" s="170"/>
      <c r="U29" s="65"/>
      <c r="V29" s="65"/>
      <c r="W29" s="172"/>
      <c r="X29" s="65"/>
      <c r="Y29" s="65"/>
      <c r="Z29" s="65"/>
      <c r="AA29" s="180"/>
      <c r="AB29" s="25"/>
      <c r="AC29" s="25"/>
      <c r="AD29" s="25"/>
      <c r="AQ29" s="176"/>
      <c r="AV29" s="178"/>
    </row>
    <row r="30" spans="1:48" s="101" customFormat="1" x14ac:dyDescent="0.35">
      <c r="A30" s="119">
        <v>20</v>
      </c>
      <c r="B30" s="28">
        <v>43733</v>
      </c>
      <c r="C30" s="120">
        <v>14</v>
      </c>
      <c r="D30" s="122">
        <v>96</v>
      </c>
      <c r="E30" s="12">
        <f>E26+D30</f>
        <v>1344</v>
      </c>
      <c r="F30" s="25">
        <f t="shared" si="3"/>
        <v>1</v>
      </c>
      <c r="G30" s="25">
        <v>14</v>
      </c>
      <c r="H30" s="120">
        <v>7.9</v>
      </c>
      <c r="I30" s="120">
        <v>3620</v>
      </c>
      <c r="J30" s="165">
        <v>232.6</v>
      </c>
      <c r="K30" s="120">
        <v>718</v>
      </c>
      <c r="L30" s="120">
        <v>58</v>
      </c>
      <c r="M30" s="171">
        <v>0.5</v>
      </c>
      <c r="N30" s="27">
        <v>2007</v>
      </c>
      <c r="O30" s="65">
        <v>46</v>
      </c>
      <c r="P30" s="21">
        <v>598.1</v>
      </c>
      <c r="Q30" s="175">
        <v>41.51</v>
      </c>
      <c r="R30" s="175">
        <v>286.8</v>
      </c>
      <c r="S30" s="175">
        <v>27.7</v>
      </c>
      <c r="T30" s="172">
        <v>9.891</v>
      </c>
      <c r="U30" s="171">
        <v>0.2</v>
      </c>
      <c r="V30" s="174">
        <v>0.71899999999999997</v>
      </c>
      <c r="W30" s="177">
        <v>0.02</v>
      </c>
      <c r="X30" s="130">
        <v>6.3E-2</v>
      </c>
      <c r="Y30" s="177">
        <v>0.04</v>
      </c>
      <c r="Z30" s="172">
        <v>8.5640000000000001</v>
      </c>
      <c r="AA30" s="120"/>
      <c r="AB30" s="25">
        <f t="shared" ref="AB30:AB47" si="21">((J30/50)+(L30/35.45)+(M30/62)+(N30/48.03))</f>
        <v>48.082555219664997</v>
      </c>
      <c r="AC30" s="25">
        <f t="shared" si="4"/>
        <v>45.986916574651993</v>
      </c>
      <c r="AD30" s="25">
        <f t="shared" si="5"/>
        <v>2.2277563645675831</v>
      </c>
      <c r="AF30" s="101">
        <v>7.9</v>
      </c>
      <c r="AG30" s="101">
        <v>-2.8381799999999999</v>
      </c>
      <c r="AH30" s="101">
        <v>1.1677999999999999</v>
      </c>
      <c r="AI30" s="101">
        <v>-2.8E-3</v>
      </c>
      <c r="AJ30" s="101">
        <v>-0.25209999999999999</v>
      </c>
      <c r="AK30" s="101">
        <v>-2.5573999999999999</v>
      </c>
      <c r="AL30" s="101">
        <v>1.0141</v>
      </c>
      <c r="AM30" s="101">
        <v>-0.89890000000000003</v>
      </c>
      <c r="AN30" s="101">
        <v>5.6899999999999999E-2</v>
      </c>
      <c r="AO30" s="101">
        <v>-0.75370000000000004</v>
      </c>
      <c r="AV30" s="153"/>
    </row>
    <row r="31" spans="1:48" s="101" customFormat="1" x14ac:dyDescent="0.35">
      <c r="A31" s="119">
        <v>20</v>
      </c>
      <c r="B31" s="198"/>
      <c r="C31" s="120">
        <v>15</v>
      </c>
      <c r="D31" s="122">
        <v>96</v>
      </c>
      <c r="E31" s="12">
        <f>E30+D31</f>
        <v>1440</v>
      </c>
      <c r="F31" s="25">
        <f t="shared" si="3"/>
        <v>1</v>
      </c>
      <c r="G31" s="25">
        <f>G30+F31</f>
        <v>15</v>
      </c>
      <c r="H31" s="120">
        <v>7.83</v>
      </c>
      <c r="I31" s="120">
        <v>3310</v>
      </c>
      <c r="J31" s="165">
        <v>201.2</v>
      </c>
      <c r="K31" s="120">
        <v>631</v>
      </c>
      <c r="L31" s="120">
        <v>26</v>
      </c>
      <c r="M31" s="172">
        <v>1</v>
      </c>
      <c r="N31" s="27">
        <v>2019</v>
      </c>
      <c r="O31" s="65">
        <v>42</v>
      </c>
      <c r="P31" s="21">
        <v>585.20000000000005</v>
      </c>
      <c r="Q31" s="175">
        <v>38.83</v>
      </c>
      <c r="R31" s="175">
        <v>309.8</v>
      </c>
      <c r="S31" s="175">
        <v>30.95</v>
      </c>
      <c r="T31" s="175">
        <v>11.94</v>
      </c>
      <c r="U31" s="171">
        <v>0.2</v>
      </c>
      <c r="V31" s="174">
        <v>0.627</v>
      </c>
      <c r="W31" s="177">
        <v>0.02</v>
      </c>
      <c r="X31" s="130">
        <v>5.8999999999999997E-2</v>
      </c>
      <c r="Y31" s="177">
        <v>0.04</v>
      </c>
      <c r="Z31" s="172">
        <v>8.4130000000000003</v>
      </c>
      <c r="AA31" s="120"/>
      <c r="AB31" s="25">
        <f t="shared" si="21"/>
        <v>46.809783752641742</v>
      </c>
      <c r="AC31" s="25">
        <f t="shared" si="4"/>
        <v>46.175648326758036</v>
      </c>
      <c r="AD31" s="25">
        <f t="shared" si="5"/>
        <v>0.68197287650631211</v>
      </c>
      <c r="AF31" s="101">
        <v>7.83</v>
      </c>
      <c r="AG31" s="101">
        <v>-0.68230100000000005</v>
      </c>
      <c r="AH31" s="101">
        <v>1.0297000000000001</v>
      </c>
      <c r="AI31" s="101">
        <v>-6.4000000000000003E-3</v>
      </c>
      <c r="AJ31" s="101">
        <v>-0.25559999999999999</v>
      </c>
      <c r="AK31" s="101">
        <v>-2.5461999999999998</v>
      </c>
      <c r="AL31" s="101">
        <v>0.71799999999999997</v>
      </c>
      <c r="AM31" s="101">
        <v>-1.0548999999999999</v>
      </c>
      <c r="AN31" s="101">
        <v>-1.0999999999999999E-2</v>
      </c>
      <c r="AO31" s="101">
        <v>-0.91159999999999997</v>
      </c>
      <c r="AQ31" s="50">
        <f>K31/1000</f>
        <v>0.63100000000000001</v>
      </c>
      <c r="AR31" s="50">
        <f>AT31/$AS$6</f>
        <v>3.012216136195411</v>
      </c>
      <c r="AS31" s="50">
        <f>(AQ31-$AQ$28)*0.096</f>
        <v>6.0280799999999995E-2</v>
      </c>
      <c r="AT31" s="50">
        <f>AT20-AS31</f>
        <v>1.2208512</v>
      </c>
      <c r="AU31" s="50">
        <f t="shared" ref="AU31:AU32" si="22">AR31/AQ31</f>
        <v>4.7737181239229969</v>
      </c>
      <c r="AV31" s="153">
        <f>AV26+1</f>
        <v>14</v>
      </c>
    </row>
    <row r="32" spans="1:48" s="101" customFormat="1" x14ac:dyDescent="0.35">
      <c r="A32" s="119">
        <v>20</v>
      </c>
      <c r="B32" s="198"/>
      <c r="C32" s="119">
        <v>16</v>
      </c>
      <c r="D32" s="122">
        <v>96</v>
      </c>
      <c r="E32" s="12">
        <f t="shared" ref="E32:E47" si="23">E31+D32</f>
        <v>1536</v>
      </c>
      <c r="F32" s="25">
        <f t="shared" si="3"/>
        <v>1</v>
      </c>
      <c r="G32" s="25">
        <f t="shared" ref="G32:G47" si="24">G31+F32</f>
        <v>16</v>
      </c>
      <c r="H32" s="120">
        <v>7.86</v>
      </c>
      <c r="I32" s="120">
        <v>2850</v>
      </c>
      <c r="J32" s="165">
        <v>126</v>
      </c>
      <c r="K32" s="120">
        <v>439</v>
      </c>
      <c r="L32" s="120">
        <v>8.5</v>
      </c>
      <c r="M32" s="65">
        <v>1.3</v>
      </c>
      <c r="N32" s="27">
        <v>1645</v>
      </c>
      <c r="O32" s="27">
        <v>30</v>
      </c>
      <c r="P32" s="21">
        <v>614.6</v>
      </c>
      <c r="Q32" s="21">
        <v>35.1</v>
      </c>
      <c r="R32" s="21">
        <v>172.7</v>
      </c>
      <c r="S32" s="175">
        <v>26.92</v>
      </c>
      <c r="T32" s="172">
        <v>9.3960000000000008</v>
      </c>
      <c r="U32" s="171">
        <v>0.2</v>
      </c>
      <c r="V32" s="174">
        <v>0.33200000000000002</v>
      </c>
      <c r="W32" s="177">
        <v>0.02</v>
      </c>
      <c r="X32" s="130">
        <v>5.1999999999999998E-2</v>
      </c>
      <c r="Y32" s="177">
        <v>0.04</v>
      </c>
      <c r="Z32" s="172">
        <v>7.9550000000000001</v>
      </c>
      <c r="AA32" s="120"/>
      <c r="AB32" s="25">
        <f t="shared" si="21"/>
        <v>37.030169513160388</v>
      </c>
      <c r="AC32" s="25">
        <f t="shared" si="4"/>
        <v>41.307444460404319</v>
      </c>
      <c r="AD32" s="25">
        <f t="shared" si="5"/>
        <v>5.4600526238740326</v>
      </c>
      <c r="AF32" s="101">
        <v>7.86</v>
      </c>
      <c r="AG32" s="101">
        <v>8.0673399999999997</v>
      </c>
      <c r="AH32" s="101">
        <v>0.92330000000000001</v>
      </c>
      <c r="AI32" s="101">
        <v>-2.8299999999999999E-2</v>
      </c>
      <c r="AJ32" s="101">
        <v>-0.27779999999999999</v>
      </c>
      <c r="AK32" s="101">
        <v>-2.7826</v>
      </c>
      <c r="AL32" s="101">
        <v>0.43530000000000002</v>
      </c>
      <c r="AM32" s="101">
        <v>-1.2329000000000001</v>
      </c>
      <c r="AN32" s="101">
        <v>-0.19789999999999999</v>
      </c>
      <c r="AO32" s="101">
        <v>-1.0880000000000001</v>
      </c>
      <c r="AQ32" s="50">
        <f t="shared" ref="AQ32:AQ45" si="25">K32/1000</f>
        <v>0.439</v>
      </c>
      <c r="AR32" s="50">
        <f t="shared" ref="AR32" si="26">AT32/$AS$6</f>
        <v>2.9089622501850485</v>
      </c>
      <c r="AS32" s="50">
        <f t="shared" ref="AS32:AS45" si="27">(AQ32-$AQ$28)*0.096</f>
        <v>4.1848799999999999E-2</v>
      </c>
      <c r="AT32" s="50">
        <f>AT31-AS32</f>
        <v>1.1790024000000001</v>
      </c>
      <c r="AU32" s="50">
        <f t="shared" si="22"/>
        <v>6.6263376997381513</v>
      </c>
      <c r="AV32" s="153">
        <f t="shared" si="13"/>
        <v>15</v>
      </c>
    </row>
    <row r="33" spans="1:48" s="101" customFormat="1" x14ac:dyDescent="0.35">
      <c r="A33" s="119">
        <v>20</v>
      </c>
      <c r="B33" s="198"/>
      <c r="C33" s="120">
        <v>17</v>
      </c>
      <c r="D33" s="122">
        <v>96</v>
      </c>
      <c r="E33" s="12">
        <f t="shared" si="23"/>
        <v>1632</v>
      </c>
      <c r="F33" s="25">
        <f t="shared" si="3"/>
        <v>1</v>
      </c>
      <c r="G33" s="25">
        <f t="shared" si="24"/>
        <v>17</v>
      </c>
      <c r="H33" s="120">
        <v>7.76</v>
      </c>
      <c r="I33" s="120">
        <v>2530</v>
      </c>
      <c r="J33" s="165">
        <v>109.8</v>
      </c>
      <c r="K33" s="120">
        <v>380</v>
      </c>
      <c r="L33" s="65">
        <v>5.6</v>
      </c>
      <c r="M33" s="65">
        <v>1.3</v>
      </c>
      <c r="N33" s="27">
        <v>1627</v>
      </c>
      <c r="O33" s="65">
        <v>27</v>
      </c>
      <c r="P33" s="21">
        <v>644.70000000000005</v>
      </c>
      <c r="Q33" s="175">
        <v>34.340000000000003</v>
      </c>
      <c r="R33" s="175">
        <v>83.89</v>
      </c>
      <c r="S33" s="175">
        <v>25.93</v>
      </c>
      <c r="T33" s="172">
        <v>7.9859999999999998</v>
      </c>
      <c r="U33" s="171">
        <v>0.2</v>
      </c>
      <c r="V33" s="174">
        <v>0.19</v>
      </c>
      <c r="W33" s="177">
        <v>0.02</v>
      </c>
      <c r="X33" s="130">
        <v>5.0999999999999997E-2</v>
      </c>
      <c r="Y33" s="177">
        <v>0.04</v>
      </c>
      <c r="Z33" s="172">
        <v>7.9880000000000004</v>
      </c>
      <c r="AA33" s="120"/>
      <c r="AB33" s="25">
        <f t="shared" si="21"/>
        <v>36.249598382106015</v>
      </c>
      <c r="AC33" s="25">
        <f t="shared" si="4"/>
        <v>38.847895181268086</v>
      </c>
      <c r="AD33" s="25">
        <f t="shared" si="5"/>
        <v>3.4598981615403606</v>
      </c>
      <c r="AF33" s="101">
        <v>7.76</v>
      </c>
      <c r="AG33" s="101">
        <v>5.7607400000000002</v>
      </c>
      <c r="AH33" s="101">
        <v>0.79420000000000002</v>
      </c>
      <c r="AI33" s="101">
        <v>-8.6999999999999994E-3</v>
      </c>
      <c r="AJ33" s="101">
        <v>-0.25819999999999999</v>
      </c>
      <c r="AK33" s="101">
        <v>-2.7391000000000001</v>
      </c>
      <c r="AL33" s="101">
        <v>0.14630000000000001</v>
      </c>
      <c r="AM33" s="101">
        <v>-1.3888</v>
      </c>
      <c r="AN33" s="101">
        <v>-0.40839999999999999</v>
      </c>
      <c r="AO33" s="101">
        <v>-1.2479</v>
      </c>
      <c r="AQ33" s="50">
        <f t="shared" si="25"/>
        <v>0.38</v>
      </c>
      <c r="AR33" s="50">
        <f t="shared" ref="AR33:AR45" si="28">AT33/$AS$6</f>
        <v>2.8196831976313845</v>
      </c>
      <c r="AS33" s="50">
        <f t="shared" si="27"/>
        <v>3.6184800000000003E-2</v>
      </c>
      <c r="AT33" s="50">
        <f t="shared" ref="AT33:AT45" si="29">AT32-AS33</f>
        <v>1.1428176000000001</v>
      </c>
      <c r="AU33" s="50">
        <f t="shared" ref="AU33:AU45" si="30">AR33/AQ33</f>
        <v>7.4202189411352224</v>
      </c>
      <c r="AV33" s="153">
        <f t="shared" si="13"/>
        <v>16</v>
      </c>
    </row>
    <row r="34" spans="1:48" s="101" customFormat="1" x14ac:dyDescent="0.35">
      <c r="A34" s="119">
        <v>20</v>
      </c>
      <c r="B34" s="198"/>
      <c r="C34" s="120">
        <v>18</v>
      </c>
      <c r="D34" s="122">
        <v>96</v>
      </c>
      <c r="E34" s="12">
        <f t="shared" si="23"/>
        <v>1728</v>
      </c>
      <c r="F34" s="25">
        <f t="shared" si="3"/>
        <v>1</v>
      </c>
      <c r="G34" s="25">
        <f t="shared" si="24"/>
        <v>18</v>
      </c>
      <c r="H34" s="120">
        <v>7.81</v>
      </c>
      <c r="I34" s="120">
        <v>2470</v>
      </c>
      <c r="J34" s="165">
        <v>104.2</v>
      </c>
      <c r="K34" s="120">
        <v>321</v>
      </c>
      <c r="L34" s="65">
        <v>4.7</v>
      </c>
      <c r="M34" s="65">
        <v>1.4</v>
      </c>
      <c r="N34" s="27">
        <v>1607</v>
      </c>
      <c r="O34" s="65">
        <v>28</v>
      </c>
      <c r="P34" s="21">
        <v>639.29999999999995</v>
      </c>
      <c r="Q34" s="175">
        <v>34.17</v>
      </c>
      <c r="R34" s="175">
        <v>71.27</v>
      </c>
      <c r="S34" s="175">
        <v>26.66</v>
      </c>
      <c r="T34" s="172">
        <v>7.2060000000000004</v>
      </c>
      <c r="U34" s="171">
        <v>0.2</v>
      </c>
      <c r="V34" s="174">
        <v>0.13600000000000001</v>
      </c>
      <c r="W34" s="177">
        <v>0.02</v>
      </c>
      <c r="X34" s="130">
        <v>4.9000000000000002E-2</v>
      </c>
      <c r="Y34" s="177">
        <v>0.04</v>
      </c>
      <c r="Z34" s="172">
        <v>8.5649999999999995</v>
      </c>
      <c r="AA34" s="120"/>
      <c r="AB34" s="25">
        <f t="shared" si="21"/>
        <v>35.697417002433291</v>
      </c>
      <c r="AC34" s="25">
        <f t="shared" si="4"/>
        <v>37.995570671891763</v>
      </c>
      <c r="AD34" s="25">
        <f t="shared" si="5"/>
        <v>3.1185513601576482</v>
      </c>
      <c r="AF34" s="101">
        <v>7.81</v>
      </c>
      <c r="AG34" s="101">
        <v>5.2614400000000003</v>
      </c>
      <c r="AH34" s="101">
        <v>0.81910000000000005</v>
      </c>
      <c r="AI34" s="101">
        <v>-1.32E-2</v>
      </c>
      <c r="AJ34" s="101">
        <v>-0.26269999999999999</v>
      </c>
      <c r="AK34" s="101">
        <v>-2.8132000000000001</v>
      </c>
      <c r="AL34" s="101">
        <v>0.19739999999999999</v>
      </c>
      <c r="AM34" s="101">
        <v>-1.3766</v>
      </c>
      <c r="AN34" s="101">
        <v>-0.55269999999999997</v>
      </c>
      <c r="AO34" s="101">
        <v>-1.2216</v>
      </c>
      <c r="AQ34" s="50">
        <f t="shared" si="25"/>
        <v>0.32100000000000001</v>
      </c>
      <c r="AR34" s="50">
        <f t="shared" si="28"/>
        <v>2.7443789785344195</v>
      </c>
      <c r="AS34" s="50">
        <f t="shared" si="27"/>
        <v>3.0520800000000001E-2</v>
      </c>
      <c r="AT34" s="50">
        <f t="shared" si="29"/>
        <v>1.1122968000000002</v>
      </c>
      <c r="AU34" s="50">
        <f t="shared" si="30"/>
        <v>8.5494672228486586</v>
      </c>
      <c r="AV34" s="153">
        <f t="shared" si="13"/>
        <v>17</v>
      </c>
    </row>
    <row r="35" spans="1:48" s="101" customFormat="1" x14ac:dyDescent="0.35">
      <c r="A35" s="119">
        <v>20</v>
      </c>
      <c r="B35" s="198"/>
      <c r="C35" s="120">
        <v>19</v>
      </c>
      <c r="D35" s="122">
        <v>96</v>
      </c>
      <c r="E35" s="12">
        <f t="shared" si="23"/>
        <v>1824</v>
      </c>
      <c r="F35" s="25">
        <f t="shared" si="3"/>
        <v>1</v>
      </c>
      <c r="G35" s="25">
        <f t="shared" si="24"/>
        <v>19</v>
      </c>
      <c r="H35" s="120">
        <v>7.82</v>
      </c>
      <c r="I35" s="120">
        <v>2450</v>
      </c>
      <c r="J35" s="165">
        <v>100.4</v>
      </c>
      <c r="K35" s="120">
        <v>262</v>
      </c>
      <c r="L35" s="65">
        <v>4.5</v>
      </c>
      <c r="M35" s="65">
        <v>1.4</v>
      </c>
      <c r="N35" s="27">
        <v>1579</v>
      </c>
      <c r="O35" s="65">
        <v>24</v>
      </c>
      <c r="P35" s="21">
        <v>654.9</v>
      </c>
      <c r="Q35" s="175">
        <v>33.049999999999997</v>
      </c>
      <c r="R35" s="175">
        <v>58.49</v>
      </c>
      <c r="S35" s="175">
        <v>25.77</v>
      </c>
      <c r="T35" s="172">
        <v>6.15</v>
      </c>
      <c r="U35" s="171">
        <v>0.2</v>
      </c>
      <c r="V35" s="130">
        <v>9.9000000000000005E-2</v>
      </c>
      <c r="W35" s="177">
        <v>0.02</v>
      </c>
      <c r="X35" s="130">
        <v>4.9000000000000002E-2</v>
      </c>
      <c r="Y35" s="177">
        <v>0.04</v>
      </c>
      <c r="Z35" s="172">
        <v>8.4760000000000009</v>
      </c>
      <c r="AA35" s="120"/>
      <c r="AB35" s="25">
        <f t="shared" si="21"/>
        <v>35.03280627576887</v>
      </c>
      <c r="AC35" s="25">
        <f t="shared" si="4"/>
        <v>38.0990069829734</v>
      </c>
      <c r="AD35" s="25">
        <f t="shared" si="5"/>
        <v>4.1927043383379967</v>
      </c>
      <c r="AF35" s="101">
        <v>7.82</v>
      </c>
      <c r="AG35" s="101">
        <v>6.8815499999999998</v>
      </c>
      <c r="AH35" s="101">
        <v>0.82630000000000003</v>
      </c>
      <c r="AI35" s="101">
        <v>-9.7000000000000003E-3</v>
      </c>
      <c r="AJ35" s="101">
        <v>-0.25919999999999999</v>
      </c>
      <c r="AK35" s="101">
        <v>-2.8409</v>
      </c>
      <c r="AL35" s="101">
        <v>0.1865</v>
      </c>
      <c r="AM35" s="101">
        <v>-1.3804000000000001</v>
      </c>
      <c r="AN35" s="101">
        <v>-0.67490000000000006</v>
      </c>
      <c r="AO35" s="101">
        <v>-1.2399</v>
      </c>
      <c r="AQ35" s="50">
        <f t="shared" si="25"/>
        <v>0.26200000000000001</v>
      </c>
      <c r="AR35" s="50">
        <f t="shared" si="28"/>
        <v>2.6830495928941529</v>
      </c>
      <c r="AS35" s="50">
        <f t="shared" si="27"/>
        <v>2.4856800000000002E-2</v>
      </c>
      <c r="AT35" s="50">
        <f t="shared" si="29"/>
        <v>1.0874400000000002</v>
      </c>
      <c r="AU35" s="50">
        <f t="shared" si="30"/>
        <v>10.240647301122721</v>
      </c>
      <c r="AV35" s="153">
        <f t="shared" si="13"/>
        <v>18</v>
      </c>
    </row>
    <row r="36" spans="1:48" x14ac:dyDescent="0.35">
      <c r="A36" s="119">
        <v>20</v>
      </c>
      <c r="B36" s="198"/>
      <c r="C36" s="119">
        <v>20</v>
      </c>
      <c r="D36" s="122">
        <v>96</v>
      </c>
      <c r="E36" s="12">
        <f t="shared" si="23"/>
        <v>1920</v>
      </c>
      <c r="F36" s="25">
        <f t="shared" si="3"/>
        <v>1</v>
      </c>
      <c r="G36" s="25">
        <f t="shared" si="24"/>
        <v>20</v>
      </c>
      <c r="H36" s="1">
        <v>7.68</v>
      </c>
      <c r="I36" s="1">
        <v>2420</v>
      </c>
      <c r="J36" s="165">
        <v>97.8</v>
      </c>
      <c r="K36" s="1">
        <v>213</v>
      </c>
      <c r="L36" s="65">
        <v>4.2</v>
      </c>
      <c r="M36" s="65">
        <v>1.3</v>
      </c>
      <c r="N36" s="31">
        <v>1553</v>
      </c>
      <c r="O36" s="65">
        <v>21</v>
      </c>
      <c r="P36" s="21">
        <v>642.20000000000005</v>
      </c>
      <c r="Q36" s="175">
        <v>34.32</v>
      </c>
      <c r="R36" s="175">
        <v>51.82</v>
      </c>
      <c r="S36" s="175">
        <v>25.46</v>
      </c>
      <c r="T36" s="172">
        <v>5.9939999999999998</v>
      </c>
      <c r="U36" s="171">
        <v>0.2</v>
      </c>
      <c r="V36" s="130">
        <v>7.9000000000000001E-2</v>
      </c>
      <c r="W36" s="177">
        <v>0.02</v>
      </c>
      <c r="X36" s="130">
        <v>4.3999999999999997E-2</v>
      </c>
      <c r="Y36" s="177">
        <v>0.04</v>
      </c>
      <c r="Z36" s="172">
        <v>8.4600000000000009</v>
      </c>
      <c r="AA36" s="1"/>
      <c r="AB36" s="25">
        <f t="shared" si="21"/>
        <v>34.429402412673419</v>
      </c>
      <c r="AC36" s="25">
        <f t="shared" si="4"/>
        <v>37.275599325895193</v>
      </c>
      <c r="AD36" s="25">
        <f t="shared" si="5"/>
        <v>3.9693143354194569</v>
      </c>
      <c r="AF36" s="101">
        <v>7.68</v>
      </c>
      <c r="AG36" s="101">
        <v>6.5318399999999999</v>
      </c>
      <c r="AH36" s="101">
        <v>0.6764</v>
      </c>
      <c r="AI36" s="101">
        <v>-1.9599999999999999E-2</v>
      </c>
      <c r="AJ36" s="101">
        <v>-0.26910000000000001</v>
      </c>
      <c r="AK36" s="101">
        <v>-2.7054</v>
      </c>
      <c r="AL36" s="101">
        <v>-8.8700000000000001E-2</v>
      </c>
      <c r="AM36" s="101">
        <v>-1.5678000000000001</v>
      </c>
      <c r="AN36" s="101">
        <v>-0.77639999999999998</v>
      </c>
      <c r="AO36" s="101">
        <v>-1.3651</v>
      </c>
      <c r="AQ36" s="50">
        <f t="shared" si="25"/>
        <v>0.21299999999999999</v>
      </c>
      <c r="AR36" s="50">
        <f t="shared" si="28"/>
        <v>2.6333264248704671</v>
      </c>
      <c r="AS36" s="50">
        <f t="shared" si="27"/>
        <v>2.0152800000000002E-2</v>
      </c>
      <c r="AT36" s="50">
        <f t="shared" si="29"/>
        <v>1.0672872000000002</v>
      </c>
      <c r="AU36" s="50">
        <f t="shared" si="30"/>
        <v>12.363034858546794</v>
      </c>
      <c r="AV36" s="153">
        <f t="shared" si="13"/>
        <v>19</v>
      </c>
    </row>
    <row r="37" spans="1:48" s="101" customFormat="1" x14ac:dyDescent="0.35">
      <c r="A37" s="119">
        <v>20</v>
      </c>
      <c r="B37" s="198"/>
      <c r="C37" s="120">
        <v>21</v>
      </c>
      <c r="D37" s="122">
        <v>96</v>
      </c>
      <c r="E37" s="12">
        <f t="shared" si="23"/>
        <v>2016</v>
      </c>
      <c r="F37" s="25">
        <f t="shared" si="3"/>
        <v>1</v>
      </c>
      <c r="G37" s="25">
        <f t="shared" si="24"/>
        <v>21</v>
      </c>
      <c r="H37" s="120">
        <v>7.95</v>
      </c>
      <c r="I37" s="120">
        <v>2210</v>
      </c>
      <c r="J37" s="165">
        <v>98.4</v>
      </c>
      <c r="K37" s="120">
        <v>188</v>
      </c>
      <c r="L37" s="65">
        <v>4.5</v>
      </c>
      <c r="M37" s="65">
        <v>1.4</v>
      </c>
      <c r="N37" s="119">
        <v>1502</v>
      </c>
      <c r="O37" s="65">
        <v>23</v>
      </c>
      <c r="P37" s="21">
        <v>667.3</v>
      </c>
      <c r="Q37" s="175">
        <v>31.13</v>
      </c>
      <c r="R37" s="175">
        <v>46.42</v>
      </c>
      <c r="S37" s="175">
        <v>25.21</v>
      </c>
      <c r="T37" s="172">
        <v>5.234</v>
      </c>
      <c r="U37" s="171">
        <v>0.2</v>
      </c>
      <c r="V37" s="130">
        <v>5.3999999999999999E-2</v>
      </c>
      <c r="W37" s="177">
        <v>0.02</v>
      </c>
      <c r="X37" s="130">
        <v>4.5999999999999999E-2</v>
      </c>
      <c r="Y37" s="177">
        <v>0.04</v>
      </c>
      <c r="Z37" s="172">
        <v>9.1</v>
      </c>
      <c r="AA37" s="120"/>
      <c r="AB37" s="25">
        <f t="shared" si="21"/>
        <v>33.389641587032656</v>
      </c>
      <c r="AC37" s="25">
        <f t="shared" si="4"/>
        <v>38.011436736913595</v>
      </c>
      <c r="AD37" s="25">
        <f t="shared" si="5"/>
        <v>6.4730046917665334</v>
      </c>
      <c r="AF37" s="101">
        <v>7.95</v>
      </c>
      <c r="AG37" s="101">
        <v>10.343999999999999</v>
      </c>
      <c r="AH37" s="101">
        <v>0.95730000000000004</v>
      </c>
      <c r="AI37" s="101">
        <v>-1.7299999999999999E-2</v>
      </c>
      <c r="AJ37" s="101">
        <v>-0.26690000000000003</v>
      </c>
      <c r="AK37" s="101">
        <v>-2.9881000000000002</v>
      </c>
      <c r="AL37" s="101">
        <v>0.41310000000000002</v>
      </c>
      <c r="AM37" s="101">
        <v>-1.2857000000000001</v>
      </c>
      <c r="AN37" s="101">
        <v>-0.91779999999999995</v>
      </c>
      <c r="AO37" s="101">
        <v>-1.1442000000000001</v>
      </c>
      <c r="AQ37" s="50">
        <f t="shared" si="25"/>
        <v>0.188</v>
      </c>
      <c r="AR37" s="50">
        <f t="shared" si="28"/>
        <v>2.5895247964470767</v>
      </c>
      <c r="AS37" s="50">
        <f t="shared" si="27"/>
        <v>1.7752800000000003E-2</v>
      </c>
      <c r="AT37" s="50">
        <f t="shared" si="29"/>
        <v>1.0495344000000002</v>
      </c>
      <c r="AU37" s="50">
        <f t="shared" si="30"/>
        <v>13.774068066207855</v>
      </c>
      <c r="AV37" s="153">
        <f t="shared" si="13"/>
        <v>20</v>
      </c>
    </row>
    <row r="38" spans="1:48" s="101" customFormat="1" x14ac:dyDescent="0.35">
      <c r="A38" s="119">
        <v>20</v>
      </c>
      <c r="B38" s="198"/>
      <c r="C38" s="120">
        <v>22</v>
      </c>
      <c r="D38" s="122">
        <v>96</v>
      </c>
      <c r="E38" s="12">
        <f t="shared" si="23"/>
        <v>2112</v>
      </c>
      <c r="F38" s="25">
        <f t="shared" si="3"/>
        <v>1</v>
      </c>
      <c r="G38" s="25">
        <f t="shared" si="24"/>
        <v>22</v>
      </c>
      <c r="H38" s="120">
        <v>7.9</v>
      </c>
      <c r="I38" s="120">
        <v>2080</v>
      </c>
      <c r="J38" s="165">
        <v>98.2</v>
      </c>
      <c r="K38" s="120">
        <v>157</v>
      </c>
      <c r="L38" s="65">
        <v>4.3</v>
      </c>
      <c r="M38" s="65">
        <v>1.3</v>
      </c>
      <c r="N38" s="119">
        <v>1512</v>
      </c>
      <c r="O38" s="65">
        <v>24</v>
      </c>
      <c r="P38" s="21">
        <v>662.8</v>
      </c>
      <c r="Q38" s="175">
        <v>25.79</v>
      </c>
      <c r="R38" s="175">
        <v>45.78</v>
      </c>
      <c r="S38" s="175">
        <v>26.68</v>
      </c>
      <c r="T38" s="172">
        <v>5.0529999999999999</v>
      </c>
      <c r="U38" s="171">
        <v>0.2</v>
      </c>
      <c r="V38" s="130">
        <v>4.3999999999999997E-2</v>
      </c>
      <c r="W38" s="177">
        <v>0.02</v>
      </c>
      <c r="X38" s="130">
        <v>4.2000000000000003E-2</v>
      </c>
      <c r="Y38" s="177">
        <v>0.04</v>
      </c>
      <c r="Z38" s="172">
        <v>9.41</v>
      </c>
      <c r="AA38" s="120"/>
      <c r="AB38" s="25">
        <f t="shared" si="21"/>
        <v>33.586590141194058</v>
      </c>
      <c r="AC38" s="25">
        <f t="shared" si="4"/>
        <v>37.315273755340058</v>
      </c>
      <c r="AD38" s="25">
        <f t="shared" si="5"/>
        <v>5.2589359563060354</v>
      </c>
      <c r="AF38" s="101">
        <v>7.9</v>
      </c>
      <c r="AG38" s="101">
        <v>8.5339100000000006</v>
      </c>
      <c r="AH38" s="101">
        <v>0.90639999999999998</v>
      </c>
      <c r="AI38" s="101">
        <v>-1.5100000000000001E-2</v>
      </c>
      <c r="AJ38" s="101">
        <v>-0.2646</v>
      </c>
      <c r="AK38" s="101">
        <v>-2.9344999999999999</v>
      </c>
      <c r="AL38" s="101">
        <v>0.23280000000000001</v>
      </c>
      <c r="AM38" s="101">
        <v>-1.3720000000000001</v>
      </c>
      <c r="AN38" s="101">
        <v>-1.0103</v>
      </c>
      <c r="AO38" s="101">
        <v>-1.2735000000000001</v>
      </c>
      <c r="AQ38" s="50">
        <f t="shared" si="25"/>
        <v>0.157</v>
      </c>
      <c r="AR38" s="50">
        <f t="shared" si="28"/>
        <v>2.5530658771280539</v>
      </c>
      <c r="AS38" s="50">
        <f t="shared" si="27"/>
        <v>1.4776800000000001E-2</v>
      </c>
      <c r="AT38" s="50">
        <f t="shared" si="29"/>
        <v>1.0347576000000003</v>
      </c>
      <c r="AU38" s="50">
        <f t="shared" si="30"/>
        <v>16.261566096357033</v>
      </c>
      <c r="AV38" s="153">
        <f t="shared" si="13"/>
        <v>21</v>
      </c>
    </row>
    <row r="39" spans="1:48" s="101" customFormat="1" x14ac:dyDescent="0.35">
      <c r="A39" s="119">
        <v>20</v>
      </c>
      <c r="B39" s="198"/>
      <c r="C39" s="120">
        <v>23</v>
      </c>
      <c r="D39" s="122">
        <v>96</v>
      </c>
      <c r="E39" s="12">
        <f t="shared" si="23"/>
        <v>2208</v>
      </c>
      <c r="F39" s="25">
        <f t="shared" si="3"/>
        <v>1</v>
      </c>
      <c r="G39" s="25">
        <f t="shared" si="24"/>
        <v>23</v>
      </c>
      <c r="H39" s="120">
        <v>7.86</v>
      </c>
      <c r="I39" s="120">
        <v>2370</v>
      </c>
      <c r="J39" s="165">
        <v>97.6</v>
      </c>
      <c r="K39" s="120">
        <v>137</v>
      </c>
      <c r="L39" s="65">
        <v>4.2</v>
      </c>
      <c r="M39" s="65">
        <v>1.3</v>
      </c>
      <c r="N39" s="119">
        <v>1517</v>
      </c>
      <c r="O39" s="65">
        <v>23</v>
      </c>
      <c r="P39" s="21">
        <v>667.4</v>
      </c>
      <c r="Q39" s="175">
        <v>21.89</v>
      </c>
      <c r="R39" s="175">
        <v>48.73</v>
      </c>
      <c r="S39" s="175">
        <v>27.86</v>
      </c>
      <c r="T39" s="172">
        <v>5.5140000000000002</v>
      </c>
      <c r="U39" s="171">
        <v>0.2</v>
      </c>
      <c r="V39" s="130">
        <v>3.4000000000000002E-2</v>
      </c>
      <c r="W39" s="177">
        <v>0.02</v>
      </c>
      <c r="X39" s="130">
        <v>3.6999999999999998E-2</v>
      </c>
      <c r="Y39" s="177">
        <v>0.04</v>
      </c>
      <c r="Z39" s="172">
        <v>9.1340000000000003</v>
      </c>
      <c r="AA39" s="120"/>
      <c r="AB39" s="25">
        <f t="shared" si="21"/>
        <v>33.67587086988766</v>
      </c>
      <c r="AC39" s="25">
        <f t="shared" si="4"/>
        <v>37.364197930040262</v>
      </c>
      <c r="AD39" s="25">
        <f t="shared" si="5"/>
        <v>5.1918968019866902</v>
      </c>
      <c r="AF39" s="101">
        <v>7.86</v>
      </c>
      <c r="AG39" s="101">
        <v>8.4083799999999993</v>
      </c>
      <c r="AH39" s="101">
        <v>0.86839999999999995</v>
      </c>
      <c r="AI39" s="101">
        <v>-1.09E-2</v>
      </c>
      <c r="AJ39" s="101">
        <v>-0.26040000000000002</v>
      </c>
      <c r="AK39" s="101">
        <v>-2.8948999999999998</v>
      </c>
      <c r="AL39" s="101">
        <v>8.2799999999999999E-2</v>
      </c>
      <c r="AM39" s="101">
        <v>-1.468</v>
      </c>
      <c r="AN39" s="101">
        <v>-1.1198999999999999</v>
      </c>
      <c r="AO39" s="101">
        <v>-1.3855999999999999</v>
      </c>
      <c r="AQ39" s="50">
        <f t="shared" si="25"/>
        <v>0.13700000000000001</v>
      </c>
      <c r="AR39" s="50">
        <f t="shared" si="28"/>
        <v>2.5213441894892679</v>
      </c>
      <c r="AS39" s="50">
        <f t="shared" si="27"/>
        <v>1.2856800000000002E-2</v>
      </c>
      <c r="AT39" s="50">
        <f t="shared" si="29"/>
        <v>1.0219008000000003</v>
      </c>
      <c r="AU39" s="50">
        <f t="shared" si="30"/>
        <v>18.40397218605305</v>
      </c>
      <c r="AV39" s="153">
        <f t="shared" si="13"/>
        <v>22</v>
      </c>
    </row>
    <row r="40" spans="1:48" s="101" customFormat="1" x14ac:dyDescent="0.35">
      <c r="A40" s="119">
        <v>20</v>
      </c>
      <c r="B40" s="198"/>
      <c r="C40" s="119">
        <v>24</v>
      </c>
      <c r="D40" s="122">
        <v>96</v>
      </c>
      <c r="E40" s="12">
        <f t="shared" si="23"/>
        <v>2304</v>
      </c>
      <c r="F40" s="25">
        <f t="shared" si="3"/>
        <v>1</v>
      </c>
      <c r="G40" s="25">
        <f t="shared" si="24"/>
        <v>24</v>
      </c>
      <c r="H40" s="120">
        <v>8</v>
      </c>
      <c r="I40" s="120">
        <v>2360</v>
      </c>
      <c r="J40" s="165">
        <v>97</v>
      </c>
      <c r="K40" s="120">
        <v>114</v>
      </c>
      <c r="L40" s="65">
        <v>4.2</v>
      </c>
      <c r="M40" s="65">
        <v>1.3</v>
      </c>
      <c r="N40" s="119">
        <v>1507</v>
      </c>
      <c r="O40" s="65">
        <v>23</v>
      </c>
      <c r="P40" s="21">
        <v>656.5</v>
      </c>
      <c r="Q40" s="175">
        <v>18.899999999999999</v>
      </c>
      <c r="R40" s="175">
        <v>28.53</v>
      </c>
      <c r="S40" s="175">
        <v>26.28</v>
      </c>
      <c r="T40" s="172">
        <v>4.7450000000000001</v>
      </c>
      <c r="U40" s="171">
        <v>0.2</v>
      </c>
      <c r="V40" s="130">
        <v>2.7E-2</v>
      </c>
      <c r="W40" s="177">
        <v>0.02</v>
      </c>
      <c r="X40" s="130">
        <v>3.6999999999999998E-2</v>
      </c>
      <c r="Y40" s="177">
        <v>0.04</v>
      </c>
      <c r="Z40" s="172">
        <v>9.2249999999999996</v>
      </c>
      <c r="AA40" s="120"/>
      <c r="AB40" s="25">
        <f t="shared" si="21"/>
        <v>33.45566766355828</v>
      </c>
      <c r="AC40" s="25">
        <f t="shared" si="4"/>
        <v>35.676087189102972</v>
      </c>
      <c r="AD40" s="25">
        <f t="shared" si="5"/>
        <v>3.2118662838474381</v>
      </c>
      <c r="AF40" s="101">
        <v>8</v>
      </c>
      <c r="AG40" s="101">
        <v>5.5066699999999997</v>
      </c>
      <c r="AH40" s="101">
        <v>0.9929</v>
      </c>
      <c r="AI40" s="101">
        <v>-1.4500000000000001E-2</v>
      </c>
      <c r="AJ40" s="101">
        <v>-0.2641</v>
      </c>
      <c r="AK40" s="101">
        <v>-3.0440999999999998</v>
      </c>
      <c r="AL40" s="101">
        <v>0.27539999999999998</v>
      </c>
      <c r="AM40" s="101">
        <v>-1.3337000000000001</v>
      </c>
      <c r="AN40" s="101">
        <v>-1.2234</v>
      </c>
      <c r="AO40" s="101">
        <v>-1.3173999999999999</v>
      </c>
      <c r="AQ40" s="50">
        <f t="shared" si="25"/>
        <v>0.114</v>
      </c>
      <c r="AR40" s="50">
        <f t="shared" si="28"/>
        <v>2.4950703182827541</v>
      </c>
      <c r="AS40" s="50">
        <f t="shared" si="27"/>
        <v>1.0648800000000002E-2</v>
      </c>
      <c r="AT40" s="50">
        <f t="shared" si="29"/>
        <v>1.0112520000000003</v>
      </c>
      <c r="AU40" s="50">
        <f t="shared" si="30"/>
        <v>21.886581739322402</v>
      </c>
      <c r="AV40" s="153">
        <f t="shared" si="13"/>
        <v>23</v>
      </c>
    </row>
    <row r="41" spans="1:48" s="101" customFormat="1" x14ac:dyDescent="0.35">
      <c r="A41" s="119">
        <v>20</v>
      </c>
      <c r="B41" s="198"/>
      <c r="C41" s="120">
        <v>25</v>
      </c>
      <c r="D41" s="122">
        <v>96</v>
      </c>
      <c r="E41" s="12">
        <f t="shared" si="23"/>
        <v>2400</v>
      </c>
      <c r="F41" s="25">
        <f t="shared" si="3"/>
        <v>1</v>
      </c>
      <c r="G41" s="25">
        <f t="shared" si="24"/>
        <v>25</v>
      </c>
      <c r="H41" s="120">
        <v>7.98</v>
      </c>
      <c r="I41" s="120">
        <v>2350</v>
      </c>
      <c r="J41" s="165">
        <v>97.6</v>
      </c>
      <c r="K41" s="120">
        <v>110</v>
      </c>
      <c r="L41" s="65">
        <v>4.2</v>
      </c>
      <c r="M41" s="65">
        <v>1.2</v>
      </c>
      <c r="N41" s="119">
        <v>1498</v>
      </c>
      <c r="O41" s="65">
        <v>23</v>
      </c>
      <c r="P41" s="21">
        <v>661.4</v>
      </c>
      <c r="Q41" s="175">
        <v>19.8</v>
      </c>
      <c r="R41" s="175">
        <v>27.65</v>
      </c>
      <c r="S41" s="175">
        <v>25.72</v>
      </c>
      <c r="T41" s="172">
        <v>4.4969999999999999</v>
      </c>
      <c r="U41" s="171">
        <v>0.2</v>
      </c>
      <c r="V41" s="177">
        <v>0.02</v>
      </c>
      <c r="W41" s="177">
        <v>0.02</v>
      </c>
      <c r="X41" s="130">
        <v>3.3000000000000002E-2</v>
      </c>
      <c r="Y41" s="177">
        <v>0.04</v>
      </c>
      <c r="Z41" s="172">
        <v>8.6449999999999996</v>
      </c>
      <c r="AA41" s="120"/>
      <c r="AB41" s="25">
        <f t="shared" si="21"/>
        <v>33.278671874636032</v>
      </c>
      <c r="AC41" s="25">
        <f t="shared" si="4"/>
        <v>35.949991102082457</v>
      </c>
      <c r="AD41" s="25">
        <f t="shared" si="5"/>
        <v>3.8586896129205703</v>
      </c>
      <c r="AF41" s="101">
        <v>7.98</v>
      </c>
      <c r="AG41" s="101">
        <v>6.4482900000000001</v>
      </c>
      <c r="AH41" s="101">
        <v>0.98089999999999999</v>
      </c>
      <c r="AI41" s="101">
        <v>-1.44E-2</v>
      </c>
      <c r="AJ41" s="101">
        <v>-0.26400000000000001</v>
      </c>
      <c r="AK41" s="101">
        <v>-3.0207999999999999</v>
      </c>
      <c r="AL41" s="101">
        <v>0.2681</v>
      </c>
      <c r="AM41" s="101">
        <v>-1.3993</v>
      </c>
      <c r="AN41" s="101">
        <v>-1.3492999999999999</v>
      </c>
      <c r="AO41" s="101">
        <v>-1.3127</v>
      </c>
      <c r="AQ41" s="50">
        <f t="shared" si="25"/>
        <v>0.11</v>
      </c>
      <c r="AR41" s="50">
        <f t="shared" si="28"/>
        <v>2.4697438934122875</v>
      </c>
      <c r="AS41" s="50">
        <f t="shared" si="27"/>
        <v>1.0264800000000001E-2</v>
      </c>
      <c r="AT41" s="50">
        <f t="shared" si="29"/>
        <v>1.0009872000000002</v>
      </c>
      <c r="AU41" s="50">
        <f t="shared" si="30"/>
        <v>22.452217212838978</v>
      </c>
      <c r="AV41" s="153">
        <f t="shared" si="13"/>
        <v>24</v>
      </c>
    </row>
    <row r="42" spans="1:48" s="101" customFormat="1" x14ac:dyDescent="0.35">
      <c r="A42" s="119">
        <v>20</v>
      </c>
      <c r="B42" s="198"/>
      <c r="C42" s="120">
        <v>26</v>
      </c>
      <c r="D42" s="122">
        <v>96</v>
      </c>
      <c r="E42" s="12">
        <f t="shared" si="23"/>
        <v>2496</v>
      </c>
      <c r="F42" s="25">
        <f t="shared" si="3"/>
        <v>1</v>
      </c>
      <c r="G42" s="25">
        <f t="shared" si="24"/>
        <v>26</v>
      </c>
      <c r="H42" s="120">
        <v>7.92</v>
      </c>
      <c r="I42" s="120">
        <v>2130</v>
      </c>
      <c r="J42" s="165">
        <v>97.2</v>
      </c>
      <c r="K42" s="120">
        <v>98</v>
      </c>
      <c r="L42" s="65">
        <v>4.4000000000000004</v>
      </c>
      <c r="M42" s="65">
        <v>1.2</v>
      </c>
      <c r="N42" s="119">
        <v>1500</v>
      </c>
      <c r="O42" s="65">
        <v>23</v>
      </c>
      <c r="P42" s="21">
        <v>652.20000000000005</v>
      </c>
      <c r="Q42" s="175">
        <v>18.43</v>
      </c>
      <c r="R42" s="175">
        <v>27.6</v>
      </c>
      <c r="S42" s="175">
        <v>25.64</v>
      </c>
      <c r="T42" s="172">
        <v>4.2439999999999998</v>
      </c>
      <c r="U42" s="171">
        <v>0.2</v>
      </c>
      <c r="V42" s="177">
        <v>0.02</v>
      </c>
      <c r="W42" s="177">
        <v>0.02</v>
      </c>
      <c r="X42" s="130">
        <v>3.1E-2</v>
      </c>
      <c r="Y42" s="177">
        <v>0.04</v>
      </c>
      <c r="Z42" s="172">
        <v>8.4580000000000002</v>
      </c>
      <c r="AA42" s="120"/>
      <c r="AB42" s="25">
        <f t="shared" si="21"/>
        <v>33.317954264844083</v>
      </c>
      <c r="AC42" s="25">
        <f t="shared" si="4"/>
        <v>35.369599345201415</v>
      </c>
      <c r="AD42" s="25">
        <f t="shared" si="5"/>
        <v>2.9869240823526444</v>
      </c>
      <c r="AF42" s="101">
        <v>7.92</v>
      </c>
      <c r="AG42" s="101">
        <v>5.13896</v>
      </c>
      <c r="AH42" s="101">
        <v>0.91739999999999999</v>
      </c>
      <c r="AI42" s="101">
        <v>-1.72E-2</v>
      </c>
      <c r="AJ42" s="101">
        <v>-0.26669999999999999</v>
      </c>
      <c r="AK42" s="101">
        <v>-2.9575</v>
      </c>
      <c r="AL42" s="101">
        <v>0.1164</v>
      </c>
      <c r="AM42" s="101">
        <v>-1.4829000000000001</v>
      </c>
      <c r="AN42" s="101">
        <v>-1.3551</v>
      </c>
      <c r="AO42" s="101">
        <v>-1.401</v>
      </c>
      <c r="AQ42" s="50">
        <f t="shared" si="25"/>
        <v>9.8000000000000004E-2</v>
      </c>
      <c r="AR42" s="50">
        <f t="shared" si="28"/>
        <v>2.4472598075499632</v>
      </c>
      <c r="AS42" s="50">
        <f t="shared" si="27"/>
        <v>9.1128000000000008E-3</v>
      </c>
      <c r="AT42" s="50">
        <f t="shared" si="29"/>
        <v>0.99187440000000016</v>
      </c>
      <c r="AU42" s="50">
        <f t="shared" si="30"/>
        <v>24.972038852550643</v>
      </c>
      <c r="AV42" s="153">
        <f t="shared" si="13"/>
        <v>25</v>
      </c>
    </row>
    <row r="43" spans="1:48" s="101" customFormat="1" x14ac:dyDescent="0.35">
      <c r="A43" s="119">
        <v>20</v>
      </c>
      <c r="B43" s="198"/>
      <c r="C43" s="120">
        <v>27</v>
      </c>
      <c r="D43" s="122">
        <v>96</v>
      </c>
      <c r="E43" s="12">
        <f t="shared" si="23"/>
        <v>2592</v>
      </c>
      <c r="F43" s="25">
        <f t="shared" si="3"/>
        <v>1</v>
      </c>
      <c r="G43" s="25">
        <f t="shared" si="24"/>
        <v>27</v>
      </c>
      <c r="H43" s="120">
        <v>7.93</v>
      </c>
      <c r="I43" s="120">
        <v>2340</v>
      </c>
      <c r="J43" s="165">
        <v>97.6</v>
      </c>
      <c r="K43" s="120">
        <v>85</v>
      </c>
      <c r="L43" s="65">
        <v>4.3</v>
      </c>
      <c r="M43" s="65">
        <v>1.2</v>
      </c>
      <c r="N43" s="119">
        <v>1461</v>
      </c>
      <c r="O43" s="65">
        <v>24</v>
      </c>
      <c r="P43" s="21">
        <v>662.9</v>
      </c>
      <c r="Q43" s="175">
        <v>18.29</v>
      </c>
      <c r="R43" s="175">
        <v>28.14</v>
      </c>
      <c r="S43" s="175">
        <v>25.52</v>
      </c>
      <c r="T43" s="172">
        <v>4.407</v>
      </c>
      <c r="U43" s="171">
        <v>0.2</v>
      </c>
      <c r="V43" s="177">
        <v>0.02</v>
      </c>
      <c r="W43" s="177">
        <v>0.02</v>
      </c>
      <c r="X43" s="30">
        <v>0.03</v>
      </c>
      <c r="Y43" s="177">
        <v>0.04</v>
      </c>
      <c r="Z43" s="172">
        <v>8.5329999999999995</v>
      </c>
      <c r="AA43" s="120"/>
      <c r="AB43" s="25">
        <f t="shared" si="21"/>
        <v>32.511140885688427</v>
      </c>
      <c r="AC43" s="25">
        <f t="shared" si="4"/>
        <v>35.919675594238427</v>
      </c>
      <c r="AD43" s="25">
        <f t="shared" si="5"/>
        <v>4.9809937742739674</v>
      </c>
      <c r="AF43" s="101">
        <v>7.93</v>
      </c>
      <c r="AG43" s="101">
        <v>8.1221399999999999</v>
      </c>
      <c r="AH43" s="101">
        <v>0.9395</v>
      </c>
      <c r="AI43" s="101">
        <v>-2.0500000000000001E-2</v>
      </c>
      <c r="AJ43" s="101">
        <v>-0.27010000000000001</v>
      </c>
      <c r="AK43" s="101">
        <v>-2.9678</v>
      </c>
      <c r="AL43" s="101">
        <v>0.14940000000000001</v>
      </c>
      <c r="AM43" s="101">
        <v>-1.4835</v>
      </c>
      <c r="AN43" s="101">
        <v>-1.3425</v>
      </c>
      <c r="AO43" s="101">
        <v>-1.3900999999999999</v>
      </c>
      <c r="AQ43" s="50">
        <f t="shared" si="25"/>
        <v>8.5000000000000006E-2</v>
      </c>
      <c r="AR43" s="50">
        <f t="shared" si="28"/>
        <v>2.4278549222797929</v>
      </c>
      <c r="AS43" s="50">
        <f t="shared" si="27"/>
        <v>7.8648000000000017E-3</v>
      </c>
      <c r="AT43" s="50">
        <f t="shared" si="29"/>
        <v>0.98400960000000015</v>
      </c>
      <c r="AU43" s="50">
        <f t="shared" si="30"/>
        <v>28.56299908564462</v>
      </c>
      <c r="AV43" s="153">
        <f t="shared" si="13"/>
        <v>26</v>
      </c>
    </row>
    <row r="44" spans="1:48" s="101" customFormat="1" x14ac:dyDescent="0.35">
      <c r="A44" s="119">
        <v>20</v>
      </c>
      <c r="B44" s="198"/>
      <c r="C44" s="119">
        <v>28</v>
      </c>
      <c r="D44" s="122">
        <v>96</v>
      </c>
      <c r="E44" s="12">
        <f t="shared" si="23"/>
        <v>2688</v>
      </c>
      <c r="F44" s="25">
        <f t="shared" si="3"/>
        <v>1</v>
      </c>
      <c r="G44" s="25">
        <f t="shared" si="24"/>
        <v>28</v>
      </c>
      <c r="H44" s="120">
        <v>7.95</v>
      </c>
      <c r="I44" s="120">
        <v>2330</v>
      </c>
      <c r="J44" s="165">
        <v>97.6</v>
      </c>
      <c r="K44" s="120">
        <v>73</v>
      </c>
      <c r="L44" s="65">
        <v>4.3</v>
      </c>
      <c r="M44" s="65">
        <v>1.2</v>
      </c>
      <c r="N44" s="119">
        <v>1474</v>
      </c>
      <c r="O44" s="65">
        <v>26</v>
      </c>
      <c r="P44" s="21">
        <v>664.1</v>
      </c>
      <c r="Q44" s="175">
        <v>13.85</v>
      </c>
      <c r="R44" s="175">
        <v>27.8</v>
      </c>
      <c r="S44" s="175">
        <v>25.32</v>
      </c>
      <c r="T44" s="172">
        <v>4.3869999999999996</v>
      </c>
      <c r="U44" s="171">
        <v>0.2</v>
      </c>
      <c r="V44" s="177">
        <v>0.02</v>
      </c>
      <c r="W44" s="177">
        <v>0.02</v>
      </c>
      <c r="X44" s="130">
        <v>2.8000000000000001E-2</v>
      </c>
      <c r="Y44" s="177">
        <v>0.04</v>
      </c>
      <c r="Z44" s="172">
        <v>9.0229999999999997</v>
      </c>
      <c r="AA44" s="120"/>
      <c r="AB44" s="25">
        <f t="shared" si="21"/>
        <v>32.781805053916614</v>
      </c>
      <c r="AC44" s="25">
        <f t="shared" si="4"/>
        <v>35.599123707148131</v>
      </c>
      <c r="AD44" s="25">
        <f t="shared" si="5"/>
        <v>4.1200356653179346</v>
      </c>
      <c r="AF44" s="101">
        <v>7.95</v>
      </c>
      <c r="AG44" s="101">
        <v>6.8622100000000001</v>
      </c>
      <c r="AH44" s="101">
        <v>0.95789999999999997</v>
      </c>
      <c r="AI44" s="101">
        <v>-1.5699999999999999E-2</v>
      </c>
      <c r="AJ44" s="101">
        <v>-0.26529999999999998</v>
      </c>
      <c r="AK44" s="101">
        <v>-2.9883999999999999</v>
      </c>
      <c r="AL44" s="101">
        <v>6.4899999999999999E-2</v>
      </c>
      <c r="AM44" s="101">
        <v>-1.4951000000000001</v>
      </c>
      <c r="AN44" s="101">
        <v>-1.3432999999999999</v>
      </c>
      <c r="AO44" s="101">
        <v>-1.4928999999999999</v>
      </c>
      <c r="AQ44" s="50">
        <f t="shared" si="25"/>
        <v>7.2999999999999995E-2</v>
      </c>
      <c r="AR44" s="50">
        <f t="shared" si="28"/>
        <v>2.4112923760177649</v>
      </c>
      <c r="AS44" s="50">
        <f t="shared" si="27"/>
        <v>6.7128000000000005E-3</v>
      </c>
      <c r="AT44" s="50">
        <f t="shared" si="29"/>
        <v>0.97729680000000019</v>
      </c>
      <c r="AU44" s="50">
        <f t="shared" si="30"/>
        <v>33.031402411202258</v>
      </c>
      <c r="AV44" s="153">
        <f t="shared" si="13"/>
        <v>27</v>
      </c>
    </row>
    <row r="45" spans="1:48" s="101" customFormat="1" x14ac:dyDescent="0.35">
      <c r="A45" s="119">
        <v>20</v>
      </c>
      <c r="B45" s="198"/>
      <c r="C45" s="120">
        <v>29</v>
      </c>
      <c r="D45" s="122">
        <v>96</v>
      </c>
      <c r="E45" s="12">
        <f t="shared" si="23"/>
        <v>2784</v>
      </c>
      <c r="F45" s="25">
        <f t="shared" si="3"/>
        <v>1</v>
      </c>
      <c r="G45" s="25">
        <f t="shared" si="24"/>
        <v>29</v>
      </c>
      <c r="H45" s="120">
        <v>7.87</v>
      </c>
      <c r="I45" s="120">
        <v>2330</v>
      </c>
      <c r="J45" s="165">
        <v>97.8</v>
      </c>
      <c r="K45" s="120">
        <v>65</v>
      </c>
      <c r="L45" s="65">
        <v>4.2</v>
      </c>
      <c r="M45" s="65">
        <v>1.2</v>
      </c>
      <c r="N45" s="119">
        <v>1432</v>
      </c>
      <c r="O45" s="65">
        <v>26</v>
      </c>
      <c r="P45" s="21">
        <v>674</v>
      </c>
      <c r="Q45" s="175">
        <v>14.05</v>
      </c>
      <c r="R45" s="175">
        <v>26.89</v>
      </c>
      <c r="S45" s="175">
        <v>24.57</v>
      </c>
      <c r="T45" s="172">
        <v>4.0229999999999997</v>
      </c>
      <c r="U45" s="171">
        <v>0.2</v>
      </c>
      <c r="V45" s="177">
        <v>0.02</v>
      </c>
      <c r="W45" s="177">
        <v>0.02</v>
      </c>
      <c r="X45" s="130">
        <v>3.1E-2</v>
      </c>
      <c r="Y45" s="177">
        <v>0.04</v>
      </c>
      <c r="Z45" s="172">
        <v>9.1189999999999998</v>
      </c>
      <c r="AA45" s="120"/>
      <c r="AB45" s="25">
        <f t="shared" si="21"/>
        <v>31.908530712862142</v>
      </c>
      <c r="AC45" s="25">
        <f t="shared" si="4"/>
        <v>36.060691161559241</v>
      </c>
      <c r="AD45" s="25">
        <f t="shared" si="5"/>
        <v>6.1088833065774253</v>
      </c>
      <c r="AF45" s="101">
        <v>7.87</v>
      </c>
      <c r="AG45" s="101">
        <v>9.8288499999999992</v>
      </c>
      <c r="AH45" s="101">
        <v>0.89419999999999999</v>
      </c>
      <c r="AI45" s="101">
        <v>-2.0299999999999999E-2</v>
      </c>
      <c r="AJ45" s="101">
        <v>-0.26979999999999998</v>
      </c>
      <c r="AK45" s="101">
        <v>-2.9043000000000001</v>
      </c>
      <c r="AL45" s="101">
        <v>-6.3399999999999998E-2</v>
      </c>
      <c r="AM45" s="101">
        <v>-1.5224</v>
      </c>
      <c r="AN45" s="101">
        <v>-1.3307</v>
      </c>
      <c r="AO45" s="101">
        <v>-1.5576000000000001</v>
      </c>
      <c r="AQ45" s="50">
        <f t="shared" si="25"/>
        <v>6.5000000000000002E-2</v>
      </c>
      <c r="AR45" s="50">
        <f t="shared" si="28"/>
        <v>2.3966247224278319</v>
      </c>
      <c r="AS45" s="50">
        <f t="shared" si="27"/>
        <v>5.9448000000000001E-3</v>
      </c>
      <c r="AT45" s="50">
        <f t="shared" si="29"/>
        <v>0.97135200000000022</v>
      </c>
      <c r="AU45" s="50">
        <f t="shared" si="30"/>
        <v>36.871149575812794</v>
      </c>
      <c r="AV45" s="153">
        <f t="shared" si="13"/>
        <v>28</v>
      </c>
    </row>
    <row r="46" spans="1:48" s="101" customFormat="1" x14ac:dyDescent="0.35">
      <c r="A46" s="119">
        <v>20</v>
      </c>
      <c r="B46" s="198"/>
      <c r="C46" s="120">
        <v>30</v>
      </c>
      <c r="D46" s="122">
        <v>96</v>
      </c>
      <c r="E46" s="12">
        <f t="shared" si="23"/>
        <v>2880</v>
      </c>
      <c r="F46" s="25">
        <f t="shared" si="3"/>
        <v>1</v>
      </c>
      <c r="G46" s="25">
        <f t="shared" si="24"/>
        <v>30</v>
      </c>
      <c r="H46" s="120">
        <v>7.91</v>
      </c>
      <c r="I46" s="120">
        <v>2330</v>
      </c>
      <c r="J46" s="165">
        <v>97.2</v>
      </c>
      <c r="K46" s="120">
        <v>60</v>
      </c>
      <c r="L46" s="65">
        <v>4.2</v>
      </c>
      <c r="M46" s="65">
        <v>1.2</v>
      </c>
      <c r="N46" s="119">
        <v>1472</v>
      </c>
      <c r="O46" s="65">
        <v>24</v>
      </c>
      <c r="P46" s="21">
        <v>669.5</v>
      </c>
      <c r="Q46" s="175">
        <v>13.06</v>
      </c>
      <c r="R46" s="175">
        <v>25.23</v>
      </c>
      <c r="S46" s="175">
        <v>22.3</v>
      </c>
      <c r="T46" s="172">
        <v>3.839</v>
      </c>
      <c r="U46" s="171">
        <v>0.2</v>
      </c>
      <c r="V46" s="177">
        <v>0.02</v>
      </c>
      <c r="W46" s="177">
        <v>0.02</v>
      </c>
      <c r="X46" s="130">
        <v>2.9000000000000001E-2</v>
      </c>
      <c r="Y46" s="177">
        <v>0.04</v>
      </c>
      <c r="Z46" s="172">
        <v>8.9480000000000004</v>
      </c>
      <c r="AA46" s="120"/>
      <c r="AB46" s="25">
        <f t="shared" si="21"/>
        <v>32.729343538179656</v>
      </c>
      <c r="AC46" s="25">
        <f t="shared" si="4"/>
        <v>35.677814600663439</v>
      </c>
      <c r="AD46" s="25">
        <f t="shared" si="5"/>
        <v>4.3101791430940555</v>
      </c>
      <c r="AF46" s="101">
        <v>7.91</v>
      </c>
      <c r="AG46" s="101">
        <v>7.1455799999999998</v>
      </c>
      <c r="AH46" s="101">
        <v>0.92230000000000001</v>
      </c>
      <c r="AI46" s="101">
        <v>-1.3299999999999999E-2</v>
      </c>
      <c r="AJ46" s="101">
        <v>-0.26290000000000002</v>
      </c>
      <c r="AK46" s="101">
        <v>-2.9481999999999999</v>
      </c>
      <c r="AL46" s="101">
        <v>-3.5400000000000001E-2</v>
      </c>
      <c r="AM46" s="101">
        <v>-1.5193000000000001</v>
      </c>
      <c r="AN46" s="101">
        <v>-1.3391999999999999</v>
      </c>
      <c r="AO46" s="101">
        <v>-1.5577000000000001</v>
      </c>
      <c r="AQ46" s="50">
        <f t="shared" ref="AQ46:AQ47" si="31">K46/1000</f>
        <v>0.06</v>
      </c>
      <c r="AR46" s="50">
        <f t="shared" ref="AR46:AR47" si="32">AT46/$AS$6</f>
        <v>2.3831413767579575</v>
      </c>
      <c r="AS46" s="50">
        <f t="shared" ref="AS46:AS47" si="33">(AQ46-$AQ$28)*0.096</f>
        <v>5.4647999999999997E-3</v>
      </c>
      <c r="AT46" s="50">
        <f t="shared" ref="AT46:AT47" si="34">AT45-AS46</f>
        <v>0.96588720000000017</v>
      </c>
      <c r="AU46" s="50">
        <f t="shared" ref="AU46:AU47" si="35">AR46/AQ46</f>
        <v>39.719022945965961</v>
      </c>
      <c r="AV46" s="153">
        <f t="shared" si="13"/>
        <v>29</v>
      </c>
    </row>
    <row r="47" spans="1:48" s="101" customFormat="1" x14ac:dyDescent="0.35">
      <c r="A47" s="119">
        <v>20</v>
      </c>
      <c r="B47" s="198"/>
      <c r="C47" s="120">
        <v>31</v>
      </c>
      <c r="D47" s="122">
        <v>96</v>
      </c>
      <c r="E47" s="12">
        <f t="shared" si="23"/>
        <v>2976</v>
      </c>
      <c r="F47" s="25">
        <f t="shared" si="3"/>
        <v>1</v>
      </c>
      <c r="G47" s="25">
        <f t="shared" si="24"/>
        <v>31</v>
      </c>
      <c r="H47" s="120">
        <v>7.87</v>
      </c>
      <c r="I47" s="120">
        <v>2320</v>
      </c>
      <c r="J47" s="165">
        <v>97.6</v>
      </c>
      <c r="K47" s="120">
        <v>56</v>
      </c>
      <c r="L47" s="65">
        <v>4.3</v>
      </c>
      <c r="M47" s="65">
        <v>1.2</v>
      </c>
      <c r="N47" s="119">
        <v>1489</v>
      </c>
      <c r="O47" s="65">
        <v>23</v>
      </c>
      <c r="P47" s="21">
        <v>667.8</v>
      </c>
      <c r="Q47" s="175">
        <v>12.52</v>
      </c>
      <c r="R47" s="175">
        <v>12.52</v>
      </c>
      <c r="S47" s="175">
        <v>21.87</v>
      </c>
      <c r="T47" s="172">
        <v>3.66</v>
      </c>
      <c r="U47" s="171">
        <v>0.2</v>
      </c>
      <c r="V47" s="177">
        <v>0.02</v>
      </c>
      <c r="W47" s="177">
        <v>0.02</v>
      </c>
      <c r="X47" s="130">
        <v>2.9000000000000001E-2</v>
      </c>
      <c r="Y47" s="177">
        <v>0.04</v>
      </c>
      <c r="Z47" s="172">
        <v>8.3209999999999997</v>
      </c>
      <c r="AA47" s="120"/>
      <c r="AB47" s="25">
        <f t="shared" si="21"/>
        <v>33.094109863410679</v>
      </c>
      <c r="AC47" s="25">
        <f t="shared" si="4"/>
        <v>34.991149296679353</v>
      </c>
      <c r="AD47" s="25">
        <f t="shared" si="5"/>
        <v>2.7862704154626665</v>
      </c>
      <c r="AE47" s="101" t="s">
        <v>202</v>
      </c>
      <c r="AF47" s="101">
        <v>7.87</v>
      </c>
      <c r="AG47" s="101">
        <v>4.8576600000000001</v>
      </c>
      <c r="AH47" s="101">
        <v>0.88400000000000001</v>
      </c>
      <c r="AI47" s="101">
        <v>-9.2999999999999992E-3</v>
      </c>
      <c r="AJ47" s="101">
        <v>-0.25890000000000002</v>
      </c>
      <c r="AK47" s="101">
        <v>-2.9035000000000002</v>
      </c>
      <c r="AL47" s="101">
        <v>-0.1288</v>
      </c>
      <c r="AM47" s="101">
        <v>-1.5553999999999999</v>
      </c>
      <c r="AN47" s="101">
        <v>-1.3416999999999999</v>
      </c>
      <c r="AO47" s="101">
        <v>-1.6128</v>
      </c>
      <c r="AQ47" s="50">
        <f t="shared" si="31"/>
        <v>5.6000000000000001E-2</v>
      </c>
      <c r="AR47" s="50">
        <f t="shared" si="32"/>
        <v>2.3706054774241307</v>
      </c>
      <c r="AS47" s="50">
        <f t="shared" si="33"/>
        <v>5.0807999999999999E-3</v>
      </c>
      <c r="AT47" s="50">
        <f t="shared" si="34"/>
        <v>0.96080640000000017</v>
      </c>
      <c r="AU47" s="50">
        <f t="shared" si="35"/>
        <v>42.332240668288051</v>
      </c>
      <c r="AV47" s="153">
        <f t="shared" si="13"/>
        <v>30</v>
      </c>
    </row>
    <row r="48" spans="1:48" s="101" customFormat="1" x14ac:dyDescent="0.35">
      <c r="A48" s="179"/>
      <c r="B48" s="198"/>
      <c r="C48" s="180"/>
      <c r="D48" s="179"/>
      <c r="E48" s="12"/>
      <c r="F48" s="25"/>
      <c r="G48" s="25"/>
      <c r="H48" s="180"/>
      <c r="I48" s="180"/>
      <c r="J48" s="180"/>
      <c r="K48" s="180"/>
      <c r="L48" s="166"/>
      <c r="M48" s="166"/>
      <c r="N48" s="179"/>
      <c r="O48" s="65"/>
      <c r="P48" s="21"/>
      <c r="Q48" s="175"/>
      <c r="R48" s="175"/>
      <c r="S48" s="175"/>
      <c r="T48" s="172"/>
      <c r="U48" s="166"/>
      <c r="V48" s="166"/>
      <c r="W48" s="171"/>
      <c r="X48" s="130"/>
      <c r="Y48" s="166"/>
      <c r="Z48" s="130"/>
      <c r="AA48" s="180"/>
      <c r="AB48" s="25"/>
      <c r="AC48" s="25"/>
      <c r="AD48" s="25"/>
      <c r="AQ48" s="176"/>
      <c r="AR48" s="176"/>
      <c r="AS48" s="176"/>
      <c r="AT48" s="176"/>
      <c r="AU48" s="176"/>
      <c r="AV48" s="178"/>
    </row>
    <row r="49" spans="1:48" s="101" customFormat="1" x14ac:dyDescent="0.35">
      <c r="A49" s="188" t="s">
        <v>277</v>
      </c>
      <c r="B49" s="188"/>
      <c r="C49" s="188"/>
      <c r="D49" s="188"/>
      <c r="E49" s="12"/>
      <c r="F49" s="25"/>
      <c r="G49" s="25"/>
      <c r="H49" s="120">
        <v>7.1</v>
      </c>
      <c r="I49" s="165">
        <f>'Influent Results Master'!D59</f>
        <v>2617.25</v>
      </c>
      <c r="J49" s="165">
        <f>'Influent Results Master'!F59</f>
        <v>263.04999999999995</v>
      </c>
      <c r="K49" s="165">
        <f>'Influent Results Master'!G59</f>
        <v>721.75</v>
      </c>
      <c r="L49" s="165">
        <f>'Influent Results Master'!H59</f>
        <v>63.25</v>
      </c>
      <c r="M49" s="171">
        <f>'Influent Results Master'!I59</f>
        <v>0.5</v>
      </c>
      <c r="N49" s="165">
        <f>'Influent Results Master'!J59</f>
        <v>911.25</v>
      </c>
      <c r="O49" s="165">
        <f>'Influent Results Master'!K59</f>
        <v>26.5</v>
      </c>
      <c r="P49" s="165">
        <f>'Influent Results Master'!L59</f>
        <v>159.125</v>
      </c>
      <c r="Q49" s="165">
        <f>'Influent Results Master'!M59</f>
        <v>44.637500000000003</v>
      </c>
      <c r="R49" s="165">
        <f>'Influent Results Master'!N59</f>
        <v>361.32500000000005</v>
      </c>
      <c r="S49" s="165">
        <f>'Influent Results Master'!O59</f>
        <v>16.149999999999999</v>
      </c>
      <c r="T49" s="170">
        <f>'Influent Results Master'!P59</f>
        <v>8.37425</v>
      </c>
      <c r="U49" s="171">
        <f>'Influent Results Master'!Q59</f>
        <v>0.20000000000000004</v>
      </c>
      <c r="V49" s="163">
        <f>'Influent Results Master'!R59</f>
        <v>0.73666666666666669</v>
      </c>
      <c r="W49" s="177">
        <f>'Influent Results Master'!S59</f>
        <v>0.02</v>
      </c>
      <c r="X49" s="163">
        <f>'Influent Results Master'!T59</f>
        <v>0.81966666666666665</v>
      </c>
      <c r="Y49" s="163">
        <f>'Influent Results Master'!U59</f>
        <v>0.17233333333333334</v>
      </c>
      <c r="Z49" s="170">
        <f>'Influent Results Master'!V59</f>
        <v>1.8426666666666669</v>
      </c>
      <c r="AA49" s="120"/>
      <c r="AB49" s="25"/>
      <c r="AC49" s="25"/>
      <c r="AD49" s="25"/>
      <c r="AQ49" s="50">
        <f t="shared" ref="AQ49" si="36">K49/1000</f>
        <v>0.72175</v>
      </c>
      <c r="AV49" s="153"/>
    </row>
    <row r="50" spans="1:48" s="101" customFormat="1" x14ac:dyDescent="0.35">
      <c r="A50" s="179"/>
      <c r="B50" s="198"/>
      <c r="C50" s="179"/>
      <c r="D50" s="179"/>
      <c r="E50" s="12"/>
      <c r="F50" s="25"/>
      <c r="G50" s="25"/>
      <c r="H50" s="180"/>
      <c r="I50" s="180"/>
      <c r="J50" s="180"/>
      <c r="K50" s="180"/>
      <c r="L50" s="180"/>
      <c r="M50" s="166"/>
      <c r="N50" s="180"/>
      <c r="O50" s="180"/>
      <c r="P50" s="165"/>
      <c r="Q50" s="165"/>
      <c r="R50" s="165"/>
      <c r="S50" s="165"/>
      <c r="T50" s="170"/>
      <c r="U50" s="65"/>
      <c r="V50" s="65"/>
      <c r="W50" s="65"/>
      <c r="X50" s="65"/>
      <c r="Y50" s="65"/>
      <c r="Z50" s="65"/>
      <c r="AA50" s="180"/>
      <c r="AB50" s="25"/>
      <c r="AC50" s="25"/>
      <c r="AD50" s="25"/>
      <c r="AQ50" s="176"/>
      <c r="AV50" s="178"/>
    </row>
    <row r="51" spans="1:48" s="101" customFormat="1" x14ac:dyDescent="0.35">
      <c r="A51" s="119">
        <v>20</v>
      </c>
      <c r="B51" s="28">
        <v>43735</v>
      </c>
      <c r="C51" s="119">
        <v>32</v>
      </c>
      <c r="D51" s="122">
        <v>96</v>
      </c>
      <c r="E51" s="12">
        <f>E47+D51</f>
        <v>3072</v>
      </c>
      <c r="F51" s="25">
        <f t="shared" si="3"/>
        <v>1</v>
      </c>
      <c r="G51" s="25">
        <v>32</v>
      </c>
      <c r="H51" s="120">
        <v>7.76</v>
      </c>
      <c r="I51" s="120">
        <v>2120</v>
      </c>
      <c r="J51" s="165">
        <v>96</v>
      </c>
      <c r="K51" s="120">
        <v>54</v>
      </c>
      <c r="L51" s="65">
        <v>4.3</v>
      </c>
      <c r="M51" s="65">
        <v>1.2</v>
      </c>
      <c r="N51" s="119">
        <v>1490</v>
      </c>
      <c r="O51" s="65">
        <v>23</v>
      </c>
      <c r="P51" s="21">
        <v>666.5</v>
      </c>
      <c r="Q51" s="175">
        <v>11.2</v>
      </c>
      <c r="R51" s="175">
        <v>31</v>
      </c>
      <c r="S51" s="175">
        <v>21.57</v>
      </c>
      <c r="T51" s="172">
        <v>4.2480000000000002</v>
      </c>
      <c r="U51" s="169">
        <v>0.2</v>
      </c>
      <c r="V51" s="81">
        <v>0.02</v>
      </c>
      <c r="W51" s="177">
        <v>0.02</v>
      </c>
      <c r="X51" s="130">
        <v>2.8000000000000001E-2</v>
      </c>
      <c r="Y51" s="177">
        <v>0.04</v>
      </c>
      <c r="Z51" s="172">
        <v>8.0380000000000003</v>
      </c>
      <c r="AA51" s="120"/>
      <c r="AB51" s="25">
        <f t="shared" ref="AB51:AB60" si="37">((J51/50)+(L51/35.45)+(M51/62)+(N51/48.03))</f>
        <v>33.082930184043619</v>
      </c>
      <c r="AC51" s="25">
        <f>((P51/20.04)+(Q52/12.16)+(R51/22.99)+(T51/39.1))</f>
        <v>35.757480677881638</v>
      </c>
      <c r="AD51" s="25">
        <f t="shared" si="5"/>
        <v>3.885146036101419</v>
      </c>
      <c r="AE51" s="101" t="s">
        <v>202</v>
      </c>
      <c r="AF51" s="101">
        <v>7.76</v>
      </c>
      <c r="AG51" s="101">
        <v>6.1991399999999999</v>
      </c>
      <c r="AH51" s="101">
        <v>0.77070000000000005</v>
      </c>
      <c r="AI51" s="101">
        <v>-1.0500000000000001E-2</v>
      </c>
      <c r="AJ51" s="101">
        <v>-0.26</v>
      </c>
      <c r="AK51" s="101">
        <v>-2.7955000000000001</v>
      </c>
      <c r="AL51" s="101">
        <v>-0.40310000000000001</v>
      </c>
      <c r="AM51" s="101">
        <v>-1.6839</v>
      </c>
      <c r="AN51" s="101">
        <v>-1.3438000000000001</v>
      </c>
      <c r="AO51" s="101">
        <v>-1.7738</v>
      </c>
      <c r="AQ51" s="50">
        <f t="shared" ref="AQ51:AQ58" si="38">K51/1000</f>
        <v>5.3999999999999999E-2</v>
      </c>
      <c r="AR51" s="50">
        <f>AT51/$AS$6</f>
        <v>2.3840888230940052</v>
      </c>
      <c r="AS51" s="50">
        <f>(AQ51-$AQ$49)*0.096</f>
        <v>-6.4103999999999994E-2</v>
      </c>
      <c r="AT51" s="50">
        <f>AT45-AS47</f>
        <v>0.96627120000000022</v>
      </c>
      <c r="AU51" s="50">
        <f t="shared" ref="AU51:AU58" si="39">AR51/AQ51</f>
        <v>44.149793020259352</v>
      </c>
      <c r="AV51" s="153">
        <f>AV47+1</f>
        <v>31</v>
      </c>
    </row>
    <row r="52" spans="1:48" s="101" customFormat="1" x14ac:dyDescent="0.35">
      <c r="A52" s="119">
        <v>20</v>
      </c>
      <c r="B52" s="198"/>
      <c r="C52" s="120">
        <v>33</v>
      </c>
      <c r="D52" s="122">
        <v>96</v>
      </c>
      <c r="E52" s="12">
        <f>E51+D52</f>
        <v>3168</v>
      </c>
      <c r="F52" s="25">
        <f t="shared" si="3"/>
        <v>1</v>
      </c>
      <c r="G52" s="25">
        <f>G51+F52</f>
        <v>33</v>
      </c>
      <c r="H52" s="120">
        <v>7.73</v>
      </c>
      <c r="I52" s="120">
        <v>2420</v>
      </c>
      <c r="J52" s="165">
        <v>116.2</v>
      </c>
      <c r="K52" s="120">
        <v>58</v>
      </c>
      <c r="L52" s="120">
        <v>32</v>
      </c>
      <c r="M52" s="65">
        <v>0.85</v>
      </c>
      <c r="N52" s="119">
        <v>1478</v>
      </c>
      <c r="O52" s="65">
        <v>26</v>
      </c>
      <c r="P52" s="21">
        <v>693.6</v>
      </c>
      <c r="Q52" s="175">
        <v>12.67</v>
      </c>
      <c r="R52" s="175">
        <v>48.19</v>
      </c>
      <c r="S52" s="175">
        <v>26.32</v>
      </c>
      <c r="T52" s="172">
        <v>5.5030000000000001</v>
      </c>
      <c r="U52" s="169">
        <v>0.2</v>
      </c>
      <c r="V52" s="81">
        <v>0.02</v>
      </c>
      <c r="W52" s="177">
        <v>0.02</v>
      </c>
      <c r="X52" s="130">
        <v>3.3000000000000002E-2</v>
      </c>
      <c r="Y52" s="177">
        <v>0.04</v>
      </c>
      <c r="Z52" s="172">
        <v>9.0280000000000005</v>
      </c>
      <c r="AA52" s="120"/>
      <c r="AB52" s="25">
        <f t="shared" si="37"/>
        <v>34.012823403648873</v>
      </c>
      <c r="AC52" s="25">
        <f>((P52/20.04)+(Q53/12.16)+(R52/22.99)+(T52/39.1))</f>
        <v>38.033504145882354</v>
      </c>
      <c r="AD52" s="25">
        <f t="shared" si="5"/>
        <v>5.5806879808957603</v>
      </c>
      <c r="AE52" s="101" t="s">
        <v>202</v>
      </c>
      <c r="AF52" s="101">
        <v>7.73</v>
      </c>
      <c r="AG52" s="101">
        <v>8.3596400000000006</v>
      </c>
      <c r="AH52" s="101">
        <v>0.83899999999999997</v>
      </c>
      <c r="AI52" s="101">
        <v>-7.0000000000000001E-3</v>
      </c>
      <c r="AJ52" s="101">
        <v>-0.25650000000000001</v>
      </c>
      <c r="AK52" s="101">
        <v>-2.6846999999999999</v>
      </c>
      <c r="AL52" s="101">
        <v>-0.23080000000000001</v>
      </c>
      <c r="AM52" s="101">
        <v>-1.5666</v>
      </c>
      <c r="AN52" s="101">
        <v>-1.3313999999999999</v>
      </c>
      <c r="AO52" s="101">
        <v>-1.6698</v>
      </c>
      <c r="AQ52" s="50">
        <f t="shared" si="38"/>
        <v>5.8000000000000003E-2</v>
      </c>
      <c r="AR52" s="50">
        <f t="shared" ref="AR52:AR58" si="40">AT52/$AS$6</f>
        <v>2.5413056994818657</v>
      </c>
      <c r="AS52" s="50">
        <f t="shared" ref="AS52:AS58" si="41">(AQ52-$AQ$49)*0.096</f>
        <v>-6.3719999999999999E-2</v>
      </c>
      <c r="AT52" s="50">
        <f>AT51-AS52</f>
        <v>1.0299912000000002</v>
      </c>
      <c r="AU52" s="50">
        <f t="shared" si="39"/>
        <v>43.815615508308028</v>
      </c>
      <c r="AV52" s="153">
        <f t="shared" si="13"/>
        <v>32</v>
      </c>
    </row>
    <row r="53" spans="1:48" s="101" customFormat="1" x14ac:dyDescent="0.35">
      <c r="A53" s="119">
        <v>20</v>
      </c>
      <c r="B53" s="198"/>
      <c r="C53" s="120">
        <v>34</v>
      </c>
      <c r="D53" s="122">
        <v>96</v>
      </c>
      <c r="E53" s="12">
        <f t="shared" ref="E53:E60" si="42">E52+D53</f>
        <v>3264</v>
      </c>
      <c r="F53" s="25">
        <f t="shared" si="3"/>
        <v>1</v>
      </c>
      <c r="G53" s="25">
        <f t="shared" ref="G53:G60" si="43">G52+F53</f>
        <v>34</v>
      </c>
      <c r="H53" s="120">
        <v>7.63</v>
      </c>
      <c r="I53" s="120">
        <v>2940</v>
      </c>
      <c r="J53" s="165">
        <v>275.39999999999998</v>
      </c>
      <c r="K53" s="120">
        <v>100</v>
      </c>
      <c r="L53" s="120">
        <v>57</v>
      </c>
      <c r="M53" s="171">
        <v>0.5</v>
      </c>
      <c r="N53" s="119">
        <v>1660</v>
      </c>
      <c r="O53" s="65">
        <v>50</v>
      </c>
      <c r="P53" s="21">
        <v>701.3</v>
      </c>
      <c r="Q53" s="175">
        <v>14.42</v>
      </c>
      <c r="R53" s="175">
        <v>160.9</v>
      </c>
      <c r="S53" s="175">
        <v>28.91</v>
      </c>
      <c r="T53" s="172">
        <v>7.13</v>
      </c>
      <c r="U53" s="169">
        <v>0.2</v>
      </c>
      <c r="V53" s="27">
        <v>0.12</v>
      </c>
      <c r="W53" s="177">
        <v>0.02</v>
      </c>
      <c r="X53" s="130">
        <v>4.3999999999999997E-2</v>
      </c>
      <c r="Y53" s="177">
        <v>0.04</v>
      </c>
      <c r="Z53" s="172">
        <v>9.6050000000000004</v>
      </c>
      <c r="AA53" s="120"/>
      <c r="AB53" s="25">
        <f t="shared" si="37"/>
        <v>41.685695215324735</v>
      </c>
      <c r="AC53" s="25">
        <f>((P53/20.04)+(Q54/12.16)+(R53/22.99)+(T53/39.1))</f>
        <v>43.524742216562188</v>
      </c>
      <c r="AD53" s="25">
        <f t="shared" si="5"/>
        <v>2.1582414744760561</v>
      </c>
      <c r="AE53" s="101" t="s">
        <v>202</v>
      </c>
      <c r="AF53" s="101">
        <v>7.63</v>
      </c>
      <c r="AG53" s="101">
        <v>3.1345900000000002</v>
      </c>
      <c r="AH53" s="101">
        <v>1.0872999999999999</v>
      </c>
      <c r="AI53" s="101">
        <v>1.0500000000000001E-2</v>
      </c>
      <c r="AJ53" s="101">
        <v>-0.2389</v>
      </c>
      <c r="AK53" s="101">
        <v>-2.2077</v>
      </c>
      <c r="AL53" s="101">
        <v>0.32140000000000002</v>
      </c>
      <c r="AM53" s="101">
        <v>-1.2054</v>
      </c>
      <c r="AN53" s="101">
        <v>-0.59860000000000002</v>
      </c>
      <c r="AO53" s="101">
        <v>-1.3658999999999999</v>
      </c>
      <c r="AQ53" s="50">
        <f t="shared" si="38"/>
        <v>0.1</v>
      </c>
      <c r="AR53" s="50">
        <f t="shared" si="40"/>
        <v>2.6885743893412291</v>
      </c>
      <c r="AS53" s="50">
        <f t="shared" si="41"/>
        <v>-5.9688000000000005E-2</v>
      </c>
      <c r="AT53" s="50">
        <f t="shared" ref="AT53:AT58" si="44">AT52-AS53</f>
        <v>1.0896792000000002</v>
      </c>
      <c r="AU53" s="50">
        <f t="shared" si="39"/>
        <v>26.88574389341229</v>
      </c>
      <c r="AV53" s="153">
        <f t="shared" si="13"/>
        <v>33</v>
      </c>
    </row>
    <row r="54" spans="1:48" x14ac:dyDescent="0.35">
      <c r="A54" s="119">
        <v>20</v>
      </c>
      <c r="B54" s="198"/>
      <c r="C54" s="120">
        <v>35</v>
      </c>
      <c r="D54" s="122">
        <v>96</v>
      </c>
      <c r="E54" s="12">
        <f t="shared" si="42"/>
        <v>3360</v>
      </c>
      <c r="F54" s="25">
        <f t="shared" si="3"/>
        <v>1</v>
      </c>
      <c r="G54" s="25">
        <f t="shared" si="43"/>
        <v>35</v>
      </c>
      <c r="H54" s="1">
        <v>7.56</v>
      </c>
      <c r="I54" s="1">
        <v>3650</v>
      </c>
      <c r="J54" s="165">
        <v>307.39999999999998</v>
      </c>
      <c r="K54" s="1">
        <v>199</v>
      </c>
      <c r="L54" s="1">
        <v>58</v>
      </c>
      <c r="M54" s="171">
        <v>0.5</v>
      </c>
      <c r="N54" s="31">
        <v>1879</v>
      </c>
      <c r="O54" s="65">
        <v>57</v>
      </c>
      <c r="P54" s="21">
        <v>637.9</v>
      </c>
      <c r="Q54" s="21">
        <v>16.399999999999999</v>
      </c>
      <c r="R54" s="21">
        <v>158.1</v>
      </c>
      <c r="S54" s="21">
        <v>28.86</v>
      </c>
      <c r="T54" s="18">
        <v>7.9409999999999998</v>
      </c>
      <c r="U54" s="169">
        <v>0.2</v>
      </c>
      <c r="V54" s="27">
        <v>0.44</v>
      </c>
      <c r="W54" s="177">
        <v>0.02</v>
      </c>
      <c r="X54" s="130">
        <v>4.3999999999999997E-2</v>
      </c>
      <c r="Y54" s="177">
        <v>0.04</v>
      </c>
      <c r="Z54" s="172">
        <v>9.2620000000000005</v>
      </c>
      <c r="AA54" s="1"/>
      <c r="AB54" s="25">
        <f t="shared" si="37"/>
        <v>46.913554178648958</v>
      </c>
      <c r="AC54" s="25">
        <f>((P54/20.04)+(Q55/12.16)+(R54/22.99)+(T54/39.1))</f>
        <v>40.292913903178651</v>
      </c>
      <c r="AD54" s="25">
        <f t="shared" ref="AD54" si="45">ABS((AB54-AC54)/(AB54+AC54)*100)</f>
        <v>7.5919142479867725</v>
      </c>
      <c r="AF54" s="101">
        <v>7.56</v>
      </c>
      <c r="AG54" s="101">
        <v>-10.488899999999999</v>
      </c>
      <c r="AH54" s="101">
        <v>1.0026999999999999</v>
      </c>
      <c r="AI54" s="101">
        <v>1.3899999999999999E-2</v>
      </c>
      <c r="AJ54" s="101">
        <v>-0.2354</v>
      </c>
      <c r="AK54" s="101">
        <v>-2.0821000000000001</v>
      </c>
      <c r="AL54" s="101">
        <v>0.253</v>
      </c>
      <c r="AM54" s="101">
        <v>-1.2436</v>
      </c>
      <c r="AN54" s="101">
        <v>-0.10780000000000001</v>
      </c>
      <c r="AO54" s="101">
        <v>-1.3496999999999999</v>
      </c>
      <c r="AQ54" s="50">
        <f t="shared" si="38"/>
        <v>0.19900000000000001</v>
      </c>
      <c r="AR54" s="50">
        <f t="shared" si="40"/>
        <v>2.8123937823834204</v>
      </c>
      <c r="AS54" s="50">
        <f t="shared" si="41"/>
        <v>-5.0184000000000006E-2</v>
      </c>
      <c r="AT54" s="50">
        <f t="shared" si="44"/>
        <v>1.1398632000000002</v>
      </c>
      <c r="AU54" s="50">
        <f t="shared" si="39"/>
        <v>14.132632072278493</v>
      </c>
      <c r="AV54" s="153">
        <f t="shared" si="13"/>
        <v>34</v>
      </c>
    </row>
    <row r="55" spans="1:48" x14ac:dyDescent="0.35">
      <c r="A55" s="119">
        <v>20</v>
      </c>
      <c r="B55" s="198"/>
      <c r="C55" s="119">
        <v>36</v>
      </c>
      <c r="D55" s="122">
        <v>96</v>
      </c>
      <c r="E55" s="12">
        <f t="shared" si="42"/>
        <v>3456</v>
      </c>
      <c r="F55" s="25">
        <f t="shared" si="3"/>
        <v>1</v>
      </c>
      <c r="G55" s="25">
        <f t="shared" si="43"/>
        <v>36</v>
      </c>
      <c r="H55" s="1">
        <v>7.5</v>
      </c>
      <c r="I55" s="1">
        <v>3680</v>
      </c>
      <c r="J55" s="165">
        <v>312.8</v>
      </c>
      <c r="K55" s="1">
        <v>413</v>
      </c>
      <c r="L55" s="1">
        <v>58</v>
      </c>
      <c r="M55" s="171">
        <v>0.5</v>
      </c>
      <c r="N55" s="31">
        <v>1812</v>
      </c>
      <c r="O55" s="65">
        <v>57</v>
      </c>
      <c r="P55" s="21">
        <v>640.70000000000005</v>
      </c>
      <c r="Q55" s="21">
        <v>16.8</v>
      </c>
      <c r="R55" s="21">
        <v>321.8</v>
      </c>
      <c r="S55" s="21">
        <v>26.91</v>
      </c>
      <c r="T55" s="18">
        <v>8.3919999999999995</v>
      </c>
      <c r="U55" s="169">
        <v>0.2</v>
      </c>
      <c r="V55" s="11">
        <v>0.55200000000000005</v>
      </c>
      <c r="W55" s="177">
        <v>0.02</v>
      </c>
      <c r="X55" s="130">
        <v>4.3999999999999997E-2</v>
      </c>
      <c r="Y55" s="177">
        <v>0.04</v>
      </c>
      <c r="Z55" s="172">
        <v>8.9120000000000008</v>
      </c>
      <c r="AA55" s="1"/>
      <c r="AB55" s="25">
        <f t="shared" si="37"/>
        <v>45.626592696242135</v>
      </c>
      <c r="AC55" s="25">
        <f t="shared" si="4"/>
        <v>47.564656157249168</v>
      </c>
      <c r="AD55" s="25">
        <f t="shared" si="5"/>
        <v>2.0796625057079332</v>
      </c>
      <c r="AE55" s="101" t="s">
        <v>202</v>
      </c>
      <c r="AF55" s="101">
        <v>7.5</v>
      </c>
      <c r="AG55" s="101">
        <v>3.10006</v>
      </c>
      <c r="AH55" s="101">
        <v>0.95540000000000003</v>
      </c>
      <c r="AI55" s="101">
        <v>-6.1000000000000004E-3</v>
      </c>
      <c r="AJ55" s="101">
        <v>-0.25540000000000002</v>
      </c>
      <c r="AK55" s="101">
        <v>-2.0169999999999999</v>
      </c>
      <c r="AL55" s="101">
        <v>0.16520000000000001</v>
      </c>
      <c r="AM55" s="101">
        <v>-1.3016000000000001</v>
      </c>
      <c r="AN55" s="101">
        <v>-8.6E-3</v>
      </c>
      <c r="AO55" s="101">
        <v>-1.3902000000000001</v>
      </c>
      <c r="AQ55" s="50">
        <f t="shared" si="38"/>
        <v>0.41299999999999998</v>
      </c>
      <c r="AR55" s="50">
        <f t="shared" si="40"/>
        <v>2.8855247964470769</v>
      </c>
      <c r="AS55" s="50">
        <f t="shared" si="41"/>
        <v>-2.9640000000000003E-2</v>
      </c>
      <c r="AT55" s="50">
        <f t="shared" si="44"/>
        <v>1.1695032000000003</v>
      </c>
      <c r="AU55" s="50">
        <f t="shared" si="39"/>
        <v>6.9867428485401382</v>
      </c>
      <c r="AV55" s="153">
        <f t="shared" si="13"/>
        <v>35</v>
      </c>
    </row>
    <row r="56" spans="1:48" s="101" customFormat="1" x14ac:dyDescent="0.35">
      <c r="A56" s="119">
        <v>20</v>
      </c>
      <c r="B56" s="198"/>
      <c r="C56" s="120">
        <v>37</v>
      </c>
      <c r="D56" s="122">
        <v>96</v>
      </c>
      <c r="E56" s="12">
        <f t="shared" si="42"/>
        <v>3552</v>
      </c>
      <c r="F56" s="25">
        <f t="shared" si="3"/>
        <v>1</v>
      </c>
      <c r="G56" s="25">
        <f t="shared" si="43"/>
        <v>37</v>
      </c>
      <c r="H56" s="120">
        <v>7.52</v>
      </c>
      <c r="I56" s="120">
        <v>3700</v>
      </c>
      <c r="J56" s="165">
        <v>314.60000000000002</v>
      </c>
      <c r="K56" s="120">
        <v>544</v>
      </c>
      <c r="L56" s="120">
        <v>58</v>
      </c>
      <c r="M56" s="171">
        <v>0.5</v>
      </c>
      <c r="N56" s="119">
        <v>1910</v>
      </c>
      <c r="O56" s="65">
        <v>58</v>
      </c>
      <c r="P56" s="21">
        <v>635.4</v>
      </c>
      <c r="Q56" s="21">
        <v>19.239999999999998</v>
      </c>
      <c r="R56" s="21">
        <v>333.5</v>
      </c>
      <c r="S56" s="21">
        <v>25.63</v>
      </c>
      <c r="T56" s="18">
        <v>8.3409999999999993</v>
      </c>
      <c r="U56" s="169">
        <v>0.2</v>
      </c>
      <c r="V56" s="11">
        <v>0.61799999999999999</v>
      </c>
      <c r="W56" s="177">
        <v>0.02</v>
      </c>
      <c r="X56" s="130">
        <v>4.9000000000000002E-2</v>
      </c>
      <c r="Y56" s="177">
        <v>0.04</v>
      </c>
      <c r="Z56" s="172">
        <v>8.7449999999999992</v>
      </c>
      <c r="AA56" s="120"/>
      <c r="AB56" s="25">
        <f t="shared" si="37"/>
        <v>47.702984118270024</v>
      </c>
      <c r="AC56" s="25">
        <f t="shared" si="4"/>
        <v>48.008455566675856</v>
      </c>
      <c r="AD56" s="25">
        <f t="shared" si="5"/>
        <v>0.31915876452319092</v>
      </c>
      <c r="AF56" s="101">
        <v>7.52</v>
      </c>
      <c r="AG56" s="101">
        <v>0.68671000000000004</v>
      </c>
      <c r="AH56" s="101">
        <v>0.96340000000000003</v>
      </c>
      <c r="AI56" s="101">
        <v>3.5999999999999999E-3</v>
      </c>
      <c r="AJ56" s="101">
        <v>-0.24560000000000001</v>
      </c>
      <c r="AK56" s="101">
        <v>-2.0348000000000002</v>
      </c>
      <c r="AL56" s="101">
        <v>0.24460000000000001</v>
      </c>
      <c r="AM56" s="101">
        <v>-1.2432000000000001</v>
      </c>
      <c r="AN56" s="101">
        <v>2.3099999999999999E-2</v>
      </c>
      <c r="AO56" s="101">
        <v>-1.3187</v>
      </c>
      <c r="AQ56" s="50">
        <f t="shared" si="38"/>
        <v>0.54400000000000004</v>
      </c>
      <c r="AR56" s="50">
        <f t="shared" si="40"/>
        <v>2.927626943005182</v>
      </c>
      <c r="AS56" s="50">
        <f t="shared" si="41"/>
        <v>-1.7063999999999996E-2</v>
      </c>
      <c r="AT56" s="50">
        <f t="shared" si="44"/>
        <v>1.1865672000000003</v>
      </c>
      <c r="AU56" s="50">
        <f t="shared" si="39"/>
        <v>5.381667174641878</v>
      </c>
      <c r="AV56" s="153">
        <f t="shared" si="13"/>
        <v>36</v>
      </c>
    </row>
    <row r="57" spans="1:48" s="101" customFormat="1" x14ac:dyDescent="0.35">
      <c r="A57" s="119">
        <v>20</v>
      </c>
      <c r="B57" s="198"/>
      <c r="C57" s="120">
        <v>38</v>
      </c>
      <c r="D57" s="122">
        <v>96</v>
      </c>
      <c r="E57" s="12">
        <f t="shared" si="42"/>
        <v>3648</v>
      </c>
      <c r="F57" s="25">
        <f t="shared" si="3"/>
        <v>1</v>
      </c>
      <c r="G57" s="25">
        <f t="shared" si="43"/>
        <v>38</v>
      </c>
      <c r="H57" s="120">
        <v>7.46</v>
      </c>
      <c r="I57" s="120">
        <v>3730</v>
      </c>
      <c r="J57" s="165">
        <v>316.2</v>
      </c>
      <c r="K57" s="120">
        <v>629</v>
      </c>
      <c r="L57" s="120">
        <v>58</v>
      </c>
      <c r="M57" s="171">
        <v>0.5</v>
      </c>
      <c r="N57" s="119">
        <v>1936</v>
      </c>
      <c r="O57" s="65">
        <v>59</v>
      </c>
      <c r="P57" s="21">
        <v>640.5</v>
      </c>
      <c r="Q57" s="21">
        <v>26.87</v>
      </c>
      <c r="R57" s="21">
        <v>334.7</v>
      </c>
      <c r="S57" s="21">
        <v>25.69</v>
      </c>
      <c r="T57" s="18">
        <v>8.5079999999999991</v>
      </c>
      <c r="U57" s="169">
        <v>0.2</v>
      </c>
      <c r="V57" s="11">
        <v>0.64300000000000002</v>
      </c>
      <c r="W57" s="177">
        <v>0.02</v>
      </c>
      <c r="X57" s="130">
        <v>6.2E-2</v>
      </c>
      <c r="Y57" s="177">
        <v>0.04</v>
      </c>
      <c r="Z57" s="172">
        <v>8.5489999999999995</v>
      </c>
      <c r="AA57" s="120"/>
      <c r="AB57" s="25">
        <f t="shared" si="37"/>
        <v>48.276312454726408</v>
      </c>
      <c r="AC57" s="25">
        <f t="shared" si="4"/>
        <v>48.946881396867873</v>
      </c>
      <c r="AD57" s="25">
        <f t="shared" si="5"/>
        <v>0.68972116176830223</v>
      </c>
      <c r="AE57" s="101" t="s">
        <v>202</v>
      </c>
      <c r="AF57" s="101">
        <v>7.46</v>
      </c>
      <c r="AG57" s="101">
        <v>1.1871799999999999</v>
      </c>
      <c r="AH57" s="101">
        <v>0.90739999999999998</v>
      </c>
      <c r="AI57" s="101">
        <v>7.4000000000000003E-3</v>
      </c>
      <c r="AJ57" s="101">
        <v>-0.24179999999999999</v>
      </c>
      <c r="AK57" s="101">
        <v>-1.9724999999999999</v>
      </c>
      <c r="AL57" s="101">
        <v>0.2742</v>
      </c>
      <c r="AM57" s="101">
        <v>-1.202</v>
      </c>
      <c r="AN57" s="101">
        <v>4.02E-2</v>
      </c>
      <c r="AO57" s="101">
        <v>-1.2332000000000001</v>
      </c>
      <c r="AQ57" s="50">
        <f t="shared" si="38"/>
        <v>0.629</v>
      </c>
      <c r="AR57" s="50">
        <f t="shared" si="40"/>
        <v>2.9495958549222805</v>
      </c>
      <c r="AS57" s="50">
        <f t="shared" si="41"/>
        <v>-8.9040000000000005E-3</v>
      </c>
      <c r="AT57" s="50">
        <f t="shared" si="44"/>
        <v>1.1954712000000003</v>
      </c>
      <c r="AU57" s="50">
        <f t="shared" si="39"/>
        <v>4.6893415817524335</v>
      </c>
      <c r="AV57" s="153">
        <f t="shared" si="13"/>
        <v>37</v>
      </c>
    </row>
    <row r="58" spans="1:48" s="101" customFormat="1" x14ac:dyDescent="0.35">
      <c r="A58" s="119">
        <v>20</v>
      </c>
      <c r="B58" s="198"/>
      <c r="C58" s="119">
        <v>39</v>
      </c>
      <c r="D58" s="122">
        <v>96</v>
      </c>
      <c r="E58" s="12">
        <f t="shared" si="42"/>
        <v>3744</v>
      </c>
      <c r="F58" s="25">
        <f t="shared" si="3"/>
        <v>1</v>
      </c>
      <c r="G58" s="25">
        <f t="shared" si="43"/>
        <v>39</v>
      </c>
      <c r="H58" s="120">
        <v>7.44</v>
      </c>
      <c r="I58" s="120">
        <v>3740</v>
      </c>
      <c r="J58" s="165">
        <v>316.2</v>
      </c>
      <c r="K58" s="120">
        <v>659</v>
      </c>
      <c r="L58" s="120">
        <v>58</v>
      </c>
      <c r="M58" s="171">
        <v>0.5</v>
      </c>
      <c r="N58" s="119">
        <v>1942</v>
      </c>
      <c r="O58" s="65">
        <v>61</v>
      </c>
      <c r="P58" s="21">
        <v>631.20000000000005</v>
      </c>
      <c r="Q58" s="21">
        <v>34.49</v>
      </c>
      <c r="R58" s="21">
        <v>332.4</v>
      </c>
      <c r="S58" s="21">
        <v>25.21</v>
      </c>
      <c r="T58" s="18">
        <v>8.1859999999999999</v>
      </c>
      <c r="U58" s="169">
        <v>0.2</v>
      </c>
      <c r="V58" s="11">
        <v>0.65900000000000003</v>
      </c>
      <c r="W58" s="177">
        <v>0.02</v>
      </c>
      <c r="X58" s="130">
        <v>7.8E-2</v>
      </c>
      <c r="Y58" s="177">
        <v>0.04</v>
      </c>
      <c r="Z58" s="172">
        <v>9.2319999999999993</v>
      </c>
      <c r="AA58" s="120"/>
      <c r="AB58" s="25">
        <f t="shared" si="37"/>
        <v>48.401234378524038</v>
      </c>
      <c r="AC58" s="25">
        <f t="shared" si="4"/>
        <v>49.001175486132226</v>
      </c>
      <c r="AD58" s="25">
        <f t="shared" si="5"/>
        <v>0.6159407230702254</v>
      </c>
      <c r="AF58" s="101">
        <v>7.44</v>
      </c>
      <c r="AG58" s="101">
        <v>1.1090800000000001</v>
      </c>
      <c r="AH58" s="101">
        <v>0.88090000000000002</v>
      </c>
      <c r="AI58" s="101">
        <v>1.5E-3</v>
      </c>
      <c r="AJ58" s="101">
        <v>-0.2477</v>
      </c>
      <c r="AK58" s="101">
        <v>-1.9520999999999999</v>
      </c>
      <c r="AL58" s="101">
        <v>0.33600000000000002</v>
      </c>
      <c r="AM58" s="101">
        <v>-1.1226</v>
      </c>
      <c r="AN58" s="101">
        <v>4.36E-2</v>
      </c>
      <c r="AO58" s="101">
        <v>-1.1449</v>
      </c>
      <c r="AQ58" s="50">
        <f t="shared" si="38"/>
        <v>0.65900000000000003</v>
      </c>
      <c r="AR58" s="50">
        <f t="shared" si="40"/>
        <v>2.9644589193190236</v>
      </c>
      <c r="AS58" s="50">
        <f t="shared" si="41"/>
        <v>-6.0239999999999972E-3</v>
      </c>
      <c r="AT58" s="50">
        <f t="shared" si="44"/>
        <v>1.2014952000000003</v>
      </c>
      <c r="AU58" s="50">
        <f t="shared" si="39"/>
        <v>4.4984202114097469</v>
      </c>
      <c r="AV58" s="153">
        <f t="shared" si="13"/>
        <v>38</v>
      </c>
    </row>
    <row r="59" spans="1:48" s="101" customFormat="1" x14ac:dyDescent="0.35">
      <c r="A59" s="119">
        <v>20</v>
      </c>
      <c r="B59" s="198"/>
      <c r="C59" s="120">
        <v>40</v>
      </c>
      <c r="D59" s="122">
        <v>96</v>
      </c>
      <c r="E59" s="12">
        <f t="shared" si="42"/>
        <v>3840</v>
      </c>
      <c r="F59" s="25">
        <f t="shared" si="3"/>
        <v>1</v>
      </c>
      <c r="G59" s="25">
        <f t="shared" si="43"/>
        <v>40</v>
      </c>
      <c r="H59" s="120">
        <v>7.3</v>
      </c>
      <c r="I59" s="120">
        <v>3220</v>
      </c>
      <c r="J59" s="165">
        <v>316.8</v>
      </c>
      <c r="K59" s="120">
        <v>646</v>
      </c>
      <c r="L59" s="120">
        <v>58</v>
      </c>
      <c r="M59" s="171">
        <v>0.5</v>
      </c>
      <c r="N59" s="119">
        <v>1924</v>
      </c>
      <c r="O59" s="65">
        <v>47</v>
      </c>
      <c r="P59" s="21">
        <v>626.70000000000005</v>
      </c>
      <c r="Q59" s="21">
        <v>38.18</v>
      </c>
      <c r="R59" s="21">
        <v>334.6</v>
      </c>
      <c r="S59" s="21">
        <v>24.72</v>
      </c>
      <c r="T59" s="18">
        <v>7.8710000000000004</v>
      </c>
      <c r="U59" s="169">
        <v>0.2</v>
      </c>
      <c r="V59" s="11">
        <v>0.66100000000000003</v>
      </c>
      <c r="W59" s="177">
        <v>0.02</v>
      </c>
      <c r="X59" s="130">
        <v>8.6999999999999994E-2</v>
      </c>
      <c r="Y59" s="177">
        <v>0.04</v>
      </c>
      <c r="Z59" s="172">
        <v>9.4700000000000006</v>
      </c>
      <c r="AA59" s="120"/>
      <c r="AB59" s="25">
        <f t="shared" si="37"/>
        <v>48.038468607131158</v>
      </c>
      <c r="AC59" s="25">
        <f t="shared" si="4"/>
        <v>49.1677160492167</v>
      </c>
      <c r="AD59" s="25">
        <f t="shared" si="5"/>
        <v>1.1617032867587191</v>
      </c>
      <c r="AE59" s="101" t="s">
        <v>202</v>
      </c>
      <c r="AF59" s="101">
        <v>7.3</v>
      </c>
      <c r="AG59" s="101">
        <v>1.8619699999999999</v>
      </c>
      <c r="AH59" s="101">
        <v>0.74270000000000003</v>
      </c>
      <c r="AI59" s="101">
        <v>-4.4000000000000003E-3</v>
      </c>
      <c r="AJ59" s="101">
        <v>-0.25359999999999999</v>
      </c>
      <c r="AK59" s="101">
        <v>-1.8091999999999999</v>
      </c>
      <c r="AL59" s="101">
        <v>0.1067</v>
      </c>
      <c r="AM59" s="101">
        <v>-1.2109000000000001</v>
      </c>
      <c r="AN59" s="101">
        <v>4.3999999999999997E-2</v>
      </c>
      <c r="AO59" s="101">
        <v>-1.2361</v>
      </c>
      <c r="AQ59" s="50">
        <f t="shared" ref="AQ59:AQ60" si="46">K59/1000</f>
        <v>0.64600000000000002</v>
      </c>
      <c r="AR59" s="50">
        <f t="shared" ref="AR59:AR60" si="47">AT59/$AS$6</f>
        <v>2.9824011843079208</v>
      </c>
      <c r="AS59" s="50">
        <f t="shared" ref="AS59:AS60" si="48">(AQ59-$AQ$49)*0.096</f>
        <v>-7.271999999999999E-3</v>
      </c>
      <c r="AT59" s="50">
        <f t="shared" ref="AT59:AT60" si="49">AT58-AS59</f>
        <v>1.2087672000000003</v>
      </c>
      <c r="AU59" s="50">
        <f t="shared" ref="AU59:AU60" si="50">AR59/AQ59</f>
        <v>4.616720099547865</v>
      </c>
      <c r="AV59" s="153">
        <f t="shared" si="13"/>
        <v>39</v>
      </c>
    </row>
    <row r="60" spans="1:48" s="101" customFormat="1" x14ac:dyDescent="0.35">
      <c r="A60" s="119">
        <v>20</v>
      </c>
      <c r="B60" s="198"/>
      <c r="C60" s="120">
        <v>41</v>
      </c>
      <c r="D60" s="122">
        <v>96</v>
      </c>
      <c r="E60" s="12">
        <f t="shared" si="42"/>
        <v>3936</v>
      </c>
      <c r="F60" s="25">
        <f t="shared" si="3"/>
        <v>1</v>
      </c>
      <c r="G60" s="25">
        <f t="shared" si="43"/>
        <v>41</v>
      </c>
      <c r="H60" s="120">
        <v>7.32</v>
      </c>
      <c r="I60" s="120">
        <v>3730</v>
      </c>
      <c r="J60" s="165">
        <v>316.2</v>
      </c>
      <c r="K60" s="120">
        <v>645</v>
      </c>
      <c r="L60" s="126">
        <v>54</v>
      </c>
      <c r="M60" s="169">
        <v>0.5</v>
      </c>
      <c r="N60" s="126">
        <v>1787</v>
      </c>
      <c r="O60" s="65">
        <v>61</v>
      </c>
      <c r="P60" s="21">
        <v>619.5</v>
      </c>
      <c r="Q60" s="21">
        <v>41.17</v>
      </c>
      <c r="R60" s="21">
        <v>331.1</v>
      </c>
      <c r="S60" s="21">
        <v>24.55</v>
      </c>
      <c r="T60" s="18">
        <v>7.6379999999999999</v>
      </c>
      <c r="U60" s="169">
        <v>0.2</v>
      </c>
      <c r="V60" s="174">
        <v>0.68100000000000005</v>
      </c>
      <c r="W60" s="177">
        <v>0.02</v>
      </c>
      <c r="X60" s="130">
        <v>8.3000000000000004E-2</v>
      </c>
      <c r="Y60" s="177">
        <v>0.04</v>
      </c>
      <c r="Z60" s="172">
        <v>9.2520000000000007</v>
      </c>
      <c r="AA60" s="120"/>
      <c r="AB60" s="25">
        <f t="shared" si="37"/>
        <v>45.061249701575242</v>
      </c>
      <c r="AC60" s="25">
        <f t="shared" si="4"/>
        <v>48.896123586308583</v>
      </c>
      <c r="AD60" s="25">
        <f t="shared" si="5"/>
        <v>4.0815039315577195</v>
      </c>
      <c r="AE60" s="101" t="s">
        <v>202</v>
      </c>
      <c r="AF60" s="101">
        <v>7.32</v>
      </c>
      <c r="AG60" s="101">
        <v>5.8274600000000003</v>
      </c>
      <c r="AH60" s="101">
        <v>0.77059999999999995</v>
      </c>
      <c r="AI60" s="101">
        <v>-2.8400000000000002E-2</v>
      </c>
      <c r="AJ60" s="101">
        <v>-0.27760000000000001</v>
      </c>
      <c r="AK60" s="101">
        <v>-1.8303</v>
      </c>
      <c r="AL60" s="101">
        <v>0.1988</v>
      </c>
      <c r="AM60" s="101">
        <v>-1.1987000000000001</v>
      </c>
      <c r="AN60" s="101">
        <v>6.9900000000000004E-2</v>
      </c>
      <c r="AO60" s="101">
        <v>-1.1717</v>
      </c>
      <c r="AQ60" s="50">
        <f t="shared" si="46"/>
        <v>0.64500000000000002</v>
      </c>
      <c r="AR60" s="50">
        <f t="shared" si="47"/>
        <v>3.0005803108808298</v>
      </c>
      <c r="AS60" s="50">
        <f t="shared" si="48"/>
        <v>-7.3679999999999987E-3</v>
      </c>
      <c r="AT60" s="50">
        <f t="shared" si="49"/>
        <v>1.2161352000000003</v>
      </c>
      <c r="AU60" s="50">
        <f t="shared" si="50"/>
        <v>4.6520624974896583</v>
      </c>
      <c r="AV60" s="153">
        <f t="shared" si="13"/>
        <v>40</v>
      </c>
    </row>
    <row r="61" spans="1:48" s="101" customFormat="1" x14ac:dyDescent="0.35">
      <c r="A61" s="179"/>
      <c r="B61" s="198"/>
      <c r="C61" s="180"/>
      <c r="D61" s="179"/>
      <c r="E61" s="12"/>
      <c r="F61" s="25"/>
      <c r="G61" s="25"/>
      <c r="H61" s="180"/>
      <c r="I61" s="180"/>
      <c r="J61" s="180"/>
      <c r="K61" s="180"/>
      <c r="L61" s="179"/>
      <c r="M61" s="26"/>
      <c r="N61" s="179"/>
      <c r="O61" s="65"/>
      <c r="P61" s="21"/>
      <c r="Q61" s="21"/>
      <c r="R61" s="21"/>
      <c r="S61" s="21"/>
      <c r="T61" s="18"/>
      <c r="U61" s="26"/>
      <c r="V61" s="130"/>
      <c r="W61" s="166"/>
      <c r="X61" s="130"/>
      <c r="Y61" s="166"/>
      <c r="Z61" s="130"/>
      <c r="AA61" s="180"/>
      <c r="AB61" s="25"/>
      <c r="AC61" s="25"/>
      <c r="AD61" s="25"/>
      <c r="AQ61" s="176"/>
      <c r="AR61" s="176"/>
      <c r="AS61" s="176"/>
      <c r="AT61" s="176"/>
      <c r="AU61" s="176"/>
      <c r="AV61" s="178"/>
    </row>
    <row r="62" spans="1:48" s="101" customFormat="1" x14ac:dyDescent="0.35">
      <c r="A62" s="188" t="s">
        <v>280</v>
      </c>
      <c r="B62" s="188"/>
      <c r="C62" s="188"/>
      <c r="D62" s="189"/>
      <c r="E62" s="12"/>
      <c r="F62" s="25"/>
      <c r="G62" s="25"/>
      <c r="H62" s="120">
        <v>7.7</v>
      </c>
      <c r="I62" s="165">
        <f>'Influent Results Master'!D61</f>
        <v>2818.6666666666665</v>
      </c>
      <c r="J62" s="165">
        <f>'Influent Results Master'!F61</f>
        <v>239.16666666666666</v>
      </c>
      <c r="K62" s="165">
        <f>'Influent Results Master'!G61</f>
        <v>92.25</v>
      </c>
      <c r="L62" s="165">
        <f>'Influent Results Master'!H61</f>
        <v>85.5</v>
      </c>
      <c r="M62" s="170">
        <f>'Influent Results Master'!I61</f>
        <v>8.6749999999999989</v>
      </c>
      <c r="N62" s="165">
        <f>'Influent Results Master'!J61</f>
        <v>1102.75</v>
      </c>
      <c r="O62" s="165">
        <f>'Influent Results Master'!K61</f>
        <v>22</v>
      </c>
      <c r="P62" s="165">
        <f>'Influent Results Master'!L61</f>
        <v>186.625</v>
      </c>
      <c r="Q62" s="165">
        <f>'Influent Results Master'!M61</f>
        <v>54.629999999999995</v>
      </c>
      <c r="R62" s="165">
        <f>'Influent Results Master'!N61</f>
        <v>477.95000000000005</v>
      </c>
      <c r="S62" s="165">
        <f>'Influent Results Master'!O61</f>
        <v>22.017500000000002</v>
      </c>
      <c r="T62" s="170">
        <f>'Influent Results Master'!P61</f>
        <v>9.5917500000000011</v>
      </c>
      <c r="U62" s="170">
        <f>'Influent Results Master'!Q61</f>
        <v>0</v>
      </c>
      <c r="V62" s="170">
        <f>'Influent Results Master'!R61</f>
        <v>0</v>
      </c>
      <c r="W62" s="170">
        <f>'Influent Results Master'!S61</f>
        <v>0</v>
      </c>
      <c r="X62" s="170">
        <f>'Influent Results Master'!T61</f>
        <v>0</v>
      </c>
      <c r="Y62" s="170">
        <f>'Influent Results Master'!U61</f>
        <v>0</v>
      </c>
      <c r="Z62" s="170">
        <f>'Influent Results Master'!V61</f>
        <v>0</v>
      </c>
      <c r="AA62" s="120"/>
      <c r="AB62" s="25"/>
      <c r="AC62" s="25"/>
      <c r="AD62" s="25"/>
      <c r="AQ62" s="50">
        <f t="shared" ref="AQ62" si="51">K62/1000</f>
        <v>9.2249999999999999E-2</v>
      </c>
      <c r="AV62" s="153"/>
    </row>
    <row r="63" spans="1:48" s="101" customFormat="1" x14ac:dyDescent="0.35">
      <c r="A63" s="179"/>
      <c r="B63" s="198"/>
      <c r="C63" s="179"/>
      <c r="D63" s="179"/>
      <c r="E63" s="12"/>
      <c r="F63" s="25"/>
      <c r="G63" s="25"/>
      <c r="H63" s="180"/>
      <c r="I63" s="180"/>
      <c r="J63" s="180"/>
      <c r="K63" s="180"/>
      <c r="L63" s="180"/>
      <c r="M63" s="180"/>
      <c r="N63" s="180"/>
      <c r="O63" s="180"/>
      <c r="P63" s="165"/>
      <c r="Q63" s="165"/>
      <c r="R63" s="165"/>
      <c r="S63" s="165"/>
      <c r="T63" s="170"/>
      <c r="U63" s="27"/>
      <c r="V63" s="65"/>
      <c r="W63" s="65"/>
      <c r="X63" s="65"/>
      <c r="Y63" s="65"/>
      <c r="Z63" s="65"/>
      <c r="AA63" s="180"/>
      <c r="AB63" s="25"/>
      <c r="AC63" s="25"/>
      <c r="AD63" s="25"/>
      <c r="AQ63" s="176"/>
      <c r="AV63" s="178"/>
    </row>
    <row r="64" spans="1:48" s="101" customFormat="1" x14ac:dyDescent="0.35">
      <c r="A64" s="119">
        <v>20</v>
      </c>
      <c r="B64" s="28">
        <v>43736</v>
      </c>
      <c r="C64" s="119">
        <v>42</v>
      </c>
      <c r="D64" s="122">
        <v>96</v>
      </c>
      <c r="E64" s="12">
        <f>E60+D64</f>
        <v>4032</v>
      </c>
      <c r="F64" s="25">
        <f t="shared" si="3"/>
        <v>1</v>
      </c>
      <c r="G64" s="25">
        <v>42</v>
      </c>
      <c r="H64" s="120">
        <v>7.79</v>
      </c>
      <c r="I64" s="120">
        <v>3730</v>
      </c>
      <c r="J64" s="165">
        <v>302.39999999999998</v>
      </c>
      <c r="K64" s="120">
        <v>653</v>
      </c>
      <c r="L64" s="120">
        <v>56</v>
      </c>
      <c r="M64" s="67">
        <v>0.5</v>
      </c>
      <c r="N64" s="119">
        <v>1861</v>
      </c>
      <c r="O64" s="65">
        <v>59</v>
      </c>
      <c r="P64" s="21">
        <v>633.5</v>
      </c>
      <c r="Q64" s="21">
        <v>41.76</v>
      </c>
      <c r="R64" s="21">
        <v>333.7</v>
      </c>
      <c r="S64" s="21">
        <v>25.78</v>
      </c>
      <c r="T64" s="18">
        <v>7.4560000000000004</v>
      </c>
      <c r="U64" s="169">
        <v>0.2</v>
      </c>
      <c r="V64" s="174">
        <v>0.70099999999999996</v>
      </c>
      <c r="W64" s="177">
        <v>0.02</v>
      </c>
      <c r="X64" s="130">
        <v>8.5999999999999993E-2</v>
      </c>
      <c r="Y64" s="177">
        <v>0.04</v>
      </c>
      <c r="Z64" s="172">
        <v>8.7360000000000007</v>
      </c>
      <c r="AA64" s="120"/>
      <c r="AB64" s="25">
        <f t="shared" ref="AB64:AB84" si="52">((J64/50)+(L64/35.45)+(M64/62)+(N64/48.03))</f>
        <v>46.382370917834358</v>
      </c>
      <c r="AC64" s="25">
        <f t="shared" si="4"/>
        <v>49.75168403508188</v>
      </c>
      <c r="AD64" s="25">
        <f t="shared" si="5"/>
        <v>3.5048070310752175</v>
      </c>
      <c r="AE64" s="101" t="s">
        <v>202</v>
      </c>
      <c r="AF64" s="101">
        <v>7.79</v>
      </c>
      <c r="AG64" s="101">
        <v>5.0604399999999998</v>
      </c>
      <c r="AH64" s="101">
        <v>1.2107000000000001</v>
      </c>
      <c r="AI64" s="101">
        <v>-1.0699999999999999E-2</v>
      </c>
      <c r="AJ64" s="101">
        <v>-0.26</v>
      </c>
      <c r="AK64" s="101">
        <v>-2.3325</v>
      </c>
      <c r="AL64" s="101">
        <v>1.0764</v>
      </c>
      <c r="AM64" s="101">
        <v>-0.75190000000000001</v>
      </c>
      <c r="AN64" s="101">
        <v>8.2500000000000004E-2</v>
      </c>
      <c r="AO64" s="101">
        <v>-0.73429999999999995</v>
      </c>
      <c r="AQ64" s="50">
        <f t="shared" ref="AQ64:AQ71" si="53">K64/1000</f>
        <v>0.65300000000000002</v>
      </c>
      <c r="AR64" s="50">
        <f>AT64/$AS$6</f>
        <v>2.8677601776461885</v>
      </c>
      <c r="AS64" s="50">
        <f>(AQ64-$AQ$62)*0.096</f>
        <v>5.3832000000000012E-2</v>
      </c>
      <c r="AT64" s="50">
        <f>AT60-AS64</f>
        <v>1.1623032000000002</v>
      </c>
      <c r="AU64" s="50">
        <f t="shared" ref="AU64:AU71" si="54">AR64/AQ64</f>
        <v>4.3916694910355103</v>
      </c>
      <c r="AV64" s="153">
        <f>AV60+1</f>
        <v>41</v>
      </c>
    </row>
    <row r="65" spans="1:48" s="101" customFormat="1" x14ac:dyDescent="0.35">
      <c r="A65" s="119">
        <v>20</v>
      </c>
      <c r="B65" s="198"/>
      <c r="C65" s="120">
        <v>43</v>
      </c>
      <c r="D65" s="122">
        <v>96</v>
      </c>
      <c r="E65" s="12">
        <f>E64+D65</f>
        <v>4128</v>
      </c>
      <c r="F65" s="25">
        <f t="shared" si="3"/>
        <v>1</v>
      </c>
      <c r="G65" s="25">
        <f>G64+F65</f>
        <v>43</v>
      </c>
      <c r="H65" s="120">
        <v>7.8</v>
      </c>
      <c r="I65" s="120">
        <v>3750</v>
      </c>
      <c r="J65" s="165">
        <v>279.60000000000002</v>
      </c>
      <c r="K65" s="120">
        <v>631</v>
      </c>
      <c r="L65" s="120">
        <v>69</v>
      </c>
      <c r="M65" s="172">
        <v>4.9000000000000004</v>
      </c>
      <c r="N65" s="119">
        <v>1887</v>
      </c>
      <c r="O65" s="65">
        <v>57</v>
      </c>
      <c r="P65" s="21">
        <v>606.6</v>
      </c>
      <c r="Q65" s="21">
        <v>40.93</v>
      </c>
      <c r="R65" s="21">
        <v>344.1</v>
      </c>
      <c r="S65" s="21">
        <v>24.91</v>
      </c>
      <c r="T65" s="18">
        <v>7.2380000000000004</v>
      </c>
      <c r="U65" s="169">
        <v>0.2</v>
      </c>
      <c r="V65" s="174">
        <v>0.63</v>
      </c>
      <c r="W65" s="177">
        <v>0.02</v>
      </c>
      <c r="X65" s="130">
        <v>8.4000000000000005E-2</v>
      </c>
      <c r="Y65" s="177">
        <v>0.04</v>
      </c>
      <c r="Z65" s="172">
        <v>7.6639999999999997</v>
      </c>
      <c r="AA65" s="120"/>
      <c r="AB65" s="25">
        <f t="shared" si="52"/>
        <v>46.905380677467406</v>
      </c>
      <c r="AC65" s="25">
        <f t="shared" si="4"/>
        <v>48.787907235213964</v>
      </c>
      <c r="AD65" s="25">
        <f t="shared" si="5"/>
        <v>1.9672503670940169</v>
      </c>
      <c r="AF65" s="101">
        <v>7.8</v>
      </c>
      <c r="AG65" s="101">
        <v>3.0045600000000001</v>
      </c>
      <c r="AH65" s="101">
        <v>1.1662999999999999</v>
      </c>
      <c r="AI65" s="101">
        <v>-2.0299999999999999E-2</v>
      </c>
      <c r="AJ65" s="101">
        <v>-0.26960000000000001</v>
      </c>
      <c r="AK65" s="101">
        <v>-2.3748</v>
      </c>
      <c r="AL65" s="101">
        <v>0.998</v>
      </c>
      <c r="AM65" s="101">
        <v>-0.78620000000000001</v>
      </c>
      <c r="AN65" s="101">
        <v>1.43E-2</v>
      </c>
      <c r="AO65" s="101">
        <v>-0.76829999999999998</v>
      </c>
      <c r="AQ65" s="50">
        <f t="shared" si="53"/>
        <v>0.63100000000000001</v>
      </c>
      <c r="AR65" s="50">
        <f t="shared" ref="AR65:AR71" si="55">AT65/$AS$6</f>
        <v>2.7401509992598081</v>
      </c>
      <c r="AS65" s="50">
        <f t="shared" ref="AS65:AS71" si="56">(AQ65-$AQ$62)*0.096</f>
        <v>5.1720000000000009E-2</v>
      </c>
      <c r="AT65" s="50">
        <f>AT64-AS65</f>
        <v>1.1105832000000002</v>
      </c>
      <c r="AU65" s="50">
        <f t="shared" si="54"/>
        <v>4.3425530891597592</v>
      </c>
      <c r="AV65" s="153">
        <f t="shared" si="13"/>
        <v>42</v>
      </c>
    </row>
    <row r="66" spans="1:48" s="101" customFormat="1" x14ac:dyDescent="0.35">
      <c r="A66" s="119">
        <v>20</v>
      </c>
      <c r="B66" s="198"/>
      <c r="C66" s="120">
        <v>44</v>
      </c>
      <c r="D66" s="122">
        <v>96</v>
      </c>
      <c r="E66" s="12">
        <f t="shared" ref="E66:E84" si="57">E65+D66</f>
        <v>4224</v>
      </c>
      <c r="F66" s="25">
        <f t="shared" si="3"/>
        <v>1</v>
      </c>
      <c r="G66" s="25">
        <f t="shared" ref="G66:G84" si="58">G65+F66</f>
        <v>44</v>
      </c>
      <c r="H66" s="120">
        <v>7.82</v>
      </c>
      <c r="I66" s="120">
        <v>3910</v>
      </c>
      <c r="J66" s="165">
        <v>227</v>
      </c>
      <c r="K66" s="120">
        <v>552</v>
      </c>
      <c r="L66" s="120">
        <v>82</v>
      </c>
      <c r="M66" s="172">
        <v>8.6999999999999993</v>
      </c>
      <c r="N66" s="119">
        <v>2012</v>
      </c>
      <c r="O66" s="65">
        <v>45</v>
      </c>
      <c r="P66" s="175">
        <v>610.4</v>
      </c>
      <c r="Q66" s="21">
        <v>40.54</v>
      </c>
      <c r="R66" s="21">
        <v>364.4</v>
      </c>
      <c r="S66" s="21">
        <v>23.42</v>
      </c>
      <c r="T66" s="18">
        <v>6.63</v>
      </c>
      <c r="U66" s="169">
        <v>0.2</v>
      </c>
      <c r="V66" s="174">
        <v>0.33800000000000002</v>
      </c>
      <c r="W66" s="177">
        <v>0.02</v>
      </c>
      <c r="X66" s="130">
        <v>8.2000000000000003E-2</v>
      </c>
      <c r="Y66" s="177">
        <v>0.04</v>
      </c>
      <c r="Z66" s="172">
        <v>7.03</v>
      </c>
      <c r="AA66" s="120"/>
      <c r="AB66" s="25">
        <f t="shared" si="52"/>
        <v>48.883924760406458</v>
      </c>
      <c r="AC66" s="25">
        <f t="shared" ref="AC66:AC68" si="59">((P66/20.04)+(Q66/12.16)+(R66/22.99)+(T66/39.1))</f>
        <v>49.812898358633824</v>
      </c>
      <c r="AD66" s="25">
        <f t="shared" ref="AD66:AD68" si="60">ABS((AB66-AC66)/(AB66+AC66)*100)</f>
        <v>0.94123961528823596</v>
      </c>
      <c r="AF66" s="101">
        <v>7.82</v>
      </c>
      <c r="AG66" s="101">
        <v>1.6711400000000001</v>
      </c>
      <c r="AH66" s="101">
        <v>1.0875999999999999</v>
      </c>
      <c r="AI66" s="101">
        <v>-4.0000000000000002E-4</v>
      </c>
      <c r="AJ66" s="101">
        <v>-0.24959999999999999</v>
      </c>
      <c r="AK66" s="101">
        <v>-2.4864999999999999</v>
      </c>
      <c r="AL66" s="101">
        <v>0.8337</v>
      </c>
      <c r="AM66" s="101">
        <v>-0.87890000000000001</v>
      </c>
      <c r="AN66" s="101">
        <v>-0.26700000000000002</v>
      </c>
      <c r="AO66" s="101">
        <v>-0.8538</v>
      </c>
      <c r="AQ66" s="50">
        <f t="shared" si="53"/>
        <v>0.55200000000000005</v>
      </c>
      <c r="AR66" s="50">
        <f t="shared" si="55"/>
        <v>2.6312538860103634</v>
      </c>
      <c r="AS66" s="50">
        <f t="shared" si="56"/>
        <v>4.4136000000000009E-2</v>
      </c>
      <c r="AT66" s="50">
        <f t="shared" ref="AT66:AT71" si="61">AT65-AS66</f>
        <v>1.0664472000000003</v>
      </c>
      <c r="AU66" s="50">
        <f t="shared" si="54"/>
        <v>4.7667642862506581</v>
      </c>
      <c r="AV66" s="153">
        <f t="shared" si="13"/>
        <v>43</v>
      </c>
    </row>
    <row r="67" spans="1:48" s="101" customFormat="1" x14ac:dyDescent="0.35">
      <c r="A67" s="119">
        <v>20</v>
      </c>
      <c r="B67" s="198"/>
      <c r="C67" s="119">
        <v>45</v>
      </c>
      <c r="D67" s="122">
        <v>96</v>
      </c>
      <c r="E67" s="12">
        <f t="shared" si="57"/>
        <v>4320</v>
      </c>
      <c r="F67" s="25">
        <f t="shared" si="3"/>
        <v>1</v>
      </c>
      <c r="G67" s="25">
        <f t="shared" si="58"/>
        <v>45</v>
      </c>
      <c r="H67" s="120">
        <v>7.79</v>
      </c>
      <c r="I67" s="120">
        <v>3980</v>
      </c>
      <c r="J67" s="165">
        <v>208.4</v>
      </c>
      <c r="K67" s="120">
        <v>496</v>
      </c>
      <c r="L67" s="120">
        <v>83</v>
      </c>
      <c r="M67" s="172">
        <v>8.9</v>
      </c>
      <c r="N67" s="119">
        <v>2050</v>
      </c>
      <c r="O67" s="65">
        <v>40</v>
      </c>
      <c r="P67" s="165">
        <v>617.9</v>
      </c>
      <c r="Q67" s="12">
        <v>39.32</v>
      </c>
      <c r="R67" s="12">
        <v>417.7</v>
      </c>
      <c r="S67" s="12">
        <v>23.95</v>
      </c>
      <c r="T67" s="18">
        <v>6.71</v>
      </c>
      <c r="U67" s="169">
        <v>0.2</v>
      </c>
      <c r="V67" s="174">
        <v>0.159</v>
      </c>
      <c r="W67" s="177">
        <v>0.02</v>
      </c>
      <c r="X67" s="130">
        <v>7.4999999999999997E-2</v>
      </c>
      <c r="Y67" s="177">
        <v>0.04</v>
      </c>
      <c r="Z67" s="172">
        <v>6.39</v>
      </c>
      <c r="AA67" s="120"/>
      <c r="AB67" s="25">
        <f t="shared" si="52"/>
        <v>49.33453149562056</v>
      </c>
      <c r="AC67" s="25">
        <f t="shared" si="59"/>
        <v>52.407266248122255</v>
      </c>
      <c r="AD67" s="25">
        <f t="shared" si="60"/>
        <v>3.0201301929429198</v>
      </c>
      <c r="AE67" s="101" t="s">
        <v>202</v>
      </c>
      <c r="AF67" s="101">
        <v>7.79</v>
      </c>
      <c r="AG67" s="101">
        <v>4.4672599999999996</v>
      </c>
      <c r="AH67" s="101">
        <v>1.0230999999999999</v>
      </c>
      <c r="AI67" s="101">
        <v>6.4000000000000003E-3</v>
      </c>
      <c r="AJ67" s="101">
        <v>-0.24279999999999999</v>
      </c>
      <c r="AK67" s="101">
        <v>-2.4935999999999998</v>
      </c>
      <c r="AL67" s="101">
        <v>0.68579999999999997</v>
      </c>
      <c r="AM67" s="101">
        <v>-0.99019999999999997</v>
      </c>
      <c r="AN67" s="101">
        <v>-0.59509999999999996</v>
      </c>
      <c r="AO67" s="101">
        <v>-0.93730000000000002</v>
      </c>
      <c r="AQ67" s="50">
        <f t="shared" si="53"/>
        <v>0.496</v>
      </c>
      <c r="AR67" s="50">
        <f t="shared" si="55"/>
        <v>2.5356210214655821</v>
      </c>
      <c r="AS67" s="50">
        <f t="shared" si="56"/>
        <v>3.8760000000000003E-2</v>
      </c>
      <c r="AT67" s="50">
        <f t="shared" si="61"/>
        <v>1.0276872000000004</v>
      </c>
      <c r="AU67" s="50">
        <f t="shared" si="54"/>
        <v>5.1121391561806089</v>
      </c>
      <c r="AV67" s="153">
        <f t="shared" si="13"/>
        <v>44</v>
      </c>
    </row>
    <row r="68" spans="1:48" s="101" customFormat="1" x14ac:dyDescent="0.35">
      <c r="A68" s="119">
        <v>20</v>
      </c>
      <c r="B68" s="198"/>
      <c r="C68" s="120">
        <v>46</v>
      </c>
      <c r="D68" s="122">
        <v>96</v>
      </c>
      <c r="E68" s="12">
        <f t="shared" si="57"/>
        <v>4416</v>
      </c>
      <c r="F68" s="25">
        <f t="shared" si="3"/>
        <v>1</v>
      </c>
      <c r="G68" s="25">
        <f t="shared" si="58"/>
        <v>46</v>
      </c>
      <c r="H68" s="120">
        <v>7.75</v>
      </c>
      <c r="I68" s="120">
        <v>3980</v>
      </c>
      <c r="J68" s="165">
        <v>207.2</v>
      </c>
      <c r="K68" s="120">
        <v>379</v>
      </c>
      <c r="L68" s="120">
        <v>84</v>
      </c>
      <c r="M68" s="172">
        <v>9.1</v>
      </c>
      <c r="N68" s="119">
        <v>1999</v>
      </c>
      <c r="O68" s="65">
        <v>40</v>
      </c>
      <c r="P68" s="165">
        <v>601.9</v>
      </c>
      <c r="Q68" s="12">
        <v>39.630000000000003</v>
      </c>
      <c r="R68" s="12">
        <v>411.7</v>
      </c>
      <c r="S68" s="12">
        <v>23.06</v>
      </c>
      <c r="T68" s="6">
        <v>6.56</v>
      </c>
      <c r="U68" s="169">
        <v>0.2</v>
      </c>
      <c r="V68" s="174">
        <v>0.109</v>
      </c>
      <c r="W68" s="177">
        <v>0.02</v>
      </c>
      <c r="X68" s="130">
        <v>8.1000000000000003E-2</v>
      </c>
      <c r="Y68" s="177">
        <v>0.04</v>
      </c>
      <c r="Z68" s="172">
        <v>6.1360000000000001</v>
      </c>
      <c r="AA68" s="120"/>
      <c r="AB68" s="25">
        <f t="shared" si="52"/>
        <v>48.280129694503216</v>
      </c>
      <c r="AC68" s="25">
        <f t="shared" si="59"/>
        <v>51.369537122323926</v>
      </c>
      <c r="AD68" s="25">
        <f t="shared" si="60"/>
        <v>3.1002686978367535</v>
      </c>
      <c r="AF68" s="101">
        <v>7.75</v>
      </c>
      <c r="AG68" s="101">
        <v>4.5642399999999999</v>
      </c>
      <c r="AH68" s="101">
        <v>0.97640000000000005</v>
      </c>
      <c r="AI68" s="101">
        <v>-8.2000000000000007E-3</v>
      </c>
      <c r="AJ68" s="101">
        <v>-0.25740000000000002</v>
      </c>
      <c r="AK68" s="101">
        <v>-2.4531999999999998</v>
      </c>
      <c r="AL68" s="101">
        <v>0.60709999999999997</v>
      </c>
      <c r="AM68" s="101">
        <v>-0.9909</v>
      </c>
      <c r="AN68" s="101">
        <v>-0.76390000000000002</v>
      </c>
      <c r="AO68" s="101">
        <v>-0.96940000000000004</v>
      </c>
      <c r="AQ68" s="50">
        <f t="shared" si="53"/>
        <v>0.379</v>
      </c>
      <c r="AR68" s="50">
        <f t="shared" si="55"/>
        <v>2.467700962250186</v>
      </c>
      <c r="AS68" s="50">
        <f t="shared" si="56"/>
        <v>2.7528E-2</v>
      </c>
      <c r="AT68" s="50">
        <f t="shared" si="61"/>
        <v>1.0001592000000004</v>
      </c>
      <c r="AU68" s="50">
        <f t="shared" si="54"/>
        <v>6.5110843331139474</v>
      </c>
      <c r="AV68" s="153">
        <f t="shared" si="13"/>
        <v>45</v>
      </c>
    </row>
    <row r="69" spans="1:48" s="101" customFormat="1" x14ac:dyDescent="0.35">
      <c r="A69" s="119">
        <v>20</v>
      </c>
      <c r="B69" s="198"/>
      <c r="C69" s="120">
        <v>47</v>
      </c>
      <c r="D69" s="122">
        <v>96</v>
      </c>
      <c r="E69" s="12">
        <f t="shared" si="57"/>
        <v>4512</v>
      </c>
      <c r="F69" s="25">
        <f t="shared" si="3"/>
        <v>1</v>
      </c>
      <c r="G69" s="25">
        <f t="shared" si="58"/>
        <v>47</v>
      </c>
      <c r="H69" s="120">
        <v>7.73</v>
      </c>
      <c r="I69" s="120">
        <v>3980</v>
      </c>
      <c r="J69" s="165">
        <v>204</v>
      </c>
      <c r="K69" s="120">
        <v>271</v>
      </c>
      <c r="L69" s="120">
        <v>84</v>
      </c>
      <c r="M69" s="172">
        <v>8.6999999999999993</v>
      </c>
      <c r="N69" s="119">
        <v>2055</v>
      </c>
      <c r="O69" s="65">
        <v>42</v>
      </c>
      <c r="P69" s="21">
        <v>607.4</v>
      </c>
      <c r="Q69" s="175">
        <v>42.68</v>
      </c>
      <c r="R69" s="175">
        <v>410.4</v>
      </c>
      <c r="S69" s="175">
        <v>22.73</v>
      </c>
      <c r="T69" s="172">
        <v>7.0990000000000002</v>
      </c>
      <c r="U69" s="169">
        <v>0.2</v>
      </c>
      <c r="V69" s="130">
        <v>7.2999999999999995E-2</v>
      </c>
      <c r="W69" s="177">
        <v>0.02</v>
      </c>
      <c r="X69" s="130">
        <v>8.2000000000000003E-2</v>
      </c>
      <c r="Y69" s="177">
        <v>0.04</v>
      </c>
      <c r="Z69" s="172">
        <v>6.6340000000000003</v>
      </c>
      <c r="AA69" s="120"/>
      <c r="AB69" s="25">
        <f t="shared" si="52"/>
        <v>49.375616037044502</v>
      </c>
      <c r="AC69" s="25">
        <f t="shared" si="4"/>
        <v>51.852049430300859</v>
      </c>
      <c r="AD69" s="25">
        <f t="shared" si="5"/>
        <v>2.4463997878674979</v>
      </c>
      <c r="AF69" s="101">
        <v>7.73</v>
      </c>
      <c r="AG69" s="101">
        <v>3.69109</v>
      </c>
      <c r="AH69" s="101">
        <v>0.94930000000000003</v>
      </c>
      <c r="AI69" s="101">
        <v>1.1999999999999999E-3</v>
      </c>
      <c r="AJ69" s="101">
        <v>-0.248</v>
      </c>
      <c r="AK69" s="101">
        <v>-2.4394999999999998</v>
      </c>
      <c r="AL69" s="101">
        <v>0.58140000000000003</v>
      </c>
      <c r="AM69" s="101">
        <v>-1.0172000000000001</v>
      </c>
      <c r="AN69" s="101">
        <v>-0.94069999999999998</v>
      </c>
      <c r="AO69" s="101">
        <v>-0.96789999999999998</v>
      </c>
      <c r="AQ69" s="50">
        <f t="shared" si="53"/>
        <v>0.27100000000000002</v>
      </c>
      <c r="AR69" s="50">
        <f t="shared" si="55"/>
        <v>2.4253619541080691</v>
      </c>
      <c r="AS69" s="50">
        <f t="shared" si="56"/>
        <v>1.7160000000000002E-2</v>
      </c>
      <c r="AT69" s="50">
        <f t="shared" si="61"/>
        <v>0.98299920000000041</v>
      </c>
      <c r="AU69" s="50">
        <f t="shared" si="54"/>
        <v>8.9496751074098491</v>
      </c>
      <c r="AV69" s="153">
        <f t="shared" si="13"/>
        <v>46</v>
      </c>
    </row>
    <row r="70" spans="1:48" s="101" customFormat="1" x14ac:dyDescent="0.35">
      <c r="A70" s="119">
        <v>20</v>
      </c>
      <c r="B70" s="198"/>
      <c r="C70" s="119">
        <v>48</v>
      </c>
      <c r="D70" s="122">
        <v>96</v>
      </c>
      <c r="E70" s="12">
        <f t="shared" si="57"/>
        <v>4608</v>
      </c>
      <c r="F70" s="25">
        <f t="shared" si="3"/>
        <v>1</v>
      </c>
      <c r="G70" s="25">
        <f t="shared" si="58"/>
        <v>48</v>
      </c>
      <c r="H70" s="120">
        <v>7.67</v>
      </c>
      <c r="I70" s="120">
        <v>3990</v>
      </c>
      <c r="J70" s="165">
        <v>199.8</v>
      </c>
      <c r="K70" s="120">
        <v>224</v>
      </c>
      <c r="L70" s="120">
        <v>84</v>
      </c>
      <c r="M70" s="172">
        <v>9</v>
      </c>
      <c r="N70" s="119">
        <v>2045</v>
      </c>
      <c r="O70" s="65">
        <v>40</v>
      </c>
      <c r="P70" s="21">
        <v>597</v>
      </c>
      <c r="Q70" s="175">
        <v>43.91</v>
      </c>
      <c r="R70" s="175">
        <v>405.5</v>
      </c>
      <c r="S70" s="175">
        <v>22.85</v>
      </c>
      <c r="T70" s="172">
        <v>7.5540000000000003</v>
      </c>
      <c r="U70" s="169">
        <v>0.2</v>
      </c>
      <c r="V70" s="130">
        <v>4.5999999999999999E-2</v>
      </c>
      <c r="W70" s="177">
        <v>0.02</v>
      </c>
      <c r="X70" s="130">
        <v>8.1000000000000003E-2</v>
      </c>
      <c r="Y70" s="177">
        <v>0.04</v>
      </c>
      <c r="Z70" s="172">
        <v>6.25</v>
      </c>
      <c r="AA70" s="120"/>
      <c r="AB70" s="25">
        <f t="shared" si="52"/>
        <v>49.088251540392541</v>
      </c>
      <c r="AC70" s="25">
        <f t="shared" si="4"/>
        <v>51.23273935273604</v>
      </c>
      <c r="AD70" s="25">
        <f t="shared" si="5"/>
        <v>2.1376262268262587</v>
      </c>
      <c r="AF70" s="101">
        <v>7.67</v>
      </c>
      <c r="AG70" s="101">
        <v>3.26539</v>
      </c>
      <c r="AH70" s="101">
        <v>0.87639999999999996</v>
      </c>
      <c r="AI70" s="101">
        <v>-5.4000000000000003E-3</v>
      </c>
      <c r="AJ70" s="101">
        <v>-0.25459999999999999</v>
      </c>
      <c r="AK70" s="101">
        <v>-2.3856999999999999</v>
      </c>
      <c r="AL70" s="101">
        <v>0.45540000000000003</v>
      </c>
      <c r="AM70" s="101">
        <v>-1.0873999999999999</v>
      </c>
      <c r="AN70" s="101">
        <v>-1.1471</v>
      </c>
      <c r="AO70" s="101">
        <v>-1.0210999999999999</v>
      </c>
      <c r="AQ70" s="50">
        <f t="shared" si="53"/>
        <v>0.224</v>
      </c>
      <c r="AR70" s="50">
        <f t="shared" si="55"/>
        <v>2.3941554404145089</v>
      </c>
      <c r="AS70" s="50">
        <f t="shared" si="56"/>
        <v>1.2648000000000001E-2</v>
      </c>
      <c r="AT70" s="50">
        <f t="shared" si="61"/>
        <v>0.97035120000000041</v>
      </c>
      <c r="AU70" s="50">
        <f t="shared" si="54"/>
        <v>10.688193930421914</v>
      </c>
      <c r="AV70" s="153">
        <f t="shared" si="13"/>
        <v>47</v>
      </c>
    </row>
    <row r="71" spans="1:48" s="101" customFormat="1" x14ac:dyDescent="0.35">
      <c r="A71" s="119">
        <v>20</v>
      </c>
      <c r="B71" s="198"/>
      <c r="C71" s="120">
        <v>49</v>
      </c>
      <c r="D71" s="122">
        <v>96</v>
      </c>
      <c r="E71" s="12">
        <f t="shared" si="57"/>
        <v>4704</v>
      </c>
      <c r="F71" s="25">
        <f t="shared" si="3"/>
        <v>1</v>
      </c>
      <c r="G71" s="25">
        <f t="shared" si="58"/>
        <v>49</v>
      </c>
      <c r="H71" s="120">
        <v>7.63</v>
      </c>
      <c r="I71" s="120">
        <v>3990</v>
      </c>
      <c r="J71" s="165">
        <f>100.8*2</f>
        <v>201.6</v>
      </c>
      <c r="K71" s="120">
        <v>188</v>
      </c>
      <c r="L71" s="120">
        <v>84</v>
      </c>
      <c r="M71" s="172">
        <v>9</v>
      </c>
      <c r="N71" s="119">
        <v>2148</v>
      </c>
      <c r="O71" s="65">
        <v>48</v>
      </c>
      <c r="P71" s="21">
        <v>591.6</v>
      </c>
      <c r="Q71" s="175">
        <v>45.77</v>
      </c>
      <c r="R71" s="175">
        <v>430.5</v>
      </c>
      <c r="S71" s="175">
        <v>22.96</v>
      </c>
      <c r="T71" s="172">
        <v>7.7889999999999997</v>
      </c>
      <c r="U71" s="169">
        <v>0.2</v>
      </c>
      <c r="V71" s="130">
        <v>4.2000000000000003E-2</v>
      </c>
      <c r="W71" s="177">
        <v>0.02</v>
      </c>
      <c r="X71" s="130">
        <v>9.2999999999999999E-2</v>
      </c>
      <c r="Y71" s="177">
        <v>0.04</v>
      </c>
      <c r="Z71" s="172">
        <v>6.484</v>
      </c>
      <c r="AA71" s="120"/>
      <c r="AB71" s="25">
        <f t="shared" si="52"/>
        <v>51.268744565585131</v>
      </c>
      <c r="AC71" s="25">
        <f t="shared" si="4"/>
        <v>52.209678348480928</v>
      </c>
      <c r="AD71" s="25">
        <f t="shared" si="5"/>
        <v>0.90930433263096633</v>
      </c>
      <c r="AF71" s="101">
        <v>7.63</v>
      </c>
      <c r="AG71" s="101">
        <v>4.3375199999999996</v>
      </c>
      <c r="AH71" s="101">
        <v>0.53110000000000002</v>
      </c>
      <c r="AI71" s="101">
        <v>6.8999999999999999E-3</v>
      </c>
      <c r="AJ71" s="101">
        <v>-0.24229999999999999</v>
      </c>
      <c r="AK71" s="101">
        <v>-2.6421999999999999</v>
      </c>
      <c r="AL71" s="101">
        <v>-0.21410000000000001</v>
      </c>
      <c r="AM71" s="101">
        <v>-1.3687</v>
      </c>
      <c r="AN71" s="101">
        <v>-1.1974</v>
      </c>
      <c r="AO71" s="101">
        <v>-1.3452</v>
      </c>
      <c r="AQ71" s="50">
        <f t="shared" si="53"/>
        <v>0.188</v>
      </c>
      <c r="AR71" s="50">
        <f t="shared" si="55"/>
        <v>2.371475943745375</v>
      </c>
      <c r="AS71" s="50">
        <f t="shared" si="56"/>
        <v>9.1920000000000005E-3</v>
      </c>
      <c r="AT71" s="50">
        <f t="shared" si="61"/>
        <v>0.96115920000000044</v>
      </c>
      <c r="AU71" s="50">
        <f t="shared" si="54"/>
        <v>12.614233743326462</v>
      </c>
      <c r="AV71" s="153">
        <f t="shared" si="13"/>
        <v>48</v>
      </c>
    </row>
    <row r="72" spans="1:48" s="101" customFormat="1" x14ac:dyDescent="0.35">
      <c r="A72" s="119">
        <v>20</v>
      </c>
      <c r="B72" s="198"/>
      <c r="C72" s="120">
        <v>50</v>
      </c>
      <c r="D72" s="122">
        <v>96</v>
      </c>
      <c r="E72" s="12">
        <f t="shared" si="57"/>
        <v>4800</v>
      </c>
      <c r="F72" s="25">
        <f t="shared" si="3"/>
        <v>1</v>
      </c>
      <c r="G72" s="25">
        <f t="shared" si="58"/>
        <v>50</v>
      </c>
      <c r="H72" s="120">
        <v>7.56</v>
      </c>
      <c r="I72" s="120">
        <v>3980</v>
      </c>
      <c r="J72" s="165">
        <v>203.6</v>
      </c>
      <c r="K72" s="120">
        <v>154</v>
      </c>
      <c r="L72" s="120">
        <v>84</v>
      </c>
      <c r="M72" s="172">
        <v>9.1</v>
      </c>
      <c r="N72" s="119">
        <v>2151</v>
      </c>
      <c r="O72" s="65">
        <v>40</v>
      </c>
      <c r="P72" s="21">
        <v>591.79999999999995</v>
      </c>
      <c r="Q72" s="175">
        <v>46.85</v>
      </c>
      <c r="R72" s="175">
        <v>397.2</v>
      </c>
      <c r="S72" s="175">
        <v>22.83</v>
      </c>
      <c r="T72" s="172">
        <v>8.5150000000000006</v>
      </c>
      <c r="U72" s="169">
        <v>0.2</v>
      </c>
      <c r="V72" s="130">
        <v>3.1E-2</v>
      </c>
      <c r="W72" s="177">
        <v>0.02</v>
      </c>
      <c r="X72" s="130">
        <v>9.0999999999999998E-2</v>
      </c>
      <c r="Y72" s="177">
        <v>0.04</v>
      </c>
      <c r="Z72" s="172">
        <v>6.3849999999999998</v>
      </c>
      <c r="AA72" s="120"/>
      <c r="AB72" s="25">
        <f t="shared" si="52"/>
        <v>51.372818430709749</v>
      </c>
      <c r="AC72" s="25">
        <f t="shared" si="4"/>
        <v>50.878586102441112</v>
      </c>
      <c r="AD72" s="25">
        <f t="shared" si="5"/>
        <v>0.4833501608365709</v>
      </c>
      <c r="AF72" s="101">
        <v>7.56</v>
      </c>
      <c r="AG72" s="101">
        <v>-0.297516</v>
      </c>
      <c r="AH72" s="101">
        <v>0.76390000000000002</v>
      </c>
      <c r="AI72" s="101">
        <v>3.8999999999999998E-3</v>
      </c>
      <c r="AJ72" s="101">
        <v>-0.24529999999999999</v>
      </c>
      <c r="AK72" s="101">
        <v>-2.2639999999999998</v>
      </c>
      <c r="AL72" s="101">
        <v>0.26340000000000002</v>
      </c>
      <c r="AM72" s="101">
        <v>-1.1451</v>
      </c>
      <c r="AN72" s="101">
        <v>-1.3353999999999999</v>
      </c>
      <c r="AO72" s="101">
        <v>-1.1006</v>
      </c>
      <c r="AQ72" s="50">
        <f t="shared" ref="AQ72:AQ84" si="62">K72/1000</f>
        <v>0.154</v>
      </c>
      <c r="AR72" s="50">
        <f t="shared" ref="AR72:AR84" si="63">AT72/$AS$6</f>
        <v>2.3568497409326437</v>
      </c>
      <c r="AS72" s="50">
        <f t="shared" ref="AS72:AS84" si="64">(AQ72-$AQ$62)*0.096</f>
        <v>5.9280000000000001E-3</v>
      </c>
      <c r="AT72" s="50">
        <f t="shared" ref="AT72:AT84" si="65">AT71-AS72</f>
        <v>0.95523120000000039</v>
      </c>
      <c r="AU72" s="50">
        <f t="shared" ref="AU72:AU84" si="66">AR72/AQ72</f>
        <v>15.304219096965218</v>
      </c>
      <c r="AV72" s="153">
        <f t="shared" si="13"/>
        <v>49</v>
      </c>
    </row>
    <row r="73" spans="1:48" s="101" customFormat="1" x14ac:dyDescent="0.35">
      <c r="A73" s="119">
        <v>20</v>
      </c>
      <c r="B73" s="198"/>
      <c r="C73" s="119">
        <v>51</v>
      </c>
      <c r="D73" s="122">
        <v>96</v>
      </c>
      <c r="E73" s="12">
        <f t="shared" si="57"/>
        <v>4896</v>
      </c>
      <c r="F73" s="25">
        <f t="shared" si="3"/>
        <v>1</v>
      </c>
      <c r="G73" s="25">
        <f t="shared" si="58"/>
        <v>51</v>
      </c>
      <c r="H73" s="120">
        <v>7.53</v>
      </c>
      <c r="I73" s="120">
        <v>4000</v>
      </c>
      <c r="J73" s="165">
        <v>194.6</v>
      </c>
      <c r="K73" s="120">
        <v>147</v>
      </c>
      <c r="L73" s="120">
        <v>84</v>
      </c>
      <c r="M73" s="172">
        <v>8.6999999999999993</v>
      </c>
      <c r="N73" s="119">
        <v>2160</v>
      </c>
      <c r="O73" s="65">
        <v>42</v>
      </c>
      <c r="P73" s="21">
        <v>608.20000000000005</v>
      </c>
      <c r="Q73" s="175">
        <v>50.13</v>
      </c>
      <c r="R73" s="175">
        <v>413.7</v>
      </c>
      <c r="S73" s="175">
        <v>23.38</v>
      </c>
      <c r="T73" s="172">
        <v>8.1980000000000004</v>
      </c>
      <c r="U73" s="169">
        <v>0.2</v>
      </c>
      <c r="V73" s="103">
        <v>3.5999999999999997E-2</v>
      </c>
      <c r="W73" s="81">
        <v>0.02</v>
      </c>
      <c r="X73" s="27">
        <v>9.4E-2</v>
      </c>
      <c r="Y73" s="81">
        <v>0.04</v>
      </c>
      <c r="Z73" s="172">
        <v>6.3630000000000004</v>
      </c>
      <c r="AA73" s="120"/>
      <c r="AB73" s="25">
        <f t="shared" si="52"/>
        <v>51.373749703502966</v>
      </c>
      <c r="AC73" s="25">
        <f t="shared" si="4"/>
        <v>52.676282150401967</v>
      </c>
      <c r="AD73" s="25">
        <f t="shared" si="5"/>
        <v>1.2518328189729599</v>
      </c>
      <c r="AF73" s="101">
        <v>7.53</v>
      </c>
      <c r="AG73" s="101">
        <v>2.0560900000000002</v>
      </c>
      <c r="AH73" s="101">
        <v>0.72609999999999997</v>
      </c>
      <c r="AI73" s="101">
        <v>1.26E-2</v>
      </c>
      <c r="AJ73" s="101">
        <v>-0.23649999999999999</v>
      </c>
      <c r="AK73" s="101">
        <v>-2.2545999999999999</v>
      </c>
      <c r="AL73" s="101">
        <v>0.2046</v>
      </c>
      <c r="AM73" s="101">
        <v>-1.1830000000000001</v>
      </c>
      <c r="AN73" s="101">
        <v>-1.2594000000000001</v>
      </c>
      <c r="AO73" s="101">
        <v>-1.1214</v>
      </c>
      <c r="AQ73" s="50">
        <f t="shared" si="62"/>
        <v>0.14699999999999999</v>
      </c>
      <c r="AR73" s="50">
        <f t="shared" si="63"/>
        <v>2.3438815692079951</v>
      </c>
      <c r="AS73" s="50">
        <f t="shared" si="64"/>
        <v>5.2559999999999994E-3</v>
      </c>
      <c r="AT73" s="50">
        <f t="shared" si="65"/>
        <v>0.94997520000000035</v>
      </c>
      <c r="AU73" s="50">
        <f t="shared" si="66"/>
        <v>15.944772579646227</v>
      </c>
      <c r="AV73" s="153">
        <f t="shared" si="13"/>
        <v>50</v>
      </c>
    </row>
    <row r="74" spans="1:48" s="101" customFormat="1" x14ac:dyDescent="0.35">
      <c r="A74" s="119">
        <v>20</v>
      </c>
      <c r="B74" s="198"/>
      <c r="C74" s="120">
        <v>52</v>
      </c>
      <c r="D74" s="122">
        <v>96</v>
      </c>
      <c r="E74" s="12">
        <f t="shared" si="57"/>
        <v>4992</v>
      </c>
      <c r="F74" s="25">
        <f t="shared" si="3"/>
        <v>1</v>
      </c>
      <c r="G74" s="25">
        <f t="shared" si="58"/>
        <v>52</v>
      </c>
      <c r="H74" s="120">
        <v>7.45</v>
      </c>
      <c r="I74" s="120">
        <v>4010</v>
      </c>
      <c r="J74" s="165">
        <v>199.2</v>
      </c>
      <c r="K74" s="120">
        <v>147</v>
      </c>
      <c r="L74" s="120">
        <v>84</v>
      </c>
      <c r="M74" s="172">
        <v>9.1999999999999993</v>
      </c>
      <c r="N74" s="119">
        <v>2170</v>
      </c>
      <c r="O74" s="65">
        <v>41</v>
      </c>
      <c r="P74" s="21">
        <v>598.5</v>
      </c>
      <c r="Q74" s="175">
        <v>50.59</v>
      </c>
      <c r="R74" s="175">
        <v>404.5</v>
      </c>
      <c r="S74" s="175">
        <v>23.34</v>
      </c>
      <c r="T74" s="172">
        <v>8.0269999999999992</v>
      </c>
      <c r="U74" s="169">
        <v>0.2</v>
      </c>
      <c r="V74" s="103">
        <v>2.9000000000000001E-2</v>
      </c>
      <c r="W74" s="81">
        <v>0.02</v>
      </c>
      <c r="X74" s="27">
        <v>9.8000000000000004E-2</v>
      </c>
      <c r="Y74" s="81">
        <v>0.04</v>
      </c>
      <c r="Z74" s="172">
        <v>6.2249999999999996</v>
      </c>
      <c r="AA74" s="120"/>
      <c r="AB74" s="25">
        <f t="shared" si="52"/>
        <v>51.682017425961376</v>
      </c>
      <c r="AC74" s="25">
        <f t="shared" si="4"/>
        <v>51.825531771417374</v>
      </c>
      <c r="AD74" s="25">
        <f t="shared" si="5"/>
        <v>0.13865109025268285</v>
      </c>
      <c r="AF74" s="101">
        <v>7.45</v>
      </c>
      <c r="AG74" s="101">
        <v>0.54450900000000002</v>
      </c>
      <c r="AH74" s="101">
        <v>0.65</v>
      </c>
      <c r="AI74" s="101">
        <v>8.6999999999999994E-3</v>
      </c>
      <c r="AJ74" s="101">
        <v>-0.24049999999999999</v>
      </c>
      <c r="AK74" s="101">
        <v>-2.1621000000000001</v>
      </c>
      <c r="AL74" s="101">
        <v>6.3799999999999996E-2</v>
      </c>
      <c r="AM74" s="101">
        <v>-1.2331000000000001</v>
      </c>
      <c r="AN74" s="101">
        <v>-1.3614999999999999</v>
      </c>
      <c r="AO74" s="101">
        <v>-1.1861999999999999</v>
      </c>
      <c r="AQ74" s="50">
        <f t="shared" si="62"/>
        <v>0.14699999999999999</v>
      </c>
      <c r="AR74" s="50">
        <f t="shared" si="63"/>
        <v>2.3309133974833465</v>
      </c>
      <c r="AS74" s="50">
        <f t="shared" si="64"/>
        <v>5.2559999999999994E-3</v>
      </c>
      <c r="AT74" s="50">
        <f t="shared" si="65"/>
        <v>0.94471920000000031</v>
      </c>
      <c r="AU74" s="50">
        <f t="shared" si="66"/>
        <v>15.856553724376507</v>
      </c>
      <c r="AV74" s="153">
        <f t="shared" si="13"/>
        <v>51</v>
      </c>
    </row>
    <row r="75" spans="1:48" s="101" customFormat="1" x14ac:dyDescent="0.35">
      <c r="A75" s="119">
        <v>20</v>
      </c>
      <c r="B75" s="198"/>
      <c r="C75" s="120">
        <v>53</v>
      </c>
      <c r="D75" s="122">
        <v>96</v>
      </c>
      <c r="E75" s="12">
        <f t="shared" si="57"/>
        <v>5088</v>
      </c>
      <c r="F75" s="25">
        <f t="shared" si="3"/>
        <v>1</v>
      </c>
      <c r="G75" s="25">
        <f t="shared" si="58"/>
        <v>53</v>
      </c>
      <c r="H75" s="120">
        <v>7.89</v>
      </c>
      <c r="I75" s="120">
        <v>4040</v>
      </c>
      <c r="J75" s="165">
        <v>210.4</v>
      </c>
      <c r="K75" s="120">
        <v>143</v>
      </c>
      <c r="L75" s="120">
        <v>85</v>
      </c>
      <c r="M75" s="172">
        <v>9</v>
      </c>
      <c r="N75" s="119">
        <v>2139</v>
      </c>
      <c r="O75" s="65">
        <v>41</v>
      </c>
      <c r="P75" s="21">
        <v>593.6</v>
      </c>
      <c r="Q75" s="175">
        <v>52.07</v>
      </c>
      <c r="R75" s="175">
        <v>416.4</v>
      </c>
      <c r="S75" s="175">
        <v>24.55</v>
      </c>
      <c r="T75" s="172">
        <v>9.2370000000000001</v>
      </c>
      <c r="U75" s="169">
        <v>0.2</v>
      </c>
      <c r="V75" s="103">
        <v>2.7E-2</v>
      </c>
      <c r="W75" s="81">
        <v>0.02</v>
      </c>
      <c r="X75" s="27">
        <v>9.9000000000000005E-2</v>
      </c>
      <c r="Y75" s="81">
        <v>0.04</v>
      </c>
      <c r="Z75" s="172">
        <v>6.1920000000000002</v>
      </c>
      <c r="AA75" s="120"/>
      <c r="AB75" s="25">
        <f t="shared" si="52"/>
        <v>51.285570424599555</v>
      </c>
      <c r="AC75" s="25">
        <f t="shared" si="4"/>
        <v>52.251293966186289</v>
      </c>
      <c r="AD75" s="25">
        <f t="shared" si="5"/>
        <v>0.93273400471327872</v>
      </c>
      <c r="AF75" s="101">
        <v>7.89</v>
      </c>
      <c r="AG75" s="101">
        <v>1.6191899999999999</v>
      </c>
      <c r="AH75" s="101">
        <v>1.0978000000000001</v>
      </c>
      <c r="AI75" s="101">
        <v>0</v>
      </c>
      <c r="AJ75" s="101">
        <v>-0.2492</v>
      </c>
      <c r="AK75" s="101">
        <v>-2.5918000000000001</v>
      </c>
      <c r="AL75" s="101">
        <v>0.9758</v>
      </c>
      <c r="AM75" s="101">
        <v>-0.77680000000000005</v>
      </c>
      <c r="AN75" s="101">
        <v>-1.3947000000000001</v>
      </c>
      <c r="AO75" s="101">
        <v>-0.72199999999999998</v>
      </c>
      <c r="AQ75" s="50">
        <f t="shared" si="62"/>
        <v>0.14299999999999999</v>
      </c>
      <c r="AR75" s="50">
        <f t="shared" si="63"/>
        <v>2.3188926720947456</v>
      </c>
      <c r="AS75" s="50">
        <f t="shared" si="64"/>
        <v>4.8719999999999987E-3</v>
      </c>
      <c r="AT75" s="50">
        <f t="shared" si="65"/>
        <v>0.93984720000000033</v>
      </c>
      <c r="AU75" s="50">
        <f t="shared" si="66"/>
        <v>16.216032671991229</v>
      </c>
      <c r="AV75" s="153">
        <f t="shared" si="13"/>
        <v>52</v>
      </c>
    </row>
    <row r="76" spans="1:48" s="101" customFormat="1" x14ac:dyDescent="0.35">
      <c r="A76" s="119">
        <v>20</v>
      </c>
      <c r="B76" s="198"/>
      <c r="C76" s="119">
        <v>54</v>
      </c>
      <c r="D76" s="122">
        <v>96</v>
      </c>
      <c r="E76" s="12">
        <f t="shared" si="57"/>
        <v>5184</v>
      </c>
      <c r="F76" s="25">
        <f t="shared" si="3"/>
        <v>1</v>
      </c>
      <c r="G76" s="25">
        <f t="shared" si="58"/>
        <v>54</v>
      </c>
      <c r="H76" s="120">
        <v>7.84</v>
      </c>
      <c r="I76" s="120">
        <v>4040</v>
      </c>
      <c r="J76" s="165">
        <v>209.6</v>
      </c>
      <c r="K76" s="120">
        <v>139</v>
      </c>
      <c r="L76" s="120">
        <v>85</v>
      </c>
      <c r="M76" s="172">
        <v>9.4</v>
      </c>
      <c r="N76" s="119">
        <v>2132</v>
      </c>
      <c r="O76" s="65">
        <v>45</v>
      </c>
      <c r="P76" s="21">
        <v>594.1</v>
      </c>
      <c r="Q76" s="175">
        <v>51.62</v>
      </c>
      <c r="R76" s="175">
        <v>415.5</v>
      </c>
      <c r="S76" s="175">
        <v>24.18</v>
      </c>
      <c r="T76" s="172">
        <v>8.5269999999999992</v>
      </c>
      <c r="U76" s="169">
        <v>0.2</v>
      </c>
      <c r="V76" s="103">
        <v>2.4E-2</v>
      </c>
      <c r="W76" s="81">
        <v>0.02</v>
      </c>
      <c r="X76" s="27">
        <v>0.10299999999999999</v>
      </c>
      <c r="Y76" s="81">
        <v>0.04</v>
      </c>
      <c r="Z76" s="172">
        <v>6.202</v>
      </c>
      <c r="AA76" s="120"/>
      <c r="AB76" s="25">
        <f t="shared" si="52"/>
        <v>51.130279793072219</v>
      </c>
      <c r="AC76" s="25">
        <f t="shared" si="4"/>
        <v>52.181931463848983</v>
      </c>
      <c r="AD76" s="25">
        <f t="shared" si="5"/>
        <v>1.0179354966679317</v>
      </c>
      <c r="AF76" s="101">
        <v>7.84</v>
      </c>
      <c r="AG76" s="101">
        <v>1.74472</v>
      </c>
      <c r="AH76" s="101">
        <v>1.0497000000000001</v>
      </c>
      <c r="AI76" s="101">
        <v>-2.0000000000000001E-4</v>
      </c>
      <c r="AJ76" s="101">
        <v>-0.24940000000000001</v>
      </c>
      <c r="AK76" s="101">
        <v>-2.5411999999999999</v>
      </c>
      <c r="AL76" s="101">
        <v>0.87529999999999997</v>
      </c>
      <c r="AM76" s="101">
        <v>-0.80820000000000003</v>
      </c>
      <c r="AN76" s="101">
        <v>-1.4442999999999999</v>
      </c>
      <c r="AO76" s="101">
        <v>-0.77439999999999998</v>
      </c>
      <c r="AQ76" s="50">
        <f t="shared" si="62"/>
        <v>0.13900000000000001</v>
      </c>
      <c r="AR76" s="50">
        <f t="shared" si="63"/>
        <v>2.3078193930421915</v>
      </c>
      <c r="AS76" s="50">
        <f t="shared" si="64"/>
        <v>4.4880000000000015E-3</v>
      </c>
      <c r="AT76" s="50">
        <f t="shared" si="65"/>
        <v>0.93535920000000028</v>
      </c>
      <c r="AU76" s="50">
        <f t="shared" si="66"/>
        <v>16.603017216130873</v>
      </c>
      <c r="AV76" s="153">
        <f t="shared" si="13"/>
        <v>53</v>
      </c>
    </row>
    <row r="77" spans="1:48" s="101" customFormat="1" x14ac:dyDescent="0.35">
      <c r="A77" s="119">
        <v>20</v>
      </c>
      <c r="B77" s="198"/>
      <c r="C77" s="120">
        <v>55</v>
      </c>
      <c r="D77" s="122">
        <v>96</v>
      </c>
      <c r="E77" s="12">
        <f t="shared" si="57"/>
        <v>5280</v>
      </c>
      <c r="F77" s="25">
        <f t="shared" si="3"/>
        <v>1</v>
      </c>
      <c r="G77" s="25">
        <f t="shared" si="58"/>
        <v>55</v>
      </c>
      <c r="H77" s="120">
        <v>7.83</v>
      </c>
      <c r="I77" s="120">
        <v>4040</v>
      </c>
      <c r="J77" s="165">
        <v>207</v>
      </c>
      <c r="K77" s="120">
        <v>135</v>
      </c>
      <c r="L77" s="120">
        <v>85</v>
      </c>
      <c r="M77" s="172">
        <v>8.8000000000000007</v>
      </c>
      <c r="N77" s="119">
        <v>2123</v>
      </c>
      <c r="O77" s="65">
        <v>39</v>
      </c>
      <c r="P77" s="21">
        <v>595.79999999999995</v>
      </c>
      <c r="Q77" s="175">
        <v>52.69</v>
      </c>
      <c r="R77" s="175">
        <v>410.4</v>
      </c>
      <c r="S77" s="175">
        <v>24.57</v>
      </c>
      <c r="T77" s="172">
        <v>8.843</v>
      </c>
      <c r="U77" s="169">
        <v>0.2</v>
      </c>
      <c r="V77" s="81">
        <v>0.02</v>
      </c>
      <c r="W77" s="81">
        <v>0.02</v>
      </c>
      <c r="X77" s="27">
        <v>0.10299999999999999</v>
      </c>
      <c r="Y77" s="81">
        <v>0.04</v>
      </c>
      <c r="Z77" s="172">
        <v>5.8849999999999998</v>
      </c>
      <c r="AA77" s="120"/>
      <c r="AB77" s="25">
        <f t="shared" si="52"/>
        <v>50.881219488020932</v>
      </c>
      <c r="AC77" s="25">
        <f t="shared" si="4"/>
        <v>52.141001484967944</v>
      </c>
      <c r="AD77" s="25">
        <f t="shared" si="5"/>
        <v>1.2228255079817307</v>
      </c>
      <c r="AF77" s="101">
        <v>7.83</v>
      </c>
      <c r="AG77" s="101">
        <v>2.00481</v>
      </c>
      <c r="AH77" s="101">
        <v>1.0369999999999999</v>
      </c>
      <c r="AI77" s="101">
        <v>-1E-4</v>
      </c>
      <c r="AJ77" s="101">
        <v>-0.24929999999999999</v>
      </c>
      <c r="AK77" s="101">
        <v>-2.5363000000000002</v>
      </c>
      <c r="AL77" s="101">
        <v>0.85740000000000005</v>
      </c>
      <c r="AM77" s="101">
        <v>-0.82210000000000005</v>
      </c>
      <c r="AN77" s="101">
        <v>-1.5206999999999999</v>
      </c>
      <c r="AO77" s="101">
        <v>-0.77959999999999996</v>
      </c>
      <c r="AQ77" s="50">
        <f t="shared" si="62"/>
        <v>0.13500000000000001</v>
      </c>
      <c r="AR77" s="50">
        <f t="shared" si="63"/>
        <v>2.2976935603256856</v>
      </c>
      <c r="AS77" s="50">
        <f t="shared" si="64"/>
        <v>4.1040000000000009E-3</v>
      </c>
      <c r="AT77" s="50">
        <f t="shared" si="65"/>
        <v>0.93125520000000028</v>
      </c>
      <c r="AU77" s="50">
        <f t="shared" si="66"/>
        <v>17.01995229870878</v>
      </c>
      <c r="AV77" s="153">
        <f t="shared" si="13"/>
        <v>54</v>
      </c>
    </row>
    <row r="78" spans="1:48" s="101" customFormat="1" x14ac:dyDescent="0.35">
      <c r="A78" s="119">
        <v>20</v>
      </c>
      <c r="B78" s="198"/>
      <c r="C78" s="120">
        <v>56</v>
      </c>
      <c r="D78" s="122">
        <v>96</v>
      </c>
      <c r="E78" s="12">
        <f t="shared" si="57"/>
        <v>5376</v>
      </c>
      <c r="F78" s="25">
        <f t="shared" si="3"/>
        <v>1</v>
      </c>
      <c r="G78" s="25">
        <f t="shared" si="58"/>
        <v>56</v>
      </c>
      <c r="H78" s="120">
        <v>7.79</v>
      </c>
      <c r="I78" s="120">
        <v>4020</v>
      </c>
      <c r="J78" s="165">
        <v>207.2</v>
      </c>
      <c r="K78" s="120">
        <v>131</v>
      </c>
      <c r="L78" s="120">
        <v>89</v>
      </c>
      <c r="M78" s="172">
        <v>8.9</v>
      </c>
      <c r="N78" s="119">
        <v>2069</v>
      </c>
      <c r="O78" s="65">
        <v>38</v>
      </c>
      <c r="P78" s="21">
        <v>586.20000000000005</v>
      </c>
      <c r="Q78" s="175">
        <v>54.76</v>
      </c>
      <c r="R78" s="175">
        <v>423.3</v>
      </c>
      <c r="S78" s="175">
        <v>24.69</v>
      </c>
      <c r="T78" s="172">
        <v>8.6929999999999996</v>
      </c>
      <c r="U78" s="169">
        <v>0.2</v>
      </c>
      <c r="V78" s="81">
        <v>0.02</v>
      </c>
      <c r="W78" s="81">
        <v>0.02</v>
      </c>
      <c r="X78" s="27">
        <v>0.10199999999999999</v>
      </c>
      <c r="Y78" s="81">
        <v>0.04</v>
      </c>
      <c r="Z78" s="172">
        <v>5.7</v>
      </c>
      <c r="AA78" s="120"/>
      <c r="AB78" s="25">
        <f t="shared" si="52"/>
        <v>49.875370055911546</v>
      </c>
      <c r="AC78" s="25">
        <f t="shared" si="4"/>
        <v>52.389467042443336</v>
      </c>
      <c r="AD78" s="25">
        <f t="shared" si="5"/>
        <v>2.4584178275410697</v>
      </c>
      <c r="AF78" s="101">
        <v>7.79</v>
      </c>
      <c r="AG78" s="101">
        <v>3.6674899999999999</v>
      </c>
      <c r="AH78" s="101">
        <v>0.997</v>
      </c>
      <c r="AI78" s="101">
        <v>-1.34E-2</v>
      </c>
      <c r="AJ78" s="101">
        <v>-0.26250000000000001</v>
      </c>
      <c r="AK78" s="101">
        <v>-2.4941</v>
      </c>
      <c r="AL78" s="101">
        <v>0.80059999999999998</v>
      </c>
      <c r="AM78" s="101">
        <v>-0.86</v>
      </c>
      <c r="AN78" s="101">
        <v>-1.522</v>
      </c>
      <c r="AO78" s="101">
        <v>-0.7964</v>
      </c>
      <c r="AQ78" s="50">
        <f t="shared" si="62"/>
        <v>0.13100000000000001</v>
      </c>
      <c r="AR78" s="50">
        <f t="shared" si="63"/>
        <v>2.2885151739452265</v>
      </c>
      <c r="AS78" s="50">
        <f t="shared" si="64"/>
        <v>3.7200000000000006E-3</v>
      </c>
      <c r="AT78" s="50">
        <f t="shared" si="65"/>
        <v>0.92753520000000034</v>
      </c>
      <c r="AU78" s="50">
        <f t="shared" si="66"/>
        <v>17.469581480497911</v>
      </c>
      <c r="AV78" s="153">
        <f t="shared" si="13"/>
        <v>55</v>
      </c>
    </row>
    <row r="79" spans="1:48" s="101" customFormat="1" x14ac:dyDescent="0.35">
      <c r="A79" s="119">
        <v>20</v>
      </c>
      <c r="B79" s="198"/>
      <c r="C79" s="119">
        <v>57</v>
      </c>
      <c r="D79" s="122">
        <v>96</v>
      </c>
      <c r="E79" s="12">
        <f t="shared" si="57"/>
        <v>5472</v>
      </c>
      <c r="F79" s="25">
        <f t="shared" si="3"/>
        <v>1</v>
      </c>
      <c r="G79" s="25">
        <f t="shared" si="58"/>
        <v>57</v>
      </c>
      <c r="H79" s="120">
        <v>7.75</v>
      </c>
      <c r="I79" s="120">
        <v>4020</v>
      </c>
      <c r="J79" s="165">
        <v>206.4</v>
      </c>
      <c r="K79" s="120">
        <v>125</v>
      </c>
      <c r="L79" s="120">
        <v>85</v>
      </c>
      <c r="M79" s="172">
        <v>9.1</v>
      </c>
      <c r="N79" s="119">
        <v>2124</v>
      </c>
      <c r="O79" s="65">
        <v>39</v>
      </c>
      <c r="P79" s="21">
        <v>603.70000000000005</v>
      </c>
      <c r="Q79" s="175">
        <v>53.19</v>
      </c>
      <c r="R79" s="175">
        <v>413.3</v>
      </c>
      <c r="S79" s="175">
        <v>24.42</v>
      </c>
      <c r="T79" s="172">
        <v>7.7809999999999997</v>
      </c>
      <c r="U79" s="169">
        <v>0.2</v>
      </c>
      <c r="V79" s="81">
        <v>0.02</v>
      </c>
      <c r="W79" s="81">
        <v>0.02</v>
      </c>
      <c r="X79" s="27">
        <v>0.10199999999999999</v>
      </c>
      <c r="Y79" s="81">
        <v>0.04</v>
      </c>
      <c r="Z79" s="172">
        <v>5.5270000000000001</v>
      </c>
      <c r="AA79" s="120"/>
      <c r="AB79" s="25">
        <f t="shared" si="52"/>
        <v>50.894878518331296</v>
      </c>
      <c r="AC79" s="25">
        <f t="shared" si="4"/>
        <v>52.675312158330144</v>
      </c>
      <c r="AD79" s="25">
        <f t="shared" si="5"/>
        <v>1.7190599229050672</v>
      </c>
      <c r="AF79" s="101">
        <v>7.75</v>
      </c>
      <c r="AG79" s="101">
        <v>2.6777099999999998</v>
      </c>
      <c r="AH79" s="101">
        <v>0.96460000000000001</v>
      </c>
      <c r="AI79" s="101">
        <v>4.3E-3</v>
      </c>
      <c r="AJ79" s="101">
        <v>-0.24479999999999999</v>
      </c>
      <c r="AK79" s="101">
        <v>-2.4552</v>
      </c>
      <c r="AL79" s="101">
        <v>0.7107</v>
      </c>
      <c r="AM79" s="101">
        <v>-0.90549999999999997</v>
      </c>
      <c r="AN79" s="101">
        <v>-1.5147999999999999</v>
      </c>
      <c r="AO79" s="101">
        <v>-0.85389999999999999</v>
      </c>
      <c r="AQ79" s="50">
        <f t="shared" si="62"/>
        <v>0.125</v>
      </c>
      <c r="AR79" s="50">
        <f t="shared" si="63"/>
        <v>2.2807579570688388</v>
      </c>
      <c r="AS79" s="50">
        <f t="shared" si="64"/>
        <v>3.1440000000000001E-3</v>
      </c>
      <c r="AT79" s="50">
        <f t="shared" si="65"/>
        <v>0.9243912000000003</v>
      </c>
      <c r="AU79" s="50">
        <f t="shared" si="66"/>
        <v>18.24606365655071</v>
      </c>
      <c r="AV79" s="153">
        <f t="shared" si="13"/>
        <v>56</v>
      </c>
    </row>
    <row r="80" spans="1:48" s="101" customFormat="1" x14ac:dyDescent="0.35">
      <c r="A80" s="119">
        <v>20</v>
      </c>
      <c r="B80" s="198"/>
      <c r="C80" s="120">
        <v>58</v>
      </c>
      <c r="D80" s="122">
        <v>96</v>
      </c>
      <c r="E80" s="12">
        <f t="shared" si="57"/>
        <v>5568</v>
      </c>
      <c r="F80" s="25">
        <f t="shared" si="3"/>
        <v>1</v>
      </c>
      <c r="G80" s="25">
        <f t="shared" si="58"/>
        <v>58</v>
      </c>
      <c r="H80" s="120">
        <v>7.66</v>
      </c>
      <c r="I80" s="120">
        <v>4020</v>
      </c>
      <c r="J80" s="165">
        <v>207.2</v>
      </c>
      <c r="K80" s="120">
        <v>119</v>
      </c>
      <c r="L80" s="120">
        <v>85</v>
      </c>
      <c r="M80" s="175">
        <v>10</v>
      </c>
      <c r="N80" s="119">
        <v>2172</v>
      </c>
      <c r="O80" s="65">
        <v>40</v>
      </c>
      <c r="P80" s="21">
        <v>597.1</v>
      </c>
      <c r="Q80" s="175">
        <v>55.22</v>
      </c>
      <c r="R80" s="175">
        <v>434.3</v>
      </c>
      <c r="S80" s="175">
        <v>24.66</v>
      </c>
      <c r="T80" s="172">
        <v>8.4060000000000006</v>
      </c>
      <c r="U80" s="169">
        <v>0.2</v>
      </c>
      <c r="V80" s="81">
        <v>0.02</v>
      </c>
      <c r="W80" s="81">
        <v>0.02</v>
      </c>
      <c r="X80" s="27">
        <v>9.9000000000000005E-2</v>
      </c>
      <c r="Y80" s="81">
        <v>0.04</v>
      </c>
      <c r="Z80" s="172">
        <v>5.3159999999999998</v>
      </c>
      <c r="AA80" s="120"/>
      <c r="AB80" s="25">
        <f t="shared" si="52"/>
        <v>51.924770037744565</v>
      </c>
      <c r="AC80" s="25">
        <f t="shared" si="4"/>
        <v>53.442336911529296</v>
      </c>
      <c r="AD80" s="25">
        <f t="shared" si="5"/>
        <v>1.440266244109105</v>
      </c>
      <c r="AF80" s="101">
        <v>7.66</v>
      </c>
      <c r="AG80" s="101">
        <v>2.2964199999999999</v>
      </c>
      <c r="AH80" s="101">
        <v>0.86970000000000003</v>
      </c>
      <c r="AI80" s="101">
        <v>4.4999999999999997E-3</v>
      </c>
      <c r="AJ80" s="101">
        <v>-0.24460000000000001</v>
      </c>
      <c r="AK80" s="101">
        <v>-2.3605</v>
      </c>
      <c r="AL80" s="101">
        <v>0.5423</v>
      </c>
      <c r="AM80" s="101">
        <v>-1.0095000000000001</v>
      </c>
      <c r="AN80" s="101">
        <v>-1.5265</v>
      </c>
      <c r="AO80" s="101">
        <v>-0.9274</v>
      </c>
      <c r="AQ80" s="50">
        <f t="shared" si="62"/>
        <v>0.11899999999999999</v>
      </c>
      <c r="AR80" s="50">
        <f t="shared" si="63"/>
        <v>2.2744219096965219</v>
      </c>
      <c r="AS80" s="50">
        <f t="shared" si="64"/>
        <v>2.5679999999999995E-3</v>
      </c>
      <c r="AT80" s="50">
        <f t="shared" si="65"/>
        <v>0.92182320000000029</v>
      </c>
      <c r="AU80" s="50">
        <f t="shared" si="66"/>
        <v>19.112789157113632</v>
      </c>
      <c r="AV80" s="153">
        <f t="shared" si="13"/>
        <v>57</v>
      </c>
    </row>
    <row r="81" spans="1:48" s="101" customFormat="1" x14ac:dyDescent="0.35">
      <c r="A81" s="119">
        <v>20</v>
      </c>
      <c r="B81" s="198"/>
      <c r="C81" s="120">
        <v>59</v>
      </c>
      <c r="D81" s="122">
        <v>96</v>
      </c>
      <c r="E81" s="12">
        <f t="shared" si="57"/>
        <v>5664</v>
      </c>
      <c r="F81" s="25">
        <f t="shared" si="3"/>
        <v>1</v>
      </c>
      <c r="G81" s="25">
        <f t="shared" si="58"/>
        <v>59</v>
      </c>
      <c r="H81" s="120">
        <v>7.69</v>
      </c>
      <c r="I81" s="120">
        <v>4010</v>
      </c>
      <c r="J81" s="165">
        <v>208.2</v>
      </c>
      <c r="K81" s="120">
        <v>129</v>
      </c>
      <c r="L81" s="120">
        <v>85</v>
      </c>
      <c r="M81" s="172">
        <v>8.9</v>
      </c>
      <c r="N81" s="119">
        <v>2187</v>
      </c>
      <c r="O81" s="65">
        <v>31</v>
      </c>
      <c r="P81" s="21">
        <v>591.4</v>
      </c>
      <c r="Q81" s="175">
        <v>55.51</v>
      </c>
      <c r="R81" s="175">
        <v>416.8</v>
      </c>
      <c r="S81" s="175">
        <v>23.71</v>
      </c>
      <c r="T81" s="172">
        <v>7.9180000000000001</v>
      </c>
      <c r="U81" s="169">
        <v>0.2</v>
      </c>
      <c r="V81" s="81">
        <v>0.02</v>
      </c>
      <c r="W81" s="81">
        <v>0.02</v>
      </c>
      <c r="X81" s="27">
        <v>9.9000000000000005E-2</v>
      </c>
      <c r="Y81" s="81">
        <v>0.04</v>
      </c>
      <c r="Z81" s="172">
        <v>5.0890000000000004</v>
      </c>
      <c r="AA81" s="120"/>
      <c r="AB81" s="25">
        <f t="shared" si="52"/>
        <v>52.239332911754758</v>
      </c>
      <c r="AC81" s="25">
        <f t="shared" si="4"/>
        <v>52.408073117634885</v>
      </c>
      <c r="AD81" s="25">
        <f t="shared" si="5"/>
        <v>0.16124642958922181</v>
      </c>
      <c r="AF81" s="101">
        <v>7.69</v>
      </c>
      <c r="AG81" s="101">
        <v>0.53098100000000004</v>
      </c>
      <c r="AH81" s="101">
        <v>0.89570000000000005</v>
      </c>
      <c r="AI81" s="101">
        <v>3.8999999999999998E-3</v>
      </c>
      <c r="AJ81" s="101">
        <v>-0.24529999999999999</v>
      </c>
      <c r="AK81" s="101">
        <v>-2.3885999999999998</v>
      </c>
      <c r="AL81" s="101">
        <v>0.60099999999999998</v>
      </c>
      <c r="AM81" s="101">
        <v>-0.97809999999999997</v>
      </c>
      <c r="AN81" s="101">
        <v>-1.5319</v>
      </c>
      <c r="AO81" s="101">
        <v>-0.89470000000000005</v>
      </c>
      <c r="AQ81" s="50">
        <f t="shared" si="62"/>
        <v>0.129</v>
      </c>
      <c r="AR81" s="50">
        <f t="shared" si="63"/>
        <v>2.2657172464840865</v>
      </c>
      <c r="AS81" s="50">
        <f t="shared" si="64"/>
        <v>3.5280000000000008E-3</v>
      </c>
      <c r="AT81" s="50">
        <f t="shared" si="65"/>
        <v>0.91829520000000031</v>
      </c>
      <c r="AU81" s="50">
        <f t="shared" si="66"/>
        <v>17.563699585147958</v>
      </c>
      <c r="AV81" s="153">
        <f t="shared" si="13"/>
        <v>58</v>
      </c>
    </row>
    <row r="82" spans="1:48" s="101" customFormat="1" x14ac:dyDescent="0.35">
      <c r="A82" s="119">
        <v>20</v>
      </c>
      <c r="B82" s="198"/>
      <c r="C82" s="119">
        <v>60</v>
      </c>
      <c r="D82" s="122">
        <v>96</v>
      </c>
      <c r="E82" s="12">
        <f t="shared" si="57"/>
        <v>5760</v>
      </c>
      <c r="F82" s="25">
        <f t="shared" si="3"/>
        <v>1</v>
      </c>
      <c r="G82" s="25">
        <f t="shared" si="58"/>
        <v>60</v>
      </c>
      <c r="H82" s="120">
        <v>7.56</v>
      </c>
      <c r="I82" s="120">
        <v>4000</v>
      </c>
      <c r="J82" s="165">
        <v>207.6</v>
      </c>
      <c r="K82" s="120">
        <v>121</v>
      </c>
      <c r="L82" s="120">
        <v>85</v>
      </c>
      <c r="M82" s="172">
        <v>8.8000000000000007</v>
      </c>
      <c r="N82" s="119">
        <v>2159</v>
      </c>
      <c r="O82" s="65">
        <v>42</v>
      </c>
      <c r="P82" s="21">
        <v>584.6</v>
      </c>
      <c r="Q82" s="21">
        <v>52.17</v>
      </c>
      <c r="R82" s="21">
        <v>479.8</v>
      </c>
      <c r="S82" s="21">
        <v>22.84</v>
      </c>
      <c r="T82" s="18">
        <v>7.9409999999999998</v>
      </c>
      <c r="U82" s="169">
        <v>0.2</v>
      </c>
      <c r="V82" s="81">
        <v>0.02</v>
      </c>
      <c r="W82" s="81">
        <v>0.02</v>
      </c>
      <c r="X82" s="11">
        <v>0.1</v>
      </c>
      <c r="Y82" s="81">
        <v>0.04</v>
      </c>
      <c r="Z82" s="18">
        <v>6.0960000000000001</v>
      </c>
      <c r="AA82" s="120"/>
      <c r="AB82" s="25">
        <f t="shared" si="52"/>
        <v>51.642751030806693</v>
      </c>
      <c r="AC82" s="25">
        <f t="shared" si="4"/>
        <v>54.534990822089853</v>
      </c>
      <c r="AD82" s="25">
        <f t="shared" si="5"/>
        <v>2.7239605408920826</v>
      </c>
      <c r="AF82" s="101">
        <v>7.56</v>
      </c>
      <c r="AG82" s="101">
        <v>3.9927299999999999</v>
      </c>
      <c r="AH82" s="101">
        <v>0.76449999999999996</v>
      </c>
      <c r="AI82" s="101">
        <v>-6.1000000000000004E-3</v>
      </c>
      <c r="AJ82" s="101">
        <v>-0.25519999999999998</v>
      </c>
      <c r="AK82" s="101">
        <v>-2.2566999999999999</v>
      </c>
      <c r="AL82" s="101">
        <v>0.31619999999999998</v>
      </c>
      <c r="AM82" s="101">
        <v>-1.1024</v>
      </c>
      <c r="AN82" s="101">
        <v>-1.5364</v>
      </c>
      <c r="AO82" s="101">
        <v>-1.0483</v>
      </c>
      <c r="AQ82" s="50">
        <f t="shared" si="62"/>
        <v>0.121</v>
      </c>
      <c r="AR82" s="50">
        <f t="shared" si="63"/>
        <v>2.2589074759437464</v>
      </c>
      <c r="AS82" s="50">
        <f t="shared" si="64"/>
        <v>2.7599999999999999E-3</v>
      </c>
      <c r="AT82" s="50">
        <f t="shared" si="65"/>
        <v>0.91553520000000033</v>
      </c>
      <c r="AU82" s="50">
        <f t="shared" si="66"/>
        <v>18.668656825981376</v>
      </c>
      <c r="AV82" s="153">
        <f t="shared" si="13"/>
        <v>59</v>
      </c>
    </row>
    <row r="83" spans="1:48" x14ac:dyDescent="0.35">
      <c r="A83" s="119">
        <v>20</v>
      </c>
      <c r="B83" s="28"/>
      <c r="C83" s="120">
        <v>61</v>
      </c>
      <c r="D83" s="122">
        <v>96</v>
      </c>
      <c r="E83" s="12">
        <f t="shared" si="57"/>
        <v>5856</v>
      </c>
      <c r="F83" s="25">
        <f t="shared" si="3"/>
        <v>1</v>
      </c>
      <c r="G83" s="25">
        <f t="shared" si="58"/>
        <v>61</v>
      </c>
      <c r="H83" s="1">
        <v>7.56</v>
      </c>
      <c r="I83" s="1">
        <v>4000</v>
      </c>
      <c r="J83" s="165">
        <v>208.4</v>
      </c>
      <c r="K83" s="1">
        <v>118</v>
      </c>
      <c r="L83" s="1">
        <v>85</v>
      </c>
      <c r="M83" s="172">
        <v>9.1999999999999993</v>
      </c>
      <c r="N83" s="31">
        <v>2081</v>
      </c>
      <c r="O83" s="65">
        <v>40</v>
      </c>
      <c r="P83" s="21">
        <v>600.1</v>
      </c>
      <c r="Q83" s="175">
        <v>54.53</v>
      </c>
      <c r="R83" s="175">
        <v>416.2</v>
      </c>
      <c r="S83" s="175">
        <v>23.36</v>
      </c>
      <c r="T83" s="172">
        <v>7.3879999999999999</v>
      </c>
      <c r="U83" s="169">
        <v>0.2</v>
      </c>
      <c r="V83" s="81">
        <v>0.02</v>
      </c>
      <c r="W83" s="81">
        <v>0.02</v>
      </c>
      <c r="X83" s="11">
        <v>0.1</v>
      </c>
      <c r="Y83" s="81">
        <v>0.04</v>
      </c>
      <c r="Z83" s="18">
        <v>6.17</v>
      </c>
      <c r="AA83" s="1"/>
      <c r="AB83" s="25">
        <f t="shared" si="52"/>
        <v>50.041217634340775</v>
      </c>
      <c r="AC83" s="25">
        <f t="shared" si="4"/>
        <v>52.721959458076128</v>
      </c>
      <c r="AD83" s="25">
        <f t="shared" si="5"/>
        <v>2.6086599301270246</v>
      </c>
      <c r="AF83" s="101">
        <v>7.56</v>
      </c>
      <c r="AG83" s="101">
        <v>3.9044599999999998</v>
      </c>
      <c r="AH83" s="101">
        <v>0.78610000000000002</v>
      </c>
      <c r="AI83" s="101">
        <v>-3.2000000000000002E-3</v>
      </c>
      <c r="AJ83" s="101">
        <v>-0.25240000000000001</v>
      </c>
      <c r="AK83" s="101">
        <v>-2.2555000000000001</v>
      </c>
      <c r="AL83" s="101">
        <v>0.36649999999999999</v>
      </c>
      <c r="AM83" s="101">
        <v>-1.0907</v>
      </c>
      <c r="AN83" s="101">
        <v>-1.5122</v>
      </c>
      <c r="AO83" s="101">
        <v>-1.0195000000000001</v>
      </c>
      <c r="AQ83" s="50">
        <f t="shared" si="62"/>
        <v>0.11799999999999999</v>
      </c>
      <c r="AR83" s="50">
        <f t="shared" si="63"/>
        <v>2.2528082901554414</v>
      </c>
      <c r="AS83" s="50">
        <f t="shared" si="64"/>
        <v>2.4719999999999994E-3</v>
      </c>
      <c r="AT83" s="50">
        <f t="shared" si="65"/>
        <v>0.9130632000000003</v>
      </c>
      <c r="AU83" s="50">
        <f t="shared" si="66"/>
        <v>19.091595679283401</v>
      </c>
      <c r="AV83" s="153">
        <f t="shared" si="13"/>
        <v>60</v>
      </c>
    </row>
    <row r="84" spans="1:48" x14ac:dyDescent="0.35">
      <c r="A84" s="119">
        <v>20</v>
      </c>
      <c r="B84" s="28"/>
      <c r="C84" s="120">
        <v>62</v>
      </c>
      <c r="D84" s="122">
        <v>96</v>
      </c>
      <c r="E84" s="12">
        <f t="shared" si="57"/>
        <v>5952</v>
      </c>
      <c r="F84" s="25">
        <f t="shared" si="3"/>
        <v>1</v>
      </c>
      <c r="G84" s="25">
        <f t="shared" si="58"/>
        <v>62</v>
      </c>
      <c r="H84" s="31">
        <v>7.59</v>
      </c>
      <c r="I84" s="31">
        <v>4010</v>
      </c>
      <c r="J84" s="12">
        <v>207.4</v>
      </c>
      <c r="K84" s="31">
        <v>117</v>
      </c>
      <c r="L84" s="31">
        <v>85</v>
      </c>
      <c r="M84" s="172">
        <v>8.6</v>
      </c>
      <c r="N84" s="31">
        <v>2132</v>
      </c>
      <c r="O84" s="27">
        <v>39</v>
      </c>
      <c r="P84" s="21">
        <v>600.79999999999995</v>
      </c>
      <c r="Q84" s="21">
        <v>54.77</v>
      </c>
      <c r="R84" s="21">
        <v>421.1</v>
      </c>
      <c r="S84" s="21">
        <v>23.56</v>
      </c>
      <c r="T84" s="18">
        <v>7.9630000000000001</v>
      </c>
      <c r="U84" s="169">
        <v>0.2</v>
      </c>
      <c r="V84" s="81">
        <v>0.02</v>
      </c>
      <c r="W84" s="81">
        <v>0.02</v>
      </c>
      <c r="X84" s="11">
        <v>0.107</v>
      </c>
      <c r="Y84" s="81">
        <v>0.04</v>
      </c>
      <c r="Z84" s="18">
        <v>6.0570000000000004</v>
      </c>
      <c r="AA84" s="1"/>
      <c r="AB84" s="25">
        <f t="shared" si="52"/>
        <v>51.073376567265761</v>
      </c>
      <c r="AC84" s="25">
        <f t="shared" si="4"/>
        <v>53.004468468405385</v>
      </c>
      <c r="AD84" s="25">
        <f t="shared" si="5"/>
        <v>1.8554303276338688</v>
      </c>
      <c r="AF84" s="101">
        <v>7.59</v>
      </c>
      <c r="AG84" s="101">
        <v>2.86165</v>
      </c>
      <c r="AH84" s="101">
        <v>0.80879999999999996</v>
      </c>
      <c r="AI84" s="101">
        <v>2.8999999999999998E-3</v>
      </c>
      <c r="AJ84" s="101">
        <v>-0.24629999999999999</v>
      </c>
      <c r="AK84" s="101">
        <v>-2.2883</v>
      </c>
      <c r="AL84" s="101">
        <v>0.41389999999999999</v>
      </c>
      <c r="AM84" s="101">
        <v>-1.0391999999999999</v>
      </c>
      <c r="AN84" s="101">
        <v>-1.5181</v>
      </c>
      <c r="AO84" s="101">
        <v>-0.99490000000000001</v>
      </c>
      <c r="AQ84" s="50">
        <f t="shared" si="62"/>
        <v>0.11700000000000001</v>
      </c>
      <c r="AR84" s="50">
        <f t="shared" si="63"/>
        <v>2.2469459659511481</v>
      </c>
      <c r="AS84" s="50">
        <f t="shared" si="64"/>
        <v>2.3760000000000009E-3</v>
      </c>
      <c r="AT84" s="50">
        <f t="shared" si="65"/>
        <v>0.91068720000000025</v>
      </c>
      <c r="AU84" s="50">
        <f t="shared" si="66"/>
        <v>19.204666375650838</v>
      </c>
      <c r="AV84" s="153">
        <f t="shared" si="13"/>
        <v>61</v>
      </c>
    </row>
    <row r="85" spans="1:48" x14ac:dyDescent="0.35">
      <c r="A85" s="1"/>
      <c r="B85" s="28"/>
      <c r="C85" s="1"/>
      <c r="D85" s="1"/>
      <c r="E85" s="31"/>
      <c r="F85" s="25"/>
      <c r="G85" s="25"/>
      <c r="H85" s="1"/>
      <c r="I85" s="1"/>
      <c r="J85" s="1"/>
      <c r="K85" s="1"/>
      <c r="L85" s="1"/>
      <c r="M85" s="1"/>
      <c r="N85" s="31"/>
      <c r="O85" s="21"/>
      <c r="P85" s="65"/>
      <c r="Q85" s="65"/>
      <c r="R85" s="65"/>
      <c r="S85" s="11"/>
      <c r="T85" s="27"/>
      <c r="U85" s="27"/>
      <c r="V85" s="19"/>
      <c r="W85" s="19"/>
      <c r="X85" s="27"/>
      <c r="Y85" s="19"/>
      <c r="Z85" s="65"/>
      <c r="AA85" s="1"/>
      <c r="AB85" s="1"/>
      <c r="AF85" s="101"/>
      <c r="AG85" s="101"/>
      <c r="AH85" s="101"/>
      <c r="AI85" s="101"/>
      <c r="AJ85" s="101"/>
      <c r="AK85" s="101"/>
      <c r="AL85" s="101"/>
      <c r="AM85" s="101"/>
      <c r="AN85" s="101"/>
      <c r="AO85" s="101"/>
    </row>
    <row r="86" spans="1:48" x14ac:dyDescent="0.35">
      <c r="U86" s="87"/>
      <c r="V86" s="87"/>
      <c r="W86" s="87"/>
      <c r="X86" s="87"/>
      <c r="Y86" s="87"/>
      <c r="Z86" s="87"/>
      <c r="AF86" s="101"/>
      <c r="AG86" s="101"/>
      <c r="AH86" s="101"/>
      <c r="AI86" s="101"/>
      <c r="AJ86" s="101"/>
      <c r="AK86" s="101"/>
      <c r="AL86" s="101"/>
      <c r="AM86" s="101"/>
      <c r="AN86" s="101"/>
      <c r="AO86" s="101"/>
    </row>
    <row r="87" spans="1:48" x14ac:dyDescent="0.35">
      <c r="A87" s="31" t="s">
        <v>33</v>
      </c>
      <c r="B87" s="198"/>
      <c r="C87" s="31"/>
      <c r="D87" s="31"/>
      <c r="E87" s="31"/>
      <c r="F87" s="25"/>
      <c r="G87" s="25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F87" s="101"/>
      <c r="AG87" s="101"/>
      <c r="AH87" s="101"/>
      <c r="AI87" s="101"/>
      <c r="AJ87" s="101"/>
      <c r="AK87" s="101"/>
      <c r="AL87" s="101"/>
      <c r="AM87" s="101"/>
      <c r="AN87" s="101"/>
      <c r="AO87" s="101"/>
    </row>
    <row r="88" spans="1:48" x14ac:dyDescent="0.35">
      <c r="A88" s="31"/>
      <c r="B88" s="198"/>
      <c r="C88" s="31"/>
      <c r="D88" s="31"/>
      <c r="E88" s="31"/>
      <c r="F88" s="31"/>
      <c r="G88" s="122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F88" s="101"/>
      <c r="AG88" s="101"/>
      <c r="AH88" s="101"/>
      <c r="AI88" s="101"/>
      <c r="AJ88" s="101"/>
      <c r="AK88" s="101"/>
      <c r="AL88" s="101"/>
      <c r="AM88" s="101"/>
      <c r="AN88" s="101"/>
      <c r="AO88" s="101"/>
    </row>
    <row r="89" spans="1:48" x14ac:dyDescent="0.35">
      <c r="A89" s="31" t="s">
        <v>10</v>
      </c>
      <c r="B89" s="31" t="s">
        <v>14</v>
      </c>
      <c r="C89" s="31"/>
      <c r="D89" s="31"/>
      <c r="E89" s="31"/>
      <c r="F89" s="122"/>
      <c r="G89" s="38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</row>
    <row r="90" spans="1:48" x14ac:dyDescent="0.35">
      <c r="A90" s="28">
        <v>43731</v>
      </c>
      <c r="B90" s="200">
        <v>7.26</v>
      </c>
      <c r="C90" s="31"/>
      <c r="D90" s="31"/>
      <c r="E90" s="31"/>
      <c r="F90" s="122"/>
      <c r="G90" s="38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</row>
    <row r="91" spans="1:48" x14ac:dyDescent="0.35">
      <c r="A91" s="28">
        <v>43735</v>
      </c>
      <c r="B91" s="200">
        <v>7.09</v>
      </c>
      <c r="C91" s="31"/>
      <c r="D91" s="28"/>
      <c r="E91" s="31"/>
      <c r="F91" s="122"/>
      <c r="G91" s="38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</row>
    <row r="92" spans="1:48" x14ac:dyDescent="0.35">
      <c r="A92" s="28">
        <v>43736</v>
      </c>
      <c r="B92" s="200">
        <v>7.72</v>
      </c>
      <c r="C92" s="31"/>
      <c r="D92" s="28"/>
      <c r="E92" s="31"/>
      <c r="F92" s="122"/>
      <c r="G92" s="38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</row>
    <row r="93" spans="1:48" x14ac:dyDescent="0.35">
      <c r="A93" s="28"/>
      <c r="B93" s="200"/>
      <c r="C93" s="31"/>
      <c r="D93" s="28"/>
      <c r="E93" s="31"/>
      <c r="F93" s="122"/>
      <c r="G93" s="38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</row>
    <row r="94" spans="1:48" x14ac:dyDescent="0.35">
      <c r="A94" s="28"/>
      <c r="B94" s="200"/>
      <c r="C94" s="31"/>
      <c r="D94" s="28"/>
      <c r="E94" s="31"/>
      <c r="F94" s="122"/>
      <c r="G94" s="38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</row>
    <row r="95" spans="1:48" x14ac:dyDescent="0.35">
      <c r="A95" s="28"/>
      <c r="B95" s="200"/>
      <c r="C95" s="31"/>
      <c r="D95" s="28"/>
      <c r="E95" s="31"/>
      <c r="F95" s="122"/>
      <c r="G95" s="38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</row>
    <row r="96" spans="1:48" x14ac:dyDescent="0.35">
      <c r="A96" s="28"/>
      <c r="B96" s="200"/>
      <c r="C96" s="31"/>
      <c r="D96" s="28"/>
      <c r="E96" s="31"/>
      <c r="F96" s="122"/>
      <c r="G96" s="38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</row>
    <row r="97" spans="1:25" x14ac:dyDescent="0.35">
      <c r="A97" s="28"/>
      <c r="B97" s="200"/>
      <c r="C97" s="31"/>
      <c r="D97" s="28"/>
      <c r="E97" s="31"/>
      <c r="F97" s="122"/>
      <c r="G97" s="38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</row>
    <row r="98" spans="1:25" x14ac:dyDescent="0.35">
      <c r="A98" s="28"/>
      <c r="B98" s="200"/>
      <c r="C98" s="31"/>
      <c r="D98" s="28"/>
      <c r="E98" s="31"/>
      <c r="F98" s="122"/>
      <c r="G98" s="38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</row>
    <row r="99" spans="1:25" x14ac:dyDescent="0.35">
      <c r="A99" s="28"/>
      <c r="B99" s="200"/>
      <c r="C99" s="31"/>
      <c r="D99" s="28"/>
      <c r="E99" s="31"/>
      <c r="F99" s="122"/>
      <c r="G99" s="38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</row>
    <row r="100" spans="1:25" x14ac:dyDescent="0.35">
      <c r="A100" s="28"/>
      <c r="B100" s="200"/>
      <c r="C100" s="31"/>
      <c r="D100" s="28"/>
      <c r="E100" s="31"/>
      <c r="F100" s="122"/>
      <c r="G100" s="38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</row>
    <row r="101" spans="1:25" x14ac:dyDescent="0.35">
      <c r="A101" s="28"/>
      <c r="B101" s="200"/>
      <c r="C101" s="31"/>
      <c r="D101" s="28"/>
      <c r="E101" s="31"/>
      <c r="F101" s="122"/>
      <c r="G101" s="38"/>
      <c r="T101" s="101"/>
      <c r="U101" s="38"/>
    </row>
    <row r="102" spans="1:25" x14ac:dyDescent="0.35">
      <c r="A102" s="28"/>
      <c r="B102" s="200"/>
      <c r="C102" s="31"/>
      <c r="D102" s="28"/>
      <c r="E102" s="31"/>
      <c r="F102" s="122"/>
      <c r="G102" s="38"/>
      <c r="T102" s="101"/>
      <c r="U102" s="38"/>
    </row>
    <row r="103" spans="1:25" x14ac:dyDescent="0.35">
      <c r="A103" s="28"/>
      <c r="B103" s="200"/>
      <c r="C103" s="31"/>
      <c r="D103" s="28"/>
      <c r="E103" s="31"/>
      <c r="F103" s="122"/>
      <c r="G103" s="38"/>
      <c r="T103" s="101"/>
      <c r="U103" s="38"/>
    </row>
    <row r="104" spans="1:25" x14ac:dyDescent="0.35">
      <c r="A104" s="28"/>
      <c r="B104" s="200"/>
      <c r="C104" s="31"/>
      <c r="D104" s="31"/>
      <c r="E104" s="25"/>
      <c r="F104" s="25"/>
      <c r="G104" s="38"/>
      <c r="T104" s="101"/>
      <c r="U104" s="38"/>
    </row>
    <row r="105" spans="1:25" x14ac:dyDescent="0.35">
      <c r="A105" s="28"/>
      <c r="B105" s="200"/>
      <c r="C105" s="31"/>
      <c r="D105" s="31"/>
      <c r="E105" s="25"/>
      <c r="F105" s="25"/>
      <c r="G105" s="38"/>
      <c r="T105" s="101"/>
      <c r="U105" s="38"/>
    </row>
    <row r="106" spans="1:25" x14ac:dyDescent="0.35">
      <c r="A106" s="22" t="s">
        <v>34</v>
      </c>
      <c r="B106" s="198"/>
      <c r="C106" s="31"/>
      <c r="D106" s="31"/>
      <c r="E106" s="31"/>
      <c r="F106" s="25"/>
      <c r="G106" s="25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233"/>
  <sheetViews>
    <sheetView zoomScaleNormal="100" workbookViewId="0">
      <pane ySplit="2610" topLeftCell="A110" activePane="bottomLeft"/>
      <selection pane="bottomLeft" activeCell="A112" sqref="A112"/>
    </sheetView>
  </sheetViews>
  <sheetFormatPr defaultColWidth="9.1796875" defaultRowHeight="14.5" x14ac:dyDescent="0.35"/>
  <cols>
    <col min="1" max="1" width="39.54296875" style="27" customWidth="1"/>
    <col min="2" max="2" width="10.7265625" style="27" bestFit="1" customWidth="1"/>
    <col min="3" max="3" width="10.1796875" style="11" customWidth="1"/>
    <col min="4" max="6" width="9.1796875" style="27"/>
    <col min="7" max="7" width="9.1796875" style="140"/>
    <col min="8" max="8" width="9.1796875" style="33"/>
    <col min="9" max="9" width="9.1796875" style="140"/>
    <col min="10" max="10" width="9.1796875" style="33"/>
    <col min="11" max="11" width="9.1796875" style="140"/>
    <col min="12" max="12" width="9.1796875" style="33"/>
    <col min="13" max="13" width="9.1796875" style="140"/>
    <col min="14" max="14" width="9.1796875" style="33"/>
    <col min="15" max="15" width="18.54296875" style="27" customWidth="1"/>
    <col min="16" max="19" width="9.1796875" style="27"/>
    <col min="20" max="20" width="9.7265625" style="27" bestFit="1" customWidth="1"/>
    <col min="21" max="16384" width="9.1796875" style="27"/>
  </cols>
  <sheetData>
    <row r="1" spans="1:29" x14ac:dyDescent="0.35">
      <c r="A1" s="27" t="s">
        <v>59</v>
      </c>
    </row>
    <row r="2" spans="1:29" x14ac:dyDescent="0.35">
      <c r="A2" s="27" t="s">
        <v>63</v>
      </c>
    </row>
    <row r="3" spans="1:29" x14ac:dyDescent="0.35">
      <c r="A3" s="27" t="s">
        <v>64</v>
      </c>
    </row>
    <row r="4" spans="1:29" x14ac:dyDescent="0.35">
      <c r="A4" s="27" t="s">
        <v>292</v>
      </c>
    </row>
    <row r="5" spans="1:29" x14ac:dyDescent="0.35">
      <c r="A5" s="26" t="s">
        <v>358</v>
      </c>
    </row>
    <row r="7" spans="1:29" x14ac:dyDescent="0.35">
      <c r="A7" s="27" t="s">
        <v>1</v>
      </c>
      <c r="B7" s="27" t="s">
        <v>10</v>
      </c>
      <c r="C7" s="11" t="s">
        <v>2</v>
      </c>
      <c r="D7" s="27" t="s">
        <v>7</v>
      </c>
      <c r="E7" s="27" t="s">
        <v>3</v>
      </c>
      <c r="F7" s="27" t="s">
        <v>3</v>
      </c>
      <c r="G7" s="140" t="s">
        <v>25</v>
      </c>
      <c r="H7" s="33" t="s">
        <v>25</v>
      </c>
      <c r="I7" s="140" t="s">
        <v>22</v>
      </c>
      <c r="J7" s="33" t="s">
        <v>22</v>
      </c>
      <c r="K7" s="140" t="s">
        <v>23</v>
      </c>
      <c r="L7" s="33" t="s">
        <v>23</v>
      </c>
      <c r="M7" s="140" t="s">
        <v>20</v>
      </c>
      <c r="N7" s="33" t="s">
        <v>20</v>
      </c>
      <c r="O7" s="27" t="s">
        <v>29</v>
      </c>
      <c r="U7" s="11"/>
      <c r="Y7" s="33"/>
      <c r="Z7" s="33"/>
      <c r="AA7" s="33"/>
      <c r="AB7" s="33"/>
      <c r="AC7" s="33"/>
    </row>
    <row r="8" spans="1:29" x14ac:dyDescent="0.35">
      <c r="C8" s="11" t="s">
        <v>0</v>
      </c>
      <c r="D8" s="27" t="s">
        <v>6</v>
      </c>
      <c r="E8" s="27" t="s">
        <v>352</v>
      </c>
      <c r="F8" s="27" t="s">
        <v>73</v>
      </c>
      <c r="G8" s="140" t="s">
        <v>5</v>
      </c>
      <c r="H8" s="33" t="s">
        <v>73</v>
      </c>
      <c r="I8" s="140" t="s">
        <v>5</v>
      </c>
      <c r="J8" s="33" t="s">
        <v>73</v>
      </c>
      <c r="K8" s="140" t="s">
        <v>5</v>
      </c>
      <c r="L8" s="33" t="s">
        <v>73</v>
      </c>
      <c r="M8" s="140" t="s">
        <v>5</v>
      </c>
      <c r="N8" s="33" t="s">
        <v>73</v>
      </c>
      <c r="U8" s="11"/>
      <c r="Y8" s="33"/>
      <c r="Z8" s="33"/>
      <c r="AA8" s="33"/>
      <c r="AB8" s="33"/>
      <c r="AC8" s="33"/>
    </row>
    <row r="9" spans="1:29" x14ac:dyDescent="0.35">
      <c r="U9" s="11"/>
      <c r="Y9" s="33"/>
      <c r="Z9" s="33"/>
      <c r="AA9" s="33"/>
      <c r="AB9" s="33"/>
      <c r="AC9" s="33"/>
    </row>
    <row r="10" spans="1:29" x14ac:dyDescent="0.35">
      <c r="A10" s="27" t="s">
        <v>204</v>
      </c>
      <c r="B10" s="29">
        <v>43782</v>
      </c>
      <c r="C10" s="11">
        <v>2.0019999999999998</v>
      </c>
      <c r="D10" s="27">
        <v>200</v>
      </c>
      <c r="E10" s="27">
        <v>3.7</v>
      </c>
      <c r="F10" s="134">
        <f>(E10*(D10/C10))/1000</f>
        <v>0.36963036963036972</v>
      </c>
      <c r="G10" s="135">
        <v>0.02</v>
      </c>
      <c r="H10" s="134">
        <f>G10*(D10/C10)</f>
        <v>1.9980019980019983</v>
      </c>
      <c r="I10" s="140">
        <v>18.03</v>
      </c>
      <c r="J10" s="134">
        <f>I10*(D10/C10)</f>
        <v>1801.1988011988017</v>
      </c>
      <c r="K10" s="140">
        <v>2.0920000000000001</v>
      </c>
      <c r="L10" s="134">
        <f>K10*(D10/C10)</f>
        <v>208.99100899100904</v>
      </c>
      <c r="M10" s="35"/>
      <c r="N10" s="134"/>
      <c r="U10" s="11"/>
      <c r="Y10" s="33"/>
      <c r="Z10" s="33"/>
      <c r="AA10" s="33"/>
      <c r="AB10" s="33"/>
      <c r="AC10" s="33"/>
    </row>
    <row r="11" spans="1:29" x14ac:dyDescent="0.35">
      <c r="A11" s="27" t="s">
        <v>131</v>
      </c>
      <c r="B11" s="29">
        <v>43509</v>
      </c>
      <c r="C11" s="11">
        <v>2.0009999999999999</v>
      </c>
      <c r="D11" s="27">
        <v>200</v>
      </c>
      <c r="E11" s="27">
        <v>10</v>
      </c>
      <c r="F11" s="134">
        <f>(E11*(D11/C11))/1000</f>
        <v>0.99950024987506259</v>
      </c>
      <c r="G11" s="140">
        <v>2.3E-2</v>
      </c>
      <c r="H11" s="134">
        <f>G11*(D11/C11)</f>
        <v>2.298850574712644</v>
      </c>
      <c r="I11" s="140">
        <v>17.809999999999999</v>
      </c>
      <c r="J11" s="134">
        <f>I11*(D11/C11)</f>
        <v>1780.1099450274862</v>
      </c>
      <c r="K11" s="140">
        <v>2.7170000000000001</v>
      </c>
      <c r="L11" s="134">
        <f>K11*(D11/C11)</f>
        <v>271.56421789105451</v>
      </c>
      <c r="M11" s="35"/>
      <c r="N11" s="134"/>
      <c r="U11" s="11"/>
      <c r="Y11" s="33"/>
      <c r="Z11" s="33"/>
      <c r="AA11" s="33"/>
      <c r="AB11" s="33"/>
      <c r="AC11" s="33"/>
    </row>
    <row r="12" spans="1:29" x14ac:dyDescent="0.35">
      <c r="A12" s="27" t="s">
        <v>341</v>
      </c>
      <c r="B12" s="29">
        <v>43782</v>
      </c>
      <c r="C12" s="11">
        <v>2.0019999999999998</v>
      </c>
      <c r="D12" s="27">
        <v>200</v>
      </c>
      <c r="E12" s="27">
        <v>10</v>
      </c>
      <c r="F12" s="134">
        <f>(E12*(D12/C12))/1000</f>
        <v>0.99900099900099915</v>
      </c>
      <c r="G12" s="140">
        <v>2.5999999999999999E-2</v>
      </c>
      <c r="H12" s="134">
        <f>G12*(D12/C12)</f>
        <v>2.5974025974025978</v>
      </c>
      <c r="I12" s="140">
        <v>21.38</v>
      </c>
      <c r="J12" s="134">
        <f>I12*(D12/C12)</f>
        <v>2135.8641358641362</v>
      </c>
      <c r="K12" s="140">
        <v>2.665</v>
      </c>
      <c r="L12" s="134">
        <f>K12*(D12/C12)</f>
        <v>266.23376623376629</v>
      </c>
      <c r="M12" s="35"/>
      <c r="N12" s="134"/>
      <c r="U12" s="11"/>
      <c r="Y12" s="33"/>
      <c r="Z12" s="33"/>
      <c r="AA12" s="33"/>
      <c r="AB12" s="33"/>
      <c r="AC12" s="33"/>
    </row>
    <row r="13" spans="1:29" x14ac:dyDescent="0.35">
      <c r="A13" s="27" t="s">
        <v>132</v>
      </c>
      <c r="B13" s="29">
        <v>43509</v>
      </c>
      <c r="C13" s="11">
        <v>2</v>
      </c>
      <c r="D13" s="27">
        <v>200</v>
      </c>
      <c r="E13" s="27">
        <v>11.9</v>
      </c>
      <c r="F13" s="134">
        <f t="shared" ref="F13:F76" si="0">(E13*(D13/C13))/1000</f>
        <v>1.19</v>
      </c>
      <c r="G13" s="135">
        <v>0.02</v>
      </c>
      <c r="H13" s="134">
        <f t="shared" ref="H13:H76" si="1">G13*(D13/C13)</f>
        <v>2</v>
      </c>
      <c r="I13" s="140">
        <v>12.15</v>
      </c>
      <c r="J13" s="134">
        <f t="shared" ref="J13:J76" si="2">I13*(D13/C13)</f>
        <v>1215</v>
      </c>
      <c r="K13" s="140">
        <v>1.32</v>
      </c>
      <c r="L13" s="134">
        <f t="shared" ref="L13:L76" si="3">K13*(D13/C13)</f>
        <v>132</v>
      </c>
      <c r="M13" s="35"/>
      <c r="N13" s="134"/>
      <c r="U13" s="11"/>
      <c r="Y13" s="33"/>
      <c r="Z13" s="33"/>
      <c r="AA13" s="33"/>
      <c r="AB13" s="33"/>
      <c r="AC13" s="33"/>
    </row>
    <row r="14" spans="1:29" x14ac:dyDescent="0.35">
      <c r="A14" s="27" t="s">
        <v>133</v>
      </c>
      <c r="B14" s="29">
        <v>43509</v>
      </c>
      <c r="C14" s="11">
        <v>2</v>
      </c>
      <c r="D14" s="27">
        <v>200</v>
      </c>
      <c r="E14" s="27">
        <v>3.7</v>
      </c>
      <c r="F14" s="134">
        <f t="shared" si="0"/>
        <v>0.37</v>
      </c>
      <c r="G14" s="135">
        <v>0.02</v>
      </c>
      <c r="H14" s="134">
        <f t="shared" si="1"/>
        <v>2</v>
      </c>
      <c r="I14" s="140">
        <v>15.15</v>
      </c>
      <c r="J14" s="134">
        <f t="shared" si="2"/>
        <v>1515</v>
      </c>
      <c r="K14" s="140">
        <v>1.534</v>
      </c>
      <c r="L14" s="134">
        <f t="shared" si="3"/>
        <v>153.4</v>
      </c>
      <c r="M14" s="35"/>
      <c r="N14" s="134"/>
      <c r="U14" s="11"/>
      <c r="Y14" s="33"/>
      <c r="Z14" s="33"/>
      <c r="AA14" s="33"/>
      <c r="AB14" s="33"/>
      <c r="AC14" s="33"/>
    </row>
    <row r="15" spans="1:29" x14ac:dyDescent="0.35">
      <c r="A15" s="27" t="s">
        <v>134</v>
      </c>
      <c r="B15" s="29">
        <v>43509</v>
      </c>
      <c r="C15" s="11">
        <v>2</v>
      </c>
      <c r="D15" s="27">
        <v>200</v>
      </c>
      <c r="E15" s="27">
        <v>4.3</v>
      </c>
      <c r="F15" s="134">
        <f t="shared" si="0"/>
        <v>0.43</v>
      </c>
      <c r="G15" s="140">
        <v>2.8000000000000001E-2</v>
      </c>
      <c r="H15" s="134">
        <f t="shared" si="1"/>
        <v>2.8000000000000003</v>
      </c>
      <c r="I15" s="140">
        <v>23</v>
      </c>
      <c r="J15" s="134">
        <f t="shared" si="2"/>
        <v>2300</v>
      </c>
      <c r="K15" s="140">
        <v>2.3140000000000001</v>
      </c>
      <c r="L15" s="134">
        <f t="shared" si="3"/>
        <v>231.4</v>
      </c>
      <c r="M15" s="35"/>
      <c r="N15" s="134"/>
      <c r="U15" s="11"/>
      <c r="Y15" s="33"/>
      <c r="Z15" s="33"/>
      <c r="AA15" s="33"/>
      <c r="AB15" s="33"/>
      <c r="AC15" s="33"/>
    </row>
    <row r="16" spans="1:29" x14ac:dyDescent="0.35">
      <c r="A16" s="27" t="s">
        <v>60</v>
      </c>
      <c r="B16" s="29">
        <v>43482</v>
      </c>
      <c r="C16" s="11">
        <v>2.0099999999999998</v>
      </c>
      <c r="D16" s="27">
        <v>200</v>
      </c>
      <c r="E16" s="27">
        <v>10.7</v>
      </c>
      <c r="F16" s="134">
        <f t="shared" si="0"/>
        <v>1.0646766169154229</v>
      </c>
      <c r="G16" s="140">
        <v>3.7999999999999999E-2</v>
      </c>
      <c r="H16" s="134">
        <f t="shared" si="1"/>
        <v>3.7810945273631842</v>
      </c>
      <c r="I16" s="140">
        <v>27.31</v>
      </c>
      <c r="J16" s="134">
        <f t="shared" si="2"/>
        <v>2717.412935323383</v>
      </c>
      <c r="K16" s="140">
        <v>0.91700000000000004</v>
      </c>
      <c r="L16" s="134">
        <f t="shared" si="3"/>
        <v>91.243781094527378</v>
      </c>
      <c r="M16" s="35"/>
      <c r="N16" s="134"/>
    </row>
    <row r="17" spans="1:31" x14ac:dyDescent="0.35">
      <c r="A17" s="27" t="s">
        <v>61</v>
      </c>
      <c r="B17" s="29">
        <v>43482</v>
      </c>
      <c r="C17" s="11">
        <v>2.02</v>
      </c>
      <c r="D17" s="27">
        <v>200</v>
      </c>
      <c r="E17" s="27">
        <v>8.5</v>
      </c>
      <c r="F17" s="134">
        <f t="shared" si="0"/>
        <v>0.84158415841584155</v>
      </c>
      <c r="G17" s="135">
        <v>0.02</v>
      </c>
      <c r="H17" s="134">
        <f t="shared" si="1"/>
        <v>1.9801980198019804</v>
      </c>
      <c r="I17" s="140">
        <v>19.78</v>
      </c>
      <c r="J17" s="137">
        <f t="shared" si="2"/>
        <v>1958.4158415841587</v>
      </c>
      <c r="K17" s="140">
        <v>0.88900000000000001</v>
      </c>
      <c r="L17" s="134">
        <f t="shared" si="3"/>
        <v>88.019801980198025</v>
      </c>
      <c r="M17" s="35"/>
      <c r="N17" s="134"/>
    </row>
    <row r="18" spans="1:31" x14ac:dyDescent="0.35">
      <c r="A18" s="27" t="s">
        <v>62</v>
      </c>
      <c r="B18" s="29">
        <v>43482</v>
      </c>
      <c r="C18" s="11">
        <v>2</v>
      </c>
      <c r="D18" s="27">
        <v>200</v>
      </c>
      <c r="E18" s="27">
        <v>10</v>
      </c>
      <c r="F18" s="134">
        <f t="shared" si="0"/>
        <v>1</v>
      </c>
      <c r="G18" s="135">
        <v>0.02</v>
      </c>
      <c r="H18" s="134">
        <f t="shared" si="1"/>
        <v>2</v>
      </c>
      <c r="I18" s="140">
        <v>18.600000000000001</v>
      </c>
      <c r="J18" s="137">
        <f t="shared" si="2"/>
        <v>1860.0000000000002</v>
      </c>
      <c r="K18" s="140">
        <v>0.38200000000000001</v>
      </c>
      <c r="L18" s="134">
        <f t="shared" si="3"/>
        <v>38.200000000000003</v>
      </c>
      <c r="M18" s="35"/>
      <c r="N18" s="134"/>
    </row>
    <row r="19" spans="1:31" x14ac:dyDescent="0.35">
      <c r="B19" s="29"/>
      <c r="F19" s="134"/>
      <c r="G19" s="135"/>
      <c r="H19" s="134"/>
      <c r="J19" s="134"/>
      <c r="L19" s="134"/>
      <c r="M19" s="35"/>
      <c r="N19" s="134"/>
    </row>
    <row r="20" spans="1:31" x14ac:dyDescent="0.35">
      <c r="A20" s="27" t="s">
        <v>205</v>
      </c>
      <c r="B20" s="29">
        <v>43782</v>
      </c>
      <c r="C20" s="11">
        <v>2</v>
      </c>
      <c r="D20" s="27">
        <v>200</v>
      </c>
      <c r="E20" s="27">
        <v>4.5999999999999996</v>
      </c>
      <c r="F20" s="134">
        <f t="shared" si="0"/>
        <v>0.45999999999999996</v>
      </c>
      <c r="G20" s="135">
        <v>0.02</v>
      </c>
      <c r="H20" s="134">
        <f t="shared" si="1"/>
        <v>2</v>
      </c>
      <c r="I20" s="140">
        <v>16.850000000000001</v>
      </c>
      <c r="J20" s="134">
        <f t="shared" si="2"/>
        <v>1685.0000000000002</v>
      </c>
      <c r="K20" s="140">
        <v>1.9990000000000001</v>
      </c>
      <c r="L20" s="134">
        <f t="shared" si="3"/>
        <v>199.9</v>
      </c>
      <c r="M20" s="35"/>
      <c r="N20" s="134"/>
    </row>
    <row r="21" spans="1:31" x14ac:dyDescent="0.35">
      <c r="A21" s="27" t="s">
        <v>135</v>
      </c>
      <c r="B21" s="29">
        <v>43509</v>
      </c>
      <c r="C21" s="11">
        <v>2.0009999999999999</v>
      </c>
      <c r="D21" s="27">
        <v>200</v>
      </c>
      <c r="E21" s="27">
        <v>17.600000000000001</v>
      </c>
      <c r="F21" s="134">
        <f t="shared" si="0"/>
        <v>1.7591204397801103</v>
      </c>
      <c r="G21" s="140">
        <v>3.2000000000000001E-2</v>
      </c>
      <c r="H21" s="134">
        <f t="shared" si="1"/>
        <v>3.1984007996002002</v>
      </c>
      <c r="I21" s="140">
        <v>20.88</v>
      </c>
      <c r="J21" s="134">
        <f t="shared" si="2"/>
        <v>2086.9565217391305</v>
      </c>
      <c r="K21" s="140">
        <v>3.1840000000000002</v>
      </c>
      <c r="L21" s="134">
        <f t="shared" si="3"/>
        <v>318.24087956021992</v>
      </c>
      <c r="M21" s="35"/>
      <c r="N21" s="134"/>
    </row>
    <row r="22" spans="1:31" x14ac:dyDescent="0.35">
      <c r="A22" s="27" t="s">
        <v>136</v>
      </c>
      <c r="B22" s="29">
        <v>43509</v>
      </c>
      <c r="C22" s="11">
        <v>2.0009999999999999</v>
      </c>
      <c r="D22" s="27">
        <v>200</v>
      </c>
      <c r="E22" s="27">
        <v>7.7</v>
      </c>
      <c r="F22" s="134">
        <f t="shared" si="0"/>
        <v>0.76961519240379817</v>
      </c>
      <c r="G22" s="135">
        <v>0.02</v>
      </c>
      <c r="H22" s="134">
        <f t="shared" si="1"/>
        <v>1.9990004997501252</v>
      </c>
      <c r="I22" s="140">
        <v>15.63</v>
      </c>
      <c r="J22" s="134">
        <f t="shared" si="2"/>
        <v>1562.2188905547227</v>
      </c>
      <c r="K22" s="140">
        <v>1.889</v>
      </c>
      <c r="L22" s="134">
        <f t="shared" si="3"/>
        <v>188.80559720139931</v>
      </c>
      <c r="M22" s="35"/>
      <c r="N22" s="134"/>
    </row>
    <row r="23" spans="1:31" x14ac:dyDescent="0.35">
      <c r="A23" s="27" t="s">
        <v>137</v>
      </c>
      <c r="B23" s="29">
        <v>43509</v>
      </c>
      <c r="C23" s="11">
        <v>2.0009999999999999</v>
      </c>
      <c r="D23" s="27">
        <v>200</v>
      </c>
      <c r="E23" s="27">
        <v>10.9</v>
      </c>
      <c r="F23" s="134">
        <f t="shared" si="0"/>
        <v>1.0894552723638182</v>
      </c>
      <c r="G23" s="140">
        <v>2.8000000000000001E-2</v>
      </c>
      <c r="H23" s="134">
        <f t="shared" si="1"/>
        <v>2.7986006996501751</v>
      </c>
      <c r="I23" s="140">
        <v>19.739999999999998</v>
      </c>
      <c r="J23" s="134">
        <f t="shared" si="2"/>
        <v>1973.0134932533733</v>
      </c>
      <c r="K23" s="140">
        <v>2.1909999999999998</v>
      </c>
      <c r="L23" s="134">
        <f t="shared" si="3"/>
        <v>218.99050474762618</v>
      </c>
      <c r="M23" s="35"/>
      <c r="N23" s="134"/>
    </row>
    <row r="24" spans="1:31" x14ac:dyDescent="0.35">
      <c r="A24" s="27" t="s">
        <v>138</v>
      </c>
      <c r="B24" s="29">
        <v>43782</v>
      </c>
      <c r="C24" s="11">
        <v>2.0009999999999999</v>
      </c>
      <c r="D24" s="27">
        <v>200</v>
      </c>
      <c r="E24" s="27">
        <v>6.7</v>
      </c>
      <c r="F24" s="134">
        <f t="shared" si="0"/>
        <v>0.6696651674162919</v>
      </c>
      <c r="G24" s="140">
        <v>2.1000000000000001E-2</v>
      </c>
      <c r="H24" s="134">
        <f t="shared" si="1"/>
        <v>2.0989505247376314</v>
      </c>
      <c r="I24" s="140">
        <v>29.84</v>
      </c>
      <c r="J24" s="134">
        <f t="shared" si="2"/>
        <v>2982.5087456271867</v>
      </c>
      <c r="K24" s="140">
        <v>0.81699999999999995</v>
      </c>
      <c r="L24" s="134">
        <f t="shared" si="3"/>
        <v>81.659170414792598</v>
      </c>
      <c r="M24" s="35"/>
      <c r="N24" s="134"/>
    </row>
    <row r="25" spans="1:31" x14ac:dyDescent="0.35">
      <c r="A25" s="27" t="s">
        <v>65</v>
      </c>
      <c r="B25" s="29">
        <v>43482</v>
      </c>
      <c r="C25" s="11">
        <v>1.99</v>
      </c>
      <c r="D25" s="27">
        <v>200</v>
      </c>
      <c r="E25" s="27">
        <v>16.899999999999999</v>
      </c>
      <c r="F25" s="134">
        <f t="shared" si="0"/>
        <v>1.6984924623115578</v>
      </c>
      <c r="G25" s="140">
        <v>3.5000000000000003E-2</v>
      </c>
      <c r="H25" s="134">
        <f t="shared" si="1"/>
        <v>3.517587939698493</v>
      </c>
      <c r="I25" s="140">
        <v>20.9</v>
      </c>
      <c r="J25" s="134">
        <f t="shared" si="2"/>
        <v>2100.502512562814</v>
      </c>
      <c r="K25" s="140">
        <v>0.72899999999999998</v>
      </c>
      <c r="L25" s="134">
        <f t="shared" si="3"/>
        <v>73.266331658291463</v>
      </c>
      <c r="M25" s="35"/>
      <c r="N25" s="134"/>
      <c r="AE25" s="136"/>
    </row>
    <row r="26" spans="1:31" x14ac:dyDescent="0.35">
      <c r="A26" s="27" t="s">
        <v>342</v>
      </c>
      <c r="B26" s="29">
        <v>43782</v>
      </c>
      <c r="C26" s="11">
        <v>2</v>
      </c>
      <c r="D26" s="27">
        <v>200</v>
      </c>
      <c r="E26" s="27">
        <v>14.6</v>
      </c>
      <c r="F26" s="134">
        <f t="shared" si="0"/>
        <v>1.46</v>
      </c>
      <c r="G26" s="140">
        <v>3.6999999999999998E-2</v>
      </c>
      <c r="H26" s="134">
        <f t="shared" si="1"/>
        <v>3.6999999999999997</v>
      </c>
      <c r="I26" s="140">
        <v>22.87</v>
      </c>
      <c r="J26" s="134">
        <f t="shared" si="2"/>
        <v>2287</v>
      </c>
      <c r="K26" s="140">
        <v>0.76100000000000001</v>
      </c>
      <c r="L26" s="134">
        <f t="shared" si="3"/>
        <v>76.099999999999994</v>
      </c>
      <c r="M26" s="35"/>
      <c r="N26" s="134"/>
      <c r="AE26" s="136"/>
    </row>
    <row r="27" spans="1:31" x14ac:dyDescent="0.35">
      <c r="A27" s="27" t="s">
        <v>66</v>
      </c>
      <c r="B27" s="29">
        <v>43482</v>
      </c>
      <c r="C27" s="11">
        <v>2</v>
      </c>
      <c r="D27" s="27">
        <v>200</v>
      </c>
      <c r="E27" s="27">
        <v>4.2</v>
      </c>
      <c r="F27" s="134">
        <f t="shared" si="0"/>
        <v>0.42</v>
      </c>
      <c r="G27" s="135">
        <v>0.02</v>
      </c>
      <c r="H27" s="134">
        <f t="shared" si="1"/>
        <v>2</v>
      </c>
      <c r="I27" s="140">
        <v>10.41</v>
      </c>
      <c r="J27" s="134">
        <f t="shared" si="2"/>
        <v>1041</v>
      </c>
      <c r="K27" s="140">
        <v>0.504</v>
      </c>
      <c r="L27" s="134">
        <f t="shared" si="3"/>
        <v>50.4</v>
      </c>
      <c r="M27" s="35"/>
      <c r="N27" s="134"/>
      <c r="T27" s="29"/>
      <c r="U27" s="32"/>
      <c r="X27" s="136"/>
      <c r="Y27" s="135"/>
      <c r="Z27" s="137"/>
      <c r="AA27" s="138"/>
      <c r="AB27" s="138"/>
      <c r="AC27" s="35"/>
      <c r="AE27" s="136"/>
    </row>
    <row r="28" spans="1:31" x14ac:dyDescent="0.35">
      <c r="B28" s="29"/>
      <c r="F28" s="134"/>
      <c r="G28" s="135"/>
      <c r="H28" s="134"/>
      <c r="J28" s="134"/>
      <c r="L28" s="134"/>
      <c r="M28" s="35"/>
      <c r="N28" s="134"/>
      <c r="T28" s="29"/>
      <c r="U28" s="32"/>
      <c r="X28" s="136"/>
      <c r="Y28" s="135"/>
      <c r="Z28" s="137"/>
      <c r="AA28" s="138"/>
      <c r="AB28" s="138"/>
      <c r="AC28" s="35"/>
      <c r="AE28" s="136"/>
    </row>
    <row r="29" spans="1:31" x14ac:dyDescent="0.35">
      <c r="A29" s="27" t="s">
        <v>206</v>
      </c>
      <c r="B29" s="29">
        <v>43782</v>
      </c>
      <c r="C29" s="11">
        <v>2.0009999999999999</v>
      </c>
      <c r="D29" s="27">
        <v>200</v>
      </c>
      <c r="E29" s="27">
        <v>5.7</v>
      </c>
      <c r="F29" s="134">
        <f t="shared" si="0"/>
        <v>0.56971514242878563</v>
      </c>
      <c r="G29" s="135">
        <v>0.02</v>
      </c>
      <c r="H29" s="134">
        <f t="shared" si="1"/>
        <v>1.9990004997501252</v>
      </c>
      <c r="I29" s="140">
        <v>18.41</v>
      </c>
      <c r="J29" s="134">
        <f t="shared" si="2"/>
        <v>1840.07996001999</v>
      </c>
      <c r="K29" s="140">
        <v>2.141</v>
      </c>
      <c r="L29" s="134">
        <f t="shared" si="3"/>
        <v>213.99300349825089</v>
      </c>
      <c r="M29" s="35"/>
      <c r="N29" s="134"/>
      <c r="T29" s="29"/>
      <c r="U29" s="32"/>
      <c r="X29" s="136"/>
      <c r="Y29" s="135"/>
      <c r="Z29" s="137"/>
      <c r="AA29" s="138"/>
      <c r="AB29" s="138"/>
      <c r="AC29" s="35"/>
      <c r="AE29" s="136"/>
    </row>
    <row r="30" spans="1:31" x14ac:dyDescent="0.35">
      <c r="A30" s="27" t="s">
        <v>139</v>
      </c>
      <c r="B30" s="29">
        <v>43509</v>
      </c>
      <c r="C30" s="11">
        <v>2</v>
      </c>
      <c r="D30" s="27">
        <v>200</v>
      </c>
      <c r="E30" s="27">
        <v>17.7</v>
      </c>
      <c r="F30" s="134">
        <f t="shared" si="0"/>
        <v>1.77</v>
      </c>
      <c r="G30" s="140">
        <v>2.8000000000000001E-2</v>
      </c>
      <c r="H30" s="134">
        <f t="shared" si="1"/>
        <v>2.8000000000000003</v>
      </c>
      <c r="I30" s="140">
        <v>19.11</v>
      </c>
      <c r="J30" s="134">
        <f t="shared" si="2"/>
        <v>1911</v>
      </c>
      <c r="K30" s="140">
        <v>3.0510000000000002</v>
      </c>
      <c r="L30" s="134">
        <f t="shared" si="3"/>
        <v>305.10000000000002</v>
      </c>
      <c r="M30" s="35"/>
      <c r="N30" s="134"/>
      <c r="T30" s="29"/>
      <c r="U30" s="32"/>
      <c r="X30" s="136"/>
      <c r="Y30" s="135"/>
      <c r="Z30" s="137"/>
      <c r="AA30" s="138"/>
      <c r="AB30" s="138"/>
      <c r="AC30" s="35"/>
      <c r="AE30" s="136"/>
    </row>
    <row r="31" spans="1:31" x14ac:dyDescent="0.35">
      <c r="A31" s="27" t="s">
        <v>140</v>
      </c>
      <c r="B31" s="29">
        <v>43509</v>
      </c>
      <c r="C31" s="11">
        <v>2.0009999999999999</v>
      </c>
      <c r="D31" s="27">
        <v>200</v>
      </c>
      <c r="E31" s="27">
        <v>8.4</v>
      </c>
      <c r="F31" s="134">
        <f t="shared" si="0"/>
        <v>0.83958020989505255</v>
      </c>
      <c r="G31" s="135">
        <v>0.02</v>
      </c>
      <c r="H31" s="134">
        <f t="shared" si="1"/>
        <v>1.9990004997501252</v>
      </c>
      <c r="I31" s="140">
        <v>17.739999999999998</v>
      </c>
      <c r="J31" s="134">
        <f t="shared" si="2"/>
        <v>1773.1134432783608</v>
      </c>
      <c r="K31" s="140">
        <v>2.2149999999999999</v>
      </c>
      <c r="L31" s="134">
        <f t="shared" si="3"/>
        <v>221.38930534732634</v>
      </c>
      <c r="M31" s="35"/>
      <c r="N31" s="134"/>
      <c r="T31" s="29"/>
      <c r="U31" s="32"/>
      <c r="X31" s="136"/>
      <c r="Y31" s="135"/>
      <c r="Z31" s="137"/>
      <c r="AA31" s="138"/>
      <c r="AB31" s="138"/>
      <c r="AC31" s="35"/>
      <c r="AE31" s="136"/>
    </row>
    <row r="32" spans="1:31" x14ac:dyDescent="0.35">
      <c r="A32" s="27" t="s">
        <v>141</v>
      </c>
      <c r="B32" s="29">
        <v>43509</v>
      </c>
      <c r="C32" s="11">
        <v>2.0009999999999999</v>
      </c>
      <c r="D32" s="27">
        <v>200</v>
      </c>
      <c r="E32" s="27">
        <v>10.6</v>
      </c>
      <c r="F32" s="134">
        <f t="shared" si="0"/>
        <v>1.0594702648675665</v>
      </c>
      <c r="G32" s="135">
        <v>0.02</v>
      </c>
      <c r="H32" s="134">
        <f t="shared" si="1"/>
        <v>1.9990004997501252</v>
      </c>
      <c r="I32" s="140">
        <v>19.23</v>
      </c>
      <c r="J32" s="134">
        <f t="shared" si="2"/>
        <v>1922.0389805097452</v>
      </c>
      <c r="K32" s="140">
        <v>1.4630000000000001</v>
      </c>
      <c r="L32" s="134">
        <f t="shared" si="3"/>
        <v>146.22688655672167</v>
      </c>
      <c r="M32" s="35"/>
      <c r="N32" s="134"/>
      <c r="T32" s="29"/>
      <c r="U32" s="32"/>
      <c r="X32" s="136"/>
      <c r="Y32" s="135"/>
      <c r="Z32" s="137"/>
      <c r="AA32" s="138"/>
      <c r="AB32" s="138"/>
      <c r="AC32" s="35"/>
      <c r="AE32" s="136"/>
    </row>
    <row r="33" spans="1:31" x14ac:dyDescent="0.35">
      <c r="A33" s="27" t="s">
        <v>67</v>
      </c>
      <c r="B33" s="29">
        <v>43482</v>
      </c>
      <c r="C33" s="11">
        <v>2</v>
      </c>
      <c r="D33" s="27">
        <v>200</v>
      </c>
      <c r="E33" s="18">
        <v>5</v>
      </c>
      <c r="F33" s="134">
        <f t="shared" si="0"/>
        <v>0.5</v>
      </c>
      <c r="G33" s="135">
        <v>0.02</v>
      </c>
      <c r="H33" s="134">
        <f t="shared" si="1"/>
        <v>2</v>
      </c>
      <c r="I33" s="140">
        <v>10.51</v>
      </c>
      <c r="J33" s="134">
        <f t="shared" si="2"/>
        <v>1051</v>
      </c>
      <c r="K33" s="140">
        <v>0.34799999999999998</v>
      </c>
      <c r="L33" s="134">
        <f t="shared" si="3"/>
        <v>34.799999999999997</v>
      </c>
      <c r="M33" s="35"/>
      <c r="N33" s="134"/>
      <c r="T33" s="29"/>
      <c r="U33" s="32"/>
      <c r="X33" s="136"/>
      <c r="Y33" s="135"/>
      <c r="Z33" s="137"/>
      <c r="AA33" s="138"/>
      <c r="AB33" s="138"/>
      <c r="AC33" s="35"/>
      <c r="AE33" s="136"/>
    </row>
    <row r="34" spans="1:31" x14ac:dyDescent="0.35">
      <c r="A34" s="27" t="s">
        <v>68</v>
      </c>
      <c r="B34" s="29">
        <v>43482</v>
      </c>
      <c r="C34" s="11">
        <v>2.02</v>
      </c>
      <c r="D34" s="27">
        <v>200</v>
      </c>
      <c r="E34" s="27">
        <v>6.4</v>
      </c>
      <c r="F34" s="134">
        <f t="shared" si="0"/>
        <v>0.63366336633663378</v>
      </c>
      <c r="G34" s="135">
        <v>0.02</v>
      </c>
      <c r="H34" s="134">
        <f t="shared" si="1"/>
        <v>1.9801980198019804</v>
      </c>
      <c r="I34" s="140">
        <v>10.45</v>
      </c>
      <c r="J34" s="134">
        <f t="shared" si="2"/>
        <v>1034.6534653465346</v>
      </c>
      <c r="K34" s="140">
        <v>0.33400000000000002</v>
      </c>
      <c r="L34" s="134">
        <f t="shared" si="3"/>
        <v>33.069306930693074</v>
      </c>
      <c r="M34" s="35"/>
      <c r="N34" s="134"/>
      <c r="T34" s="29"/>
      <c r="U34" s="32"/>
      <c r="X34" s="136"/>
      <c r="Y34" s="135"/>
      <c r="Z34" s="137"/>
      <c r="AA34" s="138"/>
      <c r="AB34" s="138"/>
      <c r="AC34" s="35"/>
      <c r="AE34" s="136"/>
    </row>
    <row r="35" spans="1:31" x14ac:dyDescent="0.35">
      <c r="A35" s="27" t="s">
        <v>343</v>
      </c>
      <c r="B35" s="29">
        <v>43782</v>
      </c>
      <c r="C35" s="11">
        <v>2.0030000000000001</v>
      </c>
      <c r="D35" s="27">
        <v>200</v>
      </c>
      <c r="E35" s="27">
        <v>3.9</v>
      </c>
      <c r="F35" s="134">
        <f t="shared" si="0"/>
        <v>0.38941587618572138</v>
      </c>
      <c r="G35" s="135">
        <v>0.02</v>
      </c>
      <c r="H35" s="134">
        <f t="shared" si="1"/>
        <v>1.9970044932601099</v>
      </c>
      <c r="I35" s="140">
        <v>8.4960000000000004</v>
      </c>
      <c r="J35" s="134">
        <f t="shared" si="2"/>
        <v>848.32750873689474</v>
      </c>
      <c r="K35" s="140">
        <v>0.46500000000000002</v>
      </c>
      <c r="L35" s="134">
        <f t="shared" si="3"/>
        <v>46.430354468297558</v>
      </c>
      <c r="M35" s="35"/>
      <c r="N35" s="134"/>
      <c r="T35" s="29"/>
      <c r="U35" s="32"/>
      <c r="X35" s="136"/>
      <c r="Y35" s="135"/>
      <c r="Z35" s="137"/>
      <c r="AA35" s="138"/>
      <c r="AB35" s="138"/>
      <c r="AC35" s="35"/>
      <c r="AE35" s="136"/>
    </row>
    <row r="36" spans="1:31" x14ac:dyDescent="0.35">
      <c r="A36" s="27" t="s">
        <v>207</v>
      </c>
      <c r="B36" s="29">
        <v>43782</v>
      </c>
      <c r="C36" s="11">
        <v>2</v>
      </c>
      <c r="D36" s="27">
        <v>200</v>
      </c>
      <c r="E36" s="27">
        <v>4.2</v>
      </c>
      <c r="F36" s="134">
        <f t="shared" si="0"/>
        <v>0.42</v>
      </c>
      <c r="G36" s="135">
        <v>0.02</v>
      </c>
      <c r="H36" s="134">
        <f t="shared" si="1"/>
        <v>2</v>
      </c>
      <c r="I36" s="140">
        <v>12.37</v>
      </c>
      <c r="J36" s="134">
        <f t="shared" si="2"/>
        <v>1237</v>
      </c>
      <c r="K36" s="140">
        <v>0.80700000000000005</v>
      </c>
      <c r="L36" s="134">
        <f t="shared" si="3"/>
        <v>80.7</v>
      </c>
      <c r="M36" s="35"/>
      <c r="N36" s="134"/>
      <c r="T36" s="29"/>
      <c r="U36" s="32"/>
      <c r="X36" s="136"/>
      <c r="Y36" s="135"/>
      <c r="Z36" s="137"/>
      <c r="AA36" s="138"/>
      <c r="AB36" s="138"/>
      <c r="AC36" s="35"/>
      <c r="AE36" s="136"/>
    </row>
    <row r="37" spans="1:31" x14ac:dyDescent="0.35">
      <c r="B37" s="29"/>
      <c r="F37" s="134"/>
      <c r="G37" s="135"/>
      <c r="H37" s="134"/>
      <c r="J37" s="134"/>
      <c r="L37" s="134"/>
      <c r="M37" s="35"/>
      <c r="N37" s="134"/>
      <c r="T37" s="29"/>
      <c r="U37" s="32"/>
      <c r="X37" s="136"/>
      <c r="Y37" s="135"/>
      <c r="Z37" s="137"/>
      <c r="AA37" s="138"/>
      <c r="AB37" s="138"/>
      <c r="AC37" s="35"/>
      <c r="AE37" s="136"/>
    </row>
    <row r="38" spans="1:31" x14ac:dyDescent="0.35">
      <c r="A38" s="27" t="s">
        <v>300</v>
      </c>
      <c r="B38" s="29">
        <v>43482</v>
      </c>
      <c r="C38" s="11">
        <v>2</v>
      </c>
      <c r="D38" s="27">
        <v>200</v>
      </c>
      <c r="E38" s="27">
        <v>14.7</v>
      </c>
      <c r="F38" s="134">
        <f t="shared" si="0"/>
        <v>1.47</v>
      </c>
      <c r="G38" s="140">
        <v>2.1000000000000001E-2</v>
      </c>
      <c r="H38" s="134">
        <f t="shared" si="1"/>
        <v>2.1</v>
      </c>
      <c r="I38" s="140">
        <v>19.2</v>
      </c>
      <c r="J38" s="134">
        <f t="shared" si="2"/>
        <v>1920</v>
      </c>
      <c r="K38" s="140">
        <v>0.93100000000000005</v>
      </c>
      <c r="L38" s="134">
        <f t="shared" si="3"/>
        <v>93.100000000000009</v>
      </c>
      <c r="M38" s="35"/>
      <c r="N38" s="134"/>
      <c r="T38" s="29"/>
      <c r="U38" s="11"/>
      <c r="W38" s="26"/>
      <c r="X38" s="134"/>
      <c r="Y38" s="135"/>
      <c r="Z38" s="137"/>
      <c r="AA38" s="137"/>
      <c r="AB38" s="137"/>
      <c r="AC38" s="137"/>
      <c r="AE38" s="139"/>
    </row>
    <row r="39" spans="1:31" x14ac:dyDescent="0.35">
      <c r="A39" s="27" t="s">
        <v>301</v>
      </c>
      <c r="B39" s="29">
        <v>43482</v>
      </c>
      <c r="C39" s="11">
        <v>2.02</v>
      </c>
      <c r="D39" s="27">
        <v>200</v>
      </c>
      <c r="E39" s="27">
        <v>16.2</v>
      </c>
      <c r="F39" s="134">
        <f t="shared" si="0"/>
        <v>1.6039603960396038</v>
      </c>
      <c r="G39" s="135">
        <v>2.1000000000000001E-2</v>
      </c>
      <c r="H39" s="134">
        <f t="shared" si="1"/>
        <v>2.0792079207920793</v>
      </c>
      <c r="I39" s="140">
        <v>20.350000000000001</v>
      </c>
      <c r="J39" s="134">
        <f t="shared" si="2"/>
        <v>2014.8514851485149</v>
      </c>
      <c r="K39" s="140">
        <v>0.90300000000000002</v>
      </c>
      <c r="L39" s="134">
        <f t="shared" si="3"/>
        <v>89.405940594059416</v>
      </c>
      <c r="M39" s="35"/>
      <c r="N39" s="134"/>
      <c r="AE39" s="136"/>
    </row>
    <row r="40" spans="1:31" x14ac:dyDescent="0.35">
      <c r="A40" s="27" t="s">
        <v>302</v>
      </c>
      <c r="B40" s="29">
        <v>43509</v>
      </c>
      <c r="C40" s="11">
        <v>2.0099999999999998</v>
      </c>
      <c r="D40" s="27">
        <v>200</v>
      </c>
      <c r="E40" s="27">
        <v>6.2</v>
      </c>
      <c r="F40" s="134">
        <f t="shared" si="0"/>
        <v>0.61691542288557222</v>
      </c>
      <c r="G40" s="135">
        <v>0.02</v>
      </c>
      <c r="H40" s="134">
        <f t="shared" si="1"/>
        <v>1.9900497512437811</v>
      </c>
      <c r="I40" s="140">
        <v>10.119999999999999</v>
      </c>
      <c r="J40" s="134">
        <f t="shared" si="2"/>
        <v>1006.9651741293532</v>
      </c>
      <c r="K40" s="140">
        <v>0.90300000000000002</v>
      </c>
      <c r="L40" s="134">
        <f t="shared" si="3"/>
        <v>89.850746268656721</v>
      </c>
      <c r="M40" s="35"/>
      <c r="N40" s="134"/>
    </row>
    <row r="41" spans="1:31" x14ac:dyDescent="0.35">
      <c r="B41" s="29"/>
      <c r="F41" s="146">
        <f>MEDIAN(F38:F40)</f>
        <v>1.47</v>
      </c>
      <c r="G41" s="135"/>
      <c r="H41" s="134"/>
      <c r="J41" s="134"/>
      <c r="L41" s="134"/>
      <c r="M41" s="35"/>
      <c r="N41" s="134"/>
      <c r="T41" s="29"/>
      <c r="U41" s="32"/>
      <c r="X41" s="136"/>
      <c r="Y41" s="135"/>
      <c r="Z41" s="137"/>
      <c r="AA41" s="138"/>
      <c r="AB41" s="138"/>
      <c r="AC41" s="35"/>
      <c r="AE41" s="136"/>
    </row>
    <row r="42" spans="1:31" x14ac:dyDescent="0.35">
      <c r="A42" s="27" t="s">
        <v>142</v>
      </c>
      <c r="B42" s="29">
        <v>43782</v>
      </c>
      <c r="C42" s="11">
        <v>2.0009999999999999</v>
      </c>
      <c r="D42" s="27">
        <v>200</v>
      </c>
      <c r="E42" s="27">
        <v>16.100000000000001</v>
      </c>
      <c r="F42" s="134">
        <f t="shared" si="0"/>
        <v>1.6091954022988508</v>
      </c>
      <c r="G42" s="140">
        <v>0.13100000000000001</v>
      </c>
      <c r="H42" s="134">
        <f t="shared" si="1"/>
        <v>13.09345327336332</v>
      </c>
      <c r="I42" s="140">
        <v>14.88</v>
      </c>
      <c r="J42" s="134">
        <f t="shared" si="2"/>
        <v>1487.2563718140932</v>
      </c>
      <c r="K42" s="140">
        <v>1.242</v>
      </c>
      <c r="L42" s="134">
        <f t="shared" si="3"/>
        <v>124.13793103448276</v>
      </c>
      <c r="M42" s="35"/>
      <c r="N42" s="134"/>
      <c r="T42" s="29"/>
      <c r="U42" s="32"/>
      <c r="X42" s="136"/>
      <c r="Y42" s="135"/>
      <c r="Z42" s="137"/>
      <c r="AA42" s="138"/>
      <c r="AB42" s="138"/>
      <c r="AC42" s="35"/>
      <c r="AE42" s="136"/>
    </row>
    <row r="43" spans="1:31" x14ac:dyDescent="0.35">
      <c r="A43" s="27" t="s">
        <v>143</v>
      </c>
      <c r="B43" s="29">
        <v>43509</v>
      </c>
      <c r="C43" s="11">
        <v>2.0009999999999999</v>
      </c>
      <c r="D43" s="27">
        <v>200</v>
      </c>
      <c r="E43" s="27">
        <v>16.899999999999999</v>
      </c>
      <c r="F43" s="134">
        <f t="shared" si="0"/>
        <v>1.6891554222888556</v>
      </c>
      <c r="G43" s="140">
        <v>0.02</v>
      </c>
      <c r="H43" s="134">
        <f t="shared" si="1"/>
        <v>1.9990004997501252</v>
      </c>
      <c r="I43" s="140">
        <v>15.98</v>
      </c>
      <c r="J43" s="134">
        <f t="shared" si="2"/>
        <v>1597.20139930035</v>
      </c>
      <c r="K43" s="140">
        <v>2.129</v>
      </c>
      <c r="L43" s="134">
        <f t="shared" si="3"/>
        <v>212.7936031984008</v>
      </c>
      <c r="M43" s="35"/>
      <c r="N43" s="134"/>
      <c r="T43" s="29"/>
      <c r="U43" s="32"/>
      <c r="X43" s="136"/>
      <c r="Y43" s="135"/>
      <c r="Z43" s="137"/>
      <c r="AA43" s="138"/>
      <c r="AB43" s="138"/>
      <c r="AC43" s="35"/>
      <c r="AE43" s="136"/>
    </row>
    <row r="44" spans="1:31" x14ac:dyDescent="0.35">
      <c r="A44" s="27" t="s">
        <v>144</v>
      </c>
      <c r="B44" s="29">
        <v>43509</v>
      </c>
      <c r="C44" s="11">
        <v>2.0019999999999998</v>
      </c>
      <c r="D44" s="27">
        <v>200</v>
      </c>
      <c r="E44" s="27">
        <v>55.2</v>
      </c>
      <c r="F44" s="134">
        <f t="shared" si="0"/>
        <v>5.5144855144855152</v>
      </c>
      <c r="G44" s="135">
        <v>0.02</v>
      </c>
      <c r="H44" s="134">
        <f t="shared" si="1"/>
        <v>1.9980019980019983</v>
      </c>
      <c r="I44" s="140">
        <v>16.77</v>
      </c>
      <c r="J44" s="134">
        <f t="shared" si="2"/>
        <v>1675.3246753246756</v>
      </c>
      <c r="K44" s="140">
        <v>2.0379999999999998</v>
      </c>
      <c r="L44" s="134">
        <f t="shared" si="3"/>
        <v>203.5964035964036</v>
      </c>
      <c r="M44" s="35"/>
      <c r="N44" s="134"/>
      <c r="T44" s="29"/>
      <c r="U44" s="32"/>
      <c r="X44" s="136"/>
      <c r="Y44" s="135"/>
      <c r="Z44" s="137"/>
      <c r="AA44" s="138"/>
      <c r="AB44" s="138"/>
      <c r="AC44" s="35"/>
      <c r="AE44" s="136"/>
    </row>
    <row r="45" spans="1:31" x14ac:dyDescent="0.35">
      <c r="A45" s="27" t="s">
        <v>145</v>
      </c>
      <c r="B45" s="29">
        <v>43782</v>
      </c>
      <c r="C45" s="11">
        <v>2</v>
      </c>
      <c r="D45" s="27">
        <v>200</v>
      </c>
      <c r="E45" s="27">
        <v>5.9</v>
      </c>
      <c r="F45" s="134">
        <f t="shared" si="0"/>
        <v>0.59</v>
      </c>
      <c r="G45" s="135">
        <v>0.02</v>
      </c>
      <c r="H45" s="134">
        <f t="shared" si="1"/>
        <v>2</v>
      </c>
      <c r="I45" s="140">
        <v>16.96</v>
      </c>
      <c r="J45" s="134">
        <f t="shared" si="2"/>
        <v>1696</v>
      </c>
      <c r="K45" s="140">
        <v>1.43</v>
      </c>
      <c r="L45" s="134">
        <f t="shared" si="3"/>
        <v>143</v>
      </c>
      <c r="M45" s="35"/>
      <c r="N45" s="134"/>
      <c r="T45" s="29"/>
      <c r="U45" s="32"/>
      <c r="X45" s="136"/>
      <c r="Y45" s="135"/>
      <c r="Z45" s="137"/>
      <c r="AA45" s="138"/>
      <c r="AB45" s="138"/>
      <c r="AC45" s="35"/>
      <c r="AE45" s="136"/>
    </row>
    <row r="46" spans="1:31" x14ac:dyDescent="0.35">
      <c r="A46" s="27" t="s">
        <v>69</v>
      </c>
      <c r="B46" s="29">
        <v>43482</v>
      </c>
      <c r="C46" s="11">
        <v>2.0099999999999998</v>
      </c>
      <c r="D46" s="27">
        <v>200</v>
      </c>
      <c r="E46" s="27">
        <v>4.2</v>
      </c>
      <c r="F46" s="134">
        <f t="shared" si="0"/>
        <v>0.41791044776119407</v>
      </c>
      <c r="G46" s="135">
        <v>0.02</v>
      </c>
      <c r="H46" s="134">
        <f t="shared" si="1"/>
        <v>1.9900497512437811</v>
      </c>
      <c r="I46" s="140">
        <v>11.93</v>
      </c>
      <c r="J46" s="134">
        <f t="shared" si="2"/>
        <v>1187.0646766169154</v>
      </c>
      <c r="K46" s="140">
        <v>1.0740000000000001</v>
      </c>
      <c r="L46" s="134">
        <f t="shared" si="3"/>
        <v>106.86567164179105</v>
      </c>
      <c r="M46" s="35"/>
      <c r="N46" s="134"/>
      <c r="T46" s="29"/>
      <c r="U46" s="32"/>
      <c r="X46" s="136"/>
      <c r="Y46" s="135"/>
      <c r="Z46" s="137"/>
      <c r="AA46" s="34"/>
      <c r="AB46" s="138"/>
      <c r="AC46" s="35"/>
      <c r="AE46" s="139"/>
    </row>
    <row r="47" spans="1:31" x14ac:dyDescent="0.35">
      <c r="A47" s="27" t="s">
        <v>70</v>
      </c>
      <c r="B47" s="29">
        <v>43482</v>
      </c>
      <c r="C47" s="11">
        <v>2.0099999999999998</v>
      </c>
      <c r="D47" s="27">
        <v>200</v>
      </c>
      <c r="E47" s="27">
        <v>3.7</v>
      </c>
      <c r="F47" s="134">
        <f t="shared" si="0"/>
        <v>0.36815920398009955</v>
      </c>
      <c r="G47" s="135">
        <v>0.02</v>
      </c>
      <c r="H47" s="134">
        <f t="shared" si="1"/>
        <v>1.9900497512437811</v>
      </c>
      <c r="I47" s="140">
        <v>6.5679999999999996</v>
      </c>
      <c r="J47" s="134">
        <f t="shared" si="2"/>
        <v>653.53233830845772</v>
      </c>
      <c r="K47" s="140">
        <v>0.51400000000000001</v>
      </c>
      <c r="L47" s="134">
        <f t="shared" si="3"/>
        <v>51.14427860696518</v>
      </c>
      <c r="M47" s="35"/>
      <c r="N47" s="134"/>
      <c r="T47" s="29"/>
      <c r="U47" s="11"/>
      <c r="X47" s="136"/>
      <c r="Y47" s="135"/>
      <c r="Z47" s="137"/>
      <c r="AA47" s="34"/>
      <c r="AB47" s="138"/>
      <c r="AC47" s="35"/>
      <c r="AE47" s="139"/>
    </row>
    <row r="48" spans="1:31" x14ac:dyDescent="0.35">
      <c r="B48" s="29"/>
      <c r="F48" s="134"/>
      <c r="G48" s="135"/>
      <c r="H48" s="134"/>
      <c r="J48" s="134"/>
      <c r="L48" s="134"/>
      <c r="M48" s="35"/>
      <c r="N48" s="134"/>
      <c r="T48" s="29"/>
      <c r="U48" s="11"/>
      <c r="X48" s="136"/>
      <c r="Y48" s="135"/>
      <c r="Z48" s="137"/>
      <c r="AA48" s="34"/>
      <c r="AB48" s="138"/>
      <c r="AC48" s="35"/>
      <c r="AE48" s="139"/>
    </row>
    <row r="49" spans="1:31" x14ac:dyDescent="0.35">
      <c r="A49" s="27" t="s">
        <v>146</v>
      </c>
      <c r="B49" s="29">
        <v>43782</v>
      </c>
      <c r="C49" s="11">
        <v>2</v>
      </c>
      <c r="D49" s="27">
        <v>200</v>
      </c>
      <c r="E49" s="27">
        <v>14.9</v>
      </c>
      <c r="F49" s="134">
        <f t="shared" si="0"/>
        <v>1.49</v>
      </c>
      <c r="G49" s="140">
        <v>9.0999999999999998E-2</v>
      </c>
      <c r="H49" s="134">
        <f t="shared" si="1"/>
        <v>9.1</v>
      </c>
      <c r="I49" s="140">
        <v>15.15</v>
      </c>
      <c r="J49" s="134">
        <f t="shared" si="2"/>
        <v>1515</v>
      </c>
      <c r="K49" s="140">
        <v>2.0510000000000002</v>
      </c>
      <c r="L49" s="134">
        <f t="shared" si="3"/>
        <v>205.10000000000002</v>
      </c>
      <c r="M49" s="35"/>
      <c r="N49" s="134"/>
      <c r="T49" s="29"/>
      <c r="U49" s="11"/>
      <c r="X49" s="136"/>
      <c r="Y49" s="135"/>
      <c r="Z49" s="137"/>
      <c r="AA49" s="34"/>
      <c r="AB49" s="138"/>
      <c r="AC49" s="35"/>
      <c r="AE49" s="139"/>
    </row>
    <row r="50" spans="1:31" x14ac:dyDescent="0.35">
      <c r="A50" s="27" t="s">
        <v>344</v>
      </c>
      <c r="B50" s="29">
        <v>43782</v>
      </c>
      <c r="C50" s="11">
        <v>2.0009999999999999</v>
      </c>
      <c r="D50" s="27">
        <v>200</v>
      </c>
      <c r="E50" s="27">
        <v>14.1</v>
      </c>
      <c r="F50" s="134">
        <f t="shared" si="0"/>
        <v>1.4092953523238383</v>
      </c>
      <c r="G50" s="140">
        <v>0.09</v>
      </c>
      <c r="H50" s="134">
        <f t="shared" si="1"/>
        <v>8.995502248875562</v>
      </c>
      <c r="I50" s="140">
        <v>15.11</v>
      </c>
      <c r="J50" s="134">
        <f t="shared" si="2"/>
        <v>1510.2448775612195</v>
      </c>
      <c r="K50" s="140">
        <v>1.9970000000000001</v>
      </c>
      <c r="L50" s="134">
        <f t="shared" si="3"/>
        <v>199.60019990005</v>
      </c>
      <c r="M50" s="35"/>
      <c r="N50" s="134"/>
      <c r="T50" s="29"/>
      <c r="U50" s="11"/>
      <c r="X50" s="136"/>
      <c r="Y50" s="135"/>
      <c r="Z50" s="137"/>
      <c r="AA50" s="34"/>
      <c r="AB50" s="138"/>
      <c r="AC50" s="35"/>
      <c r="AE50" s="139"/>
    </row>
    <row r="51" spans="1:31" x14ac:dyDescent="0.35">
      <c r="A51" s="27" t="s">
        <v>147</v>
      </c>
      <c r="B51" s="29">
        <v>43782</v>
      </c>
      <c r="C51" s="11">
        <v>2.0019999999999998</v>
      </c>
      <c r="D51" s="27">
        <v>200</v>
      </c>
      <c r="E51" s="27">
        <v>23.9</v>
      </c>
      <c r="F51" s="134">
        <f t="shared" si="0"/>
        <v>2.3876123876123878</v>
      </c>
      <c r="G51" s="135">
        <v>0.02</v>
      </c>
      <c r="H51" s="134">
        <f t="shared" si="1"/>
        <v>1.9980019980019983</v>
      </c>
      <c r="I51" s="140">
        <v>19.11</v>
      </c>
      <c r="J51" s="134">
        <f t="shared" si="2"/>
        <v>1909.0909090909095</v>
      </c>
      <c r="K51" s="140">
        <v>2.1709999999999998</v>
      </c>
      <c r="L51" s="134">
        <f t="shared" si="3"/>
        <v>216.88311688311691</v>
      </c>
      <c r="M51" s="35"/>
      <c r="N51" s="134"/>
      <c r="T51" s="29"/>
      <c r="U51" s="11"/>
      <c r="X51" s="136"/>
      <c r="Y51" s="135"/>
      <c r="Z51" s="137"/>
      <c r="AA51" s="34"/>
      <c r="AB51" s="138"/>
      <c r="AC51" s="35"/>
      <c r="AE51" s="139"/>
    </row>
    <row r="52" spans="1:31" x14ac:dyDescent="0.35">
      <c r="A52" s="27" t="s">
        <v>148</v>
      </c>
      <c r="B52" s="29">
        <v>43782</v>
      </c>
      <c r="C52" s="11">
        <v>2.0009999999999999</v>
      </c>
      <c r="D52" s="27">
        <v>200</v>
      </c>
      <c r="E52" s="27">
        <v>38.700000000000003</v>
      </c>
      <c r="F52" s="134">
        <f t="shared" si="0"/>
        <v>3.8680659670164923</v>
      </c>
      <c r="G52" s="135">
        <v>0.02</v>
      </c>
      <c r="H52" s="134">
        <f t="shared" si="1"/>
        <v>1.9990004997501252</v>
      </c>
      <c r="I52" s="140">
        <v>19.920000000000002</v>
      </c>
      <c r="J52" s="134">
        <f t="shared" si="2"/>
        <v>1991.0044977511247</v>
      </c>
      <c r="K52" s="140">
        <v>2.2349999999999999</v>
      </c>
      <c r="L52" s="134">
        <f t="shared" si="3"/>
        <v>223.38830584707645</v>
      </c>
      <c r="M52" s="35"/>
      <c r="N52" s="134"/>
      <c r="T52" s="29"/>
      <c r="U52" s="11"/>
      <c r="X52" s="136"/>
      <c r="Y52" s="135"/>
      <c r="Z52" s="137"/>
      <c r="AA52" s="34"/>
      <c r="AB52" s="138"/>
      <c r="AC52" s="35"/>
      <c r="AE52" s="139"/>
    </row>
    <row r="53" spans="1:31" x14ac:dyDescent="0.35">
      <c r="B53" s="29"/>
      <c r="F53" s="134"/>
      <c r="G53" s="135"/>
      <c r="H53" s="134"/>
      <c r="J53" s="134"/>
      <c r="L53" s="134"/>
      <c r="M53" s="35"/>
      <c r="N53" s="134"/>
      <c r="T53" s="29"/>
      <c r="U53" s="11"/>
      <c r="X53" s="136"/>
      <c r="Y53" s="135"/>
      <c r="Z53" s="137"/>
      <c r="AA53" s="34"/>
      <c r="AB53" s="138"/>
      <c r="AC53" s="35"/>
      <c r="AE53" s="139"/>
    </row>
    <row r="54" spans="1:31" x14ac:dyDescent="0.35">
      <c r="A54" s="27" t="s">
        <v>208</v>
      </c>
      <c r="B54" s="29">
        <v>43782</v>
      </c>
      <c r="C54" s="11">
        <v>2.0009999999999999</v>
      </c>
      <c r="D54" s="27">
        <v>200</v>
      </c>
      <c r="E54" s="27">
        <v>14.6</v>
      </c>
      <c r="F54" s="134">
        <f t="shared" si="0"/>
        <v>1.4592703648175913</v>
      </c>
      <c r="G54" s="140">
        <v>7.4999999999999997E-2</v>
      </c>
      <c r="H54" s="134">
        <f t="shared" si="1"/>
        <v>7.4962518740629687</v>
      </c>
      <c r="I54" s="140">
        <v>15.5</v>
      </c>
      <c r="J54" s="134">
        <f t="shared" si="2"/>
        <v>1549.2253873063469</v>
      </c>
      <c r="K54" s="140">
        <v>1.6240000000000001</v>
      </c>
      <c r="L54" s="134">
        <f t="shared" si="3"/>
        <v>162.31884057971016</v>
      </c>
      <c r="M54" s="35"/>
      <c r="N54" s="134"/>
      <c r="T54" s="29"/>
      <c r="U54" s="11"/>
      <c r="X54" s="136"/>
      <c r="Y54" s="135"/>
      <c r="Z54" s="137"/>
      <c r="AA54" s="34"/>
      <c r="AB54" s="138"/>
      <c r="AC54" s="35"/>
      <c r="AE54" s="139"/>
    </row>
    <row r="55" spans="1:31" x14ac:dyDescent="0.35">
      <c r="A55" s="27" t="s">
        <v>149</v>
      </c>
      <c r="B55" s="29">
        <v>43782</v>
      </c>
      <c r="C55" s="11">
        <v>2</v>
      </c>
      <c r="D55" s="27">
        <v>200</v>
      </c>
      <c r="E55" s="27">
        <v>18.600000000000001</v>
      </c>
      <c r="F55" s="134">
        <f t="shared" si="0"/>
        <v>1.8600000000000003</v>
      </c>
      <c r="G55" s="135">
        <v>0.02</v>
      </c>
      <c r="H55" s="134">
        <f t="shared" si="1"/>
        <v>2</v>
      </c>
      <c r="I55" s="140">
        <v>18.79</v>
      </c>
      <c r="J55" s="134">
        <f t="shared" si="2"/>
        <v>1879</v>
      </c>
      <c r="K55" s="140">
        <v>2.0830000000000002</v>
      </c>
      <c r="L55" s="134">
        <f t="shared" si="3"/>
        <v>208.3</v>
      </c>
      <c r="M55" s="35"/>
      <c r="N55" s="134"/>
      <c r="T55" s="29"/>
      <c r="U55" s="11"/>
      <c r="X55" s="136"/>
      <c r="Y55" s="135"/>
      <c r="Z55" s="137"/>
      <c r="AA55" s="34"/>
      <c r="AB55" s="138"/>
      <c r="AC55" s="35"/>
      <c r="AE55" s="139"/>
    </row>
    <row r="56" spans="1:31" x14ac:dyDescent="0.35">
      <c r="A56" s="27" t="s">
        <v>150</v>
      </c>
      <c r="B56" s="29">
        <v>43782</v>
      </c>
      <c r="C56" s="11">
        <v>2.0019999999999998</v>
      </c>
      <c r="D56" s="27">
        <v>200</v>
      </c>
      <c r="E56" s="27">
        <v>21.7</v>
      </c>
      <c r="F56" s="134">
        <f t="shared" si="0"/>
        <v>2.1678321678321679</v>
      </c>
      <c r="G56" s="135">
        <v>0.02</v>
      </c>
      <c r="H56" s="134">
        <f t="shared" si="1"/>
        <v>1.9980019980019983</v>
      </c>
      <c r="I56" s="140">
        <v>19.28</v>
      </c>
      <c r="J56" s="134">
        <f t="shared" si="2"/>
        <v>1926.0739260739265</v>
      </c>
      <c r="K56" s="140">
        <v>2.0649999999999999</v>
      </c>
      <c r="L56" s="134">
        <f t="shared" si="3"/>
        <v>206.29370629370632</v>
      </c>
      <c r="M56" s="35"/>
      <c r="N56" s="134"/>
      <c r="T56" s="29"/>
      <c r="U56" s="11"/>
      <c r="X56" s="136"/>
      <c r="Y56" s="135"/>
      <c r="Z56" s="137"/>
      <c r="AA56" s="34"/>
      <c r="AB56" s="138"/>
      <c r="AC56" s="35"/>
      <c r="AE56" s="139"/>
    </row>
    <row r="57" spans="1:31" x14ac:dyDescent="0.35">
      <c r="A57" s="27" t="s">
        <v>71</v>
      </c>
      <c r="B57" s="29">
        <v>43482</v>
      </c>
      <c r="C57" s="11">
        <v>2</v>
      </c>
      <c r="D57" s="27">
        <v>200</v>
      </c>
      <c r="E57" s="27">
        <v>6.1</v>
      </c>
      <c r="F57" s="134">
        <f t="shared" si="0"/>
        <v>0.61</v>
      </c>
      <c r="G57" s="135">
        <v>0.02</v>
      </c>
      <c r="H57" s="134">
        <f t="shared" si="1"/>
        <v>2</v>
      </c>
      <c r="I57" s="140">
        <v>25.82</v>
      </c>
      <c r="J57" s="134">
        <f t="shared" si="2"/>
        <v>2582</v>
      </c>
      <c r="K57" s="140">
        <v>1.7709999999999999</v>
      </c>
      <c r="L57" s="134">
        <f t="shared" si="3"/>
        <v>177.1</v>
      </c>
      <c r="M57" s="35"/>
      <c r="N57" s="134"/>
      <c r="T57" s="29"/>
      <c r="U57" s="32"/>
      <c r="X57" s="136"/>
      <c r="Y57" s="135"/>
      <c r="Z57" s="137"/>
      <c r="AA57" s="34"/>
      <c r="AB57" s="138"/>
      <c r="AC57" s="35"/>
      <c r="AE57" s="139"/>
    </row>
    <row r="58" spans="1:31" x14ac:dyDescent="0.35">
      <c r="A58" s="27" t="s">
        <v>72</v>
      </c>
      <c r="B58" s="29">
        <v>43482</v>
      </c>
      <c r="C58" s="11">
        <v>2</v>
      </c>
      <c r="D58" s="27">
        <v>200</v>
      </c>
      <c r="E58" s="27">
        <v>4.3</v>
      </c>
      <c r="F58" s="134">
        <f t="shared" si="0"/>
        <v>0.43</v>
      </c>
      <c r="G58" s="135">
        <v>0.02</v>
      </c>
      <c r="H58" s="134">
        <f t="shared" si="1"/>
        <v>2</v>
      </c>
      <c r="I58" s="140">
        <v>5.258</v>
      </c>
      <c r="J58" s="134">
        <f t="shared" si="2"/>
        <v>525.79999999999995</v>
      </c>
      <c r="K58" s="140">
        <v>0.41399999999999998</v>
      </c>
      <c r="L58" s="134">
        <f t="shared" si="3"/>
        <v>41.4</v>
      </c>
      <c r="M58" s="35"/>
      <c r="N58" s="134"/>
      <c r="T58" s="29"/>
      <c r="U58" s="32"/>
      <c r="X58" s="136"/>
      <c r="Y58" s="135"/>
      <c r="Z58" s="137"/>
      <c r="AA58" s="34"/>
      <c r="AB58" s="138"/>
      <c r="AC58" s="35"/>
      <c r="AE58" s="139"/>
    </row>
    <row r="59" spans="1:31" x14ac:dyDescent="0.35">
      <c r="B59" s="29"/>
      <c r="F59" s="134"/>
      <c r="G59" s="135"/>
      <c r="H59" s="134"/>
      <c r="J59" s="134"/>
      <c r="L59" s="134"/>
      <c r="M59" s="35"/>
      <c r="N59" s="134"/>
      <c r="T59" s="29"/>
      <c r="U59" s="32"/>
      <c r="X59" s="136"/>
      <c r="Y59" s="135"/>
      <c r="Z59" s="137"/>
      <c r="AA59" s="34"/>
      <c r="AB59" s="138"/>
      <c r="AC59" s="35"/>
      <c r="AE59" s="139"/>
    </row>
    <row r="60" spans="1:31" x14ac:dyDescent="0.35">
      <c r="A60" s="27" t="s">
        <v>306</v>
      </c>
      <c r="B60" s="29">
        <v>43509</v>
      </c>
      <c r="C60" s="11">
        <v>2.02</v>
      </c>
      <c r="D60" s="27">
        <v>200</v>
      </c>
      <c r="E60" s="27">
        <v>5.7</v>
      </c>
      <c r="F60" s="134">
        <f>(E60*(D60/C60))/1000</f>
        <v>0.56435643564356441</v>
      </c>
      <c r="G60" s="135">
        <v>0.02</v>
      </c>
      <c r="H60" s="134">
        <f>G60*(D60/C60)</f>
        <v>1.9801980198019804</v>
      </c>
      <c r="I60" s="140">
        <v>9.7690000000000001</v>
      </c>
      <c r="J60" s="134">
        <f>I60*(D60/C60)</f>
        <v>967.22772277227727</v>
      </c>
      <c r="K60" s="140">
        <v>0.79400000000000004</v>
      </c>
      <c r="L60" s="134">
        <f>K60*(D60/C60)</f>
        <v>78.613861386138623</v>
      </c>
      <c r="M60" s="35"/>
      <c r="N60" s="134"/>
    </row>
    <row r="61" spans="1:31" x14ac:dyDescent="0.35">
      <c r="A61" s="27" t="s">
        <v>307</v>
      </c>
      <c r="B61" s="29">
        <v>43509</v>
      </c>
      <c r="C61" s="11">
        <v>2.0099999999999998</v>
      </c>
      <c r="D61" s="27">
        <v>200</v>
      </c>
      <c r="E61" s="27">
        <v>5.9</v>
      </c>
      <c r="F61" s="134">
        <f>(E61*(D61/C61))/1000</f>
        <v>0.58706467661691542</v>
      </c>
      <c r="G61" s="135">
        <v>0.02</v>
      </c>
      <c r="H61" s="134">
        <f>G61*(D61/C61)</f>
        <v>1.9900497512437811</v>
      </c>
      <c r="I61" s="140">
        <v>9.8140000000000001</v>
      </c>
      <c r="J61" s="134">
        <f>I61*(D61/C61)</f>
        <v>976.51741293532348</v>
      </c>
      <c r="K61" s="140">
        <v>0.78800000000000003</v>
      </c>
      <c r="L61" s="134">
        <f>K61*(D61/C61)</f>
        <v>78.407960199004989</v>
      </c>
      <c r="M61" s="35"/>
      <c r="N61" s="134"/>
    </row>
    <row r="62" spans="1:31" x14ac:dyDescent="0.35">
      <c r="A62" s="27" t="s">
        <v>308</v>
      </c>
      <c r="B62" s="29">
        <v>43509</v>
      </c>
      <c r="C62" s="11">
        <v>2.0099999999999998</v>
      </c>
      <c r="D62" s="27">
        <v>200</v>
      </c>
      <c r="E62" s="27">
        <v>12.4</v>
      </c>
      <c r="F62" s="134">
        <f>(E62*(D62/C62))/1000</f>
        <v>1.2338308457711444</v>
      </c>
      <c r="G62" s="135">
        <v>0.02</v>
      </c>
      <c r="H62" s="134">
        <f>G62*(D62/C62)</f>
        <v>1.9900497512437811</v>
      </c>
      <c r="I62" s="140">
        <v>16.68</v>
      </c>
      <c r="J62" s="134">
        <f>I62*(D62/C62)</f>
        <v>1659.7014925373135</v>
      </c>
      <c r="K62" s="140">
        <v>0.85299999999999998</v>
      </c>
      <c r="L62" s="134">
        <f>K62*(D62/C62)</f>
        <v>84.875621890547265</v>
      </c>
      <c r="M62" s="35"/>
      <c r="N62" s="134"/>
    </row>
    <row r="63" spans="1:31" x14ac:dyDescent="0.35">
      <c r="B63" s="29"/>
      <c r="F63" s="146">
        <f>MEDIAN(F60:F62)</f>
        <v>0.58706467661691542</v>
      </c>
      <c r="G63" s="135"/>
      <c r="H63" s="134"/>
      <c r="J63" s="134"/>
      <c r="L63" s="134"/>
      <c r="M63" s="35"/>
      <c r="N63" s="134"/>
      <c r="T63" s="29"/>
      <c r="U63" s="32"/>
      <c r="X63" s="136"/>
      <c r="Y63" s="135"/>
      <c r="Z63" s="137"/>
      <c r="AA63" s="34"/>
      <c r="AB63" s="138"/>
      <c r="AC63" s="35"/>
      <c r="AE63" s="139"/>
    </row>
    <row r="64" spans="1:31" x14ac:dyDescent="0.35">
      <c r="A64" s="27" t="s">
        <v>309</v>
      </c>
      <c r="B64" s="29">
        <v>43482</v>
      </c>
      <c r="C64" s="11">
        <v>2</v>
      </c>
      <c r="D64" s="27">
        <v>200</v>
      </c>
      <c r="E64" s="27">
        <v>10.4</v>
      </c>
      <c r="F64" s="134">
        <f t="shared" si="0"/>
        <v>1.04</v>
      </c>
      <c r="G64" s="135">
        <v>0.02</v>
      </c>
      <c r="H64" s="134">
        <f t="shared" si="1"/>
        <v>2</v>
      </c>
      <c r="I64" s="140">
        <v>10.55</v>
      </c>
      <c r="J64" s="134">
        <f t="shared" si="2"/>
        <v>1055</v>
      </c>
      <c r="K64" s="140">
        <v>1.365</v>
      </c>
      <c r="L64" s="134">
        <f t="shared" si="3"/>
        <v>136.5</v>
      </c>
      <c r="M64" s="35"/>
      <c r="N64" s="134"/>
      <c r="T64" s="29"/>
      <c r="U64" s="11"/>
      <c r="W64" s="26"/>
      <c r="X64" s="134"/>
      <c r="Y64" s="135"/>
      <c r="Z64" s="137"/>
      <c r="AA64" s="137"/>
      <c r="AB64" s="137"/>
      <c r="AC64" s="137"/>
      <c r="AE64" s="139"/>
    </row>
    <row r="65" spans="1:31" x14ac:dyDescent="0.35">
      <c r="A65" s="27" t="s">
        <v>310</v>
      </c>
      <c r="B65" s="29">
        <v>43482</v>
      </c>
      <c r="C65" s="11">
        <v>2</v>
      </c>
      <c r="D65" s="27">
        <v>200</v>
      </c>
      <c r="E65" s="27">
        <v>9.9</v>
      </c>
      <c r="F65" s="134">
        <f t="shared" si="0"/>
        <v>0.99</v>
      </c>
      <c r="G65" s="135">
        <v>0.02</v>
      </c>
      <c r="H65" s="134">
        <f t="shared" si="1"/>
        <v>2</v>
      </c>
      <c r="I65" s="140">
        <v>11.06</v>
      </c>
      <c r="J65" s="134">
        <f t="shared" si="2"/>
        <v>1106</v>
      </c>
      <c r="K65" s="140">
        <v>1.3919999999999999</v>
      </c>
      <c r="L65" s="134">
        <f t="shared" si="3"/>
        <v>139.19999999999999</v>
      </c>
      <c r="M65" s="35"/>
      <c r="N65" s="134"/>
      <c r="T65" s="29"/>
      <c r="U65" s="11"/>
      <c r="W65" s="26"/>
      <c r="X65" s="134"/>
      <c r="Y65" s="135"/>
      <c r="Z65" s="137"/>
      <c r="AA65" s="137"/>
      <c r="AB65" s="137"/>
      <c r="AC65" s="137"/>
      <c r="AE65" s="139"/>
    </row>
    <row r="66" spans="1:31" x14ac:dyDescent="0.35">
      <c r="A66" s="27" t="s">
        <v>311</v>
      </c>
      <c r="B66" s="29">
        <v>43482</v>
      </c>
      <c r="C66" s="11">
        <v>2.0099999999999998</v>
      </c>
      <c r="D66" s="27">
        <v>200</v>
      </c>
      <c r="E66" s="27">
        <v>10.7</v>
      </c>
      <c r="F66" s="134">
        <f t="shared" si="0"/>
        <v>1.0646766169154229</v>
      </c>
      <c r="G66" s="135">
        <v>0.02</v>
      </c>
      <c r="H66" s="134">
        <f t="shared" si="1"/>
        <v>1.9900497512437811</v>
      </c>
      <c r="I66" s="140">
        <v>15.54</v>
      </c>
      <c r="J66" s="134">
        <f t="shared" si="2"/>
        <v>1546.2686567164178</v>
      </c>
      <c r="K66" s="140">
        <v>1.363</v>
      </c>
      <c r="L66" s="134">
        <f t="shared" si="3"/>
        <v>135.62189054726369</v>
      </c>
      <c r="M66" s="35"/>
      <c r="N66" s="134"/>
      <c r="T66" s="29"/>
      <c r="U66" s="11"/>
      <c r="W66" s="26"/>
      <c r="X66" s="134"/>
      <c r="Y66" s="135"/>
      <c r="Z66" s="137"/>
      <c r="AA66" s="137"/>
      <c r="AB66" s="137"/>
      <c r="AC66" s="137"/>
      <c r="AE66" s="139"/>
    </row>
    <row r="67" spans="1:31" x14ac:dyDescent="0.35">
      <c r="B67" s="29"/>
      <c r="F67" s="146">
        <f>MEDIAN(F64:F66)</f>
        <v>1.04</v>
      </c>
      <c r="G67" s="135"/>
      <c r="H67" s="134"/>
      <c r="J67" s="134"/>
      <c r="K67" s="34"/>
      <c r="L67" s="134"/>
      <c r="M67" s="35"/>
      <c r="N67" s="134"/>
    </row>
    <row r="68" spans="1:31" x14ac:dyDescent="0.35">
      <c r="A68" s="27" t="s">
        <v>303</v>
      </c>
      <c r="B68" s="29">
        <v>43791</v>
      </c>
      <c r="C68" s="11">
        <v>2</v>
      </c>
      <c r="D68" s="27">
        <v>200</v>
      </c>
      <c r="E68" s="27">
        <v>6.8</v>
      </c>
      <c r="F68" s="134">
        <f t="shared" si="0"/>
        <v>0.68</v>
      </c>
      <c r="G68" s="135">
        <v>0.02</v>
      </c>
      <c r="H68" s="134">
        <f t="shared" si="1"/>
        <v>2</v>
      </c>
      <c r="I68" s="140">
        <v>11.76</v>
      </c>
      <c r="J68" s="134">
        <f t="shared" si="2"/>
        <v>1176</v>
      </c>
      <c r="K68" s="35" t="s">
        <v>209</v>
      </c>
      <c r="L68" s="134">
        <f t="shared" si="3"/>
        <v>135</v>
      </c>
      <c r="M68" s="35"/>
      <c r="N68" s="134"/>
      <c r="Q68" s="136"/>
      <c r="R68" s="33"/>
    </row>
    <row r="69" spans="1:31" x14ac:dyDescent="0.35">
      <c r="A69" s="27" t="s">
        <v>304</v>
      </c>
      <c r="B69" s="29">
        <v>43791</v>
      </c>
      <c r="C69" s="11">
        <v>2.0009999999999999</v>
      </c>
      <c r="D69" s="27">
        <v>200</v>
      </c>
      <c r="E69" s="27">
        <v>9.8000000000000007</v>
      </c>
      <c r="F69" s="134">
        <f t="shared" si="0"/>
        <v>0.97951024487756133</v>
      </c>
      <c r="G69" s="135">
        <v>0.02</v>
      </c>
      <c r="H69" s="134">
        <f t="shared" si="1"/>
        <v>1.9990004997501252</v>
      </c>
      <c r="I69" s="140">
        <v>21.04</v>
      </c>
      <c r="J69" s="134">
        <f t="shared" si="2"/>
        <v>2102.9485257371316</v>
      </c>
      <c r="K69" s="35" t="s">
        <v>210</v>
      </c>
      <c r="L69" s="134">
        <f t="shared" si="3"/>
        <v>83.958020989505243</v>
      </c>
      <c r="M69" s="35"/>
      <c r="N69" s="134"/>
      <c r="P69" s="26"/>
      <c r="Q69" s="134"/>
      <c r="R69" s="135"/>
    </row>
    <row r="70" spans="1:31" x14ac:dyDescent="0.35">
      <c r="A70" s="27" t="s">
        <v>305</v>
      </c>
      <c r="B70" s="29">
        <v>43791</v>
      </c>
      <c r="C70" s="11">
        <v>1.998</v>
      </c>
      <c r="D70" s="27">
        <v>200</v>
      </c>
      <c r="E70" s="27">
        <v>6.2</v>
      </c>
      <c r="F70" s="134">
        <f t="shared" si="0"/>
        <v>0.62062062062062073</v>
      </c>
      <c r="G70" s="135">
        <v>0.02</v>
      </c>
      <c r="H70" s="134">
        <f t="shared" si="1"/>
        <v>2.0020020020020022</v>
      </c>
      <c r="I70" s="140">
        <v>11.52</v>
      </c>
      <c r="J70" s="134">
        <f t="shared" si="2"/>
        <v>1153.1531531531532</v>
      </c>
      <c r="K70" s="35" t="s">
        <v>211</v>
      </c>
      <c r="L70" s="134">
        <f t="shared" si="3"/>
        <v>140.14014014014015</v>
      </c>
      <c r="M70" s="35"/>
      <c r="N70" s="134"/>
      <c r="P70" s="26"/>
      <c r="Q70" s="134"/>
      <c r="R70" s="135"/>
    </row>
    <row r="71" spans="1:31" x14ac:dyDescent="0.35">
      <c r="A71" s="27" t="s">
        <v>312</v>
      </c>
      <c r="B71" s="29">
        <v>43791</v>
      </c>
      <c r="C71" s="11">
        <v>1.9990000000000001</v>
      </c>
      <c r="D71" s="27">
        <v>200</v>
      </c>
      <c r="E71" s="27">
        <v>3.7</v>
      </c>
      <c r="F71" s="134">
        <f t="shared" si="0"/>
        <v>0.37018509254627313</v>
      </c>
      <c r="G71" s="135">
        <v>0.02</v>
      </c>
      <c r="H71" s="134">
        <f t="shared" si="1"/>
        <v>2.0010005002501252</v>
      </c>
      <c r="I71" s="140">
        <v>8.8490000000000002</v>
      </c>
      <c r="J71" s="134">
        <f t="shared" si="2"/>
        <v>885.34267133566789</v>
      </c>
      <c r="K71" s="35" t="s">
        <v>212</v>
      </c>
      <c r="L71" s="134">
        <f t="shared" si="3"/>
        <v>67.333666833416714</v>
      </c>
      <c r="M71" s="35"/>
      <c r="N71" s="134"/>
      <c r="P71" s="26"/>
      <c r="Q71" s="134"/>
      <c r="R71" s="135"/>
    </row>
    <row r="72" spans="1:31" x14ac:dyDescent="0.35">
      <c r="A72" s="27" t="s">
        <v>313</v>
      </c>
      <c r="B72" s="29">
        <v>43791</v>
      </c>
      <c r="C72" s="11">
        <v>1.9990000000000001</v>
      </c>
      <c r="D72" s="27">
        <v>200</v>
      </c>
      <c r="E72" s="27">
        <v>6.6</v>
      </c>
      <c r="F72" s="134">
        <f t="shared" si="0"/>
        <v>0.66033016508254128</v>
      </c>
      <c r="G72" s="135">
        <v>0.02</v>
      </c>
      <c r="H72" s="134">
        <f t="shared" si="1"/>
        <v>2.0010005002501252</v>
      </c>
      <c r="I72" s="140">
        <v>10.98</v>
      </c>
      <c r="J72" s="134">
        <f t="shared" si="2"/>
        <v>1098.5492746373186</v>
      </c>
      <c r="K72" s="35" t="s">
        <v>213</v>
      </c>
      <c r="L72" s="134">
        <f t="shared" si="3"/>
        <v>122.06103051525763</v>
      </c>
      <c r="M72" s="35"/>
      <c r="N72" s="134"/>
      <c r="P72" s="26"/>
      <c r="Q72" s="134"/>
      <c r="R72" s="135"/>
    </row>
    <row r="73" spans="1:31" x14ac:dyDescent="0.35">
      <c r="A73" s="27" t="s">
        <v>314</v>
      </c>
      <c r="B73" s="29">
        <v>43791</v>
      </c>
      <c r="C73" s="11">
        <v>2.0019999999999998</v>
      </c>
      <c r="D73" s="27">
        <v>200</v>
      </c>
      <c r="E73" s="27">
        <v>8.1999999999999993</v>
      </c>
      <c r="F73" s="134">
        <f t="shared" si="0"/>
        <v>0.81918081918081931</v>
      </c>
      <c r="G73" s="135">
        <v>0.02</v>
      </c>
      <c r="H73" s="134">
        <f t="shared" si="1"/>
        <v>1.9980019980019983</v>
      </c>
      <c r="I73" s="140">
        <v>11.95</v>
      </c>
      <c r="J73" s="134">
        <f t="shared" si="2"/>
        <v>1193.806193806194</v>
      </c>
      <c r="K73" s="35" t="s">
        <v>214</v>
      </c>
      <c r="L73" s="134">
        <f t="shared" si="3"/>
        <v>130.2697302697303</v>
      </c>
      <c r="M73" s="35"/>
      <c r="N73" s="134"/>
      <c r="Q73" s="136"/>
      <c r="R73" s="135"/>
    </row>
    <row r="74" spans="1:31" x14ac:dyDescent="0.35">
      <c r="A74" s="27" t="s">
        <v>315</v>
      </c>
      <c r="B74" s="29">
        <v>43791</v>
      </c>
      <c r="C74" s="11">
        <v>2.0009999999999999</v>
      </c>
      <c r="D74" s="27">
        <v>200</v>
      </c>
      <c r="E74" s="27">
        <v>8.1999999999999993</v>
      </c>
      <c r="F74" s="134">
        <f t="shared" si="0"/>
        <v>0.81959020489755119</v>
      </c>
      <c r="G74" s="135">
        <v>0.02</v>
      </c>
      <c r="H74" s="134">
        <f t="shared" si="1"/>
        <v>1.9990004997501252</v>
      </c>
      <c r="I74" s="140">
        <v>11.84</v>
      </c>
      <c r="J74" s="134">
        <f t="shared" si="2"/>
        <v>1183.4082958520739</v>
      </c>
      <c r="K74" s="35" t="s">
        <v>215</v>
      </c>
      <c r="L74" s="134">
        <f t="shared" si="3"/>
        <v>115.74212893553224</v>
      </c>
      <c r="M74" s="35"/>
      <c r="N74" s="134"/>
      <c r="Q74" s="136"/>
      <c r="R74" s="135"/>
    </row>
    <row r="75" spans="1:31" x14ac:dyDescent="0.35">
      <c r="A75" s="27" t="s">
        <v>316</v>
      </c>
      <c r="B75" s="29">
        <v>43791</v>
      </c>
      <c r="C75" s="11">
        <v>2.0019999999999998</v>
      </c>
      <c r="D75" s="27">
        <v>200</v>
      </c>
      <c r="E75" s="27">
        <v>6.9</v>
      </c>
      <c r="F75" s="134">
        <f t="shared" si="0"/>
        <v>0.6893106893106894</v>
      </c>
      <c r="G75" s="135">
        <v>0.02</v>
      </c>
      <c r="H75" s="134">
        <f t="shared" si="1"/>
        <v>1.9980019980019983</v>
      </c>
      <c r="I75" s="140">
        <v>11.27</v>
      </c>
      <c r="J75" s="134">
        <f t="shared" si="2"/>
        <v>1125.8741258741261</v>
      </c>
      <c r="K75" s="35" t="s">
        <v>216</v>
      </c>
      <c r="L75" s="134">
        <f t="shared" si="3"/>
        <v>126.87312687312689</v>
      </c>
      <c r="M75" s="35"/>
      <c r="N75" s="134"/>
      <c r="P75" s="26"/>
      <c r="Q75" s="134"/>
      <c r="R75" s="135"/>
    </row>
    <row r="76" spans="1:31" x14ac:dyDescent="0.35">
      <c r="A76" s="27" t="s">
        <v>317</v>
      </c>
      <c r="B76" s="29">
        <v>43791</v>
      </c>
      <c r="C76" s="11">
        <v>2.0009999999999999</v>
      </c>
      <c r="D76" s="27">
        <v>200</v>
      </c>
      <c r="E76" s="27">
        <v>8</v>
      </c>
      <c r="F76" s="134">
        <f t="shared" si="0"/>
        <v>0.79960019990005005</v>
      </c>
      <c r="G76" s="135">
        <v>0.02</v>
      </c>
      <c r="H76" s="134">
        <f t="shared" si="1"/>
        <v>1.9990004997501252</v>
      </c>
      <c r="I76" s="140">
        <v>11.09</v>
      </c>
      <c r="J76" s="134">
        <f t="shared" si="2"/>
        <v>1108.4457771114444</v>
      </c>
      <c r="K76" s="35" t="s">
        <v>217</v>
      </c>
      <c r="L76" s="134">
        <f t="shared" si="3"/>
        <v>144.52773613193403</v>
      </c>
      <c r="M76" s="35"/>
      <c r="N76" s="134"/>
      <c r="P76" s="26"/>
      <c r="Q76" s="134"/>
      <c r="R76" s="135"/>
    </row>
    <row r="77" spans="1:31" x14ac:dyDescent="0.35">
      <c r="A77" s="27" t="s">
        <v>318</v>
      </c>
      <c r="B77" s="29">
        <v>43791</v>
      </c>
      <c r="C77" s="11">
        <v>2.0009999999999999</v>
      </c>
      <c r="D77" s="27">
        <v>200</v>
      </c>
      <c r="E77" s="27">
        <v>8.3000000000000007</v>
      </c>
      <c r="F77" s="134">
        <f t="shared" ref="F77:F132" si="4">(E77*(D77/C77))/1000</f>
        <v>0.82958520739630193</v>
      </c>
      <c r="G77" s="135">
        <v>0.02</v>
      </c>
      <c r="H77" s="134">
        <f t="shared" ref="H77:H132" si="5">G77*(D77/C77)</f>
        <v>1.9990004997501252</v>
      </c>
      <c r="I77" s="140">
        <v>11.84</v>
      </c>
      <c r="J77" s="134">
        <f t="shared" ref="J77:J132" si="6">I77*(D77/C77)</f>
        <v>1183.4082958520739</v>
      </c>
      <c r="K77" s="35" t="s">
        <v>218</v>
      </c>
      <c r="L77" s="134">
        <f t="shared" ref="L77:L132" si="7">K77*(D77/C77)</f>
        <v>141.52923538230885</v>
      </c>
      <c r="M77" s="35"/>
      <c r="N77" s="134"/>
      <c r="P77" s="26"/>
      <c r="Q77" s="134"/>
      <c r="R77" s="135"/>
    </row>
    <row r="78" spans="1:31" x14ac:dyDescent="0.35">
      <c r="A78" s="27" t="s">
        <v>319</v>
      </c>
      <c r="B78" s="29">
        <v>43791</v>
      </c>
      <c r="C78" s="11">
        <v>1.998</v>
      </c>
      <c r="D78" s="27">
        <v>200</v>
      </c>
      <c r="E78" s="27">
        <v>10.199999999999999</v>
      </c>
      <c r="F78" s="134">
        <f t="shared" si="4"/>
        <v>1.0210210210210211</v>
      </c>
      <c r="G78" s="135">
        <v>0.02</v>
      </c>
      <c r="H78" s="134">
        <f t="shared" si="5"/>
        <v>2.0020020020020022</v>
      </c>
      <c r="I78" s="140">
        <v>16.86</v>
      </c>
      <c r="J78" s="134">
        <f t="shared" si="6"/>
        <v>1687.6876876876877</v>
      </c>
      <c r="K78" s="35" t="s">
        <v>219</v>
      </c>
      <c r="L78" s="134">
        <f t="shared" si="7"/>
        <v>82.582582582582589</v>
      </c>
      <c r="M78" s="35"/>
      <c r="N78" s="134"/>
      <c r="P78" s="26"/>
      <c r="Q78" s="134"/>
      <c r="R78" s="135"/>
    </row>
    <row r="79" spans="1:31" x14ac:dyDescent="0.35">
      <c r="A79" s="27" t="s">
        <v>320</v>
      </c>
      <c r="B79" s="29">
        <v>43791</v>
      </c>
      <c r="C79" s="11">
        <v>2.0009999999999999</v>
      </c>
      <c r="D79" s="27">
        <v>200</v>
      </c>
      <c r="E79" s="27">
        <v>4.5999999999999996</v>
      </c>
      <c r="F79" s="134">
        <f t="shared" si="4"/>
        <v>0.45977011494252873</v>
      </c>
      <c r="G79" s="135">
        <v>0.02</v>
      </c>
      <c r="H79" s="134">
        <f t="shared" si="5"/>
        <v>1.9990004997501252</v>
      </c>
      <c r="I79" s="140">
        <v>9.4030000000000005</v>
      </c>
      <c r="J79" s="134">
        <f t="shared" si="6"/>
        <v>939.83008495752131</v>
      </c>
      <c r="K79" s="35" t="s">
        <v>220</v>
      </c>
      <c r="L79" s="134">
        <f t="shared" si="7"/>
        <v>67.066466766616699</v>
      </c>
      <c r="M79" s="35"/>
      <c r="N79" s="134"/>
      <c r="Q79" s="136"/>
      <c r="R79" s="135"/>
    </row>
    <row r="80" spans="1:31" x14ac:dyDescent="0.35">
      <c r="A80" s="27" t="s">
        <v>321</v>
      </c>
      <c r="B80" s="29">
        <v>43791</v>
      </c>
      <c r="C80" s="11">
        <v>2.0009999999999999</v>
      </c>
      <c r="D80" s="27">
        <v>200</v>
      </c>
      <c r="E80" s="27">
        <v>10.1</v>
      </c>
      <c r="F80" s="134">
        <f t="shared" si="4"/>
        <v>1.0094952523738132</v>
      </c>
      <c r="G80" s="135">
        <v>0.02</v>
      </c>
      <c r="H80" s="134">
        <f t="shared" si="5"/>
        <v>1.9990004997501252</v>
      </c>
      <c r="I80" s="140">
        <v>16.989999999999998</v>
      </c>
      <c r="J80" s="134">
        <f t="shared" si="6"/>
        <v>1698.150924537731</v>
      </c>
      <c r="K80" s="35" t="s">
        <v>221</v>
      </c>
      <c r="L80" s="134">
        <f t="shared" si="7"/>
        <v>197.90104947526237</v>
      </c>
      <c r="M80" s="35"/>
      <c r="N80" s="134"/>
      <c r="Q80" s="136"/>
      <c r="R80" s="33"/>
    </row>
    <row r="81" spans="1:25" x14ac:dyDescent="0.35">
      <c r="A81" s="27" t="s">
        <v>322</v>
      </c>
      <c r="B81" s="29">
        <v>43791</v>
      </c>
      <c r="C81" s="11">
        <v>2.0019999999999998</v>
      </c>
      <c r="D81" s="27">
        <v>200</v>
      </c>
      <c r="E81" s="27">
        <v>9.6</v>
      </c>
      <c r="F81" s="134">
        <f t="shared" si="4"/>
        <v>0.9590409590409591</v>
      </c>
      <c r="G81" s="135">
        <v>0.02</v>
      </c>
      <c r="H81" s="134">
        <f t="shared" si="5"/>
        <v>1.9980019980019983</v>
      </c>
      <c r="I81" s="140">
        <v>16.989999999999998</v>
      </c>
      <c r="J81" s="134">
        <f t="shared" si="6"/>
        <v>1697.3026973026974</v>
      </c>
      <c r="K81" s="35" t="s">
        <v>222</v>
      </c>
      <c r="L81" s="134">
        <f t="shared" si="7"/>
        <v>199.20079920079922</v>
      </c>
      <c r="M81" s="35"/>
      <c r="N81" s="134"/>
      <c r="P81" s="26"/>
      <c r="Q81" s="134"/>
      <c r="R81" s="135"/>
    </row>
    <row r="82" spans="1:25" x14ac:dyDescent="0.35">
      <c r="A82" s="27" t="s">
        <v>323</v>
      </c>
      <c r="B82" s="29">
        <v>43791</v>
      </c>
      <c r="C82" s="11">
        <v>1.998</v>
      </c>
      <c r="D82" s="27">
        <v>200</v>
      </c>
      <c r="E82" s="27">
        <v>18.3</v>
      </c>
      <c r="F82" s="134">
        <f t="shared" si="4"/>
        <v>1.8318318318318321</v>
      </c>
      <c r="G82" s="135">
        <v>0.02</v>
      </c>
      <c r="H82" s="134">
        <f t="shared" si="5"/>
        <v>2.0020020020020022</v>
      </c>
      <c r="I82" s="140">
        <v>15.43</v>
      </c>
      <c r="J82" s="134">
        <f t="shared" si="6"/>
        <v>1544.5445445445446</v>
      </c>
      <c r="K82" s="35" t="s">
        <v>223</v>
      </c>
      <c r="L82" s="134">
        <f t="shared" si="7"/>
        <v>201.2012012012012</v>
      </c>
      <c r="M82" s="35"/>
      <c r="N82" s="134"/>
      <c r="P82" s="26"/>
      <c r="Q82" s="134"/>
      <c r="R82" s="135"/>
    </row>
    <row r="83" spans="1:25" x14ac:dyDescent="0.35">
      <c r="A83" s="27" t="s">
        <v>324</v>
      </c>
      <c r="B83" s="29">
        <v>43791</v>
      </c>
      <c r="C83" s="11">
        <v>2</v>
      </c>
      <c r="D83" s="27">
        <v>200</v>
      </c>
      <c r="E83" s="27">
        <v>15.2</v>
      </c>
      <c r="F83" s="134">
        <f t="shared" si="4"/>
        <v>1.52</v>
      </c>
      <c r="G83" s="135">
        <v>0.02</v>
      </c>
      <c r="H83" s="134">
        <f t="shared" si="5"/>
        <v>2</v>
      </c>
      <c r="I83" s="140">
        <v>15.55</v>
      </c>
      <c r="J83" s="134">
        <f t="shared" si="6"/>
        <v>1555</v>
      </c>
      <c r="K83" s="35" t="s">
        <v>224</v>
      </c>
      <c r="L83" s="134">
        <f t="shared" si="7"/>
        <v>202.4</v>
      </c>
      <c r="M83" s="35"/>
      <c r="N83" s="134"/>
      <c r="Q83" s="134"/>
      <c r="R83" s="33"/>
    </row>
    <row r="84" spans="1:25" x14ac:dyDescent="0.35">
      <c r="A84" s="27" t="s">
        <v>325</v>
      </c>
      <c r="B84" s="29">
        <v>43791</v>
      </c>
      <c r="C84" s="11">
        <v>2</v>
      </c>
      <c r="D84" s="27">
        <v>200</v>
      </c>
      <c r="E84" s="27">
        <v>24.6</v>
      </c>
      <c r="F84" s="134">
        <f t="shared" si="4"/>
        <v>2.46</v>
      </c>
      <c r="G84" s="140" t="s">
        <v>226</v>
      </c>
      <c r="H84" s="134">
        <f t="shared" si="5"/>
        <v>7.6</v>
      </c>
      <c r="I84" s="140">
        <v>13.68</v>
      </c>
      <c r="J84" s="134">
        <f t="shared" si="6"/>
        <v>1368</v>
      </c>
      <c r="K84" s="35" t="s">
        <v>225</v>
      </c>
      <c r="L84" s="134">
        <f t="shared" si="7"/>
        <v>158.4</v>
      </c>
      <c r="M84" s="35"/>
      <c r="N84" s="134"/>
      <c r="P84" s="26"/>
      <c r="Q84" s="134"/>
      <c r="R84" s="135"/>
    </row>
    <row r="85" spans="1:25" x14ac:dyDescent="0.35">
      <c r="A85" s="27" t="s">
        <v>326</v>
      </c>
      <c r="B85" s="29">
        <v>43791</v>
      </c>
      <c r="C85" s="11">
        <v>2</v>
      </c>
      <c r="D85" s="27">
        <v>200</v>
      </c>
      <c r="E85" s="27">
        <v>22.7</v>
      </c>
      <c r="F85" s="134">
        <f t="shared" si="4"/>
        <v>2.27</v>
      </c>
      <c r="G85" s="140" t="s">
        <v>228</v>
      </c>
      <c r="H85" s="134">
        <f t="shared" si="5"/>
        <v>8</v>
      </c>
      <c r="I85" s="140">
        <v>14.09</v>
      </c>
      <c r="J85" s="134">
        <f t="shared" si="6"/>
        <v>1409</v>
      </c>
      <c r="K85" s="35" t="s">
        <v>227</v>
      </c>
      <c r="L85" s="134">
        <f t="shared" si="7"/>
        <v>157</v>
      </c>
      <c r="M85" s="35"/>
      <c r="N85" s="134"/>
      <c r="P85" s="26"/>
      <c r="Q85" s="134"/>
      <c r="R85" s="135"/>
    </row>
    <row r="86" spans="1:25" x14ac:dyDescent="0.35">
      <c r="A86" s="27" t="s">
        <v>327</v>
      </c>
      <c r="B86" s="29">
        <v>43791</v>
      </c>
      <c r="C86" s="11">
        <v>2</v>
      </c>
      <c r="D86" s="27">
        <v>200</v>
      </c>
      <c r="E86" s="27">
        <v>23.2</v>
      </c>
      <c r="F86" s="134">
        <f t="shared" si="4"/>
        <v>2.3199999999999998</v>
      </c>
      <c r="G86" s="140" t="s">
        <v>230</v>
      </c>
      <c r="H86" s="134">
        <f t="shared" si="5"/>
        <v>9.8000000000000007</v>
      </c>
      <c r="I86" s="140">
        <v>16.04</v>
      </c>
      <c r="J86" s="134">
        <f t="shared" si="6"/>
        <v>1604</v>
      </c>
      <c r="K86" s="35" t="s">
        <v>229</v>
      </c>
      <c r="L86" s="134">
        <f t="shared" si="7"/>
        <v>91.4</v>
      </c>
      <c r="M86" s="35"/>
      <c r="N86" s="134"/>
      <c r="P86" s="26"/>
      <c r="Q86" s="134"/>
      <c r="R86" s="135"/>
    </row>
    <row r="87" spans="1:25" x14ac:dyDescent="0.35">
      <c r="A87" s="27" t="s">
        <v>328</v>
      </c>
      <c r="B87" s="29">
        <v>43791</v>
      </c>
      <c r="C87" s="11">
        <v>2.0019999999999998</v>
      </c>
      <c r="D87" s="27">
        <v>200</v>
      </c>
      <c r="E87" s="27">
        <v>23.1</v>
      </c>
      <c r="F87" s="134">
        <f t="shared" si="4"/>
        <v>2.3076923076923079</v>
      </c>
      <c r="G87" s="140" t="s">
        <v>232</v>
      </c>
      <c r="H87" s="134">
        <f t="shared" si="5"/>
        <v>9.490509490509492</v>
      </c>
      <c r="I87" s="140">
        <v>15.37</v>
      </c>
      <c r="J87" s="134">
        <f t="shared" si="6"/>
        <v>1535.4645354645356</v>
      </c>
      <c r="K87" s="35" t="s">
        <v>231</v>
      </c>
      <c r="L87" s="134">
        <f t="shared" si="7"/>
        <v>166.53346653346657</v>
      </c>
      <c r="M87" s="35"/>
      <c r="N87" s="134"/>
      <c r="P87" s="26"/>
      <c r="Q87" s="134"/>
      <c r="R87" s="135"/>
    </row>
    <row r="88" spans="1:25" x14ac:dyDescent="0.35">
      <c r="B88" s="29"/>
      <c r="F88" s="134"/>
      <c r="H88" s="134"/>
      <c r="J88" s="134"/>
      <c r="K88" s="35"/>
      <c r="L88" s="134"/>
      <c r="M88" s="35"/>
      <c r="N88" s="134"/>
    </row>
    <row r="89" spans="1:25" x14ac:dyDescent="0.35">
      <c r="A89" s="27" t="s">
        <v>329</v>
      </c>
      <c r="B89" s="29">
        <v>43983</v>
      </c>
      <c r="C89" s="11">
        <v>2.004</v>
      </c>
      <c r="D89" s="27">
        <v>200</v>
      </c>
      <c r="E89" s="27">
        <v>36.5</v>
      </c>
      <c r="F89" s="134">
        <f t="shared" si="4"/>
        <v>3.6427145708582835</v>
      </c>
      <c r="G89" s="140">
        <v>9.4E-2</v>
      </c>
      <c r="H89" s="134">
        <f t="shared" si="5"/>
        <v>9.3812375249500999</v>
      </c>
      <c r="I89" s="140">
        <v>15.06</v>
      </c>
      <c r="J89" s="134">
        <f t="shared" si="6"/>
        <v>1502.9940119760479</v>
      </c>
      <c r="K89" s="35">
        <v>0.91400000000000003</v>
      </c>
      <c r="L89" s="134">
        <f t="shared" si="7"/>
        <v>91.21756487025948</v>
      </c>
      <c r="M89" s="35">
        <v>42.87</v>
      </c>
      <c r="N89" s="134">
        <f t="shared" ref="N89:N132" si="8">M89*(D89/C89)</f>
        <v>4278.443113772455</v>
      </c>
    </row>
    <row r="90" spans="1:25" x14ac:dyDescent="0.35">
      <c r="A90" s="27" t="s">
        <v>330</v>
      </c>
      <c r="B90" s="29">
        <v>43983</v>
      </c>
      <c r="C90" s="11">
        <v>2.0030000000000001</v>
      </c>
      <c r="D90" s="27">
        <v>200</v>
      </c>
      <c r="E90" s="27">
        <v>39.4</v>
      </c>
      <c r="F90" s="134">
        <f t="shared" si="4"/>
        <v>3.9340988517224162</v>
      </c>
      <c r="G90" s="140">
        <v>0.108</v>
      </c>
      <c r="H90" s="134">
        <f t="shared" si="5"/>
        <v>10.783824263604593</v>
      </c>
      <c r="I90" s="140">
        <v>15.83</v>
      </c>
      <c r="J90" s="134">
        <f t="shared" si="6"/>
        <v>1580.6290564153769</v>
      </c>
      <c r="K90" s="35">
        <v>0.97799999999999998</v>
      </c>
      <c r="L90" s="134">
        <f t="shared" si="7"/>
        <v>97.653519720419368</v>
      </c>
      <c r="M90" s="35">
        <v>41.58</v>
      </c>
      <c r="N90" s="134">
        <f t="shared" si="8"/>
        <v>4151.7723414877682</v>
      </c>
    </row>
    <row r="91" spans="1:25" x14ac:dyDescent="0.35">
      <c r="A91" s="27" t="s">
        <v>331</v>
      </c>
      <c r="B91" s="29">
        <v>43983</v>
      </c>
      <c r="C91" s="11">
        <v>1.9970000000000001</v>
      </c>
      <c r="D91" s="27">
        <v>200</v>
      </c>
      <c r="E91" s="27">
        <v>39.1</v>
      </c>
      <c r="F91" s="134">
        <f t="shared" si="4"/>
        <v>3.9158738107160738</v>
      </c>
      <c r="G91" s="140">
        <v>9.8000000000000004E-2</v>
      </c>
      <c r="H91" s="134">
        <f t="shared" si="5"/>
        <v>9.8147220831246873</v>
      </c>
      <c r="I91" s="140">
        <v>24.26</v>
      </c>
      <c r="J91" s="134">
        <f t="shared" si="6"/>
        <v>2429.6444667000501</v>
      </c>
      <c r="K91" s="35">
        <v>1.0029999999999999</v>
      </c>
      <c r="L91" s="134">
        <f t="shared" si="7"/>
        <v>100.45067601402101</v>
      </c>
      <c r="M91" s="35">
        <v>42.21</v>
      </c>
      <c r="N91" s="134">
        <f t="shared" si="8"/>
        <v>4227.3410115172755</v>
      </c>
    </row>
    <row r="92" spans="1:25" x14ac:dyDescent="0.35">
      <c r="B92" s="29"/>
      <c r="F92" s="146">
        <f>MEDIAN(F89:F91)</f>
        <v>3.9158738107160738</v>
      </c>
      <c r="H92" s="134"/>
      <c r="J92" s="134"/>
      <c r="K92" s="35"/>
      <c r="L92" s="134"/>
      <c r="M92" s="35"/>
      <c r="N92" s="134"/>
    </row>
    <row r="93" spans="1:25" x14ac:dyDescent="0.35">
      <c r="A93" s="27" t="s">
        <v>332</v>
      </c>
      <c r="B93" s="29">
        <v>43983</v>
      </c>
      <c r="C93" s="11">
        <v>1.9990000000000001</v>
      </c>
      <c r="D93" s="27">
        <v>200</v>
      </c>
      <c r="E93" s="27">
        <v>38.4</v>
      </c>
      <c r="F93" s="134">
        <f t="shared" si="4"/>
        <v>3.8419209604802398</v>
      </c>
      <c r="G93" s="140">
        <v>9.6000000000000002E-2</v>
      </c>
      <c r="H93" s="134">
        <f t="shared" si="5"/>
        <v>9.604802401200601</v>
      </c>
      <c r="I93" s="140">
        <v>14.75</v>
      </c>
      <c r="J93" s="134">
        <f t="shared" si="6"/>
        <v>1475.7378689344673</v>
      </c>
      <c r="K93" s="140">
        <v>1.5660000000000001</v>
      </c>
      <c r="L93" s="134">
        <f t="shared" si="7"/>
        <v>156.6783391695848</v>
      </c>
      <c r="M93" s="35">
        <v>793.4</v>
      </c>
      <c r="N93" s="134">
        <f t="shared" si="8"/>
        <v>79379.689844922454</v>
      </c>
    </row>
    <row r="94" spans="1:25" x14ac:dyDescent="0.35">
      <c r="A94" s="27" t="s">
        <v>333</v>
      </c>
      <c r="B94" s="29">
        <v>43983</v>
      </c>
      <c r="C94" s="11">
        <v>1.9970000000000001</v>
      </c>
      <c r="D94" s="27">
        <v>200</v>
      </c>
      <c r="E94" s="27">
        <v>37.700000000000003</v>
      </c>
      <c r="F94" s="134">
        <f t="shared" si="4"/>
        <v>3.7756634952428643</v>
      </c>
      <c r="G94" s="140">
        <v>9.7000000000000003E-2</v>
      </c>
      <c r="H94" s="134">
        <f t="shared" si="5"/>
        <v>9.7145718577866802</v>
      </c>
      <c r="I94" s="140">
        <v>15.26</v>
      </c>
      <c r="J94" s="134">
        <f t="shared" si="6"/>
        <v>1528.2924386579868</v>
      </c>
      <c r="K94" s="140">
        <v>1.6060000000000001</v>
      </c>
      <c r="L94" s="134">
        <f t="shared" si="7"/>
        <v>160.84126189283927</v>
      </c>
      <c r="M94" s="35">
        <v>777.8</v>
      </c>
      <c r="N94" s="134">
        <f t="shared" si="8"/>
        <v>77896.845267901837</v>
      </c>
    </row>
    <row r="95" spans="1:25" x14ac:dyDescent="0.35">
      <c r="A95" s="27" t="s">
        <v>334</v>
      </c>
      <c r="B95" s="29">
        <v>43983</v>
      </c>
      <c r="C95" s="11">
        <v>2.008</v>
      </c>
      <c r="D95" s="27">
        <v>200</v>
      </c>
      <c r="E95" s="27">
        <v>39.799999999999997</v>
      </c>
      <c r="F95" s="134">
        <f t="shared" si="4"/>
        <v>3.9641434262948207</v>
      </c>
      <c r="G95" s="140">
        <v>9.4E-2</v>
      </c>
      <c r="H95" s="134">
        <f t="shared" si="5"/>
        <v>9.3625498007968133</v>
      </c>
      <c r="I95" s="140">
        <v>15.16</v>
      </c>
      <c r="J95" s="134">
        <f t="shared" si="6"/>
        <v>1509.9601593625498</v>
      </c>
      <c r="K95" s="140">
        <v>1.613</v>
      </c>
      <c r="L95" s="134">
        <f t="shared" si="7"/>
        <v>160.65737051792829</v>
      </c>
      <c r="M95" s="35">
        <v>745.6</v>
      </c>
      <c r="N95" s="134">
        <f t="shared" si="8"/>
        <v>74262.948207171314</v>
      </c>
    </row>
    <row r="96" spans="1:25" x14ac:dyDescent="0.35">
      <c r="F96" s="146">
        <f>MEDIAN(F93:F95)</f>
        <v>3.8419209604802398</v>
      </c>
      <c r="H96" s="134"/>
      <c r="J96" s="134"/>
      <c r="L96" s="134"/>
      <c r="M96" s="35"/>
      <c r="N96" s="134"/>
      <c r="V96" s="11"/>
      <c r="W96" s="78"/>
      <c r="Y96" s="78"/>
    </row>
    <row r="97" spans="1:32" x14ac:dyDescent="0.35">
      <c r="A97" s="27" t="s">
        <v>335</v>
      </c>
      <c r="B97" s="29">
        <v>43983</v>
      </c>
      <c r="C97" s="11">
        <v>2.0009999999999999</v>
      </c>
      <c r="D97" s="27">
        <v>200</v>
      </c>
      <c r="E97" s="27">
        <v>43.8</v>
      </c>
      <c r="F97" s="134">
        <f t="shared" si="4"/>
        <v>4.3778110944527731</v>
      </c>
      <c r="G97" s="140">
        <v>0.03</v>
      </c>
      <c r="H97" s="134">
        <f t="shared" si="5"/>
        <v>2.9985007496251876</v>
      </c>
      <c r="I97" s="140">
        <v>16.27</v>
      </c>
      <c r="J97" s="134">
        <f t="shared" si="6"/>
        <v>1626.1869065467267</v>
      </c>
      <c r="K97" s="140">
        <v>2.1230000000000002</v>
      </c>
      <c r="L97" s="134">
        <f t="shared" si="7"/>
        <v>212.19390304847579</v>
      </c>
      <c r="M97" s="35">
        <v>197.7</v>
      </c>
      <c r="N97" s="134">
        <f t="shared" si="8"/>
        <v>19760.119940029985</v>
      </c>
      <c r="V97" s="11"/>
      <c r="W97" s="78"/>
      <c r="Y97" s="78"/>
    </row>
    <row r="98" spans="1:32" x14ac:dyDescent="0.35">
      <c r="A98" s="27" t="s">
        <v>336</v>
      </c>
      <c r="B98" s="29">
        <v>43983</v>
      </c>
      <c r="C98" s="11">
        <v>2.0049999999999999</v>
      </c>
      <c r="D98" s="27">
        <v>200</v>
      </c>
      <c r="E98" s="27">
        <v>40.299999999999997</v>
      </c>
      <c r="F98" s="134">
        <f t="shared" si="4"/>
        <v>4.0199501246882789</v>
      </c>
      <c r="G98" s="140">
        <v>0.03</v>
      </c>
      <c r="H98" s="134">
        <f t="shared" si="5"/>
        <v>2.9925187032418954</v>
      </c>
      <c r="I98" s="140">
        <v>16.45</v>
      </c>
      <c r="J98" s="134">
        <f t="shared" si="6"/>
        <v>1640.8977556109726</v>
      </c>
      <c r="K98" s="140">
        <v>2.125</v>
      </c>
      <c r="L98" s="134">
        <f t="shared" si="7"/>
        <v>211.9700748129676</v>
      </c>
      <c r="M98" s="35">
        <v>209.3</v>
      </c>
      <c r="N98" s="134">
        <f t="shared" si="8"/>
        <v>20877.805486284291</v>
      </c>
      <c r="V98" s="18"/>
      <c r="W98" s="18"/>
      <c r="Y98" s="19"/>
    </row>
    <row r="99" spans="1:32" x14ac:dyDescent="0.35">
      <c r="A99" s="27" t="s">
        <v>337</v>
      </c>
      <c r="B99" s="29">
        <v>43983</v>
      </c>
      <c r="C99" s="11">
        <v>2</v>
      </c>
      <c r="D99" s="27">
        <v>200</v>
      </c>
      <c r="E99" s="27">
        <v>41.8</v>
      </c>
      <c r="F99" s="134">
        <f t="shared" si="4"/>
        <v>4.18</v>
      </c>
      <c r="G99" s="140">
        <v>3.1E-2</v>
      </c>
      <c r="H99" s="134">
        <f t="shared" si="5"/>
        <v>3.1</v>
      </c>
      <c r="I99" s="140">
        <v>16.760000000000002</v>
      </c>
      <c r="J99" s="134">
        <f t="shared" si="6"/>
        <v>1676.0000000000002</v>
      </c>
      <c r="K99" s="140">
        <v>2.1560000000000001</v>
      </c>
      <c r="L99" s="134">
        <f t="shared" si="7"/>
        <v>215.60000000000002</v>
      </c>
      <c r="M99" s="35">
        <v>202.1</v>
      </c>
      <c r="N99" s="134">
        <f t="shared" si="8"/>
        <v>20210</v>
      </c>
      <c r="V99" s="18"/>
      <c r="W99" s="18"/>
    </row>
    <row r="100" spans="1:32" x14ac:dyDescent="0.35">
      <c r="A100" s="131"/>
      <c r="B100" s="131"/>
      <c r="C100" s="132"/>
      <c r="D100" s="131"/>
      <c r="F100" s="146">
        <f>MEDIAN(F97:F99)</f>
        <v>4.18</v>
      </c>
      <c r="H100" s="134"/>
      <c r="J100" s="134"/>
      <c r="L100" s="134"/>
      <c r="M100" s="35"/>
      <c r="N100" s="134"/>
      <c r="O100" s="19"/>
      <c r="V100" s="18"/>
      <c r="W100" s="18"/>
    </row>
    <row r="101" spans="1:32" x14ac:dyDescent="0.35">
      <c r="A101" s="27" t="s">
        <v>338</v>
      </c>
      <c r="B101" s="29">
        <v>43983</v>
      </c>
      <c r="C101" s="11">
        <v>2.0030000000000001</v>
      </c>
      <c r="D101" s="27">
        <v>200</v>
      </c>
      <c r="E101" s="27">
        <v>9.4</v>
      </c>
      <c r="F101" s="134">
        <f t="shared" si="4"/>
        <v>0.93859211183225166</v>
      </c>
      <c r="G101" s="140">
        <v>0.03</v>
      </c>
      <c r="H101" s="134">
        <f t="shared" si="5"/>
        <v>2.9955067398901645</v>
      </c>
      <c r="I101" s="140">
        <v>17.73</v>
      </c>
      <c r="J101" s="134">
        <f t="shared" si="6"/>
        <v>1770.3444832750874</v>
      </c>
      <c r="K101" s="140">
        <v>2.101</v>
      </c>
      <c r="L101" s="134">
        <f t="shared" si="7"/>
        <v>209.78532201697453</v>
      </c>
      <c r="M101" s="35">
        <v>200.5</v>
      </c>
      <c r="N101" s="134">
        <f t="shared" si="8"/>
        <v>20019.970044932601</v>
      </c>
      <c r="O101" s="19"/>
      <c r="V101" s="18"/>
      <c r="W101" s="18"/>
    </row>
    <row r="102" spans="1:32" x14ac:dyDescent="0.35">
      <c r="A102" s="27" t="s">
        <v>339</v>
      </c>
      <c r="B102" s="29">
        <v>43983</v>
      </c>
      <c r="C102" s="11">
        <v>2.0049999999999999</v>
      </c>
      <c r="D102" s="27">
        <v>200</v>
      </c>
      <c r="E102" s="27">
        <v>9.1</v>
      </c>
      <c r="F102" s="134">
        <f t="shared" si="4"/>
        <v>0.9077306733167082</v>
      </c>
      <c r="G102" s="140">
        <v>3.2000000000000001E-2</v>
      </c>
      <c r="H102" s="134">
        <f t="shared" si="5"/>
        <v>3.1920199501246884</v>
      </c>
      <c r="I102" s="140">
        <v>19.239999999999998</v>
      </c>
      <c r="J102" s="134">
        <f t="shared" si="6"/>
        <v>1919.2019950124688</v>
      </c>
      <c r="K102" s="140">
        <v>2.1739999999999999</v>
      </c>
      <c r="L102" s="134">
        <f t="shared" si="7"/>
        <v>216.85785536159602</v>
      </c>
      <c r="M102" s="35">
        <v>202.6</v>
      </c>
      <c r="N102" s="134">
        <f t="shared" si="8"/>
        <v>20209.476309226931</v>
      </c>
      <c r="O102" s="138"/>
      <c r="P102" s="136"/>
      <c r="V102" s="18"/>
      <c r="W102" s="18"/>
      <c r="X102" s="131"/>
      <c r="Y102" s="133"/>
      <c r="Z102" s="11"/>
      <c r="AA102" s="11"/>
      <c r="AB102" s="11"/>
      <c r="AC102" s="11"/>
      <c r="AD102" s="21"/>
      <c r="AF102" s="139"/>
    </row>
    <row r="103" spans="1:32" x14ac:dyDescent="0.35">
      <c r="A103" s="27" t="s">
        <v>340</v>
      </c>
      <c r="B103" s="29">
        <v>43983</v>
      </c>
      <c r="C103" s="11">
        <v>2.0019999999999998</v>
      </c>
      <c r="D103" s="27">
        <v>200</v>
      </c>
      <c r="E103" s="27">
        <v>9.4</v>
      </c>
      <c r="F103" s="134">
        <f t="shared" si="4"/>
        <v>0.93906093906093924</v>
      </c>
      <c r="G103" s="140">
        <v>3.4000000000000002E-2</v>
      </c>
      <c r="H103" s="134">
        <f t="shared" si="5"/>
        <v>3.3966033966033975</v>
      </c>
      <c r="I103" s="140">
        <v>20.13</v>
      </c>
      <c r="J103" s="134">
        <f t="shared" si="6"/>
        <v>2010.9890109890111</v>
      </c>
      <c r="K103" s="140">
        <v>2.161</v>
      </c>
      <c r="L103" s="134">
        <f t="shared" si="7"/>
        <v>215.88411588411591</v>
      </c>
      <c r="M103" s="35">
        <v>200.2</v>
      </c>
      <c r="N103" s="134">
        <f t="shared" si="8"/>
        <v>20000.000000000004</v>
      </c>
      <c r="O103" s="19"/>
      <c r="P103" s="136"/>
      <c r="V103" s="18"/>
      <c r="W103" s="18"/>
      <c r="Y103" s="133"/>
      <c r="Z103" s="11"/>
      <c r="AA103" s="11"/>
      <c r="AB103" s="11"/>
      <c r="AC103" s="11"/>
      <c r="AD103" s="21"/>
      <c r="AF103" s="139"/>
    </row>
    <row r="104" spans="1:32" x14ac:dyDescent="0.35">
      <c r="F104" s="146">
        <f>MEDIAN(F101:F103)</f>
        <v>0.93859211183225166</v>
      </c>
      <c r="H104" s="134"/>
      <c r="J104" s="134"/>
      <c r="L104" s="134"/>
      <c r="M104" s="35"/>
      <c r="N104" s="134"/>
      <c r="O104" s="138"/>
      <c r="P104" s="136"/>
      <c r="V104" s="18"/>
      <c r="W104" s="18"/>
      <c r="X104" s="131"/>
      <c r="Y104" s="133"/>
      <c r="Z104" s="11"/>
      <c r="AA104" s="11"/>
      <c r="AB104" s="11"/>
      <c r="AC104" s="11"/>
      <c r="AD104" s="21"/>
      <c r="AF104" s="139"/>
    </row>
    <row r="105" spans="1:32" x14ac:dyDescent="0.35">
      <c r="A105" s="26" t="s">
        <v>243</v>
      </c>
      <c r="F105" s="134"/>
      <c r="H105" s="134"/>
      <c r="J105" s="134"/>
      <c r="L105" s="134"/>
      <c r="M105" s="35"/>
      <c r="N105" s="134"/>
      <c r="O105" s="138"/>
      <c r="P105" s="136"/>
      <c r="AF105" s="139"/>
    </row>
    <row r="106" spans="1:32" x14ac:dyDescent="0.35">
      <c r="F106" s="134"/>
      <c r="H106" s="134"/>
      <c r="J106" s="134"/>
      <c r="L106" s="134"/>
      <c r="M106" s="35"/>
      <c r="N106" s="134"/>
      <c r="P106" s="139"/>
      <c r="AF106" s="136"/>
    </row>
    <row r="107" spans="1:32" x14ac:dyDescent="0.35">
      <c r="A107" s="27" t="s">
        <v>309</v>
      </c>
      <c r="B107" s="29">
        <v>43984</v>
      </c>
      <c r="C107" s="11">
        <v>2.004</v>
      </c>
      <c r="D107" s="27">
        <v>200</v>
      </c>
      <c r="E107" s="27">
        <v>0.56000000000000005</v>
      </c>
      <c r="F107" s="134">
        <f t="shared" si="4"/>
        <v>5.5888223552894217E-2</v>
      </c>
      <c r="G107" s="135">
        <v>0.02</v>
      </c>
      <c r="H107" s="134">
        <f t="shared" si="5"/>
        <v>1.996007984031936</v>
      </c>
      <c r="I107" s="140">
        <v>4.1000000000000002E-2</v>
      </c>
      <c r="J107" s="134">
        <f t="shared" si="6"/>
        <v>4.0918163672654693</v>
      </c>
      <c r="K107" s="135">
        <v>0.01</v>
      </c>
      <c r="L107" s="134">
        <f t="shared" si="7"/>
        <v>0.99800399201596801</v>
      </c>
      <c r="M107" s="35">
        <v>4.4889999999999999</v>
      </c>
      <c r="N107" s="134">
        <f t="shared" si="8"/>
        <v>448.00399201596804</v>
      </c>
      <c r="P107" s="136"/>
      <c r="AF107" s="136"/>
    </row>
    <row r="108" spans="1:32" x14ac:dyDescent="0.35">
      <c r="A108" s="27" t="s">
        <v>362</v>
      </c>
      <c r="B108" s="29">
        <v>43984</v>
      </c>
      <c r="C108" s="11">
        <v>2.0030000000000001</v>
      </c>
      <c r="D108" s="27">
        <v>200</v>
      </c>
      <c r="E108" s="27">
        <v>0.57999999999999996</v>
      </c>
      <c r="F108" s="134">
        <f t="shared" si="4"/>
        <v>5.7913130304543183E-2</v>
      </c>
      <c r="G108" s="135">
        <v>0.02</v>
      </c>
      <c r="H108" s="134">
        <f t="shared" si="5"/>
        <v>1.9970044932601099</v>
      </c>
      <c r="I108" s="140">
        <v>3.4000000000000002E-2</v>
      </c>
      <c r="J108" s="134">
        <f t="shared" si="6"/>
        <v>3.394907638542187</v>
      </c>
      <c r="K108" s="135">
        <v>0.01</v>
      </c>
      <c r="L108" s="134">
        <f t="shared" si="7"/>
        <v>0.99850224663005493</v>
      </c>
      <c r="M108" s="35">
        <v>5.7309999999999999</v>
      </c>
      <c r="N108" s="134">
        <f t="shared" si="8"/>
        <v>572.24163754368442</v>
      </c>
      <c r="P108" s="136"/>
      <c r="AF108" s="136"/>
    </row>
    <row r="109" spans="1:32" x14ac:dyDescent="0.35">
      <c r="F109" s="134"/>
      <c r="H109" s="134"/>
      <c r="J109" s="134"/>
      <c r="L109" s="134"/>
      <c r="M109" s="35"/>
      <c r="N109" s="134"/>
    </row>
    <row r="110" spans="1:32" x14ac:dyDescent="0.35">
      <c r="A110" s="27" t="s">
        <v>300</v>
      </c>
      <c r="B110" s="29">
        <v>43984</v>
      </c>
      <c r="C110" s="144">
        <v>1.9970000000000001</v>
      </c>
      <c r="D110" s="27">
        <v>200</v>
      </c>
      <c r="E110" s="27">
        <v>0.75</v>
      </c>
      <c r="F110" s="134">
        <f t="shared" si="4"/>
        <v>7.5112669003505259E-2</v>
      </c>
      <c r="G110" s="146">
        <v>0.02</v>
      </c>
      <c r="H110" s="134">
        <f t="shared" si="5"/>
        <v>2.0030045067601403</v>
      </c>
      <c r="I110" s="140">
        <v>0.19400000000000001</v>
      </c>
      <c r="J110" s="134">
        <f t="shared" si="6"/>
        <v>19.42914371557336</v>
      </c>
      <c r="K110" s="146">
        <v>0.01</v>
      </c>
      <c r="L110" s="134">
        <f t="shared" si="7"/>
        <v>1.0015022533800702</v>
      </c>
      <c r="M110" s="35">
        <v>3.6850000000000001</v>
      </c>
      <c r="N110" s="134">
        <f t="shared" si="8"/>
        <v>369.05358037055584</v>
      </c>
    </row>
    <row r="111" spans="1:32" x14ac:dyDescent="0.35">
      <c r="A111" s="27" t="s">
        <v>363</v>
      </c>
      <c r="B111" s="29">
        <v>43984</v>
      </c>
      <c r="C111" s="144">
        <v>1.9950000000000001</v>
      </c>
      <c r="D111" s="27">
        <v>200</v>
      </c>
      <c r="E111" s="27">
        <v>0.56000000000000005</v>
      </c>
      <c r="F111" s="134">
        <f t="shared" si="4"/>
        <v>5.6140350877192977E-2</v>
      </c>
      <c r="G111" s="146">
        <v>0.02</v>
      </c>
      <c r="H111" s="134">
        <f t="shared" si="5"/>
        <v>2.0050125313283207</v>
      </c>
      <c r="I111" s="140">
        <v>0.20699999999999999</v>
      </c>
      <c r="J111" s="134">
        <f t="shared" si="6"/>
        <v>20.751879699248118</v>
      </c>
      <c r="K111" s="146">
        <v>0.01</v>
      </c>
      <c r="L111" s="134">
        <f t="shared" si="7"/>
        <v>1.0025062656641603</v>
      </c>
      <c r="M111" s="35">
        <v>3.605</v>
      </c>
      <c r="N111" s="134">
        <f t="shared" si="8"/>
        <v>361.40350877192981</v>
      </c>
    </row>
    <row r="112" spans="1:32" x14ac:dyDescent="0.35">
      <c r="F112" s="134"/>
      <c r="G112" s="35"/>
      <c r="H112" s="134"/>
      <c r="J112" s="134"/>
      <c r="K112" s="35"/>
      <c r="L112" s="134"/>
      <c r="M112" s="35"/>
      <c r="N112" s="134"/>
    </row>
    <row r="113" spans="1:14" x14ac:dyDescent="0.35">
      <c r="A113" s="27" t="s">
        <v>345</v>
      </c>
      <c r="B113" s="29">
        <v>43984</v>
      </c>
      <c r="C113" s="132">
        <v>2.0009999999999999</v>
      </c>
      <c r="D113" s="27">
        <v>200</v>
      </c>
      <c r="E113" s="27">
        <v>3.2</v>
      </c>
      <c r="F113" s="134">
        <f t="shared" si="4"/>
        <v>0.31984007996002001</v>
      </c>
      <c r="G113" s="146">
        <v>0.02</v>
      </c>
      <c r="H113" s="134">
        <f t="shared" si="5"/>
        <v>1.9990004997501252</v>
      </c>
      <c r="I113" s="140">
        <v>0.214</v>
      </c>
      <c r="J113" s="134">
        <f t="shared" si="6"/>
        <v>21.389305347326339</v>
      </c>
      <c r="K113" s="146">
        <v>0.01</v>
      </c>
      <c r="L113" s="134">
        <f t="shared" si="7"/>
        <v>0.99950024987506259</v>
      </c>
      <c r="M113" s="35">
        <v>14.35</v>
      </c>
      <c r="N113" s="134">
        <f t="shared" si="8"/>
        <v>1434.2828585707148</v>
      </c>
    </row>
    <row r="114" spans="1:14" x14ac:dyDescent="0.35">
      <c r="A114" s="27" t="s">
        <v>346</v>
      </c>
      <c r="B114" s="29">
        <v>43984</v>
      </c>
      <c r="C114" s="132">
        <v>1.996</v>
      </c>
      <c r="D114" s="27">
        <v>200</v>
      </c>
      <c r="E114" s="27">
        <v>3.2</v>
      </c>
      <c r="F114" s="134">
        <f t="shared" si="4"/>
        <v>0.32064128256513025</v>
      </c>
      <c r="G114" s="146">
        <v>0.02</v>
      </c>
      <c r="H114" s="134">
        <f t="shared" si="5"/>
        <v>2.0040080160320644</v>
      </c>
      <c r="I114" s="140">
        <v>0.21</v>
      </c>
      <c r="J114" s="134">
        <f t="shared" si="6"/>
        <v>21.042084168336672</v>
      </c>
      <c r="K114" s="146">
        <v>0.01</v>
      </c>
      <c r="L114" s="134">
        <f t="shared" si="7"/>
        <v>1.0020040080160322</v>
      </c>
      <c r="M114" s="35">
        <v>14.11</v>
      </c>
      <c r="N114" s="134">
        <f t="shared" si="8"/>
        <v>1413.8276553106211</v>
      </c>
    </row>
    <row r="115" spans="1:14" x14ac:dyDescent="0.35">
      <c r="B115" s="29"/>
      <c r="C115" s="144"/>
      <c r="F115" s="134"/>
      <c r="G115" s="35"/>
      <c r="H115" s="134"/>
      <c r="J115" s="134"/>
      <c r="K115" s="35"/>
      <c r="L115" s="134"/>
      <c r="M115" s="35"/>
      <c r="N115" s="134"/>
    </row>
    <row r="116" spans="1:14" x14ac:dyDescent="0.35">
      <c r="A116" s="27" t="s">
        <v>332</v>
      </c>
      <c r="B116" s="29">
        <v>43984</v>
      </c>
      <c r="C116" s="144">
        <v>1.998</v>
      </c>
      <c r="D116" s="27">
        <v>200</v>
      </c>
      <c r="E116" s="27">
        <v>2.6</v>
      </c>
      <c r="F116" s="134">
        <f t="shared" si="4"/>
        <v>0.26026026026026028</v>
      </c>
      <c r="G116" s="146">
        <v>0.02</v>
      </c>
      <c r="H116" s="134">
        <f t="shared" si="5"/>
        <v>2.0020020020020022</v>
      </c>
      <c r="I116" s="135">
        <v>0.01</v>
      </c>
      <c r="J116" s="134">
        <f t="shared" si="6"/>
        <v>1.0010010010010011</v>
      </c>
      <c r="K116" s="146">
        <v>0.01</v>
      </c>
      <c r="L116" s="134">
        <f t="shared" si="7"/>
        <v>1.0010010010010011</v>
      </c>
      <c r="M116" s="35">
        <v>216.7</v>
      </c>
      <c r="N116" s="134">
        <f t="shared" si="8"/>
        <v>21691.691691691693</v>
      </c>
    </row>
    <row r="117" spans="1:14" x14ac:dyDescent="0.35">
      <c r="A117" s="27" t="s">
        <v>347</v>
      </c>
      <c r="B117" s="29">
        <v>43984</v>
      </c>
      <c r="C117" s="11">
        <v>2</v>
      </c>
      <c r="D117" s="27">
        <v>200</v>
      </c>
      <c r="E117" s="27">
        <v>2.6</v>
      </c>
      <c r="F117" s="134">
        <f t="shared" si="4"/>
        <v>0.26</v>
      </c>
      <c r="G117" s="146">
        <v>0.02</v>
      </c>
      <c r="H117" s="134">
        <f t="shared" si="5"/>
        <v>2</v>
      </c>
      <c r="I117" s="135">
        <v>0.01</v>
      </c>
      <c r="J117" s="134">
        <f t="shared" si="6"/>
        <v>1</v>
      </c>
      <c r="K117" s="146">
        <v>0.01</v>
      </c>
      <c r="L117" s="134">
        <f t="shared" si="7"/>
        <v>1</v>
      </c>
      <c r="M117" s="35">
        <v>206.6</v>
      </c>
      <c r="N117" s="134">
        <f t="shared" si="8"/>
        <v>20660</v>
      </c>
    </row>
    <row r="118" spans="1:14" x14ac:dyDescent="0.35">
      <c r="B118" s="29"/>
      <c r="C118" s="144"/>
      <c r="F118" s="134"/>
      <c r="G118" s="35"/>
      <c r="H118" s="134"/>
      <c r="J118" s="134"/>
      <c r="K118" s="35"/>
      <c r="L118" s="134"/>
      <c r="M118" s="35"/>
      <c r="N118" s="134"/>
    </row>
    <row r="119" spans="1:14" x14ac:dyDescent="0.35">
      <c r="A119" s="27" t="s">
        <v>329</v>
      </c>
      <c r="B119" s="29">
        <v>43984</v>
      </c>
      <c r="C119" s="132">
        <v>2</v>
      </c>
      <c r="D119" s="27">
        <v>200</v>
      </c>
      <c r="E119" s="27">
        <v>2.9</v>
      </c>
      <c r="F119" s="134">
        <f t="shared" si="4"/>
        <v>0.28999999999999998</v>
      </c>
      <c r="G119" s="146">
        <v>0.02</v>
      </c>
      <c r="H119" s="134">
        <f t="shared" si="5"/>
        <v>2</v>
      </c>
      <c r="I119" s="140">
        <v>8.2000000000000003E-2</v>
      </c>
      <c r="J119" s="134">
        <f t="shared" si="6"/>
        <v>8.2000000000000011</v>
      </c>
      <c r="K119" s="146">
        <v>0.01</v>
      </c>
      <c r="L119" s="134">
        <f t="shared" si="7"/>
        <v>1</v>
      </c>
      <c r="M119" s="35">
        <v>3.9820000000000002</v>
      </c>
      <c r="N119" s="134">
        <f t="shared" si="8"/>
        <v>398.20000000000005</v>
      </c>
    </row>
    <row r="120" spans="1:14" x14ac:dyDescent="0.35">
      <c r="A120" s="27" t="s">
        <v>348</v>
      </c>
      <c r="B120" s="29">
        <v>43984</v>
      </c>
      <c r="C120" s="11">
        <v>1.996</v>
      </c>
      <c r="D120" s="27">
        <v>200</v>
      </c>
      <c r="E120" s="27">
        <v>2.8</v>
      </c>
      <c r="F120" s="134">
        <f t="shared" si="4"/>
        <v>0.28056112224448898</v>
      </c>
      <c r="G120" s="146">
        <v>0.02</v>
      </c>
      <c r="H120" s="134">
        <f t="shared" si="5"/>
        <v>2.0040080160320644</v>
      </c>
      <c r="I120" s="140">
        <v>7.6999999999999999E-2</v>
      </c>
      <c r="J120" s="134">
        <f t="shared" si="6"/>
        <v>7.7154308617234468</v>
      </c>
      <c r="K120" s="146">
        <v>0.01</v>
      </c>
      <c r="L120" s="134">
        <f t="shared" si="7"/>
        <v>1.0020040080160322</v>
      </c>
      <c r="M120" s="35">
        <v>3.9049999999999998</v>
      </c>
      <c r="N120" s="134">
        <f t="shared" si="8"/>
        <v>391.28256513026054</v>
      </c>
    </row>
    <row r="121" spans="1:14" x14ac:dyDescent="0.35">
      <c r="B121" s="29"/>
      <c r="C121" s="144"/>
      <c r="F121" s="134"/>
      <c r="G121" s="35"/>
      <c r="H121" s="134"/>
      <c r="J121" s="134"/>
      <c r="K121" s="35"/>
      <c r="L121" s="134"/>
      <c r="M121" s="35"/>
      <c r="N121" s="134"/>
    </row>
    <row r="122" spans="1:14" x14ac:dyDescent="0.35">
      <c r="A122" s="27" t="s">
        <v>303</v>
      </c>
      <c r="B122" s="29">
        <v>43984</v>
      </c>
      <c r="C122" s="132">
        <v>2</v>
      </c>
      <c r="D122" s="27">
        <v>200</v>
      </c>
      <c r="E122" s="27">
        <v>0.36</v>
      </c>
      <c r="F122" s="134">
        <f t="shared" si="4"/>
        <v>3.5999999999999997E-2</v>
      </c>
      <c r="G122" s="146">
        <v>0.02</v>
      </c>
      <c r="H122" s="134">
        <f t="shared" si="5"/>
        <v>2</v>
      </c>
      <c r="I122" s="140">
        <v>0.105</v>
      </c>
      <c r="J122" s="134">
        <f t="shared" si="6"/>
        <v>10.5</v>
      </c>
      <c r="K122" s="146">
        <v>0.01</v>
      </c>
      <c r="L122" s="134">
        <f t="shared" si="7"/>
        <v>1</v>
      </c>
      <c r="M122" s="35">
        <v>3.657</v>
      </c>
      <c r="N122" s="134">
        <f t="shared" si="8"/>
        <v>365.7</v>
      </c>
    </row>
    <row r="123" spans="1:14" x14ac:dyDescent="0.35">
      <c r="A123" s="27" t="s">
        <v>349</v>
      </c>
      <c r="B123" s="29">
        <v>43984</v>
      </c>
      <c r="C123" s="11">
        <v>2.0019999999999998</v>
      </c>
      <c r="D123" s="27">
        <v>200</v>
      </c>
      <c r="E123" s="27">
        <v>0.27</v>
      </c>
      <c r="F123" s="134">
        <f t="shared" si="4"/>
        <v>2.6973026973026979E-2</v>
      </c>
      <c r="G123" s="146">
        <v>0.02</v>
      </c>
      <c r="H123" s="134">
        <f t="shared" si="5"/>
        <v>1.9980019980019983</v>
      </c>
      <c r="I123" s="140">
        <v>0.114</v>
      </c>
      <c r="J123" s="134">
        <f t="shared" si="6"/>
        <v>11.388611388611391</v>
      </c>
      <c r="K123" s="146">
        <v>0.01</v>
      </c>
      <c r="L123" s="134">
        <f t="shared" si="7"/>
        <v>0.99900099900099915</v>
      </c>
      <c r="M123" s="35">
        <v>3.6139999999999999</v>
      </c>
      <c r="N123" s="134">
        <f t="shared" si="8"/>
        <v>361.03896103896108</v>
      </c>
    </row>
    <row r="124" spans="1:14" x14ac:dyDescent="0.35">
      <c r="B124" s="29"/>
      <c r="C124" s="144"/>
      <c r="F124" s="134"/>
      <c r="G124" s="35"/>
      <c r="H124" s="134"/>
      <c r="J124" s="134"/>
      <c r="K124" s="35"/>
      <c r="L124" s="134"/>
      <c r="M124" s="35"/>
      <c r="N124" s="134"/>
    </row>
    <row r="125" spans="1:14" x14ac:dyDescent="0.35">
      <c r="A125" s="27" t="s">
        <v>326</v>
      </c>
      <c r="B125" s="29">
        <v>43984</v>
      </c>
      <c r="C125" s="132">
        <v>1.9970000000000001</v>
      </c>
      <c r="D125" s="27">
        <v>200</v>
      </c>
      <c r="E125" s="27">
        <v>0.89</v>
      </c>
      <c r="F125" s="134">
        <f t="shared" si="4"/>
        <v>8.9133700550826228E-2</v>
      </c>
      <c r="G125" s="146">
        <v>0.02</v>
      </c>
      <c r="H125" s="134">
        <f t="shared" si="5"/>
        <v>2.0030045067601403</v>
      </c>
      <c r="I125" s="135">
        <v>0.01</v>
      </c>
      <c r="J125" s="134">
        <f t="shared" si="6"/>
        <v>1.0015022533800702</v>
      </c>
      <c r="K125" s="146">
        <v>0.01</v>
      </c>
      <c r="L125" s="134">
        <f t="shared" si="7"/>
        <v>1.0015022533800702</v>
      </c>
      <c r="M125" s="35">
        <v>156.80000000000001</v>
      </c>
      <c r="N125" s="134">
        <f t="shared" si="8"/>
        <v>15703.5553329995</v>
      </c>
    </row>
    <row r="126" spans="1:14" x14ac:dyDescent="0.35">
      <c r="A126" s="27" t="s">
        <v>350</v>
      </c>
      <c r="B126" s="29">
        <v>43984</v>
      </c>
      <c r="C126" s="144">
        <v>2.0099999999999998</v>
      </c>
      <c r="D126" s="27">
        <v>200</v>
      </c>
      <c r="E126" s="27">
        <v>0.72</v>
      </c>
      <c r="F126" s="134">
        <f t="shared" si="4"/>
        <v>7.1641791044776124E-2</v>
      </c>
      <c r="G126" s="146">
        <v>0.02</v>
      </c>
      <c r="H126" s="134">
        <f t="shared" si="5"/>
        <v>1.9900497512437811</v>
      </c>
      <c r="I126" s="135">
        <v>0.01</v>
      </c>
      <c r="J126" s="134">
        <f t="shared" si="6"/>
        <v>0.99502487562189057</v>
      </c>
      <c r="K126" s="146">
        <v>0.01</v>
      </c>
      <c r="L126" s="134">
        <f t="shared" si="7"/>
        <v>0.99502487562189057</v>
      </c>
      <c r="M126" s="35">
        <v>133.19999999999999</v>
      </c>
      <c r="N126" s="134">
        <f t="shared" si="8"/>
        <v>13253.731343283582</v>
      </c>
    </row>
    <row r="127" spans="1:14" x14ac:dyDescent="0.35">
      <c r="B127" s="29"/>
      <c r="C127" s="144"/>
      <c r="F127" s="134"/>
      <c r="G127" s="35"/>
      <c r="H127" s="134"/>
      <c r="J127" s="134"/>
      <c r="K127" s="35"/>
      <c r="L127" s="134"/>
      <c r="M127" s="35"/>
      <c r="N127" s="134"/>
    </row>
    <row r="128" spans="1:14" x14ac:dyDescent="0.35">
      <c r="A128" s="27" t="s">
        <v>327</v>
      </c>
      <c r="B128" s="29">
        <v>43984</v>
      </c>
      <c r="C128" s="11">
        <v>2.0059999999999998</v>
      </c>
      <c r="D128" s="27">
        <v>200</v>
      </c>
      <c r="E128" s="27">
        <v>1.2</v>
      </c>
      <c r="F128" s="134">
        <f t="shared" si="4"/>
        <v>0.11964107676969092</v>
      </c>
      <c r="G128" s="146">
        <v>0.02</v>
      </c>
      <c r="H128" s="134">
        <f t="shared" si="5"/>
        <v>1.9940179461615157</v>
      </c>
      <c r="I128" s="140">
        <v>9.6000000000000002E-2</v>
      </c>
      <c r="J128" s="134">
        <f t="shared" si="6"/>
        <v>9.5712861415752748</v>
      </c>
      <c r="K128" s="146">
        <v>0.01</v>
      </c>
      <c r="L128" s="134">
        <f t="shared" si="7"/>
        <v>0.99700897308075787</v>
      </c>
      <c r="M128" s="35">
        <v>3.8530000000000002</v>
      </c>
      <c r="N128" s="134">
        <f t="shared" si="8"/>
        <v>384.14755732801598</v>
      </c>
    </row>
    <row r="129" spans="1:15" x14ac:dyDescent="0.35">
      <c r="A129" s="27" t="s">
        <v>351</v>
      </c>
      <c r="B129" s="29">
        <v>43984</v>
      </c>
      <c r="C129" s="132">
        <v>2.004</v>
      </c>
      <c r="D129" s="27">
        <v>200</v>
      </c>
      <c r="E129" s="27">
        <v>1.1000000000000001</v>
      </c>
      <c r="F129" s="134">
        <f t="shared" si="4"/>
        <v>0.10978043912175649</v>
      </c>
      <c r="G129" s="146">
        <v>0.02</v>
      </c>
      <c r="H129" s="134">
        <f t="shared" si="5"/>
        <v>1.996007984031936</v>
      </c>
      <c r="I129" s="140">
        <v>0.111</v>
      </c>
      <c r="J129" s="134">
        <f t="shared" si="6"/>
        <v>11.077844311377245</v>
      </c>
      <c r="K129" s="146">
        <v>0.01</v>
      </c>
      <c r="L129" s="134">
        <f t="shared" si="7"/>
        <v>0.99800399201596801</v>
      </c>
      <c r="M129" s="35">
        <v>3.7170000000000001</v>
      </c>
      <c r="N129" s="134">
        <f t="shared" si="8"/>
        <v>370.95808383233532</v>
      </c>
    </row>
    <row r="130" spans="1:15" x14ac:dyDescent="0.35">
      <c r="B130" s="29"/>
      <c r="C130" s="144"/>
      <c r="F130" s="134"/>
      <c r="G130" s="35"/>
      <c r="H130" s="134"/>
      <c r="J130" s="134"/>
      <c r="K130" s="35"/>
      <c r="L130" s="134"/>
      <c r="M130" s="35"/>
      <c r="N130" s="134"/>
    </row>
    <row r="131" spans="1:15" x14ac:dyDescent="0.35">
      <c r="A131" s="27" t="s">
        <v>328</v>
      </c>
      <c r="B131" s="29">
        <v>43984</v>
      </c>
      <c r="C131" s="132">
        <v>2.008</v>
      </c>
      <c r="D131" s="27">
        <v>200</v>
      </c>
      <c r="E131" s="27">
        <v>0.76</v>
      </c>
      <c r="F131" s="134">
        <f t="shared" si="4"/>
        <v>7.5697211155378502E-2</v>
      </c>
      <c r="G131" s="146">
        <v>0.02</v>
      </c>
      <c r="H131" s="134">
        <f t="shared" si="5"/>
        <v>1.9920318725099604</v>
      </c>
      <c r="I131" s="135">
        <v>0.01</v>
      </c>
      <c r="J131" s="134">
        <f t="shared" si="6"/>
        <v>0.99601593625498019</v>
      </c>
      <c r="K131" s="146">
        <v>0.01</v>
      </c>
      <c r="L131" s="134">
        <f t="shared" si="7"/>
        <v>0.99601593625498019</v>
      </c>
      <c r="M131" s="35">
        <v>139.9</v>
      </c>
      <c r="N131" s="134">
        <f t="shared" si="8"/>
        <v>13934.262948207172</v>
      </c>
    </row>
    <row r="132" spans="1:15" x14ac:dyDescent="0.35">
      <c r="A132" s="27" t="s">
        <v>353</v>
      </c>
      <c r="B132" s="29">
        <v>43984</v>
      </c>
      <c r="C132" s="132">
        <v>1.9990000000000001</v>
      </c>
      <c r="D132" s="27">
        <v>200</v>
      </c>
      <c r="E132" s="27">
        <v>0.88</v>
      </c>
      <c r="F132" s="134">
        <f t="shared" si="4"/>
        <v>8.8044022011005516E-2</v>
      </c>
      <c r="G132" s="146">
        <v>0.02</v>
      </c>
      <c r="H132" s="134">
        <f t="shared" si="5"/>
        <v>2.0010005002501252</v>
      </c>
      <c r="I132" s="135">
        <v>0.01</v>
      </c>
      <c r="J132" s="134">
        <f t="shared" si="6"/>
        <v>1.0005002501250626</v>
      </c>
      <c r="K132" s="146">
        <v>0.01</v>
      </c>
      <c r="L132" s="134">
        <f t="shared" si="7"/>
        <v>1.0005002501250626</v>
      </c>
      <c r="M132" s="35">
        <v>141.30000000000001</v>
      </c>
      <c r="N132" s="134">
        <f t="shared" si="8"/>
        <v>14137.068534267135</v>
      </c>
    </row>
    <row r="138" spans="1:15" x14ac:dyDescent="0.35">
      <c r="C138" s="27"/>
      <c r="D138" s="11"/>
      <c r="G138" s="19"/>
      <c r="O138" s="33"/>
    </row>
    <row r="139" spans="1:15" x14ac:dyDescent="0.35">
      <c r="C139" s="27"/>
      <c r="D139" s="11"/>
      <c r="G139" s="19"/>
      <c r="O139" s="33"/>
    </row>
    <row r="140" spans="1:15" x14ac:dyDescent="0.35">
      <c r="C140" s="27"/>
      <c r="D140" s="11"/>
      <c r="G140" s="19"/>
      <c r="O140" s="33"/>
    </row>
    <row r="141" spans="1:15" x14ac:dyDescent="0.35">
      <c r="C141" s="27"/>
      <c r="D141" s="11"/>
      <c r="G141" s="19"/>
      <c r="O141" s="33"/>
    </row>
    <row r="142" spans="1:15" x14ac:dyDescent="0.35">
      <c r="C142" s="29"/>
      <c r="D142" s="65"/>
      <c r="G142" s="35"/>
      <c r="H142" s="34"/>
      <c r="J142" s="35"/>
      <c r="L142" s="140"/>
      <c r="N142" s="140"/>
      <c r="O142" s="137"/>
    </row>
    <row r="143" spans="1:15" x14ac:dyDescent="0.35">
      <c r="C143" s="29"/>
      <c r="D143" s="11"/>
      <c r="G143" s="35"/>
      <c r="H143" s="34"/>
      <c r="J143" s="35"/>
      <c r="L143" s="140"/>
      <c r="N143" s="140"/>
      <c r="O143" s="137"/>
    </row>
    <row r="144" spans="1:15" x14ac:dyDescent="0.35">
      <c r="C144" s="29"/>
      <c r="D144" s="65"/>
      <c r="G144" s="35"/>
      <c r="H144" s="34"/>
      <c r="J144" s="35"/>
      <c r="L144" s="140"/>
      <c r="N144" s="140"/>
      <c r="O144" s="137"/>
    </row>
    <row r="145" spans="3:15" x14ac:dyDescent="0.35">
      <c r="C145" s="29"/>
      <c r="D145" s="65"/>
      <c r="G145" s="35"/>
      <c r="H145" s="34"/>
      <c r="J145" s="35"/>
      <c r="L145" s="140"/>
      <c r="N145" s="140"/>
      <c r="O145" s="137"/>
    </row>
    <row r="146" spans="3:15" x14ac:dyDescent="0.35">
      <c r="C146" s="29"/>
      <c r="D146" s="11"/>
      <c r="G146" s="35"/>
      <c r="H146" s="34"/>
      <c r="J146" s="35"/>
      <c r="L146" s="140"/>
      <c r="N146" s="140"/>
      <c r="O146" s="137"/>
    </row>
    <row r="147" spans="3:15" x14ac:dyDescent="0.35">
      <c r="C147" s="29"/>
      <c r="D147" s="65"/>
      <c r="G147" s="35"/>
      <c r="H147" s="34"/>
      <c r="J147" s="35"/>
      <c r="L147" s="140"/>
      <c r="N147" s="140"/>
      <c r="O147" s="137"/>
    </row>
    <row r="148" spans="3:15" x14ac:dyDescent="0.35">
      <c r="C148" s="29"/>
      <c r="D148" s="11"/>
      <c r="G148" s="35"/>
      <c r="H148" s="34"/>
      <c r="J148" s="35"/>
      <c r="L148" s="140"/>
      <c r="N148" s="140"/>
      <c r="O148" s="137"/>
    </row>
    <row r="149" spans="3:15" x14ac:dyDescent="0.35">
      <c r="C149" s="29"/>
      <c r="D149" s="65"/>
      <c r="G149" s="35"/>
      <c r="H149" s="34"/>
      <c r="J149" s="35"/>
      <c r="L149" s="140"/>
      <c r="N149" s="140"/>
      <c r="O149" s="137"/>
    </row>
    <row r="150" spans="3:15" x14ac:dyDescent="0.35">
      <c r="C150" s="29"/>
      <c r="D150" s="11"/>
      <c r="G150" s="35"/>
      <c r="H150" s="34"/>
      <c r="J150" s="35"/>
      <c r="L150" s="140"/>
      <c r="N150" s="140"/>
      <c r="O150" s="137"/>
    </row>
    <row r="151" spans="3:15" x14ac:dyDescent="0.35">
      <c r="C151" s="29"/>
      <c r="D151" s="65"/>
      <c r="G151" s="35"/>
      <c r="H151" s="34"/>
      <c r="J151" s="35"/>
      <c r="L151" s="140"/>
      <c r="N151" s="140"/>
      <c r="O151" s="137"/>
    </row>
    <row r="152" spans="3:15" x14ac:dyDescent="0.35">
      <c r="C152" s="27"/>
      <c r="D152" s="11"/>
      <c r="G152" s="35"/>
      <c r="H152" s="34"/>
      <c r="J152" s="35"/>
      <c r="L152" s="140"/>
      <c r="N152" s="140"/>
      <c r="O152" s="137"/>
    </row>
    <row r="153" spans="3:15" x14ac:dyDescent="0.35">
      <c r="C153" s="29"/>
      <c r="D153" s="30"/>
      <c r="G153" s="35"/>
      <c r="H153" s="34"/>
      <c r="J153" s="35"/>
      <c r="L153" s="140"/>
      <c r="N153" s="140"/>
      <c r="O153" s="137"/>
    </row>
    <row r="154" spans="3:15" x14ac:dyDescent="0.35">
      <c r="C154" s="29"/>
      <c r="D154" s="11"/>
      <c r="G154" s="35"/>
      <c r="H154" s="34"/>
      <c r="J154" s="35"/>
      <c r="L154" s="140"/>
      <c r="N154" s="140"/>
      <c r="O154" s="137"/>
    </row>
    <row r="155" spans="3:15" x14ac:dyDescent="0.35">
      <c r="C155" s="29"/>
      <c r="D155" s="65"/>
      <c r="G155" s="35"/>
      <c r="H155" s="34"/>
      <c r="J155" s="35"/>
      <c r="L155" s="140"/>
      <c r="N155" s="140"/>
      <c r="O155" s="137"/>
    </row>
    <row r="156" spans="3:15" x14ac:dyDescent="0.35">
      <c r="C156" s="29"/>
      <c r="D156" s="11"/>
      <c r="G156" s="35"/>
      <c r="H156" s="34"/>
      <c r="J156" s="35"/>
      <c r="K156" s="135"/>
      <c r="L156" s="135"/>
      <c r="N156" s="135"/>
      <c r="O156" s="137"/>
    </row>
    <row r="157" spans="3:15" x14ac:dyDescent="0.35">
      <c r="C157" s="29"/>
      <c r="D157" s="65"/>
      <c r="G157" s="35"/>
      <c r="H157" s="34"/>
      <c r="J157" s="35"/>
      <c r="K157" s="135"/>
      <c r="L157" s="135"/>
      <c r="N157" s="135"/>
      <c r="O157" s="137"/>
    </row>
    <row r="158" spans="3:15" x14ac:dyDescent="0.35">
      <c r="C158" s="29"/>
      <c r="D158" s="65"/>
      <c r="G158" s="35"/>
      <c r="H158" s="34"/>
      <c r="J158" s="35"/>
      <c r="K158" s="135"/>
      <c r="L158" s="135"/>
      <c r="N158" s="135"/>
      <c r="O158" s="137"/>
    </row>
    <row r="159" spans="3:15" x14ac:dyDescent="0.35">
      <c r="C159" s="29"/>
      <c r="D159" s="11"/>
      <c r="G159" s="35"/>
      <c r="H159" s="34"/>
      <c r="J159" s="35"/>
      <c r="K159" s="135"/>
      <c r="L159" s="135"/>
      <c r="N159" s="135"/>
      <c r="O159" s="137"/>
    </row>
    <row r="160" spans="3:15" x14ac:dyDescent="0.35">
      <c r="C160" s="29"/>
      <c r="D160" s="65"/>
      <c r="G160" s="35"/>
      <c r="H160" s="34"/>
      <c r="J160" s="35"/>
      <c r="K160" s="135"/>
      <c r="L160" s="135"/>
      <c r="N160" s="135"/>
      <c r="O160" s="137"/>
    </row>
    <row r="161" spans="3:15" x14ac:dyDescent="0.35">
      <c r="C161" s="29"/>
      <c r="D161" s="11"/>
      <c r="G161" s="35"/>
      <c r="H161" s="34"/>
      <c r="J161" s="35"/>
      <c r="K161" s="135"/>
      <c r="L161" s="135"/>
      <c r="N161" s="135"/>
      <c r="O161" s="137"/>
    </row>
    <row r="162" spans="3:15" x14ac:dyDescent="0.35">
      <c r="C162" s="29"/>
      <c r="D162" s="65"/>
      <c r="G162" s="35"/>
      <c r="H162" s="34"/>
      <c r="J162" s="35"/>
      <c r="K162" s="135"/>
      <c r="L162" s="135"/>
      <c r="N162" s="135"/>
      <c r="O162" s="137"/>
    </row>
    <row r="163" spans="3:15" x14ac:dyDescent="0.35">
      <c r="C163" s="29"/>
      <c r="D163" s="11"/>
      <c r="G163" s="35"/>
      <c r="H163" s="34"/>
      <c r="J163" s="35"/>
      <c r="K163" s="135"/>
      <c r="L163" s="135"/>
      <c r="N163" s="135"/>
      <c r="O163" s="137"/>
    </row>
    <row r="164" spans="3:15" x14ac:dyDescent="0.35">
      <c r="C164" s="29"/>
      <c r="D164" s="30"/>
      <c r="G164" s="35"/>
      <c r="H164" s="34"/>
      <c r="J164" s="35"/>
      <c r="K164" s="135"/>
      <c r="L164" s="135"/>
      <c r="N164" s="135"/>
      <c r="O164" s="137"/>
    </row>
    <row r="165" spans="3:15" x14ac:dyDescent="0.35">
      <c r="C165" s="29"/>
      <c r="D165" s="65"/>
      <c r="G165" s="35"/>
      <c r="H165" s="34"/>
      <c r="J165" s="35"/>
      <c r="K165" s="135"/>
      <c r="L165" s="135"/>
      <c r="N165" s="135"/>
      <c r="O165" s="137"/>
    </row>
    <row r="166" spans="3:15" x14ac:dyDescent="0.35">
      <c r="C166" s="29"/>
      <c r="D166" s="11"/>
      <c r="G166" s="35"/>
      <c r="H166" s="34"/>
      <c r="J166" s="35"/>
      <c r="K166" s="135"/>
      <c r="L166" s="135"/>
      <c r="N166" s="135"/>
      <c r="O166" s="137"/>
    </row>
    <row r="167" spans="3:15" x14ac:dyDescent="0.35">
      <c r="C167" s="29"/>
      <c r="D167" s="65"/>
      <c r="G167" s="35"/>
      <c r="H167" s="34"/>
      <c r="J167" s="35"/>
      <c r="K167" s="135"/>
      <c r="L167" s="135"/>
      <c r="N167" s="135"/>
      <c r="O167" s="137"/>
    </row>
    <row r="168" spans="3:15" x14ac:dyDescent="0.35">
      <c r="C168" s="29"/>
      <c r="D168" s="11"/>
      <c r="G168" s="35"/>
      <c r="H168" s="34"/>
      <c r="J168" s="35"/>
      <c r="K168" s="135"/>
      <c r="L168" s="135"/>
      <c r="N168" s="135"/>
      <c r="O168" s="137"/>
    </row>
    <row r="169" spans="3:15" x14ac:dyDescent="0.35">
      <c r="C169" s="29"/>
      <c r="D169" s="30"/>
      <c r="G169" s="35"/>
      <c r="H169" s="34"/>
      <c r="J169" s="35"/>
      <c r="K169" s="135"/>
      <c r="L169" s="135"/>
      <c r="N169" s="135"/>
      <c r="O169" s="137"/>
    </row>
    <row r="170" spans="3:15" x14ac:dyDescent="0.35">
      <c r="C170" s="29"/>
      <c r="D170" s="11"/>
      <c r="G170" s="35"/>
      <c r="H170" s="21"/>
      <c r="J170" s="11"/>
      <c r="O170" s="137"/>
    </row>
    <row r="171" spans="3:15" x14ac:dyDescent="0.35">
      <c r="C171" s="29"/>
      <c r="D171" s="65"/>
      <c r="G171" s="35"/>
      <c r="H171" s="34"/>
      <c r="J171" s="35"/>
      <c r="K171" s="135"/>
      <c r="L171" s="135"/>
      <c r="N171" s="135"/>
      <c r="O171" s="137"/>
    </row>
    <row r="172" spans="3:15" x14ac:dyDescent="0.35">
      <c r="C172" s="29"/>
      <c r="D172" s="65"/>
      <c r="G172" s="35"/>
      <c r="H172" s="34"/>
      <c r="J172" s="35"/>
      <c r="K172" s="135"/>
      <c r="L172" s="135"/>
      <c r="N172" s="135"/>
      <c r="O172" s="137"/>
    </row>
    <row r="173" spans="3:15" x14ac:dyDescent="0.35">
      <c r="C173" s="29"/>
      <c r="D173" s="11"/>
      <c r="G173" s="35"/>
      <c r="H173" s="34"/>
      <c r="J173" s="35"/>
      <c r="K173" s="135"/>
      <c r="L173" s="135"/>
      <c r="N173" s="135"/>
      <c r="O173" s="137"/>
    </row>
    <row r="174" spans="3:15" x14ac:dyDescent="0.35">
      <c r="C174" s="29"/>
      <c r="D174" s="30"/>
      <c r="G174" s="35"/>
      <c r="H174" s="34"/>
      <c r="J174" s="35"/>
      <c r="K174" s="135"/>
      <c r="L174" s="135"/>
      <c r="N174" s="135"/>
      <c r="O174" s="137"/>
    </row>
    <row r="175" spans="3:15" x14ac:dyDescent="0.35">
      <c r="C175" s="29"/>
      <c r="D175" s="11"/>
      <c r="G175" s="35"/>
      <c r="H175" s="34"/>
      <c r="J175" s="35"/>
      <c r="K175" s="135"/>
      <c r="L175" s="135"/>
      <c r="N175" s="135"/>
      <c r="O175" s="137"/>
    </row>
    <row r="176" spans="3:15" x14ac:dyDescent="0.35">
      <c r="C176" s="29"/>
      <c r="D176" s="65"/>
      <c r="G176" s="35"/>
      <c r="H176" s="34"/>
      <c r="J176" s="35"/>
      <c r="K176" s="135"/>
      <c r="L176" s="135"/>
      <c r="N176" s="135"/>
      <c r="O176" s="137"/>
    </row>
    <row r="177" spans="3:15" x14ac:dyDescent="0.35">
      <c r="C177" s="29"/>
      <c r="D177" s="30"/>
      <c r="G177" s="35"/>
      <c r="H177" s="34"/>
      <c r="J177" s="35"/>
      <c r="K177" s="135"/>
      <c r="L177" s="135"/>
      <c r="N177" s="135"/>
      <c r="O177" s="137"/>
    </row>
    <row r="178" spans="3:15" x14ac:dyDescent="0.35">
      <c r="C178" s="29"/>
      <c r="D178" s="11"/>
      <c r="G178" s="35"/>
      <c r="H178" s="34"/>
      <c r="J178" s="35"/>
      <c r="K178" s="135"/>
      <c r="L178" s="135"/>
      <c r="N178" s="135"/>
      <c r="O178" s="137"/>
    </row>
    <row r="179" spans="3:15" x14ac:dyDescent="0.35">
      <c r="C179" s="29"/>
      <c r="D179" s="65"/>
      <c r="G179" s="35"/>
      <c r="H179" s="34"/>
      <c r="J179" s="35"/>
      <c r="K179" s="135"/>
      <c r="L179" s="135"/>
      <c r="N179" s="135"/>
      <c r="O179" s="137"/>
    </row>
    <row r="180" spans="3:15" x14ac:dyDescent="0.35">
      <c r="C180" s="29"/>
      <c r="D180" s="11"/>
      <c r="G180" s="35"/>
      <c r="H180" s="34"/>
      <c r="J180" s="35"/>
      <c r="K180" s="135"/>
      <c r="L180" s="135"/>
      <c r="N180" s="135"/>
      <c r="O180" s="137"/>
    </row>
    <row r="181" spans="3:15" x14ac:dyDescent="0.35">
      <c r="C181" s="29"/>
      <c r="D181" s="65"/>
      <c r="G181" s="35"/>
      <c r="H181" s="34"/>
      <c r="J181" s="35"/>
      <c r="K181" s="135"/>
      <c r="L181" s="135"/>
      <c r="N181" s="135"/>
      <c r="O181" s="137"/>
    </row>
    <row r="182" spans="3:15" x14ac:dyDescent="0.35">
      <c r="C182" s="29"/>
      <c r="D182" s="65"/>
      <c r="G182" s="35"/>
      <c r="H182" s="34"/>
      <c r="J182" s="35"/>
      <c r="K182" s="135"/>
      <c r="L182" s="135"/>
      <c r="N182" s="135"/>
      <c r="O182" s="137"/>
    </row>
    <row r="183" spans="3:15" x14ac:dyDescent="0.35">
      <c r="C183" s="29"/>
      <c r="D183" s="11"/>
      <c r="F183" s="26"/>
      <c r="G183" s="146"/>
      <c r="H183" s="135"/>
      <c r="I183" s="135"/>
      <c r="J183" s="135"/>
      <c r="K183" s="135"/>
      <c r="L183" s="135"/>
      <c r="N183" s="135"/>
      <c r="O183" s="137"/>
    </row>
    <row r="184" spans="3:15" x14ac:dyDescent="0.35">
      <c r="C184" s="29"/>
      <c r="D184" s="11"/>
      <c r="F184" s="26"/>
      <c r="G184" s="146"/>
      <c r="H184" s="135"/>
      <c r="I184" s="135"/>
      <c r="J184" s="135"/>
      <c r="K184" s="135"/>
      <c r="L184" s="135"/>
      <c r="N184" s="135"/>
      <c r="O184" s="137"/>
    </row>
    <row r="188" spans="3:15" x14ac:dyDescent="0.35">
      <c r="C188" s="27"/>
      <c r="D188" s="11"/>
      <c r="G188" s="19"/>
      <c r="O188" s="33"/>
    </row>
    <row r="189" spans="3:15" x14ac:dyDescent="0.35">
      <c r="C189" s="27"/>
      <c r="D189" s="11"/>
      <c r="G189" s="19"/>
      <c r="O189" s="33"/>
    </row>
    <row r="190" spans="3:15" x14ac:dyDescent="0.35">
      <c r="C190" s="27"/>
      <c r="D190" s="11"/>
      <c r="G190" s="19"/>
      <c r="O190" s="33"/>
    </row>
    <row r="191" spans="3:15" x14ac:dyDescent="0.35">
      <c r="C191" s="27"/>
      <c r="D191" s="11"/>
      <c r="G191" s="19"/>
      <c r="O191" s="33"/>
    </row>
    <row r="192" spans="3:15" x14ac:dyDescent="0.35">
      <c r="C192" s="29"/>
      <c r="D192" s="32"/>
      <c r="G192" s="35"/>
      <c r="H192" s="138"/>
      <c r="J192" s="35"/>
      <c r="K192" s="135"/>
      <c r="L192" s="135"/>
      <c r="N192" s="135"/>
      <c r="O192" s="137"/>
    </row>
    <row r="193" spans="3:15" x14ac:dyDescent="0.35">
      <c r="C193" s="29"/>
      <c r="D193" s="11"/>
      <c r="G193" s="35"/>
      <c r="H193" s="138"/>
      <c r="J193" s="35"/>
      <c r="K193" s="135"/>
      <c r="L193" s="135"/>
      <c r="N193" s="135"/>
      <c r="O193" s="137"/>
    </row>
    <row r="194" spans="3:15" x14ac:dyDescent="0.35">
      <c r="C194" s="29"/>
      <c r="D194" s="32"/>
      <c r="G194" s="35"/>
      <c r="H194" s="138"/>
      <c r="J194" s="35"/>
      <c r="K194" s="135"/>
      <c r="L194" s="135"/>
      <c r="N194" s="135"/>
      <c r="O194" s="137"/>
    </row>
    <row r="195" spans="3:15" x14ac:dyDescent="0.35">
      <c r="C195" s="29"/>
      <c r="D195" s="32"/>
      <c r="G195" s="35"/>
      <c r="H195" s="138"/>
      <c r="J195" s="35"/>
      <c r="K195" s="135"/>
      <c r="L195" s="135"/>
      <c r="N195" s="135"/>
      <c r="O195" s="137"/>
    </row>
    <row r="196" spans="3:15" x14ac:dyDescent="0.35">
      <c r="C196" s="29"/>
      <c r="D196" s="11"/>
      <c r="G196" s="35"/>
      <c r="H196" s="138"/>
      <c r="J196" s="35"/>
      <c r="K196" s="135"/>
      <c r="L196" s="135"/>
      <c r="N196" s="135"/>
      <c r="O196" s="137"/>
    </row>
    <row r="197" spans="3:15" x14ac:dyDescent="0.35">
      <c r="C197" s="29"/>
      <c r="D197" s="32"/>
      <c r="G197" s="35"/>
      <c r="H197" s="34"/>
      <c r="J197" s="35"/>
      <c r="K197" s="135"/>
      <c r="L197" s="135"/>
      <c r="N197" s="135"/>
      <c r="O197" s="137"/>
    </row>
    <row r="198" spans="3:15" x14ac:dyDescent="0.35">
      <c r="C198" s="29"/>
      <c r="D198" s="87"/>
      <c r="G198" s="35"/>
      <c r="H198" s="34"/>
      <c r="J198" s="35"/>
      <c r="K198" s="135"/>
      <c r="L198" s="135"/>
      <c r="N198" s="135"/>
      <c r="O198" s="137"/>
    </row>
    <row r="199" spans="3:15" x14ac:dyDescent="0.35">
      <c r="C199" s="29"/>
      <c r="D199" s="32"/>
      <c r="G199" s="35"/>
      <c r="H199" s="34"/>
      <c r="J199" s="35"/>
      <c r="K199" s="135"/>
      <c r="L199" s="135"/>
      <c r="N199" s="135"/>
      <c r="O199" s="137"/>
    </row>
    <row r="200" spans="3:15" x14ac:dyDescent="0.35">
      <c r="C200" s="29"/>
      <c r="D200" s="87"/>
      <c r="G200" s="35"/>
      <c r="H200" s="138"/>
      <c r="J200" s="35"/>
      <c r="K200" s="135"/>
      <c r="L200" s="135"/>
      <c r="N200" s="135"/>
      <c r="O200" s="137"/>
    </row>
    <row r="201" spans="3:15" x14ac:dyDescent="0.35">
      <c r="C201" s="29"/>
      <c r="D201" s="32"/>
      <c r="F201" s="26"/>
      <c r="G201" s="146"/>
      <c r="H201" s="138"/>
      <c r="J201" s="35"/>
      <c r="K201" s="135"/>
      <c r="L201" s="135"/>
      <c r="N201" s="135"/>
      <c r="O201" s="137"/>
    </row>
    <row r="202" spans="3:15" x14ac:dyDescent="0.35">
      <c r="C202" s="27"/>
      <c r="D202" s="87"/>
      <c r="G202" s="35"/>
      <c r="H202" s="138"/>
      <c r="J202" s="35"/>
      <c r="K202" s="135"/>
      <c r="L202" s="135"/>
      <c r="N202" s="135"/>
      <c r="O202" s="137"/>
    </row>
    <row r="203" spans="3:15" x14ac:dyDescent="0.35">
      <c r="C203" s="29"/>
      <c r="D203" s="32"/>
      <c r="G203" s="35"/>
      <c r="H203" s="138"/>
      <c r="J203" s="35"/>
      <c r="K203" s="135"/>
      <c r="L203" s="135"/>
      <c r="N203" s="135"/>
      <c r="O203" s="137"/>
    </row>
    <row r="204" spans="3:15" x14ac:dyDescent="0.35">
      <c r="C204" s="29"/>
      <c r="D204" s="87"/>
      <c r="G204" s="35"/>
      <c r="H204" s="138"/>
      <c r="J204" s="35"/>
      <c r="K204" s="135"/>
      <c r="L204" s="135"/>
      <c r="N204" s="135"/>
      <c r="O204" s="137"/>
    </row>
    <row r="205" spans="3:15" x14ac:dyDescent="0.35">
      <c r="C205" s="29"/>
      <c r="D205" s="32"/>
      <c r="G205" s="35"/>
      <c r="H205" s="138"/>
      <c r="J205" s="35"/>
      <c r="K205" s="135"/>
      <c r="L205" s="135"/>
      <c r="N205" s="135"/>
      <c r="O205" s="137"/>
    </row>
    <row r="206" spans="3:15" x14ac:dyDescent="0.35">
      <c r="C206" s="29"/>
      <c r="D206" s="87"/>
      <c r="G206" s="35"/>
      <c r="H206" s="138"/>
      <c r="J206" s="35"/>
      <c r="K206" s="135"/>
      <c r="L206" s="135"/>
      <c r="N206" s="135"/>
      <c r="O206" s="137"/>
    </row>
    <row r="207" spans="3:15" x14ac:dyDescent="0.35">
      <c r="C207" s="29"/>
      <c r="D207" s="32"/>
      <c r="F207" s="26"/>
      <c r="G207" s="146"/>
      <c r="H207" s="138"/>
      <c r="J207" s="35"/>
      <c r="K207" s="135"/>
      <c r="L207" s="135"/>
      <c r="N207" s="135"/>
      <c r="O207" s="137"/>
    </row>
    <row r="208" spans="3:15" x14ac:dyDescent="0.35">
      <c r="C208" s="29"/>
      <c r="D208" s="32"/>
      <c r="F208" s="26"/>
      <c r="G208" s="146"/>
      <c r="H208" s="138"/>
      <c r="J208" s="35"/>
      <c r="K208" s="135"/>
      <c r="L208" s="135"/>
      <c r="N208" s="135"/>
      <c r="O208" s="137"/>
    </row>
    <row r="209" spans="3:15" x14ac:dyDescent="0.35">
      <c r="C209" s="29"/>
      <c r="D209" s="87"/>
      <c r="G209" s="35"/>
      <c r="H209" s="138"/>
      <c r="J209" s="35"/>
      <c r="K209" s="135"/>
      <c r="L209" s="135"/>
      <c r="N209" s="135"/>
      <c r="O209" s="137"/>
    </row>
    <row r="210" spans="3:15" x14ac:dyDescent="0.35">
      <c r="C210" s="29"/>
      <c r="D210" s="32"/>
      <c r="F210" s="26"/>
      <c r="G210" s="146"/>
      <c r="H210" s="138"/>
      <c r="J210" s="35"/>
      <c r="K210" s="135"/>
      <c r="L210" s="135"/>
      <c r="N210" s="135"/>
      <c r="O210" s="137"/>
    </row>
    <row r="211" spans="3:15" x14ac:dyDescent="0.35">
      <c r="C211" s="29"/>
      <c r="D211" s="87"/>
      <c r="G211" s="35"/>
      <c r="H211" s="138"/>
      <c r="J211" s="35"/>
      <c r="K211" s="135"/>
      <c r="L211" s="135"/>
      <c r="N211" s="135"/>
      <c r="O211" s="137"/>
    </row>
    <row r="212" spans="3:15" x14ac:dyDescent="0.35">
      <c r="C212" s="29"/>
      <c r="D212" s="32"/>
      <c r="G212" s="35"/>
      <c r="H212" s="138"/>
      <c r="J212" s="35"/>
      <c r="K212" s="135"/>
      <c r="L212" s="135"/>
      <c r="N212" s="135"/>
      <c r="O212" s="137"/>
    </row>
    <row r="213" spans="3:15" x14ac:dyDescent="0.35">
      <c r="C213" s="29"/>
      <c r="D213" s="87"/>
      <c r="G213" s="35"/>
      <c r="H213" s="138"/>
      <c r="J213" s="35"/>
      <c r="K213" s="135"/>
      <c r="L213" s="135"/>
      <c r="N213" s="135"/>
      <c r="O213" s="137"/>
    </row>
    <row r="214" spans="3:15" x14ac:dyDescent="0.35">
      <c r="C214" s="29"/>
      <c r="D214" s="32"/>
      <c r="G214" s="35"/>
      <c r="H214" s="138"/>
      <c r="J214" s="35"/>
      <c r="K214" s="135"/>
      <c r="L214" s="135"/>
      <c r="N214" s="135"/>
      <c r="O214" s="137"/>
    </row>
    <row r="215" spans="3:15" x14ac:dyDescent="0.35">
      <c r="C215" s="29"/>
      <c r="D215" s="32"/>
      <c r="G215" s="35"/>
      <c r="H215" s="138"/>
      <c r="J215" s="35"/>
      <c r="K215" s="135"/>
      <c r="L215" s="135"/>
      <c r="N215" s="135"/>
      <c r="O215" s="137"/>
    </row>
    <row r="216" spans="3:15" x14ac:dyDescent="0.35">
      <c r="C216" s="29"/>
      <c r="D216" s="87"/>
      <c r="G216" s="35"/>
      <c r="H216" s="138"/>
      <c r="J216" s="35"/>
      <c r="K216" s="135"/>
      <c r="L216" s="135"/>
      <c r="N216" s="135"/>
      <c r="O216" s="137"/>
    </row>
    <row r="217" spans="3:15" x14ac:dyDescent="0.35">
      <c r="C217" s="29"/>
      <c r="D217" s="32"/>
      <c r="G217" s="35"/>
      <c r="H217" s="138"/>
      <c r="J217" s="35"/>
      <c r="K217" s="135"/>
      <c r="L217" s="135"/>
      <c r="N217" s="135"/>
      <c r="O217" s="137"/>
    </row>
    <row r="218" spans="3:15" x14ac:dyDescent="0.35">
      <c r="C218" s="29"/>
      <c r="D218" s="87"/>
      <c r="G218" s="35"/>
      <c r="H218" s="138"/>
      <c r="J218" s="35"/>
      <c r="K218" s="135"/>
      <c r="L218" s="135"/>
      <c r="N218" s="135"/>
      <c r="O218" s="137"/>
    </row>
    <row r="219" spans="3:15" x14ac:dyDescent="0.35">
      <c r="C219" s="29"/>
      <c r="D219" s="32"/>
      <c r="G219" s="35"/>
      <c r="H219" s="34"/>
      <c r="J219" s="35"/>
      <c r="K219" s="135"/>
      <c r="L219" s="135"/>
      <c r="N219" s="135"/>
      <c r="O219" s="137"/>
    </row>
    <row r="220" spans="3:15" x14ac:dyDescent="0.35">
      <c r="C220" s="29"/>
      <c r="D220" s="87"/>
      <c r="G220" s="35"/>
      <c r="H220" s="18"/>
      <c r="J220" s="11"/>
      <c r="O220" s="137"/>
    </row>
    <row r="221" spans="3:15" x14ac:dyDescent="0.35">
      <c r="C221" s="29"/>
      <c r="D221" s="32"/>
      <c r="F221" s="26"/>
      <c r="G221" s="146"/>
      <c r="H221" s="138"/>
      <c r="J221" s="35"/>
      <c r="K221" s="135"/>
      <c r="L221" s="135"/>
      <c r="N221" s="135"/>
      <c r="O221" s="137"/>
    </row>
    <row r="222" spans="3:15" x14ac:dyDescent="0.35">
      <c r="C222" s="29"/>
      <c r="D222" s="32"/>
      <c r="F222" s="26"/>
      <c r="G222" s="146"/>
      <c r="H222" s="138"/>
      <c r="J222" s="35"/>
      <c r="K222" s="135"/>
      <c r="L222" s="135"/>
      <c r="N222" s="135"/>
      <c r="O222" s="137"/>
    </row>
    <row r="223" spans="3:15" x14ac:dyDescent="0.35">
      <c r="C223" s="29"/>
      <c r="D223" s="87"/>
      <c r="G223" s="35"/>
      <c r="H223" s="138"/>
      <c r="J223" s="35"/>
      <c r="K223" s="135"/>
      <c r="L223" s="135"/>
      <c r="N223" s="135"/>
      <c r="O223" s="137"/>
    </row>
    <row r="224" spans="3:15" x14ac:dyDescent="0.35">
      <c r="C224" s="29"/>
      <c r="D224" s="32"/>
      <c r="F224" s="26"/>
      <c r="G224" s="146"/>
      <c r="H224" s="34"/>
      <c r="J224" s="35"/>
      <c r="K224" s="135"/>
      <c r="L224" s="135"/>
      <c r="N224" s="135"/>
      <c r="O224" s="137"/>
    </row>
    <row r="225" spans="3:15" x14ac:dyDescent="0.35">
      <c r="C225" s="29"/>
      <c r="D225" s="87"/>
      <c r="G225" s="35"/>
      <c r="H225" s="138"/>
      <c r="J225" s="35"/>
      <c r="K225" s="135"/>
      <c r="L225" s="135"/>
      <c r="N225" s="135"/>
      <c r="O225" s="137"/>
    </row>
    <row r="226" spans="3:15" x14ac:dyDescent="0.35">
      <c r="C226" s="29"/>
      <c r="D226" s="32"/>
      <c r="G226" s="35"/>
      <c r="H226" s="138"/>
      <c r="J226" s="35"/>
      <c r="K226" s="135"/>
      <c r="L226" s="135"/>
      <c r="N226" s="135"/>
      <c r="O226" s="137"/>
    </row>
    <row r="227" spans="3:15" x14ac:dyDescent="0.35">
      <c r="C227" s="29"/>
      <c r="D227" s="32"/>
      <c r="G227" s="35"/>
      <c r="H227" s="138"/>
      <c r="J227" s="35"/>
      <c r="K227" s="135"/>
      <c r="L227" s="135"/>
      <c r="N227" s="135"/>
      <c r="O227" s="137"/>
    </row>
    <row r="228" spans="3:15" x14ac:dyDescent="0.35">
      <c r="C228" s="29"/>
      <c r="D228" s="87"/>
      <c r="G228" s="35"/>
      <c r="H228" s="138"/>
      <c r="J228" s="35"/>
      <c r="K228" s="135"/>
      <c r="L228" s="135"/>
      <c r="N228" s="135"/>
      <c r="O228" s="137"/>
    </row>
    <row r="229" spans="3:15" x14ac:dyDescent="0.35">
      <c r="C229" s="29"/>
      <c r="D229" s="32"/>
      <c r="G229" s="35"/>
      <c r="H229" s="138"/>
      <c r="J229" s="35"/>
      <c r="K229" s="135"/>
      <c r="L229" s="135"/>
      <c r="N229" s="135"/>
      <c r="O229" s="137"/>
    </row>
    <row r="230" spans="3:15" x14ac:dyDescent="0.35">
      <c r="C230" s="29"/>
      <c r="D230" s="87"/>
      <c r="G230" s="35"/>
      <c r="H230" s="138"/>
      <c r="J230" s="35"/>
      <c r="K230" s="135"/>
      <c r="L230" s="135"/>
      <c r="N230" s="135"/>
      <c r="O230" s="137"/>
    </row>
    <row r="231" spans="3:15" x14ac:dyDescent="0.35">
      <c r="C231" s="29"/>
      <c r="D231" s="32"/>
      <c r="G231" s="35"/>
      <c r="H231" s="138"/>
      <c r="J231" s="35"/>
      <c r="K231" s="135"/>
      <c r="L231" s="135"/>
      <c r="N231" s="135"/>
      <c r="O231" s="137"/>
    </row>
    <row r="232" spans="3:15" x14ac:dyDescent="0.35">
      <c r="C232" s="29"/>
      <c r="D232" s="32"/>
      <c r="G232" s="35"/>
      <c r="H232" s="138"/>
      <c r="J232" s="35"/>
      <c r="K232" s="135"/>
      <c r="L232" s="135"/>
      <c r="N232" s="135"/>
      <c r="O232" s="137"/>
    </row>
    <row r="233" spans="3:15" x14ac:dyDescent="0.35">
      <c r="C233" s="29"/>
      <c r="D233" s="11"/>
      <c r="F233" s="26"/>
      <c r="G233" s="146"/>
      <c r="H233" s="135"/>
      <c r="I233" s="135"/>
      <c r="J233" s="135"/>
      <c r="K233" s="135"/>
      <c r="L233" s="135"/>
      <c r="N233" s="135"/>
      <c r="O233" s="137"/>
    </row>
  </sheetData>
  <pageMargins left="0.7" right="0.7" top="0.75" bottom="0.75" header="0.3" footer="0.3"/>
  <pageSetup scale="3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7"/>
  <sheetViews>
    <sheetView zoomScaleNormal="100" workbookViewId="0">
      <pane xSplit="3" ySplit="9" topLeftCell="D10" activePane="bottomRight" state="frozen"/>
      <selection pane="topRight" activeCell="D1" sqref="D1"/>
      <selection pane="bottomLeft" activeCell="A8" sqref="A8"/>
      <selection pane="bottomRight" activeCell="A5" sqref="A5"/>
    </sheetView>
  </sheetViews>
  <sheetFormatPr defaultColWidth="9.1796875" defaultRowHeight="14.5" x14ac:dyDescent="0.35"/>
  <cols>
    <col min="1" max="1" width="16" style="1" customWidth="1"/>
    <col min="2" max="2" width="9.7265625" style="1" bestFit="1" customWidth="1"/>
    <col min="3" max="3" width="5.54296875" style="1" bestFit="1" customWidth="1"/>
    <col min="4" max="4" width="5" style="1" bestFit="1" customWidth="1"/>
    <col min="5" max="5" width="15.7265625" style="1" bestFit="1" customWidth="1"/>
    <col min="6" max="6" width="6.81640625" style="1" bestFit="1" customWidth="1"/>
    <col min="7" max="7" width="15.453125" style="1" bestFit="1" customWidth="1"/>
    <col min="8" max="8" width="6.54296875" style="1" bestFit="1" customWidth="1"/>
    <col min="9" max="15" width="6.81640625" style="1" bestFit="1" customWidth="1"/>
    <col min="16" max="16" width="6.81640625" style="68" bestFit="1" customWidth="1"/>
    <col min="17" max="22" width="6.81640625" style="1" bestFit="1" customWidth="1"/>
    <col min="23" max="23" width="6.81640625" style="1" hidden="1" customWidth="1"/>
    <col min="24" max="24" width="6.81640625" style="1" bestFit="1" customWidth="1"/>
    <col min="25" max="25" width="10.54296875" style="1" bestFit="1" customWidth="1"/>
    <col min="26" max="26" width="7.1796875" style="68" bestFit="1" customWidth="1"/>
    <col min="27" max="27" width="7.54296875" style="68" bestFit="1" customWidth="1"/>
    <col min="28" max="28" width="14.54296875" style="1" bestFit="1" customWidth="1"/>
    <col min="29" max="16384" width="9.1796875" style="1"/>
  </cols>
  <sheetData>
    <row r="1" spans="1:29" x14ac:dyDescent="0.35">
      <c r="A1" s="1" t="s">
        <v>50</v>
      </c>
    </row>
    <row r="3" spans="1:29" x14ac:dyDescent="0.35">
      <c r="A3" s="203" t="s">
        <v>356</v>
      </c>
    </row>
    <row r="4" spans="1:29" x14ac:dyDescent="0.35">
      <c r="A4" s="203" t="s">
        <v>354</v>
      </c>
    </row>
    <row r="5" spans="1:29" s="203" customFormat="1" x14ac:dyDescent="0.35">
      <c r="A5" s="26" t="s">
        <v>358</v>
      </c>
    </row>
    <row r="6" spans="1:29" s="203" customFormat="1" x14ac:dyDescent="0.35"/>
    <row r="7" spans="1:29" x14ac:dyDescent="0.35">
      <c r="A7" s="1" t="s">
        <v>1</v>
      </c>
      <c r="B7" s="1" t="s">
        <v>10</v>
      </c>
      <c r="C7" s="1" t="s">
        <v>52</v>
      </c>
      <c r="D7" s="1" t="s">
        <v>14</v>
      </c>
      <c r="E7" s="1" t="s">
        <v>15</v>
      </c>
      <c r="F7" s="2" t="s">
        <v>51</v>
      </c>
      <c r="G7" s="1" t="s">
        <v>16</v>
      </c>
      <c r="H7" s="1" t="s">
        <v>3</v>
      </c>
      <c r="I7" s="1" t="s">
        <v>31</v>
      </c>
      <c r="J7" s="1" t="s">
        <v>30</v>
      </c>
      <c r="K7" s="1" t="s">
        <v>18</v>
      </c>
      <c r="L7" s="1" t="s">
        <v>17</v>
      </c>
      <c r="M7" s="1" t="s">
        <v>20</v>
      </c>
      <c r="N7" s="1" t="s">
        <v>19</v>
      </c>
      <c r="O7" s="1" t="s">
        <v>21</v>
      </c>
      <c r="P7" s="68" t="s">
        <v>47</v>
      </c>
      <c r="Q7" s="1" t="s">
        <v>24</v>
      </c>
      <c r="R7" s="1" t="s">
        <v>48</v>
      </c>
      <c r="S7" s="1" t="s">
        <v>4</v>
      </c>
      <c r="T7" s="1" t="s">
        <v>22</v>
      </c>
      <c r="U7" s="1" t="s">
        <v>23</v>
      </c>
      <c r="V7" s="1" t="s">
        <v>25</v>
      </c>
      <c r="W7" s="1" t="s">
        <v>281</v>
      </c>
      <c r="X7" s="1" t="s">
        <v>49</v>
      </c>
      <c r="Y7" s="1" t="s">
        <v>26</v>
      </c>
      <c r="Z7" s="68" t="s">
        <v>123</v>
      </c>
      <c r="AA7" s="68" t="s">
        <v>124</v>
      </c>
      <c r="AB7" s="1" t="s">
        <v>27</v>
      </c>
    </row>
    <row r="8" spans="1:29" x14ac:dyDescent="0.35">
      <c r="E8" s="1" t="s">
        <v>357</v>
      </c>
      <c r="F8" s="2" t="s">
        <v>5</v>
      </c>
      <c r="G8" s="1" t="s">
        <v>28</v>
      </c>
      <c r="H8" s="27" t="s">
        <v>352</v>
      </c>
      <c r="I8" s="1" t="s">
        <v>5</v>
      </c>
      <c r="J8" s="1" t="s">
        <v>5</v>
      </c>
      <c r="K8" s="1" t="s">
        <v>5</v>
      </c>
      <c r="L8" s="1" t="s">
        <v>5</v>
      </c>
      <c r="M8" s="1" t="s">
        <v>5</v>
      </c>
      <c r="N8" s="1" t="s">
        <v>5</v>
      </c>
      <c r="O8" s="1" t="s">
        <v>5</v>
      </c>
      <c r="P8" s="68" t="s">
        <v>5</v>
      </c>
      <c r="Q8" s="1" t="s">
        <v>5</v>
      </c>
      <c r="R8" s="1" t="s">
        <v>5</v>
      </c>
      <c r="S8" s="1" t="s">
        <v>5</v>
      </c>
      <c r="T8" s="1" t="s">
        <v>5</v>
      </c>
      <c r="U8" s="1" t="s">
        <v>5</v>
      </c>
      <c r="V8" s="1" t="s">
        <v>5</v>
      </c>
      <c r="W8" s="1" t="s">
        <v>5</v>
      </c>
      <c r="X8" s="1" t="s">
        <v>5</v>
      </c>
    </row>
    <row r="9" spans="1:29" x14ac:dyDescent="0.35">
      <c r="F9" s="2"/>
    </row>
    <row r="10" spans="1:29" x14ac:dyDescent="0.35">
      <c r="A10" s="1" t="s">
        <v>53</v>
      </c>
      <c r="B10" s="10">
        <v>43475</v>
      </c>
      <c r="C10" s="44">
        <v>0.65833333333333333</v>
      </c>
      <c r="D10" s="68">
        <v>8.01</v>
      </c>
      <c r="E10" s="68">
        <v>647</v>
      </c>
      <c r="F10" s="166">
        <v>0.03</v>
      </c>
      <c r="G10" s="1">
        <v>160</v>
      </c>
      <c r="H10" s="24">
        <v>7.3</v>
      </c>
      <c r="I10" s="185">
        <v>12</v>
      </c>
      <c r="J10" s="185">
        <v>4.5999999999999996</v>
      </c>
      <c r="K10" s="24">
        <v>312</v>
      </c>
      <c r="L10" s="24">
        <v>18</v>
      </c>
      <c r="M10" s="24">
        <v>108</v>
      </c>
      <c r="N10" s="24">
        <v>37</v>
      </c>
      <c r="O10" s="24">
        <v>63</v>
      </c>
      <c r="P10" s="175">
        <v>12.03</v>
      </c>
      <c r="Q10" s="172">
        <v>3.4769999999999999</v>
      </c>
      <c r="R10" s="171">
        <v>0.2</v>
      </c>
      <c r="S10" s="177">
        <v>0.02</v>
      </c>
      <c r="T10" s="177">
        <v>0.02</v>
      </c>
      <c r="U10" s="24">
        <v>4.8000000000000001E-2</v>
      </c>
      <c r="V10" s="177">
        <v>0.04</v>
      </c>
      <c r="W10" s="184">
        <v>0</v>
      </c>
      <c r="X10" s="172">
        <v>1.107</v>
      </c>
      <c r="Z10" s="69">
        <f t="shared" ref="Z10:Z27" si="0">((G10/50)+(I10/35.45)+(J10/62)+(K10/48.03))</f>
        <v>10.108638522393997</v>
      </c>
      <c r="AA10" s="69">
        <f t="shared" ref="AA10:AA27" si="1">((M10/20.04)+(N10/12.16)+(O10/22.99)+(Q10/39.1))</f>
        <v>11.26123242506087</v>
      </c>
      <c r="AB10" s="69">
        <f>ABS((Z10-AA10)/(Z10+AA10)*100)</f>
        <v>5.3935463882815133</v>
      </c>
    </row>
    <row r="11" spans="1:29" x14ac:dyDescent="0.35">
      <c r="A11" s="1" t="s">
        <v>53</v>
      </c>
      <c r="B11" s="10">
        <v>43475</v>
      </c>
      <c r="C11" s="44">
        <v>0.65902777777777777</v>
      </c>
      <c r="D11" s="68">
        <v>7.96</v>
      </c>
      <c r="E11" s="68">
        <v>641</v>
      </c>
      <c r="F11" s="166">
        <v>0.03</v>
      </c>
      <c r="G11" s="1">
        <v>161</v>
      </c>
      <c r="H11" s="24">
        <v>7.1</v>
      </c>
      <c r="I11" s="185">
        <v>11</v>
      </c>
      <c r="J11" s="185">
        <v>4.5</v>
      </c>
      <c r="K11" s="24">
        <v>322</v>
      </c>
      <c r="L11" s="24">
        <v>19</v>
      </c>
      <c r="M11" s="24">
        <v>110</v>
      </c>
      <c r="N11" s="24">
        <v>38</v>
      </c>
      <c r="O11" s="24">
        <v>64</v>
      </c>
      <c r="P11" s="175">
        <v>12.4</v>
      </c>
      <c r="Q11" s="172">
        <v>3.4489999999999998</v>
      </c>
      <c r="R11" s="171">
        <v>0.2</v>
      </c>
      <c r="S11" s="177">
        <v>0.02</v>
      </c>
      <c r="T11" s="177">
        <v>0.02</v>
      </c>
      <c r="U11" s="24">
        <v>4.9000000000000002E-2</v>
      </c>
      <c r="V11" s="177">
        <v>0.04</v>
      </c>
      <c r="W11" s="184">
        <v>0</v>
      </c>
      <c r="X11" s="172">
        <v>1.129</v>
      </c>
      <c r="Z11" s="69">
        <f t="shared" si="0"/>
        <v>10.307020080786709</v>
      </c>
      <c r="AA11" s="69">
        <f t="shared" si="1"/>
        <v>11.486050726519538</v>
      </c>
      <c r="AB11" s="69">
        <f t="shared" ref="AB11:AB27" si="2">ABS((Z11-AA11)/(Z11+AA11)*100)</f>
        <v>5.410117078762271</v>
      </c>
      <c r="AC11" s="9" t="s">
        <v>126</v>
      </c>
    </row>
    <row r="12" spans="1:29" x14ac:dyDescent="0.35">
      <c r="A12" s="1" t="s">
        <v>53</v>
      </c>
      <c r="B12" s="10">
        <v>43475</v>
      </c>
      <c r="C12" s="44">
        <v>0.65972222222222221</v>
      </c>
      <c r="D12" s="68">
        <v>7.94</v>
      </c>
      <c r="E12" s="68">
        <v>638</v>
      </c>
      <c r="F12" s="166">
        <v>0.03</v>
      </c>
      <c r="G12" s="1">
        <v>165</v>
      </c>
      <c r="H12" s="24">
        <v>7.1</v>
      </c>
      <c r="I12" s="185">
        <v>11</v>
      </c>
      <c r="J12" s="185">
        <v>4.7</v>
      </c>
      <c r="K12" s="24">
        <v>321</v>
      </c>
      <c r="L12" s="24">
        <v>18</v>
      </c>
      <c r="M12" s="24">
        <v>107</v>
      </c>
      <c r="N12" s="24">
        <v>36</v>
      </c>
      <c r="O12" s="24">
        <v>64</v>
      </c>
      <c r="P12" s="175">
        <v>12.19</v>
      </c>
      <c r="Q12" s="172">
        <v>3.423</v>
      </c>
      <c r="R12" s="171">
        <v>0.2</v>
      </c>
      <c r="S12" s="177">
        <v>0.02</v>
      </c>
      <c r="T12" s="177">
        <v>0.02</v>
      </c>
      <c r="U12" s="24">
        <v>4.9000000000000002E-2</v>
      </c>
      <c r="V12" s="177">
        <v>0.04</v>
      </c>
      <c r="W12" s="184">
        <v>0</v>
      </c>
      <c r="X12" s="172">
        <v>1.1120000000000001</v>
      </c>
      <c r="Z12" s="69">
        <f t="shared" si="0"/>
        <v>10.369425566605383</v>
      </c>
      <c r="AA12" s="69">
        <f t="shared" si="1"/>
        <v>11.171211481869788</v>
      </c>
      <c r="AB12" s="69">
        <f t="shared" si="2"/>
        <v>3.7222014997052404</v>
      </c>
    </row>
    <row r="13" spans="1:29" x14ac:dyDescent="0.35">
      <c r="A13" s="1">
        <v>106</v>
      </c>
      <c r="B13" s="10">
        <v>43475</v>
      </c>
      <c r="C13" s="44">
        <v>0.58680555555555558</v>
      </c>
      <c r="D13" s="68">
        <v>7.08</v>
      </c>
      <c r="E13" s="68">
        <v>1480</v>
      </c>
      <c r="F13" s="8">
        <v>0.03</v>
      </c>
      <c r="G13" s="1">
        <v>271</v>
      </c>
      <c r="H13" s="1">
        <v>220</v>
      </c>
      <c r="I13" s="1">
        <v>32</v>
      </c>
      <c r="J13" s="185">
        <v>25</v>
      </c>
      <c r="K13" s="1">
        <v>539</v>
      </c>
      <c r="L13" s="24">
        <v>23</v>
      </c>
      <c r="M13" s="24">
        <v>120</v>
      </c>
      <c r="N13" s="24">
        <v>46</v>
      </c>
      <c r="O13" s="24">
        <v>203</v>
      </c>
      <c r="P13" s="175">
        <v>23.96</v>
      </c>
      <c r="Q13" s="172">
        <v>6.22</v>
      </c>
      <c r="R13" s="171">
        <v>0.2</v>
      </c>
      <c r="S13" s="24">
        <v>2.8000000000000001E-2</v>
      </c>
      <c r="T13" s="177">
        <v>0.02</v>
      </c>
      <c r="U13" s="24">
        <v>3.2000000000000001E-2</v>
      </c>
      <c r="V13" s="177">
        <v>0.04</v>
      </c>
      <c r="W13" s="174">
        <v>0.188</v>
      </c>
      <c r="X13" s="172">
        <v>1.2290000000000001</v>
      </c>
      <c r="Z13" s="69">
        <f t="shared" si="0"/>
        <v>17.948058458352591</v>
      </c>
      <c r="AA13" s="69">
        <f t="shared" si="1"/>
        <v>18.759924027631822</v>
      </c>
      <c r="AB13" s="69">
        <f t="shared" si="2"/>
        <v>2.2116867076233673</v>
      </c>
    </row>
    <row r="14" spans="1:29" x14ac:dyDescent="0.35">
      <c r="A14" s="1">
        <v>106</v>
      </c>
      <c r="B14" s="10">
        <v>43475</v>
      </c>
      <c r="C14" s="44">
        <v>0.58750000000000002</v>
      </c>
      <c r="D14" s="68">
        <v>7.07</v>
      </c>
      <c r="E14" s="68">
        <v>1477</v>
      </c>
      <c r="F14" s="8">
        <v>0.03</v>
      </c>
      <c r="G14" s="1">
        <v>270</v>
      </c>
      <c r="H14" s="1">
        <v>210</v>
      </c>
      <c r="I14" s="1">
        <v>32</v>
      </c>
      <c r="J14" s="185">
        <v>26</v>
      </c>
      <c r="K14" s="1">
        <v>542</v>
      </c>
      <c r="L14" s="24">
        <v>27</v>
      </c>
      <c r="M14" s="24">
        <v>120</v>
      </c>
      <c r="N14" s="24">
        <v>45</v>
      </c>
      <c r="O14" s="24">
        <v>200</v>
      </c>
      <c r="P14" s="175">
        <v>23.82</v>
      </c>
      <c r="Q14" s="172">
        <v>6.27</v>
      </c>
      <c r="R14" s="171">
        <v>0.2</v>
      </c>
      <c r="S14" s="24">
        <v>3.3000000000000002E-2</v>
      </c>
      <c r="T14" s="81">
        <v>0.02</v>
      </c>
      <c r="U14" s="24">
        <v>3.5999999999999997E-2</v>
      </c>
      <c r="V14" s="177">
        <v>0.04</v>
      </c>
      <c r="W14" s="174">
        <v>0.19900000000000001</v>
      </c>
      <c r="X14" s="172">
        <v>1.226</v>
      </c>
      <c r="Z14" s="69">
        <f t="shared" si="0"/>
        <v>18.006648452509467</v>
      </c>
      <c r="AA14" s="69">
        <f t="shared" si="1"/>
        <v>18.548474439853749</v>
      </c>
      <c r="AB14" s="69">
        <f t="shared" si="2"/>
        <v>1.4822162927469622</v>
      </c>
      <c r="AC14" s="9" t="s">
        <v>104</v>
      </c>
    </row>
    <row r="15" spans="1:29" x14ac:dyDescent="0.35">
      <c r="A15" s="1">
        <v>106</v>
      </c>
      <c r="B15" s="10">
        <v>43475</v>
      </c>
      <c r="C15" s="44">
        <v>0.58819444444444446</v>
      </c>
      <c r="D15" s="68">
        <v>7.1</v>
      </c>
      <c r="E15" s="68">
        <v>1434</v>
      </c>
      <c r="F15" s="8">
        <v>0.03</v>
      </c>
      <c r="G15" s="1">
        <v>265</v>
      </c>
      <c r="H15" s="1">
        <v>210</v>
      </c>
      <c r="I15" s="1">
        <v>32</v>
      </c>
      <c r="J15" s="185">
        <v>25</v>
      </c>
      <c r="K15" s="1">
        <v>543</v>
      </c>
      <c r="L15" s="24">
        <v>25</v>
      </c>
      <c r="M15" s="1">
        <v>120</v>
      </c>
      <c r="N15" s="1">
        <v>46</v>
      </c>
      <c r="O15" s="1">
        <v>204</v>
      </c>
      <c r="P15" s="175">
        <v>24.1</v>
      </c>
      <c r="Q15" s="172">
        <v>6.8869999999999996</v>
      </c>
      <c r="R15" s="171">
        <v>0.2</v>
      </c>
      <c r="S15" s="24">
        <v>3.4000000000000002E-2</v>
      </c>
      <c r="T15" s="177">
        <v>0.02</v>
      </c>
      <c r="U15" s="24">
        <v>3.5000000000000003E-2</v>
      </c>
      <c r="V15" s="177">
        <v>0.04</v>
      </c>
      <c r="W15" s="174">
        <v>0.19700000000000001</v>
      </c>
      <c r="X15" s="172">
        <v>1.3029999999999999</v>
      </c>
      <c r="Z15" s="69">
        <f t="shared" si="0"/>
        <v>17.91133974088434</v>
      </c>
      <c r="AA15" s="69">
        <f t="shared" si="1"/>
        <v>18.820480023845008</v>
      </c>
      <c r="AB15" s="69">
        <f t="shared" si="2"/>
        <v>2.4750755306537857</v>
      </c>
    </row>
    <row r="16" spans="1:29" x14ac:dyDescent="0.35">
      <c r="A16" s="1">
        <v>110</v>
      </c>
      <c r="B16" s="10">
        <v>43475</v>
      </c>
      <c r="C16" s="44">
        <v>0.61388888888888882</v>
      </c>
      <c r="D16" s="68">
        <v>7.08</v>
      </c>
      <c r="E16" s="68">
        <v>1451</v>
      </c>
      <c r="F16" s="8">
        <v>0.03</v>
      </c>
      <c r="G16" s="1">
        <v>316</v>
      </c>
      <c r="H16" s="1">
        <v>280</v>
      </c>
      <c r="I16" s="185">
        <v>48</v>
      </c>
      <c r="J16" s="185">
        <v>22</v>
      </c>
      <c r="K16" s="1">
        <v>620</v>
      </c>
      <c r="L16" s="24">
        <v>30</v>
      </c>
      <c r="M16" s="24">
        <v>151</v>
      </c>
      <c r="N16" s="24">
        <v>62</v>
      </c>
      <c r="O16" s="24">
        <v>215</v>
      </c>
      <c r="P16" s="175">
        <v>23.28</v>
      </c>
      <c r="Q16" s="172">
        <v>7.2850000000000001</v>
      </c>
      <c r="R16" s="171">
        <v>0.2</v>
      </c>
      <c r="S16" s="24">
        <v>4.9000000000000002E-2</v>
      </c>
      <c r="T16" s="177">
        <v>0.02</v>
      </c>
      <c r="U16" s="24">
        <v>5.1999999999999998E-2</v>
      </c>
      <c r="V16" s="177">
        <v>0.04</v>
      </c>
      <c r="W16" s="174">
        <v>0.26800000000000002</v>
      </c>
      <c r="X16" s="172">
        <v>1.589</v>
      </c>
      <c r="Z16" s="69">
        <f t="shared" si="0"/>
        <v>20.93745724822012</v>
      </c>
      <c r="AA16" s="69">
        <f t="shared" si="1"/>
        <v>22.171823612808488</v>
      </c>
      <c r="AB16" s="69">
        <f t="shared" si="2"/>
        <v>2.8633425098590601</v>
      </c>
    </row>
    <row r="17" spans="1:29" x14ac:dyDescent="0.35">
      <c r="A17" s="1">
        <v>110</v>
      </c>
      <c r="B17" s="10">
        <v>43475</v>
      </c>
      <c r="C17" s="44">
        <v>0.61458333333333337</v>
      </c>
      <c r="D17" s="68">
        <v>7.09</v>
      </c>
      <c r="E17" s="68">
        <v>1474</v>
      </c>
      <c r="F17" s="8">
        <v>0.03</v>
      </c>
      <c r="G17" s="1">
        <v>317</v>
      </c>
      <c r="H17" s="1">
        <v>280</v>
      </c>
      <c r="I17" s="185">
        <v>47</v>
      </c>
      <c r="J17" s="185">
        <v>22</v>
      </c>
      <c r="K17" s="1">
        <v>617</v>
      </c>
      <c r="L17" s="24">
        <v>28</v>
      </c>
      <c r="M17" s="24">
        <v>152</v>
      </c>
      <c r="N17" s="24">
        <v>63</v>
      </c>
      <c r="O17" s="24">
        <v>214</v>
      </c>
      <c r="P17" s="175">
        <v>23.13</v>
      </c>
      <c r="Q17" s="172">
        <v>6.9640000000000004</v>
      </c>
      <c r="R17" s="171">
        <v>0.2</v>
      </c>
      <c r="S17" s="24">
        <v>4.7E-2</v>
      </c>
      <c r="T17" s="177">
        <v>0.02</v>
      </c>
      <c r="U17" s="24">
        <v>4.4999999999999998E-2</v>
      </c>
      <c r="V17" s="177">
        <v>0.04</v>
      </c>
      <c r="W17" s="174">
        <v>0.27700000000000002</v>
      </c>
      <c r="X17" s="172">
        <v>1.5209999999999999</v>
      </c>
      <c r="Z17" s="69">
        <f t="shared" si="0"/>
        <v>20.866787541610446</v>
      </c>
      <c r="AA17" s="69">
        <f t="shared" si="1"/>
        <v>22.252253763160702</v>
      </c>
      <c r="AB17" s="69">
        <f t="shared" si="2"/>
        <v>3.2131192615290218</v>
      </c>
      <c r="AC17" s="9" t="s">
        <v>105</v>
      </c>
    </row>
    <row r="18" spans="1:29" x14ac:dyDescent="0.35">
      <c r="A18" s="1">
        <v>110</v>
      </c>
      <c r="B18" s="10">
        <v>43475</v>
      </c>
      <c r="C18" s="44">
        <v>0.61527777777777781</v>
      </c>
      <c r="D18" s="68">
        <v>7.08</v>
      </c>
      <c r="E18" s="68">
        <v>1506</v>
      </c>
      <c r="F18" s="8">
        <v>0.03</v>
      </c>
      <c r="G18" s="1">
        <v>320</v>
      </c>
      <c r="H18" s="1">
        <v>280</v>
      </c>
      <c r="I18" s="185">
        <v>47</v>
      </c>
      <c r="J18" s="185">
        <v>22</v>
      </c>
      <c r="K18" s="1">
        <v>621</v>
      </c>
      <c r="L18" s="24">
        <v>28</v>
      </c>
      <c r="M18" s="24">
        <v>152</v>
      </c>
      <c r="N18" s="24">
        <v>62</v>
      </c>
      <c r="O18" s="24">
        <v>213</v>
      </c>
      <c r="P18" s="175">
        <v>23.27</v>
      </c>
      <c r="Q18" s="172">
        <v>6.9880000000000004</v>
      </c>
      <c r="R18" s="171">
        <v>0.2</v>
      </c>
      <c r="S18" s="24">
        <v>4.7E-2</v>
      </c>
      <c r="T18" s="177">
        <v>0.02</v>
      </c>
      <c r="U18" s="24">
        <v>4.3999999999999997E-2</v>
      </c>
      <c r="V18" s="177">
        <v>0.04</v>
      </c>
      <c r="W18" s="174">
        <v>0.26</v>
      </c>
      <c r="X18" s="172">
        <v>1.5620000000000001</v>
      </c>
      <c r="Z18" s="69">
        <f t="shared" si="0"/>
        <v>21.010068824142195</v>
      </c>
      <c r="AA18" s="69">
        <f t="shared" si="1"/>
        <v>22.12713355911335</v>
      </c>
      <c r="AB18" s="69">
        <f t="shared" si="2"/>
        <v>2.5895623110801531</v>
      </c>
    </row>
    <row r="19" spans="1:29" x14ac:dyDescent="0.35">
      <c r="A19" s="1">
        <v>120</v>
      </c>
      <c r="B19" s="10">
        <v>43475</v>
      </c>
      <c r="C19" s="44">
        <v>0.51944444444444449</v>
      </c>
      <c r="D19" s="68">
        <v>7.09</v>
      </c>
      <c r="E19" s="68">
        <v>1938</v>
      </c>
      <c r="F19" s="8">
        <v>0.03</v>
      </c>
      <c r="G19" s="1">
        <v>296</v>
      </c>
      <c r="H19" s="1">
        <v>670</v>
      </c>
      <c r="I19" s="1">
        <v>53</v>
      </c>
      <c r="J19" s="194">
        <v>2.5</v>
      </c>
      <c r="K19" s="1">
        <v>786</v>
      </c>
      <c r="L19" s="24">
        <v>29</v>
      </c>
      <c r="M19" s="24">
        <v>182</v>
      </c>
      <c r="N19" s="24">
        <v>35</v>
      </c>
      <c r="O19" s="24">
        <v>314</v>
      </c>
      <c r="P19" s="175">
        <v>16.54</v>
      </c>
      <c r="Q19" s="172">
        <v>7.4219999999999997</v>
      </c>
      <c r="R19" s="171">
        <v>0.2</v>
      </c>
      <c r="S19" s="174">
        <v>0.499</v>
      </c>
      <c r="T19" s="174">
        <v>0.129</v>
      </c>
      <c r="U19" s="24">
        <v>0.97</v>
      </c>
      <c r="V19" s="174">
        <v>0.104</v>
      </c>
      <c r="W19" s="174">
        <v>0.63100000000000001</v>
      </c>
      <c r="X19" s="172">
        <v>1.88</v>
      </c>
      <c r="Z19" s="69">
        <f t="shared" si="0"/>
        <v>23.820158067809832</v>
      </c>
      <c r="AA19" s="69">
        <f t="shared" si="1"/>
        <v>25.808058995602053</v>
      </c>
      <c r="AB19" s="69">
        <f t="shared" si="2"/>
        <v>4.0055860262967018</v>
      </c>
    </row>
    <row r="20" spans="1:29" x14ac:dyDescent="0.35">
      <c r="A20" s="1">
        <v>120</v>
      </c>
      <c r="B20" s="10">
        <v>43475</v>
      </c>
      <c r="C20" s="44">
        <v>0.52083333333333337</v>
      </c>
      <c r="D20" s="68">
        <v>7.12</v>
      </c>
      <c r="E20" s="68">
        <v>1947</v>
      </c>
      <c r="F20" s="1">
        <v>0.05</v>
      </c>
      <c r="G20" s="1">
        <v>296</v>
      </c>
      <c r="H20" s="1">
        <v>670</v>
      </c>
      <c r="I20" s="1">
        <v>53</v>
      </c>
      <c r="J20" s="194">
        <v>2.5</v>
      </c>
      <c r="K20" s="1">
        <v>791</v>
      </c>
      <c r="L20" s="24">
        <v>27</v>
      </c>
      <c r="M20" s="24">
        <v>186</v>
      </c>
      <c r="N20" s="24">
        <v>36</v>
      </c>
      <c r="O20" s="24">
        <v>318</v>
      </c>
      <c r="P20" s="175">
        <v>16.760000000000002</v>
      </c>
      <c r="Q20" s="172">
        <v>7.5019999999999998</v>
      </c>
      <c r="R20" s="171">
        <v>0.2</v>
      </c>
      <c r="S20" s="174">
        <v>0.50900000000000001</v>
      </c>
      <c r="T20" s="174">
        <v>0.13900000000000001</v>
      </c>
      <c r="U20" s="172">
        <v>1</v>
      </c>
      <c r="V20" s="174">
        <v>0.107</v>
      </c>
      <c r="W20" s="11">
        <v>0.627</v>
      </c>
      <c r="X20" s="172">
        <v>1.8340000000000001</v>
      </c>
      <c r="Z20" s="69">
        <f t="shared" si="0"/>
        <v>23.924259670974518</v>
      </c>
      <c r="AA20" s="69">
        <f t="shared" si="1"/>
        <v>26.265931362651237</v>
      </c>
      <c r="AB20" s="69">
        <f t="shared" si="2"/>
        <v>4.665596291729349</v>
      </c>
      <c r="AC20" s="9" t="s">
        <v>127</v>
      </c>
    </row>
    <row r="21" spans="1:29" x14ac:dyDescent="0.35">
      <c r="A21" s="1">
        <v>120</v>
      </c>
      <c r="B21" s="10">
        <v>43475</v>
      </c>
      <c r="C21" s="44">
        <v>0.5229166666666667</v>
      </c>
      <c r="D21" s="68">
        <v>7.13</v>
      </c>
      <c r="E21" s="68">
        <v>1953</v>
      </c>
      <c r="F21" s="1">
        <v>0.08</v>
      </c>
      <c r="G21" s="1">
        <v>294</v>
      </c>
      <c r="H21" s="1">
        <v>660</v>
      </c>
      <c r="I21" s="1">
        <v>54</v>
      </c>
      <c r="J21" s="194">
        <v>2.5</v>
      </c>
      <c r="K21" s="1">
        <v>795</v>
      </c>
      <c r="L21" s="24">
        <v>27</v>
      </c>
      <c r="M21" s="24">
        <v>182</v>
      </c>
      <c r="N21" s="24">
        <v>36</v>
      </c>
      <c r="O21" s="24">
        <v>314</v>
      </c>
      <c r="P21" s="175">
        <v>16.440000000000001</v>
      </c>
      <c r="Q21" s="172">
        <v>7.6820000000000004</v>
      </c>
      <c r="R21" s="171">
        <v>0.2</v>
      </c>
      <c r="S21" s="174">
        <v>0.5</v>
      </c>
      <c r="T21" s="174">
        <v>0.13700000000000001</v>
      </c>
      <c r="U21" s="172">
        <v>0.995</v>
      </c>
      <c r="V21" s="174">
        <v>0.10299999999999999</v>
      </c>
      <c r="W21" s="174">
        <v>0.625</v>
      </c>
      <c r="X21" s="172">
        <v>1.895</v>
      </c>
      <c r="Z21" s="69">
        <f t="shared" si="0"/>
        <v>23.995749698217132</v>
      </c>
      <c r="AA21" s="69">
        <f t="shared" si="1"/>
        <v>25.896945454075599</v>
      </c>
      <c r="AB21" s="69">
        <f t="shared" si="2"/>
        <v>3.8105693630204716</v>
      </c>
    </row>
    <row r="22" spans="1:29" x14ac:dyDescent="0.35">
      <c r="A22" s="1">
        <v>121</v>
      </c>
      <c r="B22" s="10">
        <v>43475</v>
      </c>
      <c r="C22" s="44">
        <v>0.47847222222222219</v>
      </c>
      <c r="D22" s="68">
        <v>6.69</v>
      </c>
      <c r="E22" s="68">
        <v>1806</v>
      </c>
      <c r="F22" s="163">
        <v>0.3</v>
      </c>
      <c r="G22" s="1">
        <v>268</v>
      </c>
      <c r="H22" s="1">
        <v>780</v>
      </c>
      <c r="I22" s="1">
        <v>41</v>
      </c>
      <c r="J22" s="194">
        <v>2.5</v>
      </c>
      <c r="K22" s="1">
        <v>678</v>
      </c>
      <c r="L22" s="24">
        <v>24</v>
      </c>
      <c r="M22" s="24">
        <v>175</v>
      </c>
      <c r="N22" s="24">
        <v>36</v>
      </c>
      <c r="O22" s="24">
        <v>243</v>
      </c>
      <c r="P22" s="175">
        <v>15.77</v>
      </c>
      <c r="Q22" s="172">
        <v>6.4980000000000002</v>
      </c>
      <c r="R22" s="171">
        <v>0.2</v>
      </c>
      <c r="S22" s="174">
        <v>0.314</v>
      </c>
      <c r="T22" s="174">
        <v>0.372</v>
      </c>
      <c r="U22" s="172">
        <v>1.6659999999999999</v>
      </c>
      <c r="V22" s="174">
        <v>0.19400000000000001</v>
      </c>
      <c r="W22" s="174">
        <v>0.73199999999999998</v>
      </c>
      <c r="X22" s="172">
        <v>1.5760000000000001</v>
      </c>
      <c r="Z22" s="69">
        <f t="shared" si="0"/>
        <v>20.673058502922228</v>
      </c>
      <c r="AA22" s="69">
        <f t="shared" si="1"/>
        <v>22.429063466398674</v>
      </c>
      <c r="AB22" s="69">
        <f t="shared" si="2"/>
        <v>4.0740568752655149</v>
      </c>
    </row>
    <row r="23" spans="1:29" x14ac:dyDescent="0.35">
      <c r="A23" s="1">
        <v>121</v>
      </c>
      <c r="B23" s="10">
        <v>43475</v>
      </c>
      <c r="C23" s="44">
        <v>0.47916666666666669</v>
      </c>
      <c r="D23" s="68">
        <v>6.7</v>
      </c>
      <c r="E23" s="68">
        <v>1768</v>
      </c>
      <c r="F23" s="1">
        <v>0.28999999999999998</v>
      </c>
      <c r="G23" s="1">
        <v>265</v>
      </c>
      <c r="H23" s="1">
        <v>740</v>
      </c>
      <c r="I23" s="1">
        <v>42</v>
      </c>
      <c r="J23" s="194">
        <v>2.5</v>
      </c>
      <c r="K23" s="1">
        <v>684</v>
      </c>
      <c r="L23" s="24">
        <v>25</v>
      </c>
      <c r="M23" s="24">
        <v>173</v>
      </c>
      <c r="N23" s="24">
        <v>37</v>
      </c>
      <c r="O23" s="24">
        <v>243</v>
      </c>
      <c r="P23" s="175">
        <v>15.9</v>
      </c>
      <c r="Q23" s="172">
        <v>6.476</v>
      </c>
      <c r="R23" s="171">
        <v>0.2</v>
      </c>
      <c r="S23" s="174">
        <v>0.311</v>
      </c>
      <c r="T23" s="174">
        <v>0.36799999999999999</v>
      </c>
      <c r="U23" s="172">
        <v>1.647</v>
      </c>
      <c r="V23" s="174">
        <v>0.186</v>
      </c>
      <c r="W23" s="174">
        <v>0.71299999999999997</v>
      </c>
      <c r="X23" s="172">
        <v>1.5429999999999999</v>
      </c>
      <c r="Z23" s="69">
        <f t="shared" si="0"/>
        <v>20.766189171430717</v>
      </c>
      <c r="AA23" s="69">
        <f t="shared" si="1"/>
        <v>22.410937249455792</v>
      </c>
      <c r="AB23" s="69">
        <f t="shared" si="2"/>
        <v>3.8093041718252092</v>
      </c>
      <c r="AC23" s="9" t="s">
        <v>128</v>
      </c>
    </row>
    <row r="24" spans="1:29" x14ac:dyDescent="0.35">
      <c r="A24" s="1">
        <v>121</v>
      </c>
      <c r="B24" s="10">
        <v>43475</v>
      </c>
      <c r="C24" s="44">
        <v>0.47986111111111113</v>
      </c>
      <c r="D24" s="68">
        <v>6.68</v>
      </c>
      <c r="E24" s="68">
        <v>1745</v>
      </c>
      <c r="F24" s="1">
        <v>0.34</v>
      </c>
      <c r="G24" s="1">
        <v>264</v>
      </c>
      <c r="H24" s="1">
        <v>750</v>
      </c>
      <c r="I24" s="1">
        <v>42</v>
      </c>
      <c r="J24" s="194">
        <v>2.5</v>
      </c>
      <c r="K24" s="1">
        <v>690</v>
      </c>
      <c r="L24" s="24">
        <v>24</v>
      </c>
      <c r="M24" s="24">
        <v>174</v>
      </c>
      <c r="N24" s="24">
        <v>36</v>
      </c>
      <c r="O24" s="24">
        <v>243</v>
      </c>
      <c r="P24" s="175">
        <v>15.96</v>
      </c>
      <c r="Q24" s="172">
        <v>6.4790000000000001</v>
      </c>
      <c r="R24" s="171">
        <v>0.2</v>
      </c>
      <c r="S24" s="174">
        <v>0.3</v>
      </c>
      <c r="T24" s="174">
        <v>0.35199999999999998</v>
      </c>
      <c r="U24" s="172">
        <v>1.617</v>
      </c>
      <c r="V24" s="24">
        <v>0.18</v>
      </c>
      <c r="W24" s="174">
        <v>0.70699999999999996</v>
      </c>
      <c r="X24" s="172">
        <v>1.5449999999999999</v>
      </c>
      <c r="Z24" s="69">
        <f t="shared" si="0"/>
        <v>20.871111095228343</v>
      </c>
      <c r="AA24" s="69">
        <f t="shared" si="1"/>
        <v>22.378677333294039</v>
      </c>
      <c r="AB24" s="69">
        <f t="shared" si="2"/>
        <v>3.4857193360776897</v>
      </c>
    </row>
    <row r="25" spans="1:29" x14ac:dyDescent="0.35">
      <c r="A25" s="1" t="s">
        <v>103</v>
      </c>
      <c r="B25" s="10">
        <v>43479</v>
      </c>
      <c r="C25" s="44">
        <v>0.47152777777777777</v>
      </c>
      <c r="D25" s="68">
        <v>7.31</v>
      </c>
      <c r="E25" s="68">
        <v>2220</v>
      </c>
      <c r="F25" s="8">
        <v>0.03</v>
      </c>
      <c r="G25" s="1">
        <v>245</v>
      </c>
      <c r="H25" s="1">
        <v>87</v>
      </c>
      <c r="I25" s="1">
        <v>91</v>
      </c>
      <c r="J25" s="19">
        <v>17</v>
      </c>
      <c r="K25" s="1">
        <v>972</v>
      </c>
      <c r="L25" s="24">
        <v>22</v>
      </c>
      <c r="M25" s="65">
        <v>158</v>
      </c>
      <c r="N25" s="49">
        <v>43.62</v>
      </c>
      <c r="O25" s="49">
        <v>401.9</v>
      </c>
      <c r="P25" s="175">
        <v>23.53</v>
      </c>
      <c r="Q25" s="172">
        <v>8.0399999999999991</v>
      </c>
      <c r="R25" s="171">
        <v>0.2</v>
      </c>
      <c r="S25" s="177">
        <v>0.02</v>
      </c>
      <c r="T25" s="177">
        <v>0.02</v>
      </c>
      <c r="U25" s="174">
        <v>0.45600000000000002</v>
      </c>
      <c r="V25" s="177">
        <v>0.04</v>
      </c>
      <c r="W25" s="24">
        <v>7.4999999999999997E-2</v>
      </c>
      <c r="X25" s="172">
        <v>1.5029999999999999</v>
      </c>
      <c r="Z25" s="69">
        <f t="shared" si="0"/>
        <v>27.978540972290883</v>
      </c>
      <c r="AA25" s="69">
        <f t="shared" si="1"/>
        <v>29.158542889632592</v>
      </c>
      <c r="AB25" s="69">
        <f t="shared" si="2"/>
        <v>2.0652120087074834</v>
      </c>
    </row>
    <row r="26" spans="1:29" x14ac:dyDescent="0.35">
      <c r="A26" s="43" t="s">
        <v>103</v>
      </c>
      <c r="B26" s="10">
        <v>43479</v>
      </c>
      <c r="C26" s="44">
        <v>0.47222222222222227</v>
      </c>
      <c r="D26" s="68">
        <v>7.31</v>
      </c>
      <c r="E26" s="68">
        <v>2229</v>
      </c>
      <c r="F26" s="8">
        <v>0.03</v>
      </c>
      <c r="G26" s="1">
        <v>242</v>
      </c>
      <c r="H26" s="1">
        <v>87</v>
      </c>
      <c r="I26" s="1">
        <v>92</v>
      </c>
      <c r="J26" s="19">
        <v>16</v>
      </c>
      <c r="K26" s="1">
        <v>969</v>
      </c>
      <c r="L26" s="24">
        <v>23</v>
      </c>
      <c r="M26" s="49">
        <v>160.6</v>
      </c>
      <c r="N26" s="49">
        <v>45.65</v>
      </c>
      <c r="O26" s="49">
        <v>403.4</v>
      </c>
      <c r="P26" s="175">
        <v>23.86</v>
      </c>
      <c r="Q26" s="172">
        <v>9.0299999999999994</v>
      </c>
      <c r="R26" s="171">
        <v>0.2</v>
      </c>
      <c r="S26" s="177">
        <v>0.02</v>
      </c>
      <c r="T26" s="177">
        <v>0.02</v>
      </c>
      <c r="U26" s="174">
        <v>0.44800000000000001</v>
      </c>
      <c r="V26" s="177">
        <v>0.04</v>
      </c>
      <c r="W26" s="24">
        <v>6.3E-2</v>
      </c>
      <c r="X26" s="172">
        <v>1.8460000000000001</v>
      </c>
      <c r="Z26" s="69">
        <f t="shared" si="0"/>
        <v>27.868159722844862</v>
      </c>
      <c r="AA26" s="69">
        <f t="shared" si="1"/>
        <v>29.545789650188645</v>
      </c>
      <c r="AB26" s="69">
        <f t="shared" si="2"/>
        <v>2.9219901185403243</v>
      </c>
      <c r="AC26" s="9" t="s">
        <v>129</v>
      </c>
    </row>
    <row r="27" spans="1:29" x14ac:dyDescent="0.35">
      <c r="A27" s="43" t="s">
        <v>103</v>
      </c>
      <c r="B27" s="10">
        <v>43479</v>
      </c>
      <c r="C27" s="44">
        <v>0.47291666666666665</v>
      </c>
      <c r="D27" s="68">
        <v>7.32</v>
      </c>
      <c r="E27" s="68">
        <v>2300</v>
      </c>
      <c r="F27" s="8">
        <v>0.03</v>
      </c>
      <c r="G27" s="1">
        <v>244</v>
      </c>
      <c r="H27" s="1">
        <v>83</v>
      </c>
      <c r="I27" s="1">
        <v>91</v>
      </c>
      <c r="J27" s="19">
        <v>16</v>
      </c>
      <c r="K27" s="1">
        <v>942</v>
      </c>
      <c r="L27" s="24">
        <v>22</v>
      </c>
      <c r="M27" s="49">
        <v>160.69999999999999</v>
      </c>
      <c r="N27" s="49">
        <v>44.47</v>
      </c>
      <c r="O27" s="49">
        <v>401.6</v>
      </c>
      <c r="P27" s="175">
        <v>23.75</v>
      </c>
      <c r="Q27" s="172">
        <v>8.3460000000000001</v>
      </c>
      <c r="R27" s="171">
        <v>0.2</v>
      </c>
      <c r="S27" s="177">
        <v>0.02</v>
      </c>
      <c r="T27" s="177">
        <v>0.02</v>
      </c>
      <c r="U27" s="174">
        <v>0.42399999999999999</v>
      </c>
      <c r="V27" s="177">
        <v>0.04</v>
      </c>
      <c r="W27" s="24">
        <v>6.8000000000000005E-2</v>
      </c>
      <c r="X27" s="172">
        <v>1.657</v>
      </c>
      <c r="Z27" s="69">
        <f t="shared" si="0"/>
        <v>27.317802321044681</v>
      </c>
      <c r="AA27" s="69">
        <f t="shared" si="1"/>
        <v>29.357951679495617</v>
      </c>
      <c r="AB27" s="69">
        <f t="shared" si="2"/>
        <v>3.5996863110660819</v>
      </c>
    </row>
    <row r="28" spans="1:29" x14ac:dyDescent="0.35">
      <c r="M28" s="68"/>
      <c r="N28" s="68"/>
      <c r="O28" s="68"/>
      <c r="P28" s="165"/>
      <c r="R28" s="163"/>
      <c r="T28" s="176"/>
      <c r="V28" s="176"/>
      <c r="X28" s="170"/>
    </row>
    <row r="29" spans="1:29" s="68" customFormat="1" x14ac:dyDescent="0.35">
      <c r="A29" s="68" t="s">
        <v>53</v>
      </c>
      <c r="B29" s="10">
        <v>43531</v>
      </c>
      <c r="C29" s="44">
        <v>0.54999999999999993</v>
      </c>
      <c r="D29" s="68">
        <v>8.1300000000000008</v>
      </c>
      <c r="E29" s="68">
        <v>962</v>
      </c>
      <c r="F29" s="69" t="s">
        <v>125</v>
      </c>
      <c r="G29" s="68">
        <v>162</v>
      </c>
      <c r="H29" s="65">
        <v>7.5</v>
      </c>
      <c r="I29" s="68">
        <v>15</v>
      </c>
      <c r="J29" s="169">
        <v>0.5</v>
      </c>
      <c r="K29" s="65">
        <v>356</v>
      </c>
      <c r="L29" s="65">
        <v>14</v>
      </c>
      <c r="M29" s="65">
        <v>103</v>
      </c>
      <c r="N29" s="65">
        <v>39</v>
      </c>
      <c r="O29" s="65">
        <v>72</v>
      </c>
      <c r="P29" s="175">
        <v>12</v>
      </c>
      <c r="Q29" s="65">
        <v>4.0999999999999996</v>
      </c>
      <c r="R29" s="171">
        <v>0.2</v>
      </c>
      <c r="S29" s="177">
        <v>0.02</v>
      </c>
      <c r="T29" s="177">
        <v>0.02</v>
      </c>
      <c r="U29" s="30">
        <v>0.05</v>
      </c>
      <c r="V29" s="177">
        <v>0.04</v>
      </c>
      <c r="W29" s="23"/>
      <c r="X29" s="172">
        <v>1.0349999999999999</v>
      </c>
      <c r="Z29" s="69">
        <f t="shared" ref="Z29:Z31" si="3">((G29/50)+(I29/35.45)+(J29/62)+(K29/48.03))</f>
        <v>11.083229832117777</v>
      </c>
      <c r="AA29" s="69">
        <f t="shared" ref="AA29:AA31" si="4">((M29/20.04)+(N29/12.16)+(O29/22.99)+(Q29/39.1))</f>
        <v>11.583613169257703</v>
      </c>
      <c r="AB29" s="69">
        <f>ABS((Z29-AA29)/(Z29+AA29)*100)</f>
        <v>2.2075563725815788</v>
      </c>
    </row>
    <row r="30" spans="1:29" s="68" customFormat="1" x14ac:dyDescent="0.35">
      <c r="A30" s="68" t="s">
        <v>53</v>
      </c>
      <c r="B30" s="10">
        <v>43531</v>
      </c>
      <c r="C30" s="44">
        <v>0.55069444444444449</v>
      </c>
      <c r="D30" s="68">
        <v>8.18</v>
      </c>
      <c r="E30" s="68">
        <v>959</v>
      </c>
      <c r="F30" s="69" t="s">
        <v>125</v>
      </c>
      <c r="G30" s="68">
        <v>161</v>
      </c>
      <c r="H30" s="65">
        <v>7.5</v>
      </c>
      <c r="I30" s="68">
        <v>15</v>
      </c>
      <c r="J30" s="169">
        <v>0.5</v>
      </c>
      <c r="K30" s="65">
        <v>355</v>
      </c>
      <c r="L30" s="65">
        <v>16</v>
      </c>
      <c r="M30" s="65">
        <v>102</v>
      </c>
      <c r="N30" s="65">
        <v>39</v>
      </c>
      <c r="O30" s="65">
        <v>72</v>
      </c>
      <c r="P30" s="175">
        <v>12</v>
      </c>
      <c r="Q30" s="65">
        <v>4.0999999999999996</v>
      </c>
      <c r="R30" s="171">
        <v>0.2</v>
      </c>
      <c r="S30" s="177">
        <v>0.02</v>
      </c>
      <c r="T30" s="177">
        <v>0.02</v>
      </c>
      <c r="U30" s="65">
        <v>5.1999999999999998E-2</v>
      </c>
      <c r="V30" s="177">
        <v>0.04</v>
      </c>
      <c r="W30" s="23"/>
      <c r="X30" s="172">
        <v>1.0369999999999999</v>
      </c>
      <c r="Z30" s="69">
        <f t="shared" si="3"/>
        <v>11.042409511484838</v>
      </c>
      <c r="AA30" s="69">
        <f t="shared" si="4"/>
        <v>11.533712969656904</v>
      </c>
      <c r="AB30" s="69">
        <f t="shared" ref="AB30:AB31" si="5">ABS((Z30-AA30)/(Z30+AA30)*100)</f>
        <v>2.1762083306487234</v>
      </c>
      <c r="AC30" s="9"/>
    </row>
    <row r="31" spans="1:29" s="68" customFormat="1" x14ac:dyDescent="0.35">
      <c r="A31" s="68" t="s">
        <v>53</v>
      </c>
      <c r="B31" s="10">
        <v>43531</v>
      </c>
      <c r="C31" s="44">
        <v>0.55138888888888882</v>
      </c>
      <c r="D31" s="68">
        <v>8.2100000000000009</v>
      </c>
      <c r="E31" s="68">
        <v>957</v>
      </c>
      <c r="F31" s="69" t="s">
        <v>125</v>
      </c>
      <c r="G31" s="68">
        <v>159</v>
      </c>
      <c r="H31" s="65">
        <v>7.2</v>
      </c>
      <c r="I31" s="68">
        <v>15</v>
      </c>
      <c r="J31" s="169">
        <v>0.5</v>
      </c>
      <c r="K31" s="65">
        <v>355</v>
      </c>
      <c r="L31" s="65">
        <v>15</v>
      </c>
      <c r="M31" s="65">
        <v>102</v>
      </c>
      <c r="N31" s="65">
        <v>39</v>
      </c>
      <c r="O31" s="65">
        <v>73</v>
      </c>
      <c r="P31" s="175">
        <v>12</v>
      </c>
      <c r="Q31" s="65">
        <v>4.2</v>
      </c>
      <c r="R31" s="171">
        <v>0.2</v>
      </c>
      <c r="S31" s="177">
        <v>0.02</v>
      </c>
      <c r="T31" s="177">
        <v>0.02</v>
      </c>
      <c r="U31" s="65">
        <v>5.1999999999999998E-2</v>
      </c>
      <c r="V31" s="177">
        <v>0.04</v>
      </c>
      <c r="W31" s="23"/>
      <c r="X31" s="172">
        <v>1.0189999999999999</v>
      </c>
      <c r="Z31" s="69">
        <f t="shared" si="3"/>
        <v>11.002409511484839</v>
      </c>
      <c r="AA31" s="69">
        <f t="shared" si="4"/>
        <v>11.579767687097712</v>
      </c>
      <c r="AB31" s="69">
        <f t="shared" si="5"/>
        <v>2.5566984553159635</v>
      </c>
    </row>
    <row r="32" spans="1:29" x14ac:dyDescent="0.35">
      <c r="M32" s="68"/>
      <c r="N32" s="68"/>
      <c r="O32" s="68"/>
      <c r="P32" s="165"/>
      <c r="R32" s="171"/>
      <c r="S32" s="177"/>
      <c r="T32" s="177"/>
      <c r="V32" s="177"/>
      <c r="W32" s="173"/>
      <c r="Z32" s="69"/>
      <c r="AA32" s="69"/>
      <c r="AB32" s="69"/>
    </row>
    <row r="33" spans="1:28" x14ac:dyDescent="0.35">
      <c r="A33" s="68" t="s">
        <v>53</v>
      </c>
      <c r="B33" s="10">
        <v>43670</v>
      </c>
      <c r="C33" s="198"/>
      <c r="D33" s="198">
        <v>7.62</v>
      </c>
      <c r="E33" s="198">
        <v>500</v>
      </c>
      <c r="F33" s="166">
        <v>0.03</v>
      </c>
      <c r="G33" s="165">
        <v>99.8</v>
      </c>
      <c r="H33" s="1">
        <v>3.1</v>
      </c>
      <c r="I33" s="138">
        <v>3.9</v>
      </c>
      <c r="J33" s="19">
        <v>1.9</v>
      </c>
      <c r="K33" s="1">
        <v>138</v>
      </c>
      <c r="L33" s="1">
        <v>12</v>
      </c>
      <c r="M33" s="165">
        <v>64.09</v>
      </c>
      <c r="N33" s="165">
        <v>16.48</v>
      </c>
      <c r="O33" s="165">
        <v>23.7</v>
      </c>
      <c r="P33" s="165">
        <v>14.3</v>
      </c>
      <c r="Q33" s="170">
        <v>2.069</v>
      </c>
      <c r="R33" s="171">
        <v>0.2</v>
      </c>
      <c r="S33" s="177">
        <v>0.02</v>
      </c>
      <c r="T33" s="177">
        <v>0.02</v>
      </c>
      <c r="U33" s="177">
        <v>0.02</v>
      </c>
      <c r="V33" s="177">
        <v>0.04</v>
      </c>
      <c r="W33" s="173"/>
      <c r="X33" s="163">
        <v>0.56299999999999994</v>
      </c>
      <c r="Z33" s="69">
        <f t="shared" ref="Z33:Z37" si="6">((G33/50)+(I33/35.45)+(J33/62)+(K33/48.03))</f>
        <v>5.0098635130080869</v>
      </c>
      <c r="AA33" s="69">
        <f t="shared" ref="AA33:AA37" si="7">((M33/20.04)+(N33/12.16)+(O33/22.99)+(Q33/39.1))</f>
        <v>5.637165543938405</v>
      </c>
      <c r="AB33" s="69">
        <f t="shared" ref="AB33:AB37" si="8">ABS((Z33-AA33)/(Z33+AA33)*100)</f>
        <v>5.8918035028846329</v>
      </c>
    </row>
    <row r="34" spans="1:28" x14ac:dyDescent="0.35">
      <c r="A34" s="68" t="s">
        <v>53</v>
      </c>
      <c r="B34" s="10">
        <v>43670</v>
      </c>
      <c r="C34" s="198"/>
      <c r="D34" s="198"/>
      <c r="E34" s="198"/>
      <c r="F34" s="166">
        <v>0.03</v>
      </c>
      <c r="G34" s="165">
        <v>99.1</v>
      </c>
      <c r="H34" s="1">
        <v>3.1</v>
      </c>
      <c r="I34" s="138">
        <v>3.8</v>
      </c>
      <c r="J34" s="19">
        <v>1.7</v>
      </c>
      <c r="K34" s="1">
        <v>137</v>
      </c>
      <c r="L34" s="1">
        <v>12</v>
      </c>
      <c r="M34" s="165">
        <v>64.91</v>
      </c>
      <c r="N34" s="165">
        <v>16.36</v>
      </c>
      <c r="O34" s="165">
        <v>23.11</v>
      </c>
      <c r="P34" s="165">
        <v>14.34</v>
      </c>
      <c r="Q34" s="170">
        <v>2.109</v>
      </c>
      <c r="R34" s="171">
        <v>0.2</v>
      </c>
      <c r="S34" s="177">
        <v>0.02</v>
      </c>
      <c r="T34" s="177">
        <v>0.02</v>
      </c>
      <c r="U34" s="177">
        <v>0.02</v>
      </c>
      <c r="V34" s="177">
        <v>0.04</v>
      </c>
      <c r="W34" s="173"/>
      <c r="X34" s="163">
        <v>0.56599999999999995</v>
      </c>
      <c r="Z34" s="69">
        <f t="shared" si="6"/>
        <v>4.9689965114524508</v>
      </c>
      <c r="AA34" s="69">
        <f t="shared" si="7"/>
        <v>5.6435749725778139</v>
      </c>
      <c r="AB34" s="69">
        <f t="shared" si="8"/>
        <v>6.3564091147980939</v>
      </c>
    </row>
    <row r="35" spans="1:28" x14ac:dyDescent="0.35">
      <c r="A35" s="68" t="s">
        <v>53</v>
      </c>
      <c r="B35" s="10">
        <v>43670</v>
      </c>
      <c r="C35" s="198"/>
      <c r="D35" s="198"/>
      <c r="E35" s="198"/>
      <c r="F35" s="166">
        <v>0.03</v>
      </c>
      <c r="G35" s="165">
        <v>99.8</v>
      </c>
      <c r="H35" s="1">
        <v>3.1</v>
      </c>
      <c r="I35" s="138">
        <v>3.9</v>
      </c>
      <c r="J35" s="138">
        <v>1.7</v>
      </c>
      <c r="K35" s="1">
        <v>137</v>
      </c>
      <c r="L35" s="1">
        <v>11</v>
      </c>
      <c r="M35" s="165">
        <v>63.8</v>
      </c>
      <c r="N35" s="165">
        <v>16.36</v>
      </c>
      <c r="O35" s="165">
        <v>22.67</v>
      </c>
      <c r="P35" s="165">
        <v>14.43</v>
      </c>
      <c r="Q35" s="170">
        <v>1.919</v>
      </c>
      <c r="R35" s="171">
        <v>0.2</v>
      </c>
      <c r="S35" s="177">
        <v>0.02</v>
      </c>
      <c r="T35" s="177">
        <v>0.02</v>
      </c>
      <c r="U35" s="177">
        <v>0.02</v>
      </c>
      <c r="V35" s="177">
        <v>0.04</v>
      </c>
      <c r="W35" s="173"/>
      <c r="X35" s="163">
        <v>0.57799999999999996</v>
      </c>
      <c r="Z35" s="69">
        <f t="shared" si="6"/>
        <v>4.9858173859235357</v>
      </c>
      <c r="AA35" s="69">
        <f t="shared" si="7"/>
        <v>5.5641876600017026</v>
      </c>
      <c r="AB35" s="69">
        <f t="shared" si="8"/>
        <v>5.4821800706299433</v>
      </c>
    </row>
    <row r="36" spans="1:28" x14ac:dyDescent="0.35">
      <c r="A36" s="1">
        <v>106</v>
      </c>
      <c r="B36" s="10">
        <v>43676</v>
      </c>
      <c r="C36" s="44">
        <v>0.4145833333333333</v>
      </c>
      <c r="D36" s="1">
        <v>7.02</v>
      </c>
      <c r="E36" s="1">
        <v>2137</v>
      </c>
      <c r="F36" s="108" t="s">
        <v>125</v>
      </c>
      <c r="G36" s="165">
        <v>392.6</v>
      </c>
      <c r="H36" s="1">
        <v>408</v>
      </c>
      <c r="I36" s="1">
        <v>51</v>
      </c>
      <c r="J36" s="185">
        <v>14</v>
      </c>
      <c r="K36" s="1">
        <v>740</v>
      </c>
      <c r="L36" s="1">
        <v>29</v>
      </c>
      <c r="M36" s="70">
        <v>163.4</v>
      </c>
      <c r="N36" s="165">
        <v>64.849999999999994</v>
      </c>
      <c r="O36" s="165">
        <v>273.2</v>
      </c>
      <c r="P36" s="165">
        <v>24.26</v>
      </c>
      <c r="Q36" s="170">
        <v>6.923</v>
      </c>
      <c r="R36" s="171">
        <v>0.2</v>
      </c>
      <c r="S36" s="83">
        <v>4.9000000000000002E-2</v>
      </c>
      <c r="T36" s="177">
        <v>0.02</v>
      </c>
      <c r="U36" s="83">
        <v>4.8000000000000001E-2</v>
      </c>
      <c r="V36" s="177">
        <v>0.04</v>
      </c>
      <c r="W36" s="173"/>
      <c r="X36" s="170">
        <v>1.52</v>
      </c>
      <c r="Z36" s="69">
        <f t="shared" si="6"/>
        <v>24.923489700240715</v>
      </c>
      <c r="AA36" s="69">
        <f t="shared" si="7"/>
        <v>25.547238226033667</v>
      </c>
      <c r="AB36" s="69">
        <f t="shared" si="8"/>
        <v>1.2358619568635869</v>
      </c>
    </row>
    <row r="37" spans="1:28" x14ac:dyDescent="0.35">
      <c r="A37" s="68">
        <v>106</v>
      </c>
      <c r="B37" s="10">
        <v>43676</v>
      </c>
      <c r="C37" s="44">
        <v>0.4145833333333333</v>
      </c>
      <c r="D37" s="1">
        <v>7.03</v>
      </c>
      <c r="E37" s="1">
        <v>2138</v>
      </c>
      <c r="F37" s="108" t="s">
        <v>125</v>
      </c>
      <c r="G37" s="165">
        <v>396.5</v>
      </c>
      <c r="H37" s="1">
        <v>414</v>
      </c>
      <c r="I37" s="1">
        <v>52</v>
      </c>
      <c r="J37" s="185">
        <v>15</v>
      </c>
      <c r="K37" s="1">
        <v>718</v>
      </c>
      <c r="L37" s="1">
        <v>30</v>
      </c>
      <c r="M37" s="70">
        <v>158.30000000000001</v>
      </c>
      <c r="N37" s="165">
        <v>64.12</v>
      </c>
      <c r="O37" s="165">
        <v>274.2</v>
      </c>
      <c r="P37" s="165">
        <v>24.59</v>
      </c>
      <c r="Q37" s="170">
        <v>6.8559999999999999</v>
      </c>
      <c r="R37" s="171">
        <v>0.2</v>
      </c>
      <c r="S37" s="176">
        <v>0.05</v>
      </c>
      <c r="T37" s="177">
        <v>0.02</v>
      </c>
      <c r="U37" s="83">
        <v>4.9000000000000002E-2</v>
      </c>
      <c r="V37" s="177">
        <v>0.04</v>
      </c>
      <c r="W37" s="173"/>
      <c r="X37" s="170">
        <v>1.4990000000000001</v>
      </c>
      <c r="Z37" s="69">
        <f t="shared" si="6"/>
        <v>24.587780423285011</v>
      </c>
      <c r="AA37" s="69">
        <f t="shared" si="7"/>
        <v>25.27449793102932</v>
      </c>
      <c r="AB37" s="69">
        <f t="shared" si="8"/>
        <v>1.3772284989959558</v>
      </c>
    </row>
    <row r="38" spans="1:28" x14ac:dyDescent="0.35">
      <c r="A38" s="68">
        <v>106</v>
      </c>
      <c r="B38" s="10">
        <v>43676</v>
      </c>
      <c r="C38" s="44">
        <v>0.4145833333333333</v>
      </c>
      <c r="D38" s="1">
        <v>7.04</v>
      </c>
      <c r="E38" s="1">
        <v>2136</v>
      </c>
      <c r="F38" s="108" t="s">
        <v>125</v>
      </c>
      <c r="G38" s="165">
        <v>389</v>
      </c>
      <c r="H38" s="1">
        <v>420</v>
      </c>
      <c r="I38" s="1">
        <v>52</v>
      </c>
      <c r="J38" s="185">
        <v>15</v>
      </c>
      <c r="K38" s="1">
        <v>730</v>
      </c>
      <c r="L38" s="1">
        <v>28</v>
      </c>
      <c r="M38" s="70">
        <v>162.30000000000001</v>
      </c>
      <c r="N38" s="165">
        <v>64.430000000000007</v>
      </c>
      <c r="O38" s="165">
        <v>278.5</v>
      </c>
      <c r="P38" s="165">
        <v>25.05</v>
      </c>
      <c r="Q38" s="170">
        <v>6.8780000000000001</v>
      </c>
      <c r="R38" s="171">
        <v>0.2</v>
      </c>
      <c r="S38" s="176">
        <v>0.05</v>
      </c>
      <c r="T38" s="177">
        <v>0.02</v>
      </c>
      <c r="U38" s="83">
        <v>4.9000000000000002E-2</v>
      </c>
      <c r="V38" s="177">
        <v>0.04</v>
      </c>
      <c r="W38" s="173"/>
      <c r="X38" s="170">
        <v>1.4930000000000001</v>
      </c>
      <c r="Z38" s="69">
        <f t="shared" ref="Z38:Z47" si="9">((G38/50)+(I38/35.45)+(J38/62)+(K38/48.03))</f>
        <v>24.687624270880264</v>
      </c>
      <c r="AA38" s="69">
        <f t="shared" ref="AA38:AA44" si="10">((M38/20.04)+(N38/12.16)+(O38/22.99)+(Q38/39.1))</f>
        <v>25.687192652871929</v>
      </c>
      <c r="AB38" s="69">
        <f t="shared" ref="AB38:AB44" si="11">ABS((Z38-AA38)/(Z38+AA38)*100)</f>
        <v>1.9842620639289297</v>
      </c>
    </row>
    <row r="39" spans="1:28" x14ac:dyDescent="0.35">
      <c r="A39" s="1">
        <v>110</v>
      </c>
      <c r="B39" s="10">
        <v>43676</v>
      </c>
      <c r="C39" s="44">
        <v>0.44236111111111115</v>
      </c>
      <c r="D39" s="1">
        <v>6.97</v>
      </c>
      <c r="E39" s="1">
        <v>2741</v>
      </c>
      <c r="F39" s="108" t="s">
        <v>125</v>
      </c>
      <c r="G39" s="165">
        <v>335</v>
      </c>
      <c r="H39" s="1">
        <v>600</v>
      </c>
      <c r="I39" s="1">
        <v>84</v>
      </c>
      <c r="J39" s="169">
        <v>0.5</v>
      </c>
      <c r="K39" s="1">
        <v>1155</v>
      </c>
      <c r="L39" s="1">
        <v>31</v>
      </c>
      <c r="M39" s="70">
        <v>299.3</v>
      </c>
      <c r="N39" s="165">
        <v>113.6</v>
      </c>
      <c r="O39" s="165">
        <v>245.3</v>
      </c>
      <c r="P39" s="165">
        <v>22.46</v>
      </c>
      <c r="Q39" s="170">
        <v>8.23</v>
      </c>
      <c r="R39" s="171">
        <v>0.2</v>
      </c>
      <c r="S39" s="177">
        <v>0.02</v>
      </c>
      <c r="T39" s="177">
        <v>0.02</v>
      </c>
      <c r="U39" s="163">
        <v>0.19500000000000001</v>
      </c>
      <c r="V39" s="177">
        <v>0.04</v>
      </c>
      <c r="W39" s="173"/>
      <c r="X39" s="170">
        <v>2.5489999999999999</v>
      </c>
      <c r="Z39" s="69">
        <f t="shared" si="9"/>
        <v>33.125069402884399</v>
      </c>
      <c r="AA39" s="69">
        <f t="shared" si="10"/>
        <v>35.157577396510838</v>
      </c>
      <c r="AB39" s="69">
        <f t="shared" si="11"/>
        <v>2.9766098546203987</v>
      </c>
    </row>
    <row r="40" spans="1:28" x14ac:dyDescent="0.35">
      <c r="A40" s="68">
        <v>110</v>
      </c>
      <c r="B40" s="10">
        <v>43676</v>
      </c>
      <c r="C40" s="44">
        <v>0.44236111111111115</v>
      </c>
      <c r="D40" s="1">
        <v>6.98</v>
      </c>
      <c r="E40" s="1">
        <v>2738</v>
      </c>
      <c r="F40" s="108" t="s">
        <v>125</v>
      </c>
      <c r="G40" s="165">
        <v>341.5</v>
      </c>
      <c r="H40" s="1">
        <v>594</v>
      </c>
      <c r="I40" s="1">
        <v>84</v>
      </c>
      <c r="J40" s="169">
        <v>0.5</v>
      </c>
      <c r="K40" s="1">
        <v>1139</v>
      </c>
      <c r="L40" s="1">
        <v>30</v>
      </c>
      <c r="M40" s="70">
        <v>293.8</v>
      </c>
      <c r="N40" s="165">
        <v>114.2</v>
      </c>
      <c r="O40" s="165">
        <v>244.3</v>
      </c>
      <c r="P40" s="165">
        <v>22.36</v>
      </c>
      <c r="Q40" s="170">
        <v>8.2799999999999994</v>
      </c>
      <c r="R40" s="171">
        <v>0.2</v>
      </c>
      <c r="S40" s="177">
        <v>0.02</v>
      </c>
      <c r="T40" s="177">
        <v>0.02</v>
      </c>
      <c r="U40" s="163">
        <v>0.19400000000000001</v>
      </c>
      <c r="V40" s="177">
        <v>0.04</v>
      </c>
      <c r="W40" s="173"/>
      <c r="X40" s="170">
        <v>2.5720000000000001</v>
      </c>
      <c r="Z40" s="69">
        <f t="shared" si="9"/>
        <v>32.921944272757393</v>
      </c>
      <c r="AA40" s="69">
        <f t="shared" si="10"/>
        <v>34.890250003664349</v>
      </c>
      <c r="AB40" s="69">
        <f t="shared" si="11"/>
        <v>2.9025837489988646</v>
      </c>
    </row>
    <row r="41" spans="1:28" x14ac:dyDescent="0.35">
      <c r="A41" s="68">
        <v>110</v>
      </c>
      <c r="B41" s="10">
        <v>43676</v>
      </c>
      <c r="C41" s="44">
        <v>0.44236111111111115</v>
      </c>
      <c r="D41" s="1">
        <v>7.02</v>
      </c>
      <c r="E41" s="1">
        <v>2766</v>
      </c>
      <c r="F41" s="108" t="s">
        <v>125</v>
      </c>
      <c r="G41" s="165">
        <v>344</v>
      </c>
      <c r="H41" s="1">
        <v>599</v>
      </c>
      <c r="I41" s="1">
        <v>84</v>
      </c>
      <c r="J41" s="169">
        <v>0.5</v>
      </c>
      <c r="K41" s="1">
        <v>1148</v>
      </c>
      <c r="L41" s="1">
        <v>29</v>
      </c>
      <c r="M41" s="83">
        <v>295</v>
      </c>
      <c r="N41" s="165">
        <v>114.7</v>
      </c>
      <c r="O41" s="165">
        <v>243.1</v>
      </c>
      <c r="P41" s="165">
        <v>22.55</v>
      </c>
      <c r="Q41" s="170">
        <v>8.2650000000000006</v>
      </c>
      <c r="R41" s="171">
        <v>0.2</v>
      </c>
      <c r="S41" s="83">
        <v>2.3E-2</v>
      </c>
      <c r="T41" s="177">
        <v>0.02</v>
      </c>
      <c r="U41" s="163">
        <v>0.19600000000000001</v>
      </c>
      <c r="V41" s="177">
        <v>0.04</v>
      </c>
      <c r="W41" s="173"/>
      <c r="X41" s="170">
        <v>2.5790000000000002</v>
      </c>
      <c r="Z41" s="69">
        <f t="shared" si="9"/>
        <v>33.159327158453834</v>
      </c>
      <c r="AA41" s="69">
        <f t="shared" si="10"/>
        <v>34.938668425303852</v>
      </c>
      <c r="AB41" s="69">
        <f t="shared" si="11"/>
        <v>2.6129128348006994</v>
      </c>
    </row>
    <row r="42" spans="1:28" x14ac:dyDescent="0.35">
      <c r="A42" s="1">
        <v>120</v>
      </c>
      <c r="B42" s="10">
        <v>43677</v>
      </c>
      <c r="C42" s="44">
        <v>0.3833333333333333</v>
      </c>
      <c r="D42" s="1">
        <v>7.1</v>
      </c>
      <c r="E42" s="1">
        <v>2819</v>
      </c>
      <c r="F42" s="108" t="s">
        <v>125</v>
      </c>
      <c r="G42" s="165">
        <v>263.2</v>
      </c>
      <c r="H42" s="1">
        <v>723</v>
      </c>
      <c r="I42" s="1">
        <v>65</v>
      </c>
      <c r="J42" s="169">
        <v>0.5</v>
      </c>
      <c r="K42" s="1">
        <v>940</v>
      </c>
      <c r="L42" s="1">
        <v>25</v>
      </c>
      <c r="M42" s="70">
        <v>163.5</v>
      </c>
      <c r="N42" s="165">
        <v>44.57</v>
      </c>
      <c r="O42" s="165">
        <v>363.6</v>
      </c>
      <c r="P42" s="165">
        <v>15.83</v>
      </c>
      <c r="Q42" s="170">
        <v>8.3699999999999992</v>
      </c>
      <c r="R42" s="171">
        <v>0.2</v>
      </c>
      <c r="S42" s="163">
        <v>0.73199999999999998</v>
      </c>
      <c r="T42" s="177">
        <v>0.02</v>
      </c>
      <c r="U42" s="163">
        <v>0.77</v>
      </c>
      <c r="V42" s="163">
        <v>0.17799999999999999</v>
      </c>
      <c r="W42" s="173"/>
      <c r="X42" s="170">
        <v>1.7669999999999999</v>
      </c>
      <c r="Z42" s="69">
        <f t="shared" si="9"/>
        <v>26.676734317296436</v>
      </c>
      <c r="AA42" s="69">
        <f t="shared" si="10"/>
        <v>27.853617171346592</v>
      </c>
      <c r="AB42" s="69">
        <f t="shared" si="11"/>
        <v>2.1582161528800414</v>
      </c>
    </row>
    <row r="43" spans="1:28" x14ac:dyDescent="0.35">
      <c r="A43" s="68">
        <v>120</v>
      </c>
      <c r="B43" s="10">
        <v>43677</v>
      </c>
      <c r="C43" s="44">
        <v>0.3833333333333333</v>
      </c>
      <c r="D43" s="1">
        <v>7.11</v>
      </c>
      <c r="E43" s="1">
        <v>2757</v>
      </c>
      <c r="F43" s="108" t="s">
        <v>125</v>
      </c>
      <c r="G43" s="165">
        <v>260.60000000000002</v>
      </c>
      <c r="H43" s="1">
        <v>740</v>
      </c>
      <c r="I43" s="1">
        <v>65</v>
      </c>
      <c r="J43" s="169">
        <v>0.5</v>
      </c>
      <c r="K43" s="1">
        <v>945</v>
      </c>
      <c r="L43" s="1">
        <v>27</v>
      </c>
      <c r="M43" s="70">
        <v>166.6</v>
      </c>
      <c r="N43" s="165">
        <v>47.15</v>
      </c>
      <c r="O43" s="165">
        <v>363.6</v>
      </c>
      <c r="P43" s="165">
        <v>16.170000000000002</v>
      </c>
      <c r="Q43" s="170">
        <v>8.5299999999999994</v>
      </c>
      <c r="R43" s="171">
        <v>0.2</v>
      </c>
      <c r="S43" s="163">
        <v>0.747</v>
      </c>
      <c r="T43" s="177">
        <v>0.02</v>
      </c>
      <c r="U43" s="163">
        <v>0.85399999999999998</v>
      </c>
      <c r="V43" s="163">
        <v>0.17199999999999999</v>
      </c>
      <c r="W43" s="173"/>
      <c r="X43" s="170">
        <v>1.931</v>
      </c>
      <c r="Z43" s="69">
        <f t="shared" si="9"/>
        <v>26.728835920461126</v>
      </c>
      <c r="AA43" s="69">
        <f t="shared" si="10"/>
        <v>28.224570914351901</v>
      </c>
      <c r="AB43" s="69">
        <f t="shared" si="11"/>
        <v>2.7218239596807408</v>
      </c>
    </row>
    <row r="44" spans="1:28" x14ac:dyDescent="0.35">
      <c r="A44" s="68">
        <v>120</v>
      </c>
      <c r="B44" s="10">
        <v>43677</v>
      </c>
      <c r="C44" s="44">
        <v>0.3833333333333333</v>
      </c>
      <c r="D44" s="1">
        <v>7.15</v>
      </c>
      <c r="E44" s="1">
        <v>2663</v>
      </c>
      <c r="F44" s="108" t="s">
        <v>125</v>
      </c>
      <c r="G44" s="165">
        <v>258.39999999999998</v>
      </c>
      <c r="H44" s="1">
        <v>743</v>
      </c>
      <c r="I44" s="1">
        <v>65</v>
      </c>
      <c r="J44" s="169">
        <v>0.5</v>
      </c>
      <c r="K44" s="1">
        <v>950</v>
      </c>
      <c r="L44" s="1">
        <v>25</v>
      </c>
      <c r="M44" s="70">
        <v>163.1</v>
      </c>
      <c r="N44" s="165">
        <v>45.33</v>
      </c>
      <c r="O44" s="165">
        <v>366.7</v>
      </c>
      <c r="P44" s="165">
        <v>16</v>
      </c>
      <c r="Q44" s="170">
        <v>8.48</v>
      </c>
      <c r="R44" s="171">
        <v>0.2</v>
      </c>
      <c r="S44" s="163">
        <v>0.73099999999999998</v>
      </c>
      <c r="T44" s="177">
        <v>0.02</v>
      </c>
      <c r="U44" s="163">
        <v>0.83499999999999996</v>
      </c>
      <c r="V44" s="163">
        <v>0.16700000000000001</v>
      </c>
      <c r="W44" s="173"/>
      <c r="X44" s="170">
        <v>1.83</v>
      </c>
      <c r="Z44" s="69">
        <f t="shared" si="9"/>
        <v>26.788937523625815</v>
      </c>
      <c r="AA44" s="69">
        <f t="shared" si="10"/>
        <v>28.033811626058714</v>
      </c>
      <c r="AB44" s="69">
        <f t="shared" si="11"/>
        <v>2.2707254228239706</v>
      </c>
    </row>
    <row r="45" spans="1:28" x14ac:dyDescent="0.35">
      <c r="A45" s="1" t="s">
        <v>103</v>
      </c>
      <c r="B45" s="10">
        <v>43705</v>
      </c>
      <c r="C45" s="44">
        <v>0.67291666666666661</v>
      </c>
      <c r="D45" s="1">
        <v>7.23</v>
      </c>
      <c r="E45" s="1">
        <v>2786</v>
      </c>
      <c r="F45" s="154" t="s">
        <v>125</v>
      </c>
      <c r="G45" s="165">
        <v>239.2</v>
      </c>
      <c r="H45" s="1">
        <v>91</v>
      </c>
      <c r="I45" s="1">
        <v>87</v>
      </c>
      <c r="J45" s="19">
        <v>8.6</v>
      </c>
      <c r="K45" s="1">
        <v>1095</v>
      </c>
      <c r="L45" s="182">
        <v>22</v>
      </c>
      <c r="M45" s="165">
        <v>188.5</v>
      </c>
      <c r="N45" s="165">
        <v>54.74</v>
      </c>
      <c r="O45" s="165">
        <v>475.3</v>
      </c>
      <c r="P45" s="165">
        <v>22</v>
      </c>
      <c r="Q45" s="170">
        <v>9.5069999999999997</v>
      </c>
      <c r="R45" s="198"/>
      <c r="S45" s="198"/>
      <c r="T45" s="198"/>
      <c r="U45" s="198"/>
      <c r="V45" s="198"/>
      <c r="W45" s="198"/>
      <c r="X45" s="198"/>
      <c r="Z45" s="163">
        <f t="shared" si="9"/>
        <v>30.175121560331036</v>
      </c>
      <c r="AA45" s="69">
        <f t="shared" ref="AA45:AA47" si="12">((M45/20.04)+(N45/12.16)+(O45/22.99)+(Q45/39.1))</f>
        <v>34.825184318242279</v>
      </c>
      <c r="AB45" s="69">
        <f t="shared" ref="AB45:AB47" si="13">ABS((Z45-AA45)/(Z45+AA45)*100)</f>
        <v>7.1539090394405189</v>
      </c>
    </row>
    <row r="46" spans="1:28" x14ac:dyDescent="0.35">
      <c r="A46" s="183" t="s">
        <v>103</v>
      </c>
      <c r="B46" s="10">
        <v>43705</v>
      </c>
      <c r="C46" s="44">
        <v>0.67499999999999993</v>
      </c>
      <c r="D46" s="1">
        <v>7.33</v>
      </c>
      <c r="E46" s="1">
        <v>2833</v>
      </c>
      <c r="F46" s="154" t="s">
        <v>125</v>
      </c>
      <c r="G46" s="165">
        <v>239.4</v>
      </c>
      <c r="H46" s="1">
        <v>91</v>
      </c>
      <c r="I46" s="1">
        <v>87</v>
      </c>
      <c r="J46" s="19">
        <v>8.6999999999999993</v>
      </c>
      <c r="K46" s="1">
        <v>1097</v>
      </c>
      <c r="L46" s="182">
        <v>22</v>
      </c>
      <c r="M46" s="165">
        <v>187</v>
      </c>
      <c r="N46" s="165">
        <v>54.58</v>
      </c>
      <c r="O46" s="165">
        <v>475.8</v>
      </c>
      <c r="P46" s="165">
        <v>21.87</v>
      </c>
      <c r="Q46" s="170">
        <v>9.3119999999999994</v>
      </c>
      <c r="R46" s="198"/>
      <c r="S46" s="198"/>
      <c r="T46" s="198"/>
      <c r="U46" s="198"/>
      <c r="V46" s="198"/>
      <c r="W46" s="198"/>
      <c r="X46" s="198"/>
      <c r="Z46" s="163">
        <f t="shared" si="9"/>
        <v>30.222375104822724</v>
      </c>
      <c r="AA46" s="69">
        <f t="shared" si="12"/>
        <v>34.753937498169911</v>
      </c>
      <c r="AB46" s="69">
        <f t="shared" si="13"/>
        <v>6.9741759909263843</v>
      </c>
    </row>
    <row r="47" spans="1:28" x14ac:dyDescent="0.35">
      <c r="A47" s="183" t="s">
        <v>103</v>
      </c>
      <c r="B47" s="10">
        <v>43705</v>
      </c>
      <c r="C47" s="44">
        <v>0.67708333333333337</v>
      </c>
      <c r="D47" s="1">
        <v>7.33</v>
      </c>
      <c r="E47" s="1">
        <v>2837</v>
      </c>
      <c r="F47" s="154" t="s">
        <v>125</v>
      </c>
      <c r="G47" s="165">
        <v>238.9</v>
      </c>
      <c r="H47" s="1">
        <v>92</v>
      </c>
      <c r="I47" s="1">
        <v>84</v>
      </c>
      <c r="J47" s="19">
        <v>8.8000000000000007</v>
      </c>
      <c r="K47" s="1">
        <v>1123</v>
      </c>
      <c r="L47" s="182">
        <v>22</v>
      </c>
      <c r="M47" s="165">
        <v>182.8</v>
      </c>
      <c r="N47" s="165">
        <v>52.97</v>
      </c>
      <c r="O47" s="165">
        <v>484.6</v>
      </c>
      <c r="P47" s="165">
        <v>21.81</v>
      </c>
      <c r="Q47" s="170">
        <v>9.5280000000000005</v>
      </c>
      <c r="R47" s="198"/>
      <c r="S47" s="198"/>
      <c r="T47" s="198"/>
      <c r="U47" s="198"/>
      <c r="V47" s="198"/>
      <c r="W47" s="198"/>
      <c r="X47" s="198"/>
      <c r="Z47" s="163">
        <f t="shared" si="9"/>
        <v>30.67069011037233</v>
      </c>
      <c r="AA47" s="69">
        <f t="shared" si="12"/>
        <v>34.800254760349503</v>
      </c>
      <c r="AB47" s="69">
        <f t="shared" si="13"/>
        <v>6.3074767870409731</v>
      </c>
    </row>
  </sheetData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60"/>
  <sheetViews>
    <sheetView topLeftCell="A4" zoomScaleNormal="100" workbookViewId="0">
      <pane ySplit="8" topLeftCell="A12" activePane="bottomLeft" state="frozen"/>
      <selection activeCell="A4" sqref="A4"/>
      <selection pane="bottomLeft" activeCell="A2" sqref="A2"/>
    </sheetView>
  </sheetViews>
  <sheetFormatPr defaultColWidth="9.1796875" defaultRowHeight="14.5" x14ac:dyDescent="0.35"/>
  <cols>
    <col min="1" max="1" width="18" style="43" customWidth="1"/>
    <col min="2" max="2" width="10.54296875" style="43" bestFit="1" customWidth="1"/>
    <col min="3" max="4" width="9.1796875" style="43"/>
    <col min="5" max="5" width="17.1796875" style="43" bestFit="1" customWidth="1"/>
    <col min="6" max="6" width="9.1796875" style="43"/>
    <col min="7" max="7" width="16.7265625" style="43" bestFit="1" customWidth="1"/>
    <col min="8" max="8" width="6.7265625" style="43" bestFit="1" customWidth="1"/>
    <col min="9" max="16" width="7.26953125" style="43" bestFit="1" customWidth="1"/>
    <col min="17" max="23" width="9.1796875" style="43"/>
    <col min="24" max="24" width="10.54296875" style="43" bestFit="1" customWidth="1"/>
    <col min="25" max="26" width="9.1796875" style="68"/>
    <col min="27" max="27" width="14.54296875" style="43" bestFit="1" customWidth="1"/>
    <col min="28" max="16384" width="9.1796875" style="43"/>
  </cols>
  <sheetData>
    <row r="1" spans="1:28" x14ac:dyDescent="0.35">
      <c r="A1" s="43" t="s">
        <v>102</v>
      </c>
    </row>
    <row r="4" spans="1:28" x14ac:dyDescent="0.35">
      <c r="A4" s="203" t="s">
        <v>355</v>
      </c>
    </row>
    <row r="5" spans="1:28" s="203" customFormat="1" x14ac:dyDescent="0.35"/>
    <row r="6" spans="1:28" s="203" customFormat="1" x14ac:dyDescent="0.35">
      <c r="A6" s="203" t="s">
        <v>299</v>
      </c>
    </row>
    <row r="7" spans="1:28" s="203" customFormat="1" x14ac:dyDescent="0.35">
      <c r="A7" s="203" t="s">
        <v>354</v>
      </c>
    </row>
    <row r="8" spans="1:28" s="203" customFormat="1" x14ac:dyDescent="0.35">
      <c r="A8" s="26" t="s">
        <v>358</v>
      </c>
    </row>
    <row r="9" spans="1:28" s="203" customFormat="1" x14ac:dyDescent="0.35"/>
    <row r="10" spans="1:28" x14ac:dyDescent="0.35">
      <c r="A10" s="43" t="s">
        <v>1</v>
      </c>
      <c r="B10" s="43" t="s">
        <v>10</v>
      </c>
      <c r="C10" s="43" t="s">
        <v>52</v>
      </c>
      <c r="D10" s="43" t="s">
        <v>14</v>
      </c>
      <c r="E10" s="43" t="s">
        <v>15</v>
      </c>
      <c r="F10" s="2" t="s">
        <v>51</v>
      </c>
      <c r="G10" s="43" t="s">
        <v>16</v>
      </c>
      <c r="H10" s="43" t="s">
        <v>3</v>
      </c>
      <c r="I10" s="43" t="s">
        <v>31</v>
      </c>
      <c r="J10" s="43" t="s">
        <v>30</v>
      </c>
      <c r="K10" s="43" t="s">
        <v>18</v>
      </c>
      <c r="L10" s="43" t="s">
        <v>17</v>
      </c>
      <c r="M10" s="43" t="s">
        <v>20</v>
      </c>
      <c r="N10" s="43" t="s">
        <v>19</v>
      </c>
      <c r="O10" s="43" t="s">
        <v>21</v>
      </c>
      <c r="P10" s="43" t="s">
        <v>47</v>
      </c>
      <c r="Q10" s="43" t="s">
        <v>24</v>
      </c>
      <c r="R10" s="43" t="s">
        <v>48</v>
      </c>
      <c r="S10" s="43" t="s">
        <v>4</v>
      </c>
      <c r="T10" s="43" t="s">
        <v>22</v>
      </c>
      <c r="U10" s="43" t="s">
        <v>23</v>
      </c>
      <c r="V10" s="43" t="s">
        <v>25</v>
      </c>
      <c r="W10" s="43" t="s">
        <v>49</v>
      </c>
      <c r="X10" s="43" t="s">
        <v>26</v>
      </c>
      <c r="Y10" s="68" t="s">
        <v>123</v>
      </c>
      <c r="Z10" s="68" t="s">
        <v>124</v>
      </c>
      <c r="AA10" s="43" t="s">
        <v>27</v>
      </c>
    </row>
    <row r="11" spans="1:28" x14ac:dyDescent="0.35">
      <c r="E11" s="203" t="s">
        <v>357</v>
      </c>
      <c r="F11" s="2" t="s">
        <v>5</v>
      </c>
      <c r="G11" s="43" t="s">
        <v>28</v>
      </c>
      <c r="H11" s="27" t="s">
        <v>352</v>
      </c>
      <c r="I11" s="43" t="s">
        <v>5</v>
      </c>
      <c r="J11" s="43" t="s">
        <v>5</v>
      </c>
      <c r="K11" s="43" t="s">
        <v>5</v>
      </c>
      <c r="L11" s="43" t="s">
        <v>5</v>
      </c>
      <c r="M11" s="43" t="s">
        <v>5</v>
      </c>
      <c r="N11" s="43" t="s">
        <v>5</v>
      </c>
      <c r="O11" s="43" t="s">
        <v>5</v>
      </c>
      <c r="P11" s="43" t="s">
        <v>5</v>
      </c>
      <c r="Q11" s="43" t="s">
        <v>5</v>
      </c>
      <c r="R11" s="43" t="s">
        <v>5</v>
      </c>
      <c r="S11" s="43" t="s">
        <v>5</v>
      </c>
      <c r="T11" s="43" t="s">
        <v>5</v>
      </c>
      <c r="U11" s="43" t="s">
        <v>5</v>
      </c>
      <c r="V11" s="43" t="s">
        <v>5</v>
      </c>
      <c r="W11" s="43" t="s">
        <v>5</v>
      </c>
    </row>
    <row r="12" spans="1:28" x14ac:dyDescent="0.35">
      <c r="F12" s="2"/>
    </row>
    <row r="13" spans="1:28" x14ac:dyDescent="0.35">
      <c r="A13" s="43">
        <v>106</v>
      </c>
      <c r="B13" s="10">
        <v>43475</v>
      </c>
      <c r="C13" s="44">
        <v>0.58680555555555558</v>
      </c>
      <c r="D13" s="43">
        <v>7.3</v>
      </c>
      <c r="E13" s="43">
        <v>1598</v>
      </c>
      <c r="F13" s="8">
        <v>0.03</v>
      </c>
      <c r="G13" s="43">
        <v>279</v>
      </c>
      <c r="H13" s="43">
        <v>220</v>
      </c>
      <c r="I13" s="43">
        <v>32</v>
      </c>
      <c r="J13" s="185">
        <v>26</v>
      </c>
      <c r="K13" s="43">
        <v>576</v>
      </c>
      <c r="L13" s="43">
        <v>24</v>
      </c>
      <c r="M13" s="165">
        <v>123.1</v>
      </c>
      <c r="N13" s="165">
        <v>44.05</v>
      </c>
      <c r="O13" s="165">
        <v>202.9</v>
      </c>
      <c r="P13" s="165">
        <v>24.15</v>
      </c>
      <c r="Q13" s="170">
        <v>5.5069999999999997</v>
      </c>
      <c r="R13" s="171">
        <v>0.2</v>
      </c>
      <c r="S13" s="177">
        <v>0.02</v>
      </c>
      <c r="T13" s="177">
        <v>0.02</v>
      </c>
      <c r="U13" s="43">
        <v>2.9000000000000001E-2</v>
      </c>
      <c r="V13" s="177">
        <v>0.04</v>
      </c>
      <c r="W13" s="170">
        <v>1.056</v>
      </c>
      <c r="Y13" s="69">
        <f t="shared" ref="Y13:Y30" si="0">((G13/50)+(I13/35.45)+(J13/62)+(K13/48.03))</f>
        <v>18.894539354029352</v>
      </c>
      <c r="Z13" s="69">
        <f t="shared" ref="Z13:Z30" si="1">((M13/20.04)+(N13/12.16)+(O13/22.99)+(Q13/39.1))</f>
        <v>18.731667792903007</v>
      </c>
      <c r="AA13" s="69">
        <f t="shared" ref="AA13:AA30" si="2">ABS((Y13-Z13)/(Y13+Z13)*100)</f>
        <v>0.43286733762540114</v>
      </c>
    </row>
    <row r="14" spans="1:28" x14ac:dyDescent="0.35">
      <c r="A14" s="43">
        <v>106</v>
      </c>
      <c r="B14" s="10">
        <v>43475</v>
      </c>
      <c r="C14" s="44">
        <v>0.58750000000000002</v>
      </c>
      <c r="D14" s="43">
        <v>7.3</v>
      </c>
      <c r="E14" s="43">
        <v>1595</v>
      </c>
      <c r="F14" s="8">
        <v>0.03</v>
      </c>
      <c r="G14" s="43">
        <v>272</v>
      </c>
      <c r="H14" s="43">
        <v>219</v>
      </c>
      <c r="I14" s="43">
        <v>32</v>
      </c>
      <c r="J14" s="185">
        <v>25</v>
      </c>
      <c r="K14" s="43">
        <v>551</v>
      </c>
      <c r="L14" s="43">
        <v>24</v>
      </c>
      <c r="M14" s="165">
        <v>122.2</v>
      </c>
      <c r="N14" s="165">
        <v>44.84</v>
      </c>
      <c r="O14" s="165">
        <v>198.4</v>
      </c>
      <c r="P14" s="165">
        <v>24.29</v>
      </c>
      <c r="Q14" s="170">
        <v>5.077</v>
      </c>
      <c r="R14" s="171">
        <v>0.2</v>
      </c>
      <c r="S14" s="177">
        <v>0.02</v>
      </c>
      <c r="T14" s="177">
        <v>0.02</v>
      </c>
      <c r="U14" s="43">
        <v>2.8000000000000001E-2</v>
      </c>
      <c r="V14" s="177">
        <v>0.04</v>
      </c>
      <c r="W14" s="163">
        <v>0.96799999999999997</v>
      </c>
      <c r="Y14" s="69">
        <f t="shared" si="0"/>
        <v>18.217902305947842</v>
      </c>
      <c r="Z14" s="69">
        <f t="shared" si="1"/>
        <v>18.544989998993216</v>
      </c>
      <c r="AA14" s="69">
        <f t="shared" si="2"/>
        <v>0.88972241447230427</v>
      </c>
      <c r="AB14" s="9" t="s">
        <v>130</v>
      </c>
    </row>
    <row r="15" spans="1:28" x14ac:dyDescent="0.35">
      <c r="A15" s="43">
        <v>106</v>
      </c>
      <c r="B15" s="10">
        <v>43475</v>
      </c>
      <c r="C15" s="44">
        <v>0.58819444444444446</v>
      </c>
      <c r="D15" s="43">
        <v>7.3</v>
      </c>
      <c r="E15" s="43">
        <v>1597</v>
      </c>
      <c r="F15" s="8">
        <v>0.03</v>
      </c>
      <c r="G15" s="43">
        <v>273</v>
      </c>
      <c r="H15" s="43">
        <v>221</v>
      </c>
      <c r="I15" s="43">
        <v>33</v>
      </c>
      <c r="J15" s="185">
        <v>26</v>
      </c>
      <c r="K15" s="43">
        <v>554</v>
      </c>
      <c r="L15" s="43">
        <v>24</v>
      </c>
      <c r="M15" s="165">
        <v>120</v>
      </c>
      <c r="N15" s="165">
        <v>44.78</v>
      </c>
      <c r="O15" s="165">
        <v>197.1</v>
      </c>
      <c r="P15" s="165">
        <v>23.57</v>
      </c>
      <c r="Q15" s="170">
        <v>5.26</v>
      </c>
      <c r="R15" s="171">
        <v>0.2</v>
      </c>
      <c r="S15" s="177">
        <v>0.02</v>
      </c>
      <c r="T15" s="177">
        <v>0.02</v>
      </c>
      <c r="U15" s="43">
        <v>2.9000000000000001E-2</v>
      </c>
      <c r="V15" s="177">
        <v>0.04</v>
      </c>
      <c r="W15" s="170">
        <v>0.997</v>
      </c>
      <c r="Y15" s="69">
        <f t="shared" si="0"/>
        <v>18.344701044815579</v>
      </c>
      <c r="Z15" s="69">
        <f t="shared" si="1"/>
        <v>18.378409331761603</v>
      </c>
      <c r="AA15" s="69">
        <f t="shared" si="2"/>
        <v>9.179039193674382E-2</v>
      </c>
    </row>
    <row r="16" spans="1:28" x14ac:dyDescent="0.35">
      <c r="A16" s="43">
        <v>110</v>
      </c>
      <c r="B16" s="10">
        <v>43475</v>
      </c>
      <c r="C16" s="44">
        <v>0.61388888888888882</v>
      </c>
      <c r="D16" s="43">
        <v>7.41</v>
      </c>
      <c r="E16" s="43">
        <v>1820</v>
      </c>
      <c r="F16" s="8">
        <v>0.03</v>
      </c>
      <c r="G16" s="43">
        <v>324</v>
      </c>
      <c r="H16" s="43">
        <v>291</v>
      </c>
      <c r="I16" s="43">
        <v>48</v>
      </c>
      <c r="J16" s="185">
        <v>22</v>
      </c>
      <c r="K16" s="43">
        <v>648</v>
      </c>
      <c r="L16" s="43">
        <v>28</v>
      </c>
      <c r="M16" s="165">
        <v>152.6</v>
      </c>
      <c r="N16" s="165">
        <v>60.28</v>
      </c>
      <c r="O16" s="165">
        <v>210.1</v>
      </c>
      <c r="P16" s="165">
        <v>23.16</v>
      </c>
      <c r="Q16" s="170">
        <v>5.5960000000000001</v>
      </c>
      <c r="R16" s="171">
        <v>0.2</v>
      </c>
      <c r="S16" s="176">
        <v>0.02</v>
      </c>
      <c r="T16" s="177">
        <v>0.02</v>
      </c>
      <c r="U16" s="43">
        <v>4.3999999999999997E-2</v>
      </c>
      <c r="V16" s="177">
        <v>0.04</v>
      </c>
      <c r="W16" s="170">
        <v>1.177</v>
      </c>
      <c r="Y16" s="69">
        <f t="shared" si="0"/>
        <v>21.680426225942377</v>
      </c>
      <c r="Z16" s="69">
        <f t="shared" si="1"/>
        <v>21.853883486651924</v>
      </c>
      <c r="AA16" s="69">
        <f t="shared" si="2"/>
        <v>0.39843806380457381</v>
      </c>
    </row>
    <row r="17" spans="1:28" x14ac:dyDescent="0.35">
      <c r="A17" s="43">
        <v>110</v>
      </c>
      <c r="B17" s="10">
        <v>43475</v>
      </c>
      <c r="C17" s="44">
        <v>0.61458333333333337</v>
      </c>
      <c r="D17" s="43">
        <v>7.42</v>
      </c>
      <c r="E17" s="43">
        <v>1822</v>
      </c>
      <c r="F17" s="8">
        <v>0.03</v>
      </c>
      <c r="G17" s="43">
        <v>323</v>
      </c>
      <c r="H17" s="43">
        <v>294</v>
      </c>
      <c r="I17" s="43">
        <v>48</v>
      </c>
      <c r="J17" s="185">
        <v>22</v>
      </c>
      <c r="K17" s="43">
        <v>622</v>
      </c>
      <c r="L17" s="43">
        <v>28</v>
      </c>
      <c r="M17" s="165">
        <v>157.6</v>
      </c>
      <c r="N17" s="165">
        <v>62.58</v>
      </c>
      <c r="O17" s="165">
        <v>214.8</v>
      </c>
      <c r="P17" s="165">
        <v>23.68</v>
      </c>
      <c r="Q17" s="170">
        <v>5.5730000000000004</v>
      </c>
      <c r="R17" s="171">
        <v>0.2</v>
      </c>
      <c r="S17" s="43">
        <v>2.1000000000000001E-2</v>
      </c>
      <c r="T17" s="177">
        <v>0.02</v>
      </c>
      <c r="U17" s="43">
        <v>4.5999999999999999E-2</v>
      </c>
      <c r="V17" s="177">
        <v>0.04</v>
      </c>
      <c r="W17" s="170">
        <v>1.1759999999999999</v>
      </c>
      <c r="Y17" s="69">
        <f t="shared" si="0"/>
        <v>21.119097889485992</v>
      </c>
      <c r="Z17" s="69">
        <f t="shared" si="1"/>
        <v>22.49637769781765</v>
      </c>
      <c r="AA17" s="69">
        <f t="shared" si="2"/>
        <v>3.157777806583359</v>
      </c>
      <c r="AB17" s="9" t="s">
        <v>104</v>
      </c>
    </row>
    <row r="18" spans="1:28" x14ac:dyDescent="0.35">
      <c r="A18" s="43">
        <v>110</v>
      </c>
      <c r="B18" s="10">
        <v>43475</v>
      </c>
      <c r="C18" s="44">
        <v>0.61527777777777781</v>
      </c>
      <c r="D18" s="43">
        <v>7.43</v>
      </c>
      <c r="E18" s="43">
        <v>1822</v>
      </c>
      <c r="F18" s="8">
        <v>0.03</v>
      </c>
      <c r="G18" s="43">
        <v>324</v>
      </c>
      <c r="H18" s="43">
        <v>291</v>
      </c>
      <c r="I18" s="43">
        <v>49</v>
      </c>
      <c r="J18" s="185">
        <v>22</v>
      </c>
      <c r="K18" s="43">
        <v>631</v>
      </c>
      <c r="L18" s="43">
        <v>28</v>
      </c>
      <c r="M18" s="165">
        <v>160.30000000000001</v>
      </c>
      <c r="N18" s="165">
        <v>62.6</v>
      </c>
      <c r="O18" s="165">
        <v>214.4</v>
      </c>
      <c r="P18" s="165">
        <v>23.59</v>
      </c>
      <c r="Q18" s="170">
        <v>4.9379999999999997</v>
      </c>
      <c r="R18" s="171">
        <v>0.2</v>
      </c>
      <c r="S18" s="81">
        <v>0.02</v>
      </c>
      <c r="T18" s="177">
        <v>0.02</v>
      </c>
      <c r="U18" s="43">
        <v>4.2000000000000003E-2</v>
      </c>
      <c r="V18" s="177">
        <v>0.04</v>
      </c>
      <c r="W18" s="170">
        <v>1.095</v>
      </c>
      <c r="Y18" s="69">
        <f t="shared" si="0"/>
        <v>21.354689519893295</v>
      </c>
      <c r="Z18" s="69">
        <f t="shared" si="1"/>
        <v>22.599113695301241</v>
      </c>
      <c r="AA18" s="69">
        <f t="shared" si="2"/>
        <v>2.8312093251984098</v>
      </c>
    </row>
    <row r="19" spans="1:28" x14ac:dyDescent="0.35">
      <c r="A19" s="43">
        <v>120</v>
      </c>
      <c r="B19" s="10">
        <v>43475</v>
      </c>
      <c r="C19" s="44">
        <v>0.51944444444444449</v>
      </c>
      <c r="D19" s="43">
        <v>7.8</v>
      </c>
      <c r="E19" s="43">
        <v>2080</v>
      </c>
      <c r="F19" s="8">
        <v>0.03</v>
      </c>
      <c r="G19" s="43">
        <v>294</v>
      </c>
      <c r="H19" s="43">
        <v>644</v>
      </c>
      <c r="I19" s="43">
        <v>56</v>
      </c>
      <c r="J19" s="194">
        <v>2.5</v>
      </c>
      <c r="K19" s="43">
        <v>807</v>
      </c>
      <c r="L19" s="43">
        <v>26</v>
      </c>
      <c r="M19" s="165">
        <v>179.1</v>
      </c>
      <c r="N19" s="175">
        <v>34.56</v>
      </c>
      <c r="O19" s="12">
        <v>315.2</v>
      </c>
      <c r="P19" s="165">
        <v>16.059999999999999</v>
      </c>
      <c r="Q19" s="170">
        <v>7.4</v>
      </c>
      <c r="R19" s="171">
        <v>0.2</v>
      </c>
      <c r="S19" s="177">
        <v>0.02</v>
      </c>
      <c r="T19" s="163">
        <v>0.108</v>
      </c>
      <c r="U19" s="163">
        <v>0.86499999999999999</v>
      </c>
      <c r="V19" s="43">
        <v>4.2999999999999997E-2</v>
      </c>
      <c r="W19" s="170">
        <v>1.335</v>
      </c>
      <c r="Y19" s="69">
        <f t="shared" si="0"/>
        <v>24.302011035234102</v>
      </c>
      <c r="Z19" s="69">
        <f t="shared" si="1"/>
        <v>25.678798153607406</v>
      </c>
      <c r="AA19" s="69">
        <f t="shared" si="2"/>
        <v>2.7546315090086213</v>
      </c>
    </row>
    <row r="20" spans="1:28" x14ac:dyDescent="0.35">
      <c r="A20" s="43">
        <v>120</v>
      </c>
      <c r="B20" s="10">
        <v>43475</v>
      </c>
      <c r="C20" s="44">
        <v>0.52083333333333337</v>
      </c>
      <c r="D20" s="43">
        <v>7.81</v>
      </c>
      <c r="E20" s="43">
        <v>2070</v>
      </c>
      <c r="F20" s="8">
        <v>0.03</v>
      </c>
      <c r="G20" s="43">
        <v>294</v>
      </c>
      <c r="H20" s="43">
        <v>654</v>
      </c>
      <c r="I20" s="43">
        <v>55</v>
      </c>
      <c r="J20" s="194">
        <v>2.5</v>
      </c>
      <c r="K20" s="43">
        <v>839</v>
      </c>
      <c r="L20" s="43">
        <v>27</v>
      </c>
      <c r="M20" s="165">
        <v>186.6</v>
      </c>
      <c r="N20" s="175">
        <v>34.9</v>
      </c>
      <c r="O20" s="12">
        <v>314.2</v>
      </c>
      <c r="P20" s="165">
        <v>16.7</v>
      </c>
      <c r="Q20" s="170">
        <v>7.5</v>
      </c>
      <c r="R20" s="171">
        <v>0.2</v>
      </c>
      <c r="S20" s="163">
        <v>0.47199999999999998</v>
      </c>
      <c r="T20" s="163">
        <v>0.13600000000000001</v>
      </c>
      <c r="U20" s="163">
        <v>0.96399999999999997</v>
      </c>
      <c r="V20" s="43">
        <v>7.0999999999999994E-2</v>
      </c>
      <c r="W20" s="170">
        <v>1.877</v>
      </c>
      <c r="Y20" s="69">
        <f t="shared" si="0"/>
        <v>24.940052550777249</v>
      </c>
      <c r="Z20" s="69">
        <f t="shared" si="1"/>
        <v>26.040070549002444</v>
      </c>
      <c r="AA20" s="69">
        <f t="shared" si="2"/>
        <v>2.1577389997121212</v>
      </c>
    </row>
    <row r="21" spans="1:28" x14ac:dyDescent="0.35">
      <c r="A21" s="43">
        <v>120</v>
      </c>
      <c r="B21" s="10">
        <v>43475</v>
      </c>
      <c r="C21" s="44">
        <v>0.5229166666666667</v>
      </c>
      <c r="D21" s="43">
        <v>7.79</v>
      </c>
      <c r="E21" s="43">
        <v>2090</v>
      </c>
      <c r="F21" s="8">
        <v>0.03</v>
      </c>
      <c r="G21" s="43">
        <v>293</v>
      </c>
      <c r="H21" s="43">
        <v>640</v>
      </c>
      <c r="I21" s="43">
        <v>56</v>
      </c>
      <c r="J21" s="194">
        <v>2.5</v>
      </c>
      <c r="K21" s="43">
        <v>839</v>
      </c>
      <c r="L21" s="43">
        <v>26</v>
      </c>
      <c r="M21" s="165">
        <v>184.7</v>
      </c>
      <c r="N21" s="175">
        <v>34.68</v>
      </c>
      <c r="O21" s="12">
        <v>317.8</v>
      </c>
      <c r="P21" s="165">
        <v>16.82</v>
      </c>
      <c r="Q21" s="170">
        <v>7.7</v>
      </c>
      <c r="R21" s="171">
        <v>0.2</v>
      </c>
      <c r="S21" s="43">
        <v>0.46</v>
      </c>
      <c r="T21" s="177">
        <v>0.02</v>
      </c>
      <c r="U21" s="163">
        <v>0.97</v>
      </c>
      <c r="V21" s="43">
        <v>9.9000000000000005E-2</v>
      </c>
      <c r="W21" s="170">
        <v>1.82</v>
      </c>
      <c r="Y21" s="69">
        <f t="shared" si="0"/>
        <v>24.948261295488109</v>
      </c>
      <c r="Z21" s="69">
        <f t="shared" si="1"/>
        <v>26.088872975673425</v>
      </c>
      <c r="AA21" s="69">
        <f t="shared" si="2"/>
        <v>2.2348662331337383</v>
      </c>
    </row>
    <row r="22" spans="1:28" x14ac:dyDescent="0.35">
      <c r="A22" s="43">
        <v>121</v>
      </c>
      <c r="B22" s="10">
        <v>43475</v>
      </c>
      <c r="C22" s="44">
        <v>0.47847222222222219</v>
      </c>
      <c r="D22" s="43">
        <v>7.43</v>
      </c>
      <c r="E22" s="43">
        <v>1893</v>
      </c>
      <c r="F22" s="8">
        <v>0.03</v>
      </c>
      <c r="G22" s="43">
        <v>263</v>
      </c>
      <c r="H22" s="43">
        <v>714</v>
      </c>
      <c r="I22" s="43">
        <v>45</v>
      </c>
      <c r="J22" s="194">
        <v>2.5</v>
      </c>
      <c r="K22" s="43">
        <v>736</v>
      </c>
      <c r="L22" s="43">
        <v>25</v>
      </c>
      <c r="M22" s="165">
        <v>181.1</v>
      </c>
      <c r="N22" s="165">
        <v>37.57</v>
      </c>
      <c r="O22" s="12">
        <v>244.2</v>
      </c>
      <c r="P22" s="165">
        <v>16.82</v>
      </c>
      <c r="Q22" s="170">
        <v>6.4980000000000002</v>
      </c>
      <c r="R22" s="171">
        <v>0.2</v>
      </c>
      <c r="S22" s="163">
        <v>0.314</v>
      </c>
      <c r="T22" s="163">
        <v>0.372</v>
      </c>
      <c r="U22" s="170">
        <v>1.6659999999999999</v>
      </c>
      <c r="V22" s="163">
        <v>0.19400000000000001</v>
      </c>
      <c r="W22" s="170">
        <v>1.5760000000000001</v>
      </c>
      <c r="Y22" s="69">
        <f t="shared" si="0"/>
        <v>21.893472078476059</v>
      </c>
      <c r="Z22" s="69">
        <f t="shared" si="1"/>
        <v>22.914763133289338</v>
      </c>
      <c r="AA22" s="69">
        <f t="shared" si="2"/>
        <v>2.2792485577408246</v>
      </c>
    </row>
    <row r="23" spans="1:28" x14ac:dyDescent="0.35">
      <c r="A23" s="43">
        <v>121</v>
      </c>
      <c r="B23" s="10">
        <v>43475</v>
      </c>
      <c r="C23" s="44">
        <v>0.47916666666666669</v>
      </c>
      <c r="D23" s="43">
        <v>7.43</v>
      </c>
      <c r="E23" s="43">
        <v>1890</v>
      </c>
      <c r="F23" s="8">
        <v>0.03</v>
      </c>
      <c r="G23" s="43">
        <v>261</v>
      </c>
      <c r="H23" s="43">
        <v>737</v>
      </c>
      <c r="I23" s="43">
        <v>44</v>
      </c>
      <c r="J23" s="194">
        <v>2.5</v>
      </c>
      <c r="K23" s="43">
        <v>717</v>
      </c>
      <c r="L23" s="43">
        <v>24</v>
      </c>
      <c r="M23" s="165">
        <v>183.4</v>
      </c>
      <c r="N23" s="165">
        <v>37.4</v>
      </c>
      <c r="O23" s="12">
        <v>242.2</v>
      </c>
      <c r="P23" s="165">
        <v>16.7</v>
      </c>
      <c r="Q23" s="170">
        <v>6.476</v>
      </c>
      <c r="R23" s="171">
        <v>0.2</v>
      </c>
      <c r="S23" s="163">
        <v>0.311</v>
      </c>
      <c r="T23" s="163">
        <v>0.36799999999999999</v>
      </c>
      <c r="U23" s="170">
        <v>1.647</v>
      </c>
      <c r="V23" s="163">
        <v>0.186</v>
      </c>
      <c r="W23" s="170">
        <v>1.5429999999999999</v>
      </c>
      <c r="Y23" s="69">
        <f t="shared" si="0"/>
        <v>21.42967724173938</v>
      </c>
      <c r="Z23" s="69">
        <f t="shared" si="1"/>
        <v>22.927996323999182</v>
      </c>
      <c r="AA23" s="69">
        <f t="shared" si="2"/>
        <v>3.3778125898313296</v>
      </c>
    </row>
    <row r="24" spans="1:28" x14ac:dyDescent="0.35">
      <c r="A24" s="43">
        <v>121</v>
      </c>
      <c r="B24" s="10">
        <v>43475</v>
      </c>
      <c r="C24" s="44">
        <v>0.47986111111111113</v>
      </c>
      <c r="D24" s="43">
        <v>7.43</v>
      </c>
      <c r="E24" s="43">
        <v>1895</v>
      </c>
      <c r="F24" s="8">
        <v>0.03</v>
      </c>
      <c r="G24" s="43">
        <v>260</v>
      </c>
      <c r="H24" s="43">
        <v>720</v>
      </c>
      <c r="I24" s="43">
        <v>44</v>
      </c>
      <c r="J24" s="194">
        <v>2.5</v>
      </c>
      <c r="K24" s="43">
        <v>719</v>
      </c>
      <c r="L24" s="43">
        <v>24</v>
      </c>
      <c r="M24" s="165">
        <v>187.3</v>
      </c>
      <c r="N24" s="165">
        <v>37.67</v>
      </c>
      <c r="O24" s="12">
        <v>242.8</v>
      </c>
      <c r="P24" s="165">
        <v>16.55</v>
      </c>
      <c r="Q24" s="170">
        <v>6.4790000000000001</v>
      </c>
      <c r="R24" s="171">
        <v>0.2</v>
      </c>
      <c r="S24" s="163">
        <v>0.3</v>
      </c>
      <c r="T24" s="163">
        <v>0.35199999999999998</v>
      </c>
      <c r="U24" s="170">
        <v>1.617</v>
      </c>
      <c r="V24" s="43">
        <v>0.18</v>
      </c>
      <c r="W24" s="170">
        <v>1.5449999999999999</v>
      </c>
      <c r="Y24" s="69">
        <f t="shared" si="0"/>
        <v>21.45131788300526</v>
      </c>
      <c r="Z24" s="69">
        <f t="shared" si="1"/>
        <v>23.170986079763694</v>
      </c>
      <c r="AA24" s="69">
        <f t="shared" si="2"/>
        <v>3.8538310307626777</v>
      </c>
    </row>
    <row r="25" spans="1:28" x14ac:dyDescent="0.35">
      <c r="A25" s="68" t="s">
        <v>53</v>
      </c>
      <c r="B25" s="10">
        <v>43475</v>
      </c>
      <c r="C25" s="44">
        <v>0.65833333333333333</v>
      </c>
      <c r="D25" s="43">
        <v>7.96</v>
      </c>
      <c r="E25" s="43">
        <v>798</v>
      </c>
      <c r="F25" s="67">
        <v>0.03</v>
      </c>
      <c r="G25" s="43">
        <v>152</v>
      </c>
      <c r="H25" s="6">
        <v>7</v>
      </c>
      <c r="I25" s="19">
        <v>12</v>
      </c>
      <c r="J25" s="138">
        <v>4.7</v>
      </c>
      <c r="K25" s="31">
        <v>324</v>
      </c>
      <c r="L25" s="43">
        <v>17</v>
      </c>
      <c r="M25" s="165">
        <v>116.4</v>
      </c>
      <c r="N25" s="165">
        <v>38.090000000000003</v>
      </c>
      <c r="O25" s="12">
        <v>60.33</v>
      </c>
      <c r="P25" s="165">
        <v>12.44</v>
      </c>
      <c r="Q25" s="170">
        <v>3.1</v>
      </c>
      <c r="R25" s="171">
        <v>0.2</v>
      </c>
      <c r="S25" s="177">
        <v>0.02</v>
      </c>
      <c r="T25" s="177">
        <v>0.02</v>
      </c>
      <c r="U25" s="43">
        <v>4.9000000000000002E-2</v>
      </c>
      <c r="V25" s="177">
        <v>0.04</v>
      </c>
      <c r="W25" s="163">
        <v>0.96799999999999997</v>
      </c>
      <c r="Y25" s="69">
        <f t="shared" si="0"/>
        <v>10.200095273215059</v>
      </c>
      <c r="Z25" s="69">
        <f t="shared" si="1"/>
        <v>11.644252864802617</v>
      </c>
      <c r="AA25" s="69">
        <f t="shared" si="2"/>
        <v>6.6111269718969607</v>
      </c>
    </row>
    <row r="26" spans="1:28" x14ac:dyDescent="0.35">
      <c r="A26" s="68" t="s">
        <v>53</v>
      </c>
      <c r="B26" s="10">
        <v>43475</v>
      </c>
      <c r="C26" s="44">
        <v>0.65902777777777777</v>
      </c>
      <c r="D26" s="43">
        <v>8.02</v>
      </c>
      <c r="E26" s="43">
        <v>820</v>
      </c>
      <c r="F26" s="67">
        <v>0.03</v>
      </c>
      <c r="G26" s="43">
        <v>152</v>
      </c>
      <c r="H26" s="6">
        <v>7</v>
      </c>
      <c r="I26" s="19">
        <v>12</v>
      </c>
      <c r="J26" s="138">
        <v>4.8</v>
      </c>
      <c r="K26" s="31">
        <v>324</v>
      </c>
      <c r="L26" s="43">
        <v>17</v>
      </c>
      <c r="M26" s="165">
        <v>112.9</v>
      </c>
      <c r="N26" s="165">
        <v>36.97</v>
      </c>
      <c r="O26" s="165">
        <v>61.88</v>
      </c>
      <c r="P26" s="165">
        <v>12.49</v>
      </c>
      <c r="Q26" s="170">
        <v>2.9159999999999999</v>
      </c>
      <c r="R26" s="171">
        <v>0.2</v>
      </c>
      <c r="S26" s="177">
        <v>0.02</v>
      </c>
      <c r="T26" s="177">
        <v>0.02</v>
      </c>
      <c r="U26" s="43">
        <v>4.9000000000000002E-2</v>
      </c>
      <c r="V26" s="177">
        <v>0.04</v>
      </c>
      <c r="W26" s="163">
        <v>0.90100000000000002</v>
      </c>
      <c r="Y26" s="69">
        <f t="shared" si="0"/>
        <v>10.201708176440864</v>
      </c>
      <c r="Z26" s="69">
        <f t="shared" si="1"/>
        <v>11.440211638348838</v>
      </c>
      <c r="AA26" s="69">
        <f t="shared" si="2"/>
        <v>5.7227060838734074</v>
      </c>
    </row>
    <row r="27" spans="1:28" x14ac:dyDescent="0.35">
      <c r="A27" s="68" t="s">
        <v>53</v>
      </c>
      <c r="B27" s="10">
        <v>43475</v>
      </c>
      <c r="C27" s="44">
        <v>0.65972222222222221</v>
      </c>
      <c r="D27" s="43">
        <v>8.02</v>
      </c>
      <c r="E27" s="43">
        <v>812</v>
      </c>
      <c r="F27" s="67">
        <v>0.03</v>
      </c>
      <c r="G27" s="43">
        <v>152</v>
      </c>
      <c r="H27" s="31">
        <v>7.1</v>
      </c>
      <c r="I27" s="19">
        <v>12</v>
      </c>
      <c r="J27" s="138">
        <v>4.7</v>
      </c>
      <c r="K27" s="31">
        <v>323</v>
      </c>
      <c r="L27" s="43">
        <v>17</v>
      </c>
      <c r="M27" s="165">
        <v>112.4</v>
      </c>
      <c r="N27" s="165">
        <v>37.020000000000003</v>
      </c>
      <c r="O27" s="165">
        <v>63.6</v>
      </c>
      <c r="P27" s="165">
        <v>12.46</v>
      </c>
      <c r="Q27" s="170">
        <v>3.1509999999999998</v>
      </c>
      <c r="R27" s="171">
        <v>0.2</v>
      </c>
      <c r="S27" s="177">
        <v>0.02</v>
      </c>
      <c r="T27" s="177">
        <v>0.02</v>
      </c>
      <c r="U27" s="43">
        <v>5.0999999999999997E-2</v>
      </c>
      <c r="V27" s="177">
        <v>0.04</v>
      </c>
      <c r="W27" s="163">
        <v>0.95399999999999996</v>
      </c>
      <c r="Y27" s="69">
        <f t="shared" si="0"/>
        <v>10.179274952582119</v>
      </c>
      <c r="Z27" s="69">
        <f t="shared" si="1"/>
        <v>11.500198747848826</v>
      </c>
      <c r="AA27" s="69">
        <f t="shared" si="2"/>
        <v>6.0929698456676507</v>
      </c>
    </row>
    <row r="28" spans="1:28" x14ac:dyDescent="0.35">
      <c r="A28" s="43" t="s">
        <v>103</v>
      </c>
      <c r="B28" s="10">
        <v>43479</v>
      </c>
      <c r="C28" s="44">
        <v>0.46666666666666662</v>
      </c>
      <c r="D28" s="43">
        <v>8.02</v>
      </c>
      <c r="E28" s="43">
        <v>2390</v>
      </c>
      <c r="F28" s="182"/>
      <c r="G28" s="43">
        <v>246</v>
      </c>
      <c r="H28" s="31">
        <v>87</v>
      </c>
      <c r="I28" s="43">
        <v>91</v>
      </c>
      <c r="J28" s="19">
        <v>17</v>
      </c>
      <c r="K28" s="43">
        <v>989</v>
      </c>
      <c r="L28" s="43">
        <v>16</v>
      </c>
      <c r="M28" s="165">
        <v>155.69999999999999</v>
      </c>
      <c r="N28" s="165">
        <v>44.35</v>
      </c>
      <c r="O28" s="165">
        <v>414.6</v>
      </c>
      <c r="P28" s="165">
        <v>22.23</v>
      </c>
      <c r="Q28" s="170">
        <v>8.0730000000000004</v>
      </c>
      <c r="R28" s="171">
        <v>0.2</v>
      </c>
      <c r="S28" s="81">
        <v>0.02</v>
      </c>
      <c r="T28" s="177">
        <v>0.02</v>
      </c>
      <c r="U28" s="163">
        <v>0.45800000000000002</v>
      </c>
      <c r="V28" s="177">
        <v>0.04</v>
      </c>
      <c r="W28" s="170">
        <v>1.85</v>
      </c>
      <c r="Y28" s="68">
        <f t="shared" si="0"/>
        <v>28.352486423050824</v>
      </c>
      <c r="Z28" s="69">
        <f t="shared" si="1"/>
        <v>29.657063408141376</v>
      </c>
      <c r="AA28" s="69">
        <f t="shared" si="2"/>
        <v>2.2489003774152212</v>
      </c>
    </row>
    <row r="29" spans="1:28" s="68" customFormat="1" x14ac:dyDescent="0.35">
      <c r="A29" s="68" t="s">
        <v>103</v>
      </c>
      <c r="B29" s="10">
        <v>43479</v>
      </c>
      <c r="C29" s="44">
        <v>0.46875</v>
      </c>
      <c r="D29" s="68">
        <v>8.02</v>
      </c>
      <c r="E29" s="68">
        <v>2360</v>
      </c>
      <c r="F29" s="182"/>
      <c r="G29" s="68">
        <v>246</v>
      </c>
      <c r="H29" s="31">
        <v>87</v>
      </c>
      <c r="I29" s="68">
        <v>92</v>
      </c>
      <c r="J29" s="19">
        <v>16</v>
      </c>
      <c r="K29" s="68">
        <v>992</v>
      </c>
      <c r="L29" s="68">
        <v>17</v>
      </c>
      <c r="M29" s="165">
        <v>158.30000000000001</v>
      </c>
      <c r="N29" s="165">
        <v>44.76</v>
      </c>
      <c r="O29" s="165">
        <v>418</v>
      </c>
      <c r="P29" s="165">
        <v>22.27</v>
      </c>
      <c r="Q29" s="170">
        <v>8.6519999999999992</v>
      </c>
      <c r="R29" s="171">
        <v>0.2</v>
      </c>
      <c r="S29" s="81">
        <v>0.02</v>
      </c>
      <c r="T29" s="177">
        <v>0.02</v>
      </c>
      <c r="U29" s="163">
        <v>0.45</v>
      </c>
      <c r="V29" s="177">
        <v>0.04</v>
      </c>
      <c r="W29" s="170">
        <v>1.843</v>
      </c>
      <c r="Y29" s="68">
        <f t="shared" si="0"/>
        <v>28.42702709740243</v>
      </c>
      <c r="Z29" s="69">
        <f t="shared" si="1"/>
        <v>29.983219603634669</v>
      </c>
      <c r="AA29" s="69">
        <f t="shared" si="2"/>
        <v>2.6642457344810508</v>
      </c>
    </row>
    <row r="30" spans="1:28" s="68" customFormat="1" x14ac:dyDescent="0.35">
      <c r="A30" s="68" t="s">
        <v>103</v>
      </c>
      <c r="B30" s="10">
        <v>43479</v>
      </c>
      <c r="C30" s="44">
        <v>0.47083333333333338</v>
      </c>
      <c r="D30" s="68">
        <v>8.02</v>
      </c>
      <c r="E30" s="68">
        <v>2370</v>
      </c>
      <c r="F30" s="182"/>
      <c r="G30" s="68">
        <v>246</v>
      </c>
      <c r="H30" s="31">
        <v>83</v>
      </c>
      <c r="I30" s="68">
        <v>92</v>
      </c>
      <c r="J30" s="19">
        <v>16</v>
      </c>
      <c r="K30" s="68">
        <v>990</v>
      </c>
      <c r="L30" s="68">
        <v>20</v>
      </c>
      <c r="M30" s="165">
        <v>156</v>
      </c>
      <c r="N30" s="165">
        <v>44.09</v>
      </c>
      <c r="O30" s="165">
        <v>408.4</v>
      </c>
      <c r="P30" s="165">
        <v>22.23</v>
      </c>
      <c r="Q30" s="170">
        <v>8.9260000000000002</v>
      </c>
      <c r="R30" s="171">
        <v>0.2</v>
      </c>
      <c r="S30" s="81">
        <v>0.02</v>
      </c>
      <c r="T30" s="177">
        <v>0.02</v>
      </c>
      <c r="U30" s="163">
        <v>0.44400000000000001</v>
      </c>
      <c r="V30" s="177">
        <v>0.04</v>
      </c>
      <c r="W30" s="170">
        <v>1.8089999999999999</v>
      </c>
      <c r="Y30" s="68">
        <f t="shared" si="0"/>
        <v>28.385386456136551</v>
      </c>
      <c r="Z30" s="69">
        <f t="shared" si="1"/>
        <v>29.402785275212331</v>
      </c>
      <c r="AA30" s="69">
        <f t="shared" si="2"/>
        <v>1.7605658538663578</v>
      </c>
    </row>
    <row r="31" spans="1:28" x14ac:dyDescent="0.35">
      <c r="M31" s="165"/>
      <c r="N31" s="165"/>
      <c r="O31" s="165"/>
      <c r="P31" s="165"/>
      <c r="Q31" s="170"/>
      <c r="R31" s="163"/>
      <c r="W31" s="163"/>
      <c r="Y31" s="117"/>
      <c r="Z31" s="69"/>
      <c r="AA31" s="69"/>
    </row>
    <row r="32" spans="1:28" x14ac:dyDescent="0.35">
      <c r="A32" s="68">
        <v>106</v>
      </c>
      <c r="B32" s="10">
        <v>43501</v>
      </c>
      <c r="C32" s="182"/>
      <c r="D32" s="182">
        <v>8</v>
      </c>
      <c r="E32" s="182">
        <v>1488</v>
      </c>
      <c r="F32" s="182" t="s">
        <v>125</v>
      </c>
      <c r="G32" s="182">
        <v>273</v>
      </c>
      <c r="H32" s="43">
        <v>202</v>
      </c>
      <c r="I32" s="43">
        <v>32</v>
      </c>
      <c r="J32" s="185">
        <v>25</v>
      </c>
      <c r="K32" s="43">
        <v>505</v>
      </c>
      <c r="L32" s="43">
        <v>20</v>
      </c>
      <c r="M32" s="165">
        <v>120.1</v>
      </c>
      <c r="N32" s="165">
        <v>47.09</v>
      </c>
      <c r="O32" s="165">
        <v>177.6</v>
      </c>
      <c r="P32" s="165">
        <v>24.92</v>
      </c>
      <c r="Q32" s="170">
        <v>6.077</v>
      </c>
      <c r="R32" s="171">
        <v>0.2</v>
      </c>
      <c r="S32" s="43">
        <v>5.8999999999999997E-2</v>
      </c>
      <c r="T32" s="177">
        <v>0.02</v>
      </c>
      <c r="U32" s="176">
        <v>0.03</v>
      </c>
      <c r="V32" s="177">
        <v>0.04</v>
      </c>
      <c r="W32" s="170">
        <v>1.2669999999999999</v>
      </c>
      <c r="Y32" s="117">
        <f t="shared" ref="Y32:Y46" si="3">((G32/50)+(I32/35.45)+(J32/62)+(K32/48.03))</f>
        <v>17.280167556832705</v>
      </c>
      <c r="Z32" s="69">
        <f t="shared" ref="Z32:Z46" si="4">((M32/20.04)+(N32/12.16)+(O32/22.99)+(Q32/39.1))</f>
        <v>17.74606673031618</v>
      </c>
      <c r="AA32" s="69">
        <f t="shared" ref="AA32:AA46" si="5">ABS((Y32-Z32)/(Y32+Z32)*100)</f>
        <v>1.3301434852059255</v>
      </c>
    </row>
    <row r="33" spans="1:27" x14ac:dyDescent="0.35">
      <c r="A33" s="68">
        <v>106</v>
      </c>
      <c r="B33" s="10">
        <v>43501</v>
      </c>
      <c r="C33" s="182"/>
      <c r="D33" s="182">
        <v>8.0299999999999994</v>
      </c>
      <c r="E33" s="182">
        <v>1499</v>
      </c>
      <c r="F33" s="198" t="s">
        <v>125</v>
      </c>
      <c r="G33" s="182">
        <v>272</v>
      </c>
      <c r="H33" s="43">
        <v>220</v>
      </c>
      <c r="I33" s="43">
        <v>32</v>
      </c>
      <c r="J33" s="185">
        <v>25</v>
      </c>
      <c r="K33" s="43">
        <v>502</v>
      </c>
      <c r="L33" s="43">
        <v>21</v>
      </c>
      <c r="M33" s="165">
        <v>119.9</v>
      </c>
      <c r="N33" s="165">
        <v>46.22</v>
      </c>
      <c r="O33" s="165">
        <v>173.4</v>
      </c>
      <c r="P33" s="165">
        <v>24.65</v>
      </c>
      <c r="Q33" s="170">
        <v>6.319</v>
      </c>
      <c r="R33" s="171">
        <v>0.2</v>
      </c>
      <c r="S33" s="43">
        <v>6.0999999999999999E-2</v>
      </c>
      <c r="T33" s="177">
        <v>0.02</v>
      </c>
      <c r="U33" s="43">
        <v>3.1E-2</v>
      </c>
      <c r="V33" s="177">
        <v>0.04</v>
      </c>
      <c r="W33" s="170">
        <v>1.3129999999999999</v>
      </c>
      <c r="Y33" s="117">
        <f t="shared" si="3"/>
        <v>17.197706594933894</v>
      </c>
      <c r="Z33" s="69">
        <f t="shared" si="4"/>
        <v>17.488041770804607</v>
      </c>
      <c r="AA33" s="69">
        <f t="shared" si="5"/>
        <v>0.83704457752884021</v>
      </c>
    </row>
    <row r="34" spans="1:27" x14ac:dyDescent="0.35">
      <c r="A34" s="68">
        <v>106</v>
      </c>
      <c r="B34" s="10">
        <v>43501</v>
      </c>
      <c r="C34" s="182"/>
      <c r="D34" s="182">
        <v>7.97</v>
      </c>
      <c r="E34" s="182">
        <v>1500</v>
      </c>
      <c r="F34" s="198" t="s">
        <v>125</v>
      </c>
      <c r="G34" s="182">
        <v>273</v>
      </c>
      <c r="H34" s="43">
        <v>211</v>
      </c>
      <c r="I34" s="43">
        <v>31</v>
      </c>
      <c r="J34" s="185">
        <v>24</v>
      </c>
      <c r="K34" s="43">
        <v>502</v>
      </c>
      <c r="L34" s="43">
        <v>23</v>
      </c>
      <c r="M34" s="165">
        <v>120.9</v>
      </c>
      <c r="N34" s="165">
        <v>46.57</v>
      </c>
      <c r="O34" s="165">
        <v>174.9</v>
      </c>
      <c r="P34" s="165">
        <v>25</v>
      </c>
      <c r="Q34" s="170">
        <v>6.1550000000000002</v>
      </c>
      <c r="R34" s="171">
        <v>0.2</v>
      </c>
      <c r="S34" s="43">
        <v>6.0999999999999999E-2</v>
      </c>
      <c r="T34" s="177">
        <v>0.02</v>
      </c>
      <c r="U34" s="176">
        <v>0.03</v>
      </c>
      <c r="V34" s="177">
        <v>0.04</v>
      </c>
      <c r="W34" s="170">
        <v>1.2909999999999999</v>
      </c>
      <c r="Y34" s="117">
        <f t="shared" si="3"/>
        <v>17.17336881796497</v>
      </c>
      <c r="Z34" s="69">
        <f t="shared" si="4"/>
        <v>17.627776250766374</v>
      </c>
      <c r="AA34" s="69">
        <f t="shared" si="5"/>
        <v>1.3057255211113332</v>
      </c>
    </row>
    <row r="35" spans="1:27" x14ac:dyDescent="0.35">
      <c r="A35" s="68">
        <v>110</v>
      </c>
      <c r="B35" s="10">
        <v>43501</v>
      </c>
      <c r="C35" s="182"/>
      <c r="D35" s="182">
        <v>7.88</v>
      </c>
      <c r="E35" s="182">
        <v>1716</v>
      </c>
      <c r="F35" s="198" t="s">
        <v>125</v>
      </c>
      <c r="G35" s="182">
        <v>318</v>
      </c>
      <c r="H35" s="43">
        <v>293</v>
      </c>
      <c r="I35" s="43">
        <v>47</v>
      </c>
      <c r="J35" s="185">
        <v>22</v>
      </c>
      <c r="K35" s="43">
        <v>593</v>
      </c>
      <c r="L35" s="43">
        <v>28</v>
      </c>
      <c r="M35" s="165">
        <v>153.1</v>
      </c>
      <c r="N35" s="165">
        <v>63.87</v>
      </c>
      <c r="O35" s="165">
        <v>189.2</v>
      </c>
      <c r="P35" s="165">
        <v>24.37</v>
      </c>
      <c r="Q35" s="170">
        <v>6.6589999999999998</v>
      </c>
      <c r="R35" s="171">
        <v>0.2</v>
      </c>
      <c r="S35" s="43">
        <v>7.2999999999999995E-2</v>
      </c>
      <c r="T35" s="177">
        <v>0.02</v>
      </c>
      <c r="U35" s="43">
        <v>4.5999999999999999E-2</v>
      </c>
      <c r="V35" s="177">
        <v>0.04</v>
      </c>
      <c r="W35" s="170">
        <v>1.538</v>
      </c>
      <c r="Y35" s="117">
        <f t="shared" si="3"/>
        <v>20.387099846419943</v>
      </c>
      <c r="Z35" s="69">
        <f t="shared" si="4"/>
        <v>21.29215964128657</v>
      </c>
      <c r="AA35" s="69">
        <f t="shared" si="5"/>
        <v>2.1714872240798293</v>
      </c>
    </row>
    <row r="36" spans="1:27" x14ac:dyDescent="0.35">
      <c r="A36" s="68">
        <v>110</v>
      </c>
      <c r="B36" s="10">
        <v>43501</v>
      </c>
      <c r="C36" s="182"/>
      <c r="D36" s="182">
        <v>7.94</v>
      </c>
      <c r="E36" s="182">
        <v>1708</v>
      </c>
      <c r="F36" s="198" t="s">
        <v>125</v>
      </c>
      <c r="G36" s="182">
        <v>322</v>
      </c>
      <c r="H36" s="43">
        <v>295</v>
      </c>
      <c r="I36" s="43">
        <v>46</v>
      </c>
      <c r="J36" s="185">
        <v>21</v>
      </c>
      <c r="K36" s="43">
        <v>591</v>
      </c>
      <c r="L36" s="43">
        <v>27</v>
      </c>
      <c r="M36" s="165">
        <v>152.6</v>
      </c>
      <c r="N36" s="165">
        <v>65.91</v>
      </c>
      <c r="O36" s="165">
        <v>196.3</v>
      </c>
      <c r="P36" s="165">
        <v>24.83</v>
      </c>
      <c r="Q36" s="170">
        <v>6.77</v>
      </c>
      <c r="R36" s="171">
        <v>0.2</v>
      </c>
      <c r="S36" s="43">
        <v>7.2999999999999995E-2</v>
      </c>
      <c r="T36" s="177">
        <v>0.02</v>
      </c>
      <c r="U36" s="43">
        <v>4.5999999999999999E-2</v>
      </c>
      <c r="V36" s="177">
        <v>0.04</v>
      </c>
      <c r="W36" s="170">
        <v>1.498</v>
      </c>
      <c r="Y36" s="117">
        <f t="shared" si="3"/>
        <v>20.381121428185139</v>
      </c>
      <c r="Z36" s="69">
        <f t="shared" si="4"/>
        <v>21.746641500116024</v>
      </c>
      <c r="AA36" s="69">
        <f t="shared" si="5"/>
        <v>3.2413780771006393</v>
      </c>
    </row>
    <row r="37" spans="1:27" x14ac:dyDescent="0.35">
      <c r="A37" s="68">
        <v>110</v>
      </c>
      <c r="B37" s="10">
        <v>43501</v>
      </c>
      <c r="C37" s="182"/>
      <c r="D37" s="182">
        <v>7.88</v>
      </c>
      <c r="E37" s="182">
        <v>1712</v>
      </c>
      <c r="F37" s="198" t="s">
        <v>125</v>
      </c>
      <c r="G37" s="182">
        <v>322</v>
      </c>
      <c r="H37" s="43">
        <v>281</v>
      </c>
      <c r="I37" s="43">
        <v>46</v>
      </c>
      <c r="J37" s="27">
        <v>21</v>
      </c>
      <c r="K37" s="43">
        <v>588</v>
      </c>
      <c r="L37" s="43">
        <v>28</v>
      </c>
      <c r="M37" s="165">
        <v>145.9</v>
      </c>
      <c r="N37" s="165">
        <v>59.35</v>
      </c>
      <c r="O37" s="165">
        <v>189.3</v>
      </c>
      <c r="P37" s="165">
        <v>22.56</v>
      </c>
      <c r="Q37" s="170">
        <v>6.1909999999999998</v>
      </c>
      <c r="R37" s="171">
        <v>0.2</v>
      </c>
      <c r="S37" s="43">
        <v>7.2999999999999995E-2</v>
      </c>
      <c r="T37" s="177">
        <v>0.02</v>
      </c>
      <c r="U37" s="43">
        <v>4.7E-2</v>
      </c>
      <c r="V37" s="177">
        <v>0.04</v>
      </c>
      <c r="W37" s="170">
        <v>1.534</v>
      </c>
      <c r="Y37" s="117">
        <f t="shared" si="3"/>
        <v>20.318660466286325</v>
      </c>
      <c r="Z37" s="69">
        <f t="shared" si="4"/>
        <v>20.553548085650498</v>
      </c>
      <c r="AA37" s="69">
        <f t="shared" si="5"/>
        <v>0.57468785682500689</v>
      </c>
    </row>
    <row r="38" spans="1:27" x14ac:dyDescent="0.35">
      <c r="A38" s="68">
        <v>120</v>
      </c>
      <c r="B38" s="10">
        <v>43501</v>
      </c>
      <c r="C38" s="182"/>
      <c r="D38" s="182">
        <v>7.94</v>
      </c>
      <c r="E38" s="182">
        <v>2010</v>
      </c>
      <c r="F38" s="198" t="s">
        <v>125</v>
      </c>
      <c r="G38" s="182">
        <v>290</v>
      </c>
      <c r="H38" s="43">
        <v>670</v>
      </c>
      <c r="I38" s="43">
        <v>52</v>
      </c>
      <c r="J38" s="195">
        <v>5</v>
      </c>
      <c r="K38" s="43">
        <v>787</v>
      </c>
      <c r="L38" s="43">
        <v>26</v>
      </c>
      <c r="M38" s="165">
        <v>176.9</v>
      </c>
      <c r="N38" s="165">
        <v>34.39</v>
      </c>
      <c r="O38" s="165">
        <v>279.5</v>
      </c>
      <c r="P38" s="165">
        <v>16.16</v>
      </c>
      <c r="Q38" s="170">
        <v>7.2210000000000001</v>
      </c>
      <c r="R38" s="171">
        <v>0.2</v>
      </c>
      <c r="S38" s="163">
        <v>0.51400000000000001</v>
      </c>
      <c r="T38" s="177">
        <v>0.02</v>
      </c>
      <c r="U38" s="170">
        <v>1.056</v>
      </c>
      <c r="V38" s="163">
        <v>0.11899999999999999</v>
      </c>
      <c r="W38" s="170">
        <v>1.8979999999999999</v>
      </c>
      <c r="Y38" s="117">
        <f t="shared" si="3"/>
        <v>23.733092224377067</v>
      </c>
      <c r="Z38" s="69">
        <f t="shared" si="4"/>
        <v>23.997610381401877</v>
      </c>
      <c r="AA38" s="69">
        <f t="shared" si="5"/>
        <v>0.55418869319720343</v>
      </c>
    </row>
    <row r="39" spans="1:27" x14ac:dyDescent="0.35">
      <c r="A39" s="68">
        <v>120</v>
      </c>
      <c r="B39" s="10">
        <v>43501</v>
      </c>
      <c r="C39" s="182"/>
      <c r="D39" s="182">
        <v>7.98</v>
      </c>
      <c r="E39" s="182">
        <v>2010</v>
      </c>
      <c r="F39" s="198" t="s">
        <v>125</v>
      </c>
      <c r="G39" s="182">
        <v>295</v>
      </c>
      <c r="H39" s="43">
        <v>671</v>
      </c>
      <c r="I39" s="43">
        <v>50</v>
      </c>
      <c r="J39" s="195">
        <v>5</v>
      </c>
      <c r="K39" s="43">
        <v>783</v>
      </c>
      <c r="L39" s="43">
        <v>25</v>
      </c>
      <c r="M39" s="165">
        <v>187.3</v>
      </c>
      <c r="N39" s="165">
        <v>37.119999999999997</v>
      </c>
      <c r="O39" s="165">
        <v>329.7</v>
      </c>
      <c r="P39" s="165">
        <v>15.99</v>
      </c>
      <c r="Q39" s="170">
        <v>8.6549999999999994</v>
      </c>
      <c r="R39" s="171">
        <v>0.2</v>
      </c>
      <c r="S39" s="163">
        <v>0.52800000000000002</v>
      </c>
      <c r="T39" s="177">
        <v>0.02</v>
      </c>
      <c r="U39" s="170">
        <v>1.0740000000000001</v>
      </c>
      <c r="V39" s="163">
        <v>0.123</v>
      </c>
      <c r="W39" s="170">
        <v>1.992</v>
      </c>
      <c r="Y39" s="117">
        <f t="shared" si="3"/>
        <v>23.693393452423596</v>
      </c>
      <c r="Z39" s="69">
        <f t="shared" si="4"/>
        <v>26.961312296738939</v>
      </c>
      <c r="AA39" s="69">
        <f t="shared" si="5"/>
        <v>6.4513628022987195</v>
      </c>
    </row>
    <row r="40" spans="1:27" x14ac:dyDescent="0.35">
      <c r="A40" s="68">
        <v>120</v>
      </c>
      <c r="B40" s="10">
        <v>43501</v>
      </c>
      <c r="C40" s="182"/>
      <c r="D40" s="182">
        <v>7.89</v>
      </c>
      <c r="E40" s="182">
        <v>2010</v>
      </c>
      <c r="F40" s="198" t="s">
        <v>125</v>
      </c>
      <c r="G40" s="182">
        <v>293</v>
      </c>
      <c r="H40" s="43">
        <v>672</v>
      </c>
      <c r="I40" s="43">
        <v>52</v>
      </c>
      <c r="J40" s="195">
        <v>5</v>
      </c>
      <c r="K40" s="43">
        <v>781</v>
      </c>
      <c r="L40" s="43">
        <v>26</v>
      </c>
      <c r="M40" s="165">
        <v>187.4</v>
      </c>
      <c r="N40" s="165">
        <v>37.130000000000003</v>
      </c>
      <c r="O40" s="165">
        <v>333</v>
      </c>
      <c r="P40" s="165">
        <v>16.23</v>
      </c>
      <c r="Q40" s="170">
        <v>8.0269999999999992</v>
      </c>
      <c r="R40" s="171">
        <v>0.2</v>
      </c>
      <c r="S40" s="163">
        <v>0.49399999999999999</v>
      </c>
      <c r="T40" s="30">
        <v>0.02</v>
      </c>
      <c r="U40" s="170">
        <v>1.071</v>
      </c>
      <c r="V40" s="163">
        <v>0.122</v>
      </c>
      <c r="W40" s="170">
        <v>1.964</v>
      </c>
      <c r="Y40" s="117">
        <f t="shared" si="3"/>
        <v>23.668170300579444</v>
      </c>
      <c r="Z40" s="69">
        <f t="shared" si="4"/>
        <v>27.094603973902363</v>
      </c>
      <c r="AA40" s="69">
        <f t="shared" si="5"/>
        <v>6.7498944301107073</v>
      </c>
    </row>
    <row r="41" spans="1:27" x14ac:dyDescent="0.35">
      <c r="A41" s="68">
        <v>121</v>
      </c>
      <c r="B41" s="10">
        <v>43501</v>
      </c>
      <c r="C41" s="182"/>
      <c r="D41" s="182">
        <v>7.82</v>
      </c>
      <c r="E41" s="182">
        <v>1773</v>
      </c>
      <c r="F41" s="198" t="s">
        <v>125</v>
      </c>
      <c r="G41" s="182">
        <v>263</v>
      </c>
      <c r="H41" s="43">
        <v>774</v>
      </c>
      <c r="I41" s="43">
        <v>42</v>
      </c>
      <c r="J41" s="195">
        <v>5</v>
      </c>
      <c r="K41" s="43">
        <v>685</v>
      </c>
      <c r="L41" s="43">
        <v>24</v>
      </c>
      <c r="M41" s="165">
        <v>183.3</v>
      </c>
      <c r="N41" s="165">
        <v>38.270000000000003</v>
      </c>
      <c r="O41" s="165">
        <v>238</v>
      </c>
      <c r="P41" s="165">
        <v>14.9</v>
      </c>
      <c r="Q41" s="170">
        <v>7.4480000000000004</v>
      </c>
      <c r="R41" s="171">
        <v>0.2</v>
      </c>
      <c r="S41" s="163">
        <v>0.33600000000000002</v>
      </c>
      <c r="T41" s="43">
        <v>7.1999999999999995E-2</v>
      </c>
      <c r="U41" s="170">
        <v>1.7849999999999999</v>
      </c>
      <c r="V41" s="163">
        <v>0.182</v>
      </c>
      <c r="W41" s="170">
        <v>1.63</v>
      </c>
      <c r="Y41" s="117">
        <f t="shared" si="3"/>
        <v>20.787332072708814</v>
      </c>
      <c r="Z41" s="69">
        <f t="shared" si="4"/>
        <v>22.836723566437186</v>
      </c>
      <c r="AA41" s="69">
        <f t="shared" si="5"/>
        <v>4.6978472397906827</v>
      </c>
    </row>
    <row r="42" spans="1:27" x14ac:dyDescent="0.35">
      <c r="A42" s="68">
        <v>121</v>
      </c>
      <c r="B42" s="10">
        <v>43501</v>
      </c>
      <c r="C42" s="182"/>
      <c r="D42" s="182">
        <v>7.86</v>
      </c>
      <c r="E42" s="182">
        <v>1777</v>
      </c>
      <c r="F42" s="198" t="s">
        <v>125</v>
      </c>
      <c r="G42" s="182">
        <v>263</v>
      </c>
      <c r="H42" s="43">
        <v>744</v>
      </c>
      <c r="I42" s="43">
        <v>41</v>
      </c>
      <c r="J42" s="195">
        <v>5</v>
      </c>
      <c r="K42" s="43">
        <v>658</v>
      </c>
      <c r="L42" s="43">
        <v>24</v>
      </c>
      <c r="M42" s="165">
        <v>171.4</v>
      </c>
      <c r="N42" s="165">
        <v>35.92</v>
      </c>
      <c r="O42" s="165">
        <v>256</v>
      </c>
      <c r="P42" s="165">
        <v>14.22</v>
      </c>
      <c r="Q42" s="170">
        <v>6.9050000000000002</v>
      </c>
      <c r="R42" s="171">
        <v>0.2</v>
      </c>
      <c r="S42" s="163">
        <v>0.32500000000000001</v>
      </c>
      <c r="T42" s="43">
        <v>6.9000000000000006E-2</v>
      </c>
      <c r="U42" s="170">
        <v>1.722</v>
      </c>
      <c r="V42" s="163">
        <v>0.17399999999999999</v>
      </c>
      <c r="W42" s="170">
        <v>1.587</v>
      </c>
      <c r="Y42" s="117">
        <f t="shared" si="3"/>
        <v>20.196974670908634</v>
      </c>
      <c r="Z42" s="69">
        <f t="shared" si="4"/>
        <v>22.818716252517586</v>
      </c>
      <c r="AA42" s="69">
        <f t="shared" si="5"/>
        <v>6.0948494033863314</v>
      </c>
    </row>
    <row r="43" spans="1:27" x14ac:dyDescent="0.35">
      <c r="A43" s="68">
        <v>121</v>
      </c>
      <c r="B43" s="10">
        <v>43501</v>
      </c>
      <c r="C43" s="182"/>
      <c r="D43" s="182">
        <v>7.79</v>
      </c>
      <c r="E43" s="182">
        <v>1774</v>
      </c>
      <c r="F43" s="198" t="s">
        <v>125</v>
      </c>
      <c r="G43" s="182">
        <v>262</v>
      </c>
      <c r="H43" s="43">
        <v>757</v>
      </c>
      <c r="I43" s="43">
        <v>41</v>
      </c>
      <c r="J43" s="195">
        <v>5</v>
      </c>
      <c r="K43" s="43">
        <v>654</v>
      </c>
      <c r="L43" s="43">
        <v>24</v>
      </c>
      <c r="M43" s="165">
        <v>171.8</v>
      </c>
      <c r="N43" s="165">
        <v>36.369999999999997</v>
      </c>
      <c r="O43" s="165">
        <v>246</v>
      </c>
      <c r="P43" s="165">
        <v>14.55</v>
      </c>
      <c r="Q43" s="170">
        <v>6.6589999999999998</v>
      </c>
      <c r="R43" s="171">
        <v>0.2</v>
      </c>
      <c r="S43" s="163">
        <v>0.33700000000000002</v>
      </c>
      <c r="T43" s="176">
        <v>7.0000000000000007E-2</v>
      </c>
      <c r="U43" s="170">
        <v>1.7829999999999999</v>
      </c>
      <c r="V43" s="163">
        <v>0.18099999999999999</v>
      </c>
      <c r="W43" s="170">
        <v>1.6259999999999999</v>
      </c>
      <c r="Y43" s="117">
        <f t="shared" si="3"/>
        <v>20.093693388376884</v>
      </c>
      <c r="Z43" s="69">
        <f t="shared" si="4"/>
        <v>22.434419624365219</v>
      </c>
      <c r="AA43" s="69">
        <f t="shared" si="5"/>
        <v>5.5039503758067418</v>
      </c>
    </row>
    <row r="44" spans="1:27" x14ac:dyDescent="0.35">
      <c r="A44" s="68" t="s">
        <v>53</v>
      </c>
      <c r="B44" s="10">
        <v>43501</v>
      </c>
      <c r="C44" s="182"/>
      <c r="D44" s="182">
        <v>8.23</v>
      </c>
      <c r="E44" s="182">
        <v>930</v>
      </c>
      <c r="F44" s="198" t="s">
        <v>125</v>
      </c>
      <c r="G44" s="182">
        <v>171</v>
      </c>
      <c r="H44" s="43">
        <v>7.4</v>
      </c>
      <c r="I44" s="43">
        <v>12</v>
      </c>
      <c r="J44" s="138">
        <v>4.8</v>
      </c>
      <c r="K44" s="43">
        <v>331</v>
      </c>
      <c r="L44" s="43">
        <v>16</v>
      </c>
      <c r="M44" s="12">
        <v>110.5</v>
      </c>
      <c r="N44" s="165">
        <v>36.17</v>
      </c>
      <c r="O44" s="165">
        <v>56.5</v>
      </c>
      <c r="P44" s="165">
        <v>12.1</v>
      </c>
      <c r="Q44" s="170">
        <v>3.3330000000000002</v>
      </c>
      <c r="R44" s="171">
        <v>0.2</v>
      </c>
      <c r="S44" s="177">
        <v>0.02</v>
      </c>
      <c r="T44" s="177">
        <v>0.02</v>
      </c>
      <c r="U44" s="43">
        <v>3.1E-2</v>
      </c>
      <c r="V44" s="177">
        <v>0.04</v>
      </c>
      <c r="W44" s="170">
        <v>1.1759999999999999</v>
      </c>
      <c r="Y44" s="117">
        <f t="shared" si="3"/>
        <v>10.727450420871428</v>
      </c>
      <c r="Z44" s="69">
        <f t="shared" si="4"/>
        <v>11.03131185822083</v>
      </c>
      <c r="AA44" s="69">
        <f t="shared" si="5"/>
        <v>1.3965014804237248</v>
      </c>
    </row>
    <row r="45" spans="1:27" x14ac:dyDescent="0.35">
      <c r="A45" s="68" t="s">
        <v>53</v>
      </c>
      <c r="B45" s="10">
        <v>43501</v>
      </c>
      <c r="C45" s="182"/>
      <c r="D45" s="182">
        <v>8.15</v>
      </c>
      <c r="E45" s="182">
        <v>926</v>
      </c>
      <c r="F45" s="198" t="s">
        <v>125</v>
      </c>
      <c r="G45" s="182">
        <v>172</v>
      </c>
      <c r="H45" s="43">
        <v>7.2</v>
      </c>
      <c r="I45" s="43">
        <v>12</v>
      </c>
      <c r="J45" s="138">
        <v>4.8</v>
      </c>
      <c r="K45" s="43">
        <v>321</v>
      </c>
      <c r="L45" s="43">
        <v>17</v>
      </c>
      <c r="M45" s="12">
        <v>111.1</v>
      </c>
      <c r="N45" s="165">
        <v>35.590000000000003</v>
      </c>
      <c r="O45" s="165">
        <v>56.74</v>
      </c>
      <c r="P45" s="165">
        <v>12.18</v>
      </c>
      <c r="Q45" s="170">
        <v>3.2610000000000001</v>
      </c>
      <c r="R45" s="171">
        <v>0.2</v>
      </c>
      <c r="S45" s="177">
        <v>0.02</v>
      </c>
      <c r="T45" s="177">
        <v>0.02</v>
      </c>
      <c r="U45" s="176">
        <v>0.03</v>
      </c>
      <c r="V45" s="177">
        <v>0.04</v>
      </c>
      <c r="W45" s="170">
        <v>1.2030000000000001</v>
      </c>
      <c r="Y45" s="117">
        <f t="shared" si="3"/>
        <v>10.539247214542051</v>
      </c>
      <c r="Z45" s="69">
        <f t="shared" si="4"/>
        <v>11.022152498779299</v>
      </c>
      <c r="AA45" s="69">
        <f t="shared" si="5"/>
        <v>2.2396750241538945</v>
      </c>
    </row>
    <row r="46" spans="1:27" x14ac:dyDescent="0.35">
      <c r="A46" s="68" t="s">
        <v>53</v>
      </c>
      <c r="B46" s="10">
        <v>43501</v>
      </c>
      <c r="C46" s="182"/>
      <c r="D46" s="182">
        <v>8.16</v>
      </c>
      <c r="E46" s="182">
        <v>924</v>
      </c>
      <c r="F46" s="198" t="s">
        <v>125</v>
      </c>
      <c r="G46" s="182">
        <v>171</v>
      </c>
      <c r="H46" s="43">
        <v>7.2</v>
      </c>
      <c r="I46" s="43">
        <v>12</v>
      </c>
      <c r="J46" s="138">
        <v>4.7</v>
      </c>
      <c r="K46" s="43">
        <v>331</v>
      </c>
      <c r="L46" s="43">
        <v>17</v>
      </c>
      <c r="M46" s="12">
        <v>108.3</v>
      </c>
      <c r="N46" s="165">
        <v>36.6</v>
      </c>
      <c r="O46" s="165">
        <v>57.09</v>
      </c>
      <c r="P46" s="165">
        <v>12.17</v>
      </c>
      <c r="Q46" s="170">
        <v>3.4689999999999999</v>
      </c>
      <c r="R46" s="171">
        <v>0.2</v>
      </c>
      <c r="S46" s="177">
        <v>0.02</v>
      </c>
      <c r="T46" s="177">
        <v>0.02</v>
      </c>
      <c r="U46" s="43">
        <v>3.1E-2</v>
      </c>
      <c r="V46" s="177">
        <v>0.04</v>
      </c>
      <c r="W46" s="170">
        <v>1.161</v>
      </c>
      <c r="Y46" s="117">
        <f t="shared" si="3"/>
        <v>10.725837517645623</v>
      </c>
      <c r="Z46" s="69">
        <f t="shared" si="4"/>
        <v>10.986034853957328</v>
      </c>
      <c r="AA46" s="69">
        <f t="shared" si="5"/>
        <v>1.198410398966874</v>
      </c>
    </row>
    <row r="47" spans="1:27" x14ac:dyDescent="0.35">
      <c r="C47" s="182"/>
      <c r="D47" s="182"/>
      <c r="E47" s="182"/>
      <c r="F47" s="182"/>
      <c r="G47" s="164"/>
      <c r="J47" s="182"/>
      <c r="M47" s="68"/>
      <c r="N47" s="68"/>
      <c r="O47" s="68"/>
      <c r="P47" s="68"/>
      <c r="Q47" s="68"/>
      <c r="Y47" s="117"/>
      <c r="Z47" s="69"/>
      <c r="AA47" s="69"/>
    </row>
    <row r="48" spans="1:27" x14ac:dyDescent="0.35">
      <c r="A48" s="68">
        <v>106</v>
      </c>
      <c r="B48" s="10">
        <v>43535</v>
      </c>
      <c r="C48" s="182"/>
      <c r="D48" s="182">
        <v>7.57</v>
      </c>
      <c r="E48" s="182">
        <v>1519</v>
      </c>
      <c r="F48" s="198" t="s">
        <v>125</v>
      </c>
      <c r="G48" s="182">
        <v>271</v>
      </c>
      <c r="H48" s="43">
        <v>213</v>
      </c>
      <c r="I48" s="43">
        <v>32</v>
      </c>
      <c r="J48" s="185">
        <v>26</v>
      </c>
      <c r="K48" s="43">
        <v>524</v>
      </c>
      <c r="L48" s="43">
        <v>22</v>
      </c>
      <c r="M48" s="68">
        <v>113.4</v>
      </c>
      <c r="N48" s="68">
        <v>42.96</v>
      </c>
      <c r="O48" s="68">
        <v>179.1</v>
      </c>
      <c r="P48" s="68">
        <v>22.92</v>
      </c>
      <c r="Q48" s="68">
        <v>6.1239999999999997</v>
      </c>
      <c r="R48" s="171">
        <v>0.2</v>
      </c>
      <c r="S48" s="177">
        <v>0.02</v>
      </c>
      <c r="T48" s="177">
        <v>0.02</v>
      </c>
      <c r="U48" s="43">
        <v>3.2000000000000001E-2</v>
      </c>
      <c r="V48" s="177">
        <v>0.04</v>
      </c>
      <c r="W48" s="170">
        <v>1.2190000000000001</v>
      </c>
      <c r="Y48" s="117">
        <f>((G48/50)+(I48/35.45)+(J48/62)+(K48/48.03))</f>
        <v>17.651882681116589</v>
      </c>
      <c r="Z48" s="69">
        <f>((M48/20.04)+(N48/12.16)+(O48/22.99)+(Q48/39.1))</f>
        <v>17.138545040157563</v>
      </c>
      <c r="AA48" s="69">
        <f>ABS((Y48-Z48)/(Y48+Z48)*100)</f>
        <v>1.4755140266502762</v>
      </c>
    </row>
    <row r="49" spans="1:27" x14ac:dyDescent="0.35">
      <c r="A49" s="68">
        <v>110</v>
      </c>
      <c r="B49" s="10">
        <v>43535</v>
      </c>
      <c r="C49" s="182"/>
      <c r="D49" s="182">
        <v>7.37</v>
      </c>
      <c r="E49" s="182">
        <v>1737</v>
      </c>
      <c r="F49" s="198" t="s">
        <v>125</v>
      </c>
      <c r="G49" s="182">
        <v>325</v>
      </c>
      <c r="H49" s="43">
        <v>288</v>
      </c>
      <c r="I49" s="43">
        <v>45</v>
      </c>
      <c r="J49" s="185">
        <v>23</v>
      </c>
      <c r="K49" s="43">
        <v>610</v>
      </c>
      <c r="L49" s="43">
        <v>23</v>
      </c>
      <c r="M49" s="43">
        <v>148</v>
      </c>
      <c r="N49" s="43">
        <v>59.86</v>
      </c>
      <c r="O49" s="43">
        <v>193.9</v>
      </c>
      <c r="P49" s="43">
        <v>22.33</v>
      </c>
      <c r="Q49" s="43">
        <v>6.5419999999999998</v>
      </c>
      <c r="R49" s="171">
        <v>0.2</v>
      </c>
      <c r="S49" s="43">
        <v>3.2000000000000001E-2</v>
      </c>
      <c r="T49" s="177">
        <v>0.02</v>
      </c>
      <c r="U49" s="177">
        <v>0.02</v>
      </c>
      <c r="V49" s="177">
        <v>0.04</v>
      </c>
      <c r="W49" s="170">
        <v>1.4610000000000001</v>
      </c>
      <c r="Y49" s="117">
        <f>((G49/50)+(I49/35.45)+(J49/62)+(K49/48.03))</f>
        <v>20.840756840016226</v>
      </c>
      <c r="Z49" s="69">
        <f>((M49/20.04)+(N49/12.16)+(O49/22.99)+(Q49/39.1))</f>
        <v>20.90934327072841</v>
      </c>
      <c r="AA49" s="69">
        <f>ABS((Y49-Z49)/(Y49+Z49)*100)</f>
        <v>0.16427848204017317</v>
      </c>
    </row>
    <row r="50" spans="1:27" x14ac:dyDescent="0.35">
      <c r="A50" s="68">
        <v>120</v>
      </c>
      <c r="B50" s="10">
        <v>43535</v>
      </c>
      <c r="C50" s="182"/>
      <c r="D50" s="182"/>
      <c r="E50" s="182"/>
      <c r="F50" s="198" t="s">
        <v>125</v>
      </c>
      <c r="G50" s="182">
        <v>296</v>
      </c>
      <c r="H50" s="43">
        <v>656</v>
      </c>
      <c r="I50" s="43">
        <v>51</v>
      </c>
      <c r="J50" s="169">
        <v>0.5</v>
      </c>
      <c r="K50" s="43">
        <v>800</v>
      </c>
      <c r="L50" s="43">
        <v>24</v>
      </c>
      <c r="M50" s="43">
        <v>170.2</v>
      </c>
      <c r="N50" s="43">
        <v>34.93</v>
      </c>
      <c r="O50" s="43">
        <v>278.5</v>
      </c>
      <c r="P50" s="43">
        <v>15.44</v>
      </c>
      <c r="Q50" s="43">
        <v>7.3140000000000001</v>
      </c>
      <c r="R50" s="171">
        <v>0.2</v>
      </c>
      <c r="S50" s="163">
        <v>0.47699999999999998</v>
      </c>
      <c r="T50" s="177">
        <v>0.02</v>
      </c>
      <c r="U50" s="170">
        <v>1.0649999999999999</v>
      </c>
      <c r="V50" s="43">
        <v>9.7000000000000003E-2</v>
      </c>
      <c r="W50" s="170">
        <v>1.758</v>
      </c>
      <c r="Y50" s="117">
        <f>((G50/50)+(I50/35.45)+(J50/62)+(K50/48.03))</f>
        <v>24.022967002733107</v>
      </c>
      <c r="Z50" s="69">
        <f>((M50/20.04)+(N50/12.16)+(O50/22.99)+(Q50/39.1))</f>
        <v>23.666568282753637</v>
      </c>
      <c r="AA50" s="69">
        <f>ABS((Y50-Z50)/(Y50+Z50)*100)</f>
        <v>0.74733108185252617</v>
      </c>
    </row>
    <row r="51" spans="1:27" x14ac:dyDescent="0.35">
      <c r="A51" s="68">
        <v>121</v>
      </c>
      <c r="B51" s="10">
        <v>43535</v>
      </c>
      <c r="C51" s="182"/>
      <c r="D51" s="182">
        <v>7.39</v>
      </c>
      <c r="E51" s="182">
        <v>1809</v>
      </c>
      <c r="F51" s="198" t="s">
        <v>125</v>
      </c>
      <c r="G51" s="182">
        <v>272</v>
      </c>
      <c r="H51" s="43">
        <v>732</v>
      </c>
      <c r="I51" s="43">
        <v>41</v>
      </c>
      <c r="J51" s="169">
        <v>0.5</v>
      </c>
      <c r="K51" s="43">
        <v>709</v>
      </c>
      <c r="L51" s="43">
        <v>19</v>
      </c>
      <c r="M51" s="43">
        <v>164.7</v>
      </c>
      <c r="N51" s="43">
        <v>35.369999999999997</v>
      </c>
      <c r="O51" s="43">
        <v>217.2</v>
      </c>
      <c r="P51" s="43">
        <v>15.24</v>
      </c>
      <c r="Q51" s="43">
        <v>6.6920000000000002</v>
      </c>
      <c r="R51" s="171">
        <v>0.2</v>
      </c>
      <c r="S51" s="163">
        <v>0.28399999999999997</v>
      </c>
      <c r="T51" s="177">
        <v>0.02</v>
      </c>
      <c r="U51" s="170">
        <v>1.6519999999999999</v>
      </c>
      <c r="V51" s="43">
        <v>0.14099999999999999</v>
      </c>
      <c r="W51" s="170">
        <v>1.528</v>
      </c>
      <c r="Y51" s="117">
        <f>((G51/50)+(I51/35.45)+(J51/62)+(K51/48.03))</f>
        <v>21.366230378027169</v>
      </c>
      <c r="Z51" s="69">
        <f>((M51/20.04)+(N51/12.16)+(O51/22.99)+(Q51/39.1))</f>
        <v>20.74601678157137</v>
      </c>
      <c r="AA51" s="69">
        <f>ABS((Y51-Z51)/(Y51+Z51)*100)</f>
        <v>1.4727630043233979</v>
      </c>
    </row>
    <row r="52" spans="1:27" x14ac:dyDescent="0.35">
      <c r="A52" s="68" t="s">
        <v>103</v>
      </c>
      <c r="B52" s="10">
        <v>43535</v>
      </c>
      <c r="C52" s="182"/>
      <c r="D52" s="182"/>
      <c r="E52" s="182"/>
      <c r="F52" s="198" t="s">
        <v>125</v>
      </c>
      <c r="G52" s="182">
        <v>248</v>
      </c>
      <c r="H52" s="43">
        <v>89</v>
      </c>
      <c r="I52" s="43">
        <v>87</v>
      </c>
      <c r="J52" s="185">
        <v>18</v>
      </c>
      <c r="K52" s="43">
        <v>994</v>
      </c>
      <c r="L52" s="43">
        <v>17</v>
      </c>
      <c r="M52" s="43">
        <v>151.5</v>
      </c>
      <c r="N52" s="43">
        <v>44.49</v>
      </c>
      <c r="O52" s="43">
        <v>413</v>
      </c>
      <c r="P52" s="43">
        <v>22.97</v>
      </c>
      <c r="Q52" s="43">
        <v>8.5960000000000001</v>
      </c>
      <c r="R52" s="171">
        <v>0.2</v>
      </c>
      <c r="S52" s="67">
        <v>0.02</v>
      </c>
      <c r="T52" s="177">
        <v>0.02</v>
      </c>
      <c r="U52" s="163">
        <v>0.31900000000000001</v>
      </c>
      <c r="V52" s="177">
        <v>0.04</v>
      </c>
      <c r="W52" s="170">
        <v>1.8089999999999999</v>
      </c>
      <c r="Y52" s="117">
        <f>((G52/50)+(I52/35.45)+(J52/62)+(K52/48.03))</f>
        <v>28.399882079630135</v>
      </c>
      <c r="Z52" s="69">
        <f>((M52/20.04)+(N52/12.16)+(O52/22.99)+(Q52/39.1))</f>
        <v>29.402776210498001</v>
      </c>
      <c r="AA52" s="69">
        <f>ABS((Y52-Z52)/(Y52+Z52)*100)</f>
        <v>1.7350311569306238</v>
      </c>
    </row>
    <row r="53" spans="1:27" x14ac:dyDescent="0.35">
      <c r="A53" s="68"/>
      <c r="B53" s="10"/>
      <c r="J53" s="182"/>
      <c r="R53" s="171"/>
      <c r="S53" s="67"/>
      <c r="T53" s="67"/>
      <c r="Y53" s="117"/>
      <c r="Z53" s="69"/>
      <c r="AA53" s="69"/>
    </row>
    <row r="54" spans="1:27" x14ac:dyDescent="0.35">
      <c r="A54" s="68" t="s">
        <v>53</v>
      </c>
      <c r="B54" s="28">
        <v>43676</v>
      </c>
      <c r="C54" s="182"/>
      <c r="D54" s="182">
        <v>7.93</v>
      </c>
      <c r="E54" s="182">
        <v>496</v>
      </c>
      <c r="F54" s="198" t="s">
        <v>125</v>
      </c>
      <c r="G54" s="182">
        <v>95</v>
      </c>
      <c r="H54" s="170">
        <v>3</v>
      </c>
      <c r="I54" s="196">
        <v>3.9</v>
      </c>
      <c r="J54" s="138">
        <v>2</v>
      </c>
      <c r="K54" s="43">
        <v>136</v>
      </c>
      <c r="L54" s="43">
        <v>11</v>
      </c>
      <c r="M54" s="165">
        <v>61.19</v>
      </c>
      <c r="N54" s="165">
        <v>15.59</v>
      </c>
      <c r="O54" s="165">
        <v>21.66</v>
      </c>
      <c r="P54" s="165">
        <v>14.13</v>
      </c>
      <c r="Q54" s="170">
        <v>2.0209999999999999</v>
      </c>
      <c r="R54" s="171">
        <v>0.2</v>
      </c>
      <c r="S54" s="177">
        <v>0.02</v>
      </c>
      <c r="T54" s="177">
        <v>0.02</v>
      </c>
      <c r="U54" s="177">
        <v>0.02</v>
      </c>
      <c r="V54" s="177">
        <v>0.04</v>
      </c>
      <c r="W54" s="163">
        <v>0.55600000000000005</v>
      </c>
      <c r="Y54" s="117">
        <f>((G54/50)+(I54/35.45)+(J54/62)+(K54/48.03))</f>
        <v>4.8738357749680183</v>
      </c>
      <c r="Z54" s="69">
        <f>((M54/20.04)+(N54/12.16)+(O54/22.99)+(Q54/39.1))</f>
        <v>5.3293023218641267</v>
      </c>
      <c r="AA54" s="69">
        <f>ABS((Y54-Z54)/(Y54+Z54)*100)</f>
        <v>4.4639849286909179</v>
      </c>
    </row>
    <row r="55" spans="1:27" x14ac:dyDescent="0.35">
      <c r="A55" s="68">
        <v>120</v>
      </c>
      <c r="B55" s="10">
        <v>43689</v>
      </c>
      <c r="D55" s="43">
        <v>7.5</v>
      </c>
      <c r="E55" s="43">
        <v>2230</v>
      </c>
      <c r="F55" s="198" t="s">
        <v>125</v>
      </c>
      <c r="G55" s="43">
        <v>270</v>
      </c>
      <c r="H55" s="43">
        <v>681</v>
      </c>
      <c r="I55" s="196">
        <v>58</v>
      </c>
      <c r="J55" s="146">
        <v>0.5</v>
      </c>
      <c r="K55" s="43">
        <v>810</v>
      </c>
      <c r="L55" s="43">
        <v>29</v>
      </c>
      <c r="M55" s="165">
        <v>143.30000000000001</v>
      </c>
      <c r="N55" s="165">
        <v>41.5</v>
      </c>
      <c r="O55" s="165">
        <v>351.4</v>
      </c>
      <c r="P55" s="165">
        <v>16.600000000000001</v>
      </c>
      <c r="Q55" s="170">
        <v>8.1170000000000009</v>
      </c>
      <c r="R55" s="198"/>
      <c r="S55" s="198"/>
      <c r="T55" s="198"/>
      <c r="U55" s="198"/>
      <c r="V55" s="198"/>
      <c r="W55" s="198"/>
      <c r="Y55" s="117">
        <f>((G55/50)+(I55/35.45)+(J55/62)+(K55/48.03))</f>
        <v>23.908631422038511</v>
      </c>
      <c r="Z55" s="69">
        <f>((M55/20.04)+(N55/12.16)+(O55/22.99)+(Q55/39.1))</f>
        <v>26.056029939169953</v>
      </c>
      <c r="AA55" s="69">
        <f>ABS((Y55-Z55)/(Y55+Z55)*100)</f>
        <v>4.2978346267721106</v>
      </c>
    </row>
    <row r="56" spans="1:27" x14ac:dyDescent="0.35">
      <c r="A56" s="68">
        <v>106</v>
      </c>
      <c r="B56" s="10">
        <v>43689</v>
      </c>
      <c r="D56" s="43">
        <v>7.35</v>
      </c>
      <c r="E56" s="43">
        <v>2170</v>
      </c>
      <c r="F56" s="198" t="s">
        <v>125</v>
      </c>
      <c r="G56" s="165">
        <v>330.4</v>
      </c>
      <c r="H56" s="43">
        <v>408</v>
      </c>
      <c r="I56" s="196">
        <v>50</v>
      </c>
      <c r="J56" s="19">
        <v>15</v>
      </c>
      <c r="K56" s="43">
        <v>841</v>
      </c>
      <c r="L56" s="43">
        <v>28</v>
      </c>
      <c r="M56" s="165">
        <v>154.4</v>
      </c>
      <c r="N56" s="165">
        <v>63.52</v>
      </c>
      <c r="O56" s="165">
        <v>260.2</v>
      </c>
      <c r="P56" s="165">
        <v>25.51</v>
      </c>
      <c r="Q56" s="170">
        <v>6.8520000000000003</v>
      </c>
      <c r="R56" s="198"/>
      <c r="S56" s="198"/>
      <c r="T56" s="198"/>
      <c r="U56" s="198"/>
      <c r="V56" s="198"/>
      <c r="W56" s="198"/>
      <c r="Y56" s="117">
        <f>((G56/50)+(I56/35.45)+(J56/62)+(K56/48.03))</f>
        <v>25.770262371714633</v>
      </c>
      <c r="Z56" s="69">
        <f>((M56/20.04)+(N56/12.16)+(O56/22.99)+(Q56/39.1))</f>
        <v>24.421482327959907</v>
      </c>
      <c r="AA56" s="69">
        <f>ABS((Y56-Z56)/(Y56+Z56)*100)</f>
        <v>2.6872547504081314</v>
      </c>
    </row>
    <row r="57" spans="1:27" x14ac:dyDescent="0.35">
      <c r="A57" s="68">
        <v>110</v>
      </c>
      <c r="B57" s="10">
        <v>43699</v>
      </c>
      <c r="D57" s="43">
        <v>6.99</v>
      </c>
      <c r="E57" s="43">
        <v>2420</v>
      </c>
      <c r="F57" s="198" t="s">
        <v>125</v>
      </c>
      <c r="G57" s="43">
        <v>341</v>
      </c>
      <c r="H57" s="43">
        <v>588</v>
      </c>
      <c r="I57" s="196">
        <v>80</v>
      </c>
      <c r="J57" s="146">
        <v>0.5</v>
      </c>
      <c r="K57" s="43">
        <v>1038</v>
      </c>
      <c r="L57" s="198">
        <v>36</v>
      </c>
      <c r="M57" s="165">
        <v>273.10000000000002</v>
      </c>
      <c r="N57" s="165">
        <v>109.3</v>
      </c>
      <c r="O57" s="165">
        <v>221.6</v>
      </c>
      <c r="P57" s="165">
        <v>22.17</v>
      </c>
      <c r="Q57" s="170">
        <v>7.8520000000000003</v>
      </c>
      <c r="R57" s="198"/>
      <c r="S57" s="198"/>
      <c r="T57" s="198"/>
      <c r="U57" s="198"/>
      <c r="V57" s="198"/>
      <c r="W57" s="198"/>
      <c r="Y57" s="117">
        <f>((G57/50)+(I57/35.45)+(J57/62)+(K57/48.03))</f>
        <v>30.696256909987241</v>
      </c>
      <c r="Z57" s="69">
        <f>((M57/20.04)+(N57/12.16)+(O57/22.99)+(Q57/39.1))</f>
        <v>32.456023234130221</v>
      </c>
      <c r="AA57" s="69">
        <f>ABS((Y57-Z57)/(Y57+Z57)*100)</f>
        <v>2.7865443973314705</v>
      </c>
    </row>
    <row r="58" spans="1:27" x14ac:dyDescent="0.35">
      <c r="A58" s="111" t="s">
        <v>103</v>
      </c>
      <c r="B58" s="10">
        <v>43711</v>
      </c>
      <c r="D58" s="182"/>
      <c r="E58" s="182"/>
      <c r="F58" s="198" t="s">
        <v>125</v>
      </c>
      <c r="G58" s="182">
        <v>239</v>
      </c>
      <c r="H58" s="165">
        <v>95</v>
      </c>
      <c r="I58" s="196">
        <v>84</v>
      </c>
      <c r="J58" s="19">
        <v>8.6</v>
      </c>
      <c r="K58" s="43">
        <v>1096</v>
      </c>
      <c r="L58" s="43">
        <v>22</v>
      </c>
      <c r="M58" s="165">
        <v>188.2</v>
      </c>
      <c r="N58" s="165">
        <v>56.23</v>
      </c>
      <c r="O58" s="165">
        <v>476.1</v>
      </c>
      <c r="P58" s="165">
        <v>22.39</v>
      </c>
      <c r="Q58" s="165">
        <v>10.02</v>
      </c>
      <c r="R58" s="198"/>
      <c r="S58" s="198"/>
      <c r="T58" s="198"/>
      <c r="U58" s="198"/>
      <c r="V58" s="198"/>
      <c r="W58" s="198"/>
      <c r="Y58" s="117">
        <f>((G58/50)+(I58/35.45)+(J58/62)+(K58/48.03))</f>
        <v>30.107315646831395</v>
      </c>
      <c r="Z58" s="69">
        <f>((M58/20.04)+(N58/12.16)+(O58/22.99)+(Q58/39.1))</f>
        <v>34.980665095849481</v>
      </c>
      <c r="AA58" s="69">
        <f>ABS((Y58-Z58)/(Y58+Z58)*100)</f>
        <v>7.4873262212333911</v>
      </c>
    </row>
    <row r="59" spans="1:27" x14ac:dyDescent="0.35">
      <c r="A59" s="111"/>
      <c r="B59" s="10"/>
    </row>
    <row r="60" spans="1:27" x14ac:dyDescent="0.35">
      <c r="A60" s="111"/>
      <c r="B60" s="10"/>
    </row>
  </sheetData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282D6-3412-4889-8F43-CAB95CF58F8F}">
  <dimension ref="A1:Z61"/>
  <sheetViews>
    <sheetView workbookViewId="0">
      <pane ySplit="8" topLeftCell="A46" activePane="bottomLeft" state="frozen"/>
      <selection pane="bottomLeft" activeCell="F59" sqref="F59"/>
    </sheetView>
  </sheetViews>
  <sheetFormatPr defaultRowHeight="14.5" x14ac:dyDescent="0.35"/>
  <cols>
    <col min="1" max="1" width="25" bestFit="1" customWidth="1"/>
    <col min="2" max="2" width="11.6328125" customWidth="1"/>
    <col min="3" max="3" width="12" bestFit="1" customWidth="1"/>
    <col min="4" max="4" width="15.7265625" bestFit="1" customWidth="1"/>
    <col min="5" max="5" width="6.26953125" bestFit="1" customWidth="1"/>
    <col min="6" max="6" width="14.54296875" bestFit="1" customWidth="1"/>
    <col min="7" max="7" width="5.7265625" bestFit="1" customWidth="1"/>
    <col min="8" max="22" width="6.26953125" bestFit="1" customWidth="1"/>
    <col min="23" max="23" width="9.7265625" bestFit="1" customWidth="1"/>
    <col min="24" max="24" width="6.453125" bestFit="1" customWidth="1"/>
    <col min="25" max="25" width="7.1796875" bestFit="1" customWidth="1"/>
    <col min="26" max="26" width="13.7265625" bestFit="1" customWidth="1"/>
  </cols>
  <sheetData>
    <row r="1" spans="1:26" s="101" customFormat="1" x14ac:dyDescent="0.35">
      <c r="A1" s="101" t="s">
        <v>359</v>
      </c>
    </row>
    <row r="2" spans="1:26" s="101" customFormat="1" x14ac:dyDescent="0.35"/>
    <row r="3" spans="1:26" s="101" customFormat="1" x14ac:dyDescent="0.35">
      <c r="A3" s="101" t="s">
        <v>360</v>
      </c>
    </row>
    <row r="4" spans="1:26" s="101" customFormat="1" x14ac:dyDescent="0.35">
      <c r="A4" s="101" t="s">
        <v>361</v>
      </c>
    </row>
    <row r="5" spans="1:26" s="101" customFormat="1" x14ac:dyDescent="0.35">
      <c r="A5" s="26" t="s">
        <v>358</v>
      </c>
    </row>
    <row r="6" spans="1:26" s="101" customFormat="1" x14ac:dyDescent="0.35"/>
    <row r="7" spans="1:26" s="154" customFormat="1" x14ac:dyDescent="0.35">
      <c r="A7" s="154" t="s">
        <v>1</v>
      </c>
      <c r="B7" s="154" t="s">
        <v>10</v>
      </c>
      <c r="C7" s="154" t="s">
        <v>14</v>
      </c>
      <c r="D7" s="154" t="s">
        <v>15</v>
      </c>
      <c r="E7" s="69" t="s">
        <v>51</v>
      </c>
      <c r="F7" s="154" t="s">
        <v>16</v>
      </c>
      <c r="G7" s="154" t="s">
        <v>3</v>
      </c>
      <c r="H7" s="154" t="s">
        <v>31</v>
      </c>
      <c r="I7" s="154" t="s">
        <v>30</v>
      </c>
      <c r="J7" s="154" t="s">
        <v>18</v>
      </c>
      <c r="K7" s="154" t="s">
        <v>17</v>
      </c>
      <c r="L7" s="154" t="s">
        <v>20</v>
      </c>
      <c r="M7" s="154" t="s">
        <v>19</v>
      </c>
      <c r="N7" s="154" t="s">
        <v>21</v>
      </c>
      <c r="O7" s="154" t="s">
        <v>47</v>
      </c>
      <c r="P7" s="154" t="s">
        <v>24</v>
      </c>
      <c r="Q7" s="154" t="s">
        <v>48</v>
      </c>
      <c r="R7" s="154" t="s">
        <v>4</v>
      </c>
      <c r="S7" s="154" t="s">
        <v>22</v>
      </c>
      <c r="T7" s="154" t="s">
        <v>23</v>
      </c>
      <c r="U7" s="154" t="s">
        <v>25</v>
      </c>
      <c r="V7" s="154" t="s">
        <v>49</v>
      </c>
      <c r="W7" s="154" t="s">
        <v>26</v>
      </c>
      <c r="X7" s="154" t="s">
        <v>123</v>
      </c>
      <c r="Y7" s="154" t="s">
        <v>124</v>
      </c>
      <c r="Z7" s="154" t="s">
        <v>27</v>
      </c>
    </row>
    <row r="8" spans="1:26" s="154" customFormat="1" x14ac:dyDescent="0.35">
      <c r="D8" s="203" t="s">
        <v>357</v>
      </c>
      <c r="E8" s="69" t="s">
        <v>5</v>
      </c>
      <c r="F8" s="154" t="s">
        <v>28</v>
      </c>
      <c r="G8" s="27" t="s">
        <v>352</v>
      </c>
      <c r="H8" s="154" t="s">
        <v>5</v>
      </c>
      <c r="I8" s="154" t="s">
        <v>5</v>
      </c>
      <c r="J8" s="154" t="s">
        <v>5</v>
      </c>
      <c r="K8" s="154" t="s">
        <v>5</v>
      </c>
      <c r="L8" s="154" t="s">
        <v>5</v>
      </c>
      <c r="M8" s="154" t="s">
        <v>5</v>
      </c>
      <c r="N8" s="154" t="s">
        <v>5</v>
      </c>
      <c r="O8" s="154" t="s">
        <v>5</v>
      </c>
      <c r="P8" s="154" t="s">
        <v>5</v>
      </c>
      <c r="Q8" s="154" t="s">
        <v>5</v>
      </c>
      <c r="R8" s="154" t="s">
        <v>5</v>
      </c>
      <c r="S8" s="154" t="s">
        <v>5</v>
      </c>
      <c r="T8" s="154" t="s">
        <v>5</v>
      </c>
      <c r="U8" s="154" t="s">
        <v>5</v>
      </c>
      <c r="V8" s="154" t="s">
        <v>5</v>
      </c>
    </row>
    <row r="9" spans="1:26" s="154" customFormat="1" x14ac:dyDescent="0.35">
      <c r="A9" s="156" t="s">
        <v>263</v>
      </c>
      <c r="E9" s="69"/>
      <c r="X9" s="69"/>
      <c r="Y9" s="69"/>
      <c r="Z9" s="69"/>
    </row>
    <row r="10" spans="1:26" s="155" customFormat="1" x14ac:dyDescent="0.35">
      <c r="A10" s="155" t="s">
        <v>237</v>
      </c>
      <c r="B10" s="10">
        <v>43475</v>
      </c>
      <c r="C10" s="69">
        <f>AVERAGE('Influent Results'!D13:D15)</f>
        <v>7.083333333333333</v>
      </c>
      <c r="D10" s="70">
        <f>AVERAGE('Influent Results'!E13:E15)</f>
        <v>1463.6666666666667</v>
      </c>
      <c r="E10" s="171">
        <f>AVERAGE('Influent Results'!F13:F15)</f>
        <v>0.03</v>
      </c>
      <c r="F10" s="70">
        <f>AVERAGE('Influent Results'!G13:G15)</f>
        <v>268.66666666666669</v>
      </c>
      <c r="G10" s="70">
        <f>AVERAGE('Influent Results'!H13:H15)</f>
        <v>213.33333333333334</v>
      </c>
      <c r="H10" s="70">
        <f>AVERAGE('Influent Results'!I13:I15)</f>
        <v>32</v>
      </c>
      <c r="I10" s="70">
        <f>AVERAGE('Influent Results'!J13:J15)</f>
        <v>25.333333333333332</v>
      </c>
      <c r="J10" s="70">
        <f>AVERAGE('Influent Results'!K13:K15)</f>
        <v>541.33333333333337</v>
      </c>
      <c r="K10" s="70">
        <f>AVERAGE('Influent Results'!L13:L15)</f>
        <v>25</v>
      </c>
      <c r="L10" s="70">
        <f>AVERAGE('Influent Results'!M13:M15)</f>
        <v>120</v>
      </c>
      <c r="M10" s="70">
        <f>AVERAGE('Influent Results'!N13:N15)</f>
        <v>45.666666666666664</v>
      </c>
      <c r="N10" s="70">
        <f>AVERAGE('Influent Results'!O13:O15)</f>
        <v>202.33333333333334</v>
      </c>
      <c r="O10" s="70">
        <f>AVERAGE('Influent Results'!P13:P15)</f>
        <v>23.959999999999997</v>
      </c>
      <c r="P10" s="15">
        <f>AVERAGE('Influent Results'!Q13:Q15)</f>
        <v>6.4589999999999996</v>
      </c>
      <c r="Q10" s="171">
        <f>AVERAGE('Influent Results'!R13:R15)</f>
        <v>0.20000000000000004</v>
      </c>
      <c r="R10" s="50">
        <f>AVERAGE('Influent Results'!S13:S15)</f>
        <v>3.1666666666666669E-2</v>
      </c>
      <c r="S10" s="50">
        <f>AVERAGE('Influent Results'!T13:T15)</f>
        <v>0.02</v>
      </c>
      <c r="T10" s="176">
        <f>AVERAGE('Influent Results'!U13:U15)</f>
        <v>3.4333333333333334E-2</v>
      </c>
      <c r="U10" s="177">
        <f>AVERAGE('Influent Results'!V13:V15)</f>
        <v>0.04</v>
      </c>
      <c r="V10" s="15">
        <f>AVERAGE('Influent Results'!X13:X15)</f>
        <v>1.2526666666666666</v>
      </c>
      <c r="X10" s="170">
        <f t="shared" ref="X10:X15" si="0">((F10/50)+(H10/35.45)+(I10/62)+(J10/48.03))</f>
        <v>17.95534888391547</v>
      </c>
      <c r="Y10" s="170">
        <f t="shared" ref="Y10:Y15" si="1">((L10/20.04)+(M10/12.16)+(N10/22.99)+(P10/39.1))</f>
        <v>18.709626163776857</v>
      </c>
      <c r="Z10" s="170">
        <f t="shared" ref="Z10:Z15" si="2">ABS((X10-Y10)/(X10+Y10)*100)</f>
        <v>2.0572147639000273</v>
      </c>
    </row>
    <row r="11" spans="1:26" s="155" customFormat="1" x14ac:dyDescent="0.35">
      <c r="A11" s="155" t="s">
        <v>238</v>
      </c>
      <c r="B11" s="10">
        <v>43475</v>
      </c>
      <c r="C11" s="69">
        <f>AVERAGE('Influent Results'!D16:D18)</f>
        <v>7.083333333333333</v>
      </c>
      <c r="D11" s="70">
        <f>AVERAGE('Influent Results'!E16:E18)</f>
        <v>1477</v>
      </c>
      <c r="E11" s="171">
        <f>AVERAGE('Influent Results'!F16:F18)</f>
        <v>0.03</v>
      </c>
      <c r="F11" s="70">
        <f>AVERAGE('Influent Results'!G16:G18)</f>
        <v>317.66666666666669</v>
      </c>
      <c r="G11" s="70">
        <f>AVERAGE('Influent Results'!H16:H18)</f>
        <v>280</v>
      </c>
      <c r="H11" s="70">
        <f>AVERAGE('Influent Results'!I16:I18)</f>
        <v>47.333333333333336</v>
      </c>
      <c r="I11" s="155">
        <f>AVERAGE('Influent Results'!J16:J18)</f>
        <v>22</v>
      </c>
      <c r="J11" s="70">
        <f>AVERAGE('Influent Results'!K16:K18)</f>
        <v>619.33333333333337</v>
      </c>
      <c r="K11" s="70">
        <f>AVERAGE('Influent Results'!L16:L18)</f>
        <v>28.666666666666668</v>
      </c>
      <c r="L11" s="70">
        <f>AVERAGE('Influent Results'!M16:M18)</f>
        <v>151.66666666666666</v>
      </c>
      <c r="M11" s="70">
        <f>AVERAGE('Influent Results'!N16:N18)</f>
        <v>62.333333333333336</v>
      </c>
      <c r="N11" s="70">
        <f>AVERAGE('Influent Results'!O16:O18)</f>
        <v>214</v>
      </c>
      <c r="O11" s="70">
        <f>AVERAGE('Influent Results'!P16:P18)</f>
        <v>23.226666666666663</v>
      </c>
      <c r="P11" s="15">
        <f>AVERAGE('Influent Results'!Q16:Q18)</f>
        <v>7.0790000000000006</v>
      </c>
      <c r="Q11" s="171">
        <f>AVERAGE('Influent Results'!R16:R18)</f>
        <v>0.20000000000000004</v>
      </c>
      <c r="R11" s="50">
        <f>AVERAGE('Influent Results'!S16:S18)</f>
        <v>4.766666666666667E-2</v>
      </c>
      <c r="S11" s="50">
        <f>AVERAGE('Influent Results'!T16:T18)</f>
        <v>0.02</v>
      </c>
      <c r="T11" s="176">
        <f>AVERAGE('Influent Results'!U16:U18)</f>
        <v>4.7000000000000007E-2</v>
      </c>
      <c r="U11" s="177">
        <f>AVERAGE('Influent Results'!V16:V18)</f>
        <v>0.04</v>
      </c>
      <c r="V11" s="15">
        <f>AVERAGE('Influent Results'!X14:X16)</f>
        <v>1.3726666666666667</v>
      </c>
      <c r="X11" s="170">
        <f t="shared" si="0"/>
        <v>20.938104537990924</v>
      </c>
      <c r="Y11" s="170">
        <f t="shared" si="1"/>
        <v>22.183736978360848</v>
      </c>
      <c r="Z11" s="170">
        <f t="shared" si="2"/>
        <v>2.8886346143115924</v>
      </c>
    </row>
    <row r="12" spans="1:26" s="155" customFormat="1" x14ac:dyDescent="0.35">
      <c r="A12" s="155" t="s">
        <v>239</v>
      </c>
      <c r="B12" s="10">
        <v>43475</v>
      </c>
      <c r="C12" s="69">
        <f>AVERAGE('Influent Results'!D19:D21)</f>
        <v>7.1133333333333333</v>
      </c>
      <c r="D12" s="70">
        <f>AVERAGE('Influent Results'!E19:E21)</f>
        <v>1946</v>
      </c>
      <c r="E12" s="69">
        <f>AVERAGE('Influent Results'!F19:F21)</f>
        <v>5.3333333333333337E-2</v>
      </c>
      <c r="F12" s="70">
        <f>AVERAGE('Influent Results'!G19:G21)</f>
        <v>295.33333333333331</v>
      </c>
      <c r="G12" s="70">
        <f>AVERAGE('Influent Results'!H19:H21)</f>
        <v>666.66666666666663</v>
      </c>
      <c r="H12" s="70">
        <f>AVERAGE('Influent Results'!I19:I21)</f>
        <v>53.333333333333336</v>
      </c>
      <c r="I12" s="166">
        <f>AVERAGE('Influent Results'!J19:J21)</f>
        <v>2.5</v>
      </c>
      <c r="J12" s="70">
        <f>AVERAGE('Influent Results'!K19:K21)</f>
        <v>790.66666666666663</v>
      </c>
      <c r="K12" s="70">
        <f>AVERAGE('Influent Results'!L19:L21)</f>
        <v>27.666666666666668</v>
      </c>
      <c r="L12" s="70">
        <f>AVERAGE('Influent Results'!M19:M21)</f>
        <v>183.33333333333334</v>
      </c>
      <c r="M12" s="70">
        <f>AVERAGE('Influent Results'!N19:N21)</f>
        <v>35.666666666666664</v>
      </c>
      <c r="N12" s="70">
        <f>AVERAGE('Influent Results'!O19:O21)</f>
        <v>315.33333333333331</v>
      </c>
      <c r="O12" s="70">
        <f>AVERAGE('Influent Results'!P19:P21)</f>
        <v>16.579999999999998</v>
      </c>
      <c r="P12" s="15">
        <f>AVERAGE('Influent Results'!Q19:Q21)</f>
        <v>7.5353333333333339</v>
      </c>
      <c r="Q12" s="171">
        <f>AVERAGE('Influent Results'!R19:R21)</f>
        <v>0.20000000000000004</v>
      </c>
      <c r="R12" s="163">
        <f>AVERAGE('Influent Results'!S19:S21)</f>
        <v>0.50266666666666671</v>
      </c>
      <c r="S12" s="163">
        <f>AVERAGE('Influent Results'!T19:T21)</f>
        <v>0.13500000000000001</v>
      </c>
      <c r="T12" s="69">
        <f>AVERAGE('Influent Results'!U19:U21)</f>
        <v>0.98833333333333329</v>
      </c>
      <c r="U12" s="163">
        <f>AVERAGE('Influent Results'!V19:V21)</f>
        <v>0.10466666666666667</v>
      </c>
      <c r="V12" s="15">
        <f>AVERAGE('Influent Results'!X15:X17)</f>
        <v>1.4710000000000001</v>
      </c>
      <c r="X12" s="170">
        <f t="shared" si="0"/>
        <v>23.913389145667157</v>
      </c>
      <c r="Y12" s="170">
        <f t="shared" si="1"/>
        <v>25.990311937442964</v>
      </c>
      <c r="Z12" s="170">
        <f t="shared" si="2"/>
        <v>4.1618612381411939</v>
      </c>
    </row>
    <row r="13" spans="1:26" s="155" customFormat="1" x14ac:dyDescent="0.35">
      <c r="A13" s="155" t="s">
        <v>240</v>
      </c>
      <c r="B13" s="10">
        <v>43475</v>
      </c>
      <c r="C13" s="69">
        <f>AVERAGE('Influent Results'!D22:D24)</f>
        <v>6.69</v>
      </c>
      <c r="D13" s="70">
        <f>AVERAGE('Influent Results'!E22:E24)</f>
        <v>1773</v>
      </c>
      <c r="E13" s="69">
        <f>AVERAGE('Influent Results'!F22:F24)</f>
        <v>0.31</v>
      </c>
      <c r="F13" s="70">
        <f>AVERAGE('Influent Results'!G22:G24)</f>
        <v>265.66666666666669</v>
      </c>
      <c r="G13" s="70">
        <f>AVERAGE('Influent Results'!H22:H24)</f>
        <v>756.66666666666663</v>
      </c>
      <c r="H13" s="70">
        <f>AVERAGE('Influent Results'!I22:I24)</f>
        <v>41.666666666666664</v>
      </c>
      <c r="I13" s="166">
        <f>AVERAGE('Influent Results'!J22:J24)</f>
        <v>2.5</v>
      </c>
      <c r="J13" s="70">
        <f>AVERAGE('Influent Results'!K22:K24)</f>
        <v>684</v>
      </c>
      <c r="K13" s="70">
        <f>AVERAGE('Influent Results'!L22:L24)</f>
        <v>24.333333333333332</v>
      </c>
      <c r="L13" s="70">
        <f>AVERAGE('Influent Results'!M22:M24)</f>
        <v>174</v>
      </c>
      <c r="M13" s="70">
        <f>AVERAGE('Influent Results'!N22:N24)</f>
        <v>36.333333333333336</v>
      </c>
      <c r="N13" s="70">
        <f>AVERAGE('Influent Results'!O22:O24)</f>
        <v>243</v>
      </c>
      <c r="O13" s="70">
        <f>AVERAGE('Influent Results'!P22:P24)</f>
        <v>15.876666666666667</v>
      </c>
      <c r="P13" s="15">
        <f>AVERAGE('Influent Results'!Q22:Q24)</f>
        <v>6.4843333333333328</v>
      </c>
      <c r="Q13" s="171">
        <f>AVERAGE('Influent Results'!R22:R24)</f>
        <v>0.20000000000000004</v>
      </c>
      <c r="R13" s="163">
        <f>AVERAGE('Influent Results'!S22:S24)</f>
        <v>0.30833333333333335</v>
      </c>
      <c r="S13" s="163">
        <f>AVERAGE('Influent Results'!T22:T24)</f>
        <v>0.36400000000000005</v>
      </c>
      <c r="T13" s="170">
        <f>AVERAGE('Influent Results'!U22:U24)</f>
        <v>1.6433333333333333</v>
      </c>
      <c r="U13" s="163">
        <f>AVERAGE('Influent Results'!V22:V24)</f>
        <v>0.18666666666666668</v>
      </c>
      <c r="V13" s="15">
        <f>AVERAGE('Influent Results'!X16:X18)</f>
        <v>1.5573333333333332</v>
      </c>
      <c r="X13" s="170">
        <f t="shared" si="0"/>
        <v>20.770119589860428</v>
      </c>
      <c r="Y13" s="170">
        <f t="shared" si="1"/>
        <v>22.406226016382838</v>
      </c>
      <c r="Z13" s="170">
        <f t="shared" si="2"/>
        <v>3.7893582783574677</v>
      </c>
    </row>
    <row r="14" spans="1:26" s="155" customFormat="1" x14ac:dyDescent="0.35">
      <c r="A14" s="155" t="s">
        <v>241</v>
      </c>
      <c r="B14" s="10">
        <v>43475</v>
      </c>
      <c r="C14" s="69">
        <f>AVERAGE('Influent Results'!D10:D12)</f>
        <v>7.97</v>
      </c>
      <c r="D14" s="70">
        <f>AVERAGE('Influent Results'!E10:E12)</f>
        <v>642</v>
      </c>
      <c r="E14" s="169">
        <f>AVERAGE('Influent Results'!F10:F12)</f>
        <v>0.03</v>
      </c>
      <c r="F14" s="70">
        <f>AVERAGE('Influent Results'!G10:G12)</f>
        <v>162</v>
      </c>
      <c r="G14" s="15">
        <f>AVERAGE('Influent Results'!H10:H12)</f>
        <v>7.166666666666667</v>
      </c>
      <c r="H14" s="70">
        <f>AVERAGE('Influent Results'!I10:I12)</f>
        <v>11.333333333333334</v>
      </c>
      <c r="I14" s="189">
        <f>AVERAGE('Influent Results'!J10:J12)</f>
        <v>4.6000000000000005</v>
      </c>
      <c r="J14" s="70">
        <f>AVERAGE('Influent Results'!K10:K12)</f>
        <v>318.33333333333331</v>
      </c>
      <c r="K14" s="70">
        <f>AVERAGE('Influent Results'!L10:L12)</f>
        <v>18.333333333333332</v>
      </c>
      <c r="L14" s="70">
        <f>AVERAGE('Influent Results'!M10:M12)</f>
        <v>108.33333333333333</v>
      </c>
      <c r="M14" s="70">
        <f>AVERAGE('Influent Results'!N10:N12)</f>
        <v>37</v>
      </c>
      <c r="N14" s="165">
        <f>AVERAGE('Influent Results'!O10:O12)</f>
        <v>63.666666666666664</v>
      </c>
      <c r="O14" s="70">
        <f>AVERAGE('Influent Results'!P10:P12)</f>
        <v>12.206666666666665</v>
      </c>
      <c r="P14" s="15">
        <f>AVERAGE('Influent Results'!Q10:Q12)</f>
        <v>3.4496666666666669</v>
      </c>
      <c r="Q14" s="171">
        <f>AVERAGE('Influent Results'!R10:R12)</f>
        <v>0.20000000000000004</v>
      </c>
      <c r="R14" s="50">
        <f>AVERAGE('Influent Results'!S10:S12)</f>
        <v>0.02</v>
      </c>
      <c r="S14" s="50">
        <f>AVERAGE('Influent Results'!T10:T12)</f>
        <v>0.02</v>
      </c>
      <c r="T14" s="176">
        <f>AVERAGE('Influent Results'!U10:U12)</f>
        <v>4.8666666666666671E-2</v>
      </c>
      <c r="U14" s="177">
        <f>AVERAGE('Influent Results'!V10:V12)</f>
        <v>0.04</v>
      </c>
      <c r="V14" s="15">
        <f>AVERAGE('Influent Results'!X17:X19)</f>
        <v>1.6543333333333334</v>
      </c>
      <c r="X14" s="170">
        <f t="shared" si="0"/>
        <v>10.26169472326203</v>
      </c>
      <c r="Y14" s="170">
        <f t="shared" si="1"/>
        <v>11.30616487781673</v>
      </c>
      <c r="Z14" s="170">
        <f t="shared" si="2"/>
        <v>4.8427158460474162</v>
      </c>
    </row>
    <row r="15" spans="1:26" s="155" customFormat="1" x14ac:dyDescent="0.35">
      <c r="A15" s="155" t="s">
        <v>242</v>
      </c>
      <c r="B15" s="10">
        <v>43479</v>
      </c>
      <c r="C15" s="69">
        <f>AVERAGE('Influent Results'!D25:D27)</f>
        <v>7.3133333333333326</v>
      </c>
      <c r="D15" s="70">
        <f>AVERAGE('Influent Results'!E25:E27)</f>
        <v>2249.6666666666665</v>
      </c>
      <c r="E15" s="171">
        <f>AVERAGE('Influent Results'!F25:F27)</f>
        <v>0.03</v>
      </c>
      <c r="F15" s="70">
        <f>AVERAGE('Influent Results'!G25:G27)</f>
        <v>243.66666666666666</v>
      </c>
      <c r="G15" s="165">
        <f>AVERAGE('Influent Results'!H25:H27)</f>
        <v>85.666666666666671</v>
      </c>
      <c r="H15" s="70">
        <f>AVERAGE('Influent Results'!I25:I27)</f>
        <v>91.333333333333329</v>
      </c>
      <c r="I15" s="165">
        <f>AVERAGE('Influent Results'!J25:J27)</f>
        <v>16.333333333333332</v>
      </c>
      <c r="J15" s="70">
        <f>AVERAGE('Influent Results'!K25:K27)</f>
        <v>961</v>
      </c>
      <c r="K15" s="70">
        <f>AVERAGE('Influent Results'!L25:L27)</f>
        <v>22.333333333333332</v>
      </c>
      <c r="L15" s="70">
        <f>AVERAGE('Influent Results'!M25:M27)</f>
        <v>159.76666666666668</v>
      </c>
      <c r="M15" s="70">
        <f>AVERAGE('Influent Results'!N25:N27)</f>
        <v>44.580000000000005</v>
      </c>
      <c r="N15" s="70">
        <f>AVERAGE('Influent Results'!O25:O27)</f>
        <v>402.3</v>
      </c>
      <c r="O15" s="70">
        <f>AVERAGE('Influent Results'!P25:P27)</f>
        <v>23.713333333333335</v>
      </c>
      <c r="P15" s="15">
        <f>AVERAGE('Influent Results'!Q25:Q27)</f>
        <v>8.4719999999999995</v>
      </c>
      <c r="Q15" s="171">
        <f>AVERAGE('Influent Results'!R25:R27)</f>
        <v>0.20000000000000004</v>
      </c>
      <c r="R15" s="50">
        <f>AVERAGE('Influent Results'!S25:S27)</f>
        <v>0.02</v>
      </c>
      <c r="S15" s="50">
        <f>AVERAGE('Influent Results'!T25:T27)</f>
        <v>0.02</v>
      </c>
      <c r="T15" s="69">
        <f>AVERAGE('Influent Results'!U25:U27)</f>
        <v>0.44266666666666671</v>
      </c>
      <c r="U15" s="177">
        <f>AVERAGE('Influent Results'!V25:V27)</f>
        <v>0.04</v>
      </c>
      <c r="V15" s="15">
        <f>AVERAGE('Influent Results'!X18:X20)</f>
        <v>1.7586666666666666</v>
      </c>
      <c r="X15" s="170">
        <f t="shared" si="0"/>
        <v>27.721501005393478</v>
      </c>
      <c r="Y15" s="170">
        <f t="shared" si="1"/>
        <v>29.35409473977229</v>
      </c>
      <c r="Z15" s="170">
        <f t="shared" si="2"/>
        <v>2.860405945945979</v>
      </c>
    </row>
    <row r="16" spans="1:26" s="155" customFormat="1" x14ac:dyDescent="0.35">
      <c r="E16" s="69"/>
      <c r="K16" s="70"/>
      <c r="L16" s="70"/>
      <c r="M16" s="70"/>
      <c r="N16" s="70"/>
      <c r="O16" s="70"/>
      <c r="P16" s="15"/>
      <c r="Q16" s="171"/>
      <c r="R16" s="50"/>
      <c r="S16" s="50"/>
      <c r="T16" s="69"/>
      <c r="U16" s="50"/>
      <c r="X16" s="170"/>
      <c r="Y16" s="170"/>
      <c r="Z16" s="170"/>
    </row>
    <row r="17" spans="1:26" s="155" customFormat="1" x14ac:dyDescent="0.35">
      <c r="A17" s="156" t="s">
        <v>264</v>
      </c>
      <c r="E17" s="69"/>
      <c r="K17" s="70"/>
      <c r="L17" s="70"/>
      <c r="M17" s="70"/>
      <c r="N17" s="70"/>
      <c r="O17" s="70"/>
      <c r="P17" s="15"/>
      <c r="Q17" s="171"/>
      <c r="R17" s="50"/>
      <c r="S17" s="50"/>
      <c r="T17" s="69"/>
      <c r="U17" s="50"/>
      <c r="X17" s="170"/>
      <c r="Y17" s="170"/>
      <c r="Z17" s="170"/>
    </row>
    <row r="18" spans="1:26" s="43" customFormat="1" x14ac:dyDescent="0.35">
      <c r="A18" s="43" t="s">
        <v>237</v>
      </c>
      <c r="B18" s="10">
        <v>43475</v>
      </c>
      <c r="C18" s="69">
        <f>AVERAGE('Influent Results After Degass'!D13:D15)</f>
        <v>7.3</v>
      </c>
      <c r="D18" s="70">
        <f>AVERAGE('Influent Results After Degass'!E13:E15)</f>
        <v>1596.6666666666667</v>
      </c>
      <c r="E18" s="171">
        <f>AVERAGE('Influent Results After Degass'!F13:F15)</f>
        <v>0.03</v>
      </c>
      <c r="F18" s="70">
        <f>AVERAGE('Influent Results After Degass'!G13:G15)</f>
        <v>274.66666666666669</v>
      </c>
      <c r="G18" s="70">
        <f>AVERAGE('Influent Results After Degass'!H13:H15)</f>
        <v>220</v>
      </c>
      <c r="H18" s="70">
        <f>AVERAGE('Influent Results After Degass'!I13:I15)</f>
        <v>32.333333333333336</v>
      </c>
      <c r="I18" s="70">
        <f>AVERAGE('Influent Results After Degass'!J13:J15)</f>
        <v>25.666666666666668</v>
      </c>
      <c r="J18" s="70">
        <f>AVERAGE('Influent Results After Degass'!K13:K15)</f>
        <v>560.33333333333337</v>
      </c>
      <c r="K18" s="70">
        <f>AVERAGE('Influent Results After Degass'!L13:L15)</f>
        <v>24</v>
      </c>
      <c r="L18" s="70">
        <f>AVERAGE('Influent Results After Degass'!M13:M15)</f>
        <v>121.76666666666667</v>
      </c>
      <c r="M18" s="70">
        <f>AVERAGE('Influent Results After Degass'!N13:N15)</f>
        <v>44.556666666666672</v>
      </c>
      <c r="N18" s="70">
        <f>AVERAGE('Influent Results After Degass'!O13:O15)</f>
        <v>199.46666666666667</v>
      </c>
      <c r="O18" s="70">
        <f>AVERAGE('Influent Results After Degass'!P13:P15)</f>
        <v>24.00333333333333</v>
      </c>
      <c r="P18" s="15">
        <f>AVERAGE('Influent Results After Degass'!Q13:Q15)</f>
        <v>5.2813333333333334</v>
      </c>
      <c r="Q18" s="171">
        <f>AVERAGE('Influent Results After Degass'!R13:R15)</f>
        <v>0.20000000000000004</v>
      </c>
      <c r="R18" s="50">
        <f>AVERAGE('Influent Results After Degass'!S13:S15)</f>
        <v>0.02</v>
      </c>
      <c r="S18" s="50">
        <f>AVERAGE('Influent Results After Degass'!T13:T15)</f>
        <v>0.02</v>
      </c>
      <c r="T18" s="176">
        <f>AVERAGE('Influent Results After Degass'!U13:U15)</f>
        <v>2.866666666666667E-2</v>
      </c>
      <c r="U18" s="177">
        <f>AVERAGE('Influent Results After Degass'!V13:V15)</f>
        <v>0.04</v>
      </c>
      <c r="V18" s="15">
        <f>AVERAGE('Influent Results After Degass'!W13:W15)</f>
        <v>1.0069999999999999</v>
      </c>
      <c r="X18" s="170">
        <f>((F18/50)+(H18/35.45)+(I18/62)+(J18/48.03))</f>
        <v>18.485714234930928</v>
      </c>
      <c r="Y18" s="170">
        <f>((L18/20.04)+(M18/12.16)+(N18/22.99)+(P18/39.1))</f>
        <v>18.551689041219273</v>
      </c>
      <c r="Z18" s="170">
        <f>ABS((X18-Y18)/(X18+Y18)*100)</f>
        <v>0.17813021554572342</v>
      </c>
    </row>
    <row r="19" spans="1:26" s="43" customFormat="1" x14ac:dyDescent="0.35">
      <c r="A19" s="43" t="s">
        <v>238</v>
      </c>
      <c r="B19" s="10">
        <v>43475</v>
      </c>
      <c r="C19" s="69">
        <f>AVERAGE('Influent Results After Degass'!D16:D18)</f>
        <v>7.419999999999999</v>
      </c>
      <c r="D19" s="70">
        <f>AVERAGE('Influent Results After Degass'!E16:E18)</f>
        <v>1821.3333333333333</v>
      </c>
      <c r="E19" s="171">
        <f>AVERAGE('Influent Results After Degass'!F16:F18)</f>
        <v>0.03</v>
      </c>
      <c r="F19" s="70">
        <f>AVERAGE('Influent Results After Degass'!G16:G18)</f>
        <v>323.66666666666669</v>
      </c>
      <c r="G19" s="70">
        <f>AVERAGE('Influent Results After Degass'!H16:H18)</f>
        <v>292</v>
      </c>
      <c r="H19" s="70">
        <f>AVERAGE('Influent Results After Degass'!I16:I18)</f>
        <v>48.333333333333336</v>
      </c>
      <c r="I19" s="70">
        <f>AVERAGE('Influent Results After Degass'!J16:J18)</f>
        <v>22</v>
      </c>
      <c r="J19" s="70">
        <f>AVERAGE('Influent Results After Degass'!K16:K18)</f>
        <v>633.66666666666663</v>
      </c>
      <c r="K19" s="70">
        <f>AVERAGE('Influent Results After Degass'!L16:L18)</f>
        <v>28</v>
      </c>
      <c r="L19" s="70">
        <f>AVERAGE('Influent Results After Degass'!M16:M18)</f>
        <v>156.83333333333334</v>
      </c>
      <c r="M19" s="70">
        <f>AVERAGE('Influent Results After Degass'!N16:N18)</f>
        <v>61.82</v>
      </c>
      <c r="N19" s="70">
        <f>AVERAGE('Influent Results After Degass'!O16:O18)</f>
        <v>213.1</v>
      </c>
      <c r="O19" s="70">
        <f>AVERAGE('Influent Results After Degass'!P16:P18)</f>
        <v>23.47666666666667</v>
      </c>
      <c r="P19" s="15">
        <f>AVERAGE('Influent Results After Degass'!Q16:Q18)</f>
        <v>5.3689999999999998</v>
      </c>
      <c r="Q19" s="171">
        <f>AVERAGE('Influent Results After Degass'!R16:R18)</f>
        <v>0.20000000000000004</v>
      </c>
      <c r="R19" s="50">
        <f>AVERAGE('Influent Results After Degass'!S16:S18)</f>
        <v>2.0333333333333332E-2</v>
      </c>
      <c r="S19" s="50">
        <f>AVERAGE('Influent Results After Degass'!T16:T18)</f>
        <v>0.02</v>
      </c>
      <c r="T19" s="176">
        <f>AVERAGE('Influent Results After Degass'!U16:U18)</f>
        <v>4.4000000000000004E-2</v>
      </c>
      <c r="U19" s="177">
        <f>AVERAGE('Influent Results After Degass'!V16:V18)</f>
        <v>0.04</v>
      </c>
      <c r="V19" s="15">
        <f>AVERAGE('Influent Results After Degass'!W16:W18)</f>
        <v>1.1493333333333331</v>
      </c>
      <c r="X19" s="170">
        <f t="shared" ref="X19:X30" si="3">((F19/50)+(H19/35.45)+(I19/62)+(J19/48.03))</f>
        <v>21.384737878440554</v>
      </c>
      <c r="Y19" s="170">
        <f t="shared" ref="Y19:Y30" si="4">((L19/20.04)+(M19/12.16)+(N19/22.99)+(P19/39.1))</f>
        <v>22.31645829325694</v>
      </c>
      <c r="Z19" s="170">
        <f t="shared" ref="Z19:Z30" si="5">ABS((X19-Y19)/(X19+Y19)*100)</f>
        <v>2.1320249705654568</v>
      </c>
    </row>
    <row r="20" spans="1:26" s="43" customFormat="1" x14ac:dyDescent="0.35">
      <c r="A20" s="43" t="s">
        <v>239</v>
      </c>
      <c r="B20" s="10">
        <v>43475</v>
      </c>
      <c r="C20" s="69">
        <f>AVERAGE('Influent Results After Degass'!D19:D21)</f>
        <v>7.8</v>
      </c>
      <c r="D20" s="70">
        <f>AVERAGE('Influent Results After Degass'!E19:E21)</f>
        <v>2080</v>
      </c>
      <c r="E20" s="171">
        <f>AVERAGE('Influent Results After Degass'!F19:F21)</f>
        <v>0.03</v>
      </c>
      <c r="F20" s="70">
        <f>AVERAGE('Influent Results After Degass'!G19:G21)</f>
        <v>293.66666666666669</v>
      </c>
      <c r="G20" s="70">
        <f>AVERAGE('Influent Results After Degass'!H19:H21)</f>
        <v>646</v>
      </c>
      <c r="H20" s="70">
        <f>AVERAGE('Influent Results After Degass'!I19:I21)</f>
        <v>55.666666666666664</v>
      </c>
      <c r="I20" s="167">
        <f>AVERAGE('Influent Results After Degass'!J19:J21)</f>
        <v>2.5</v>
      </c>
      <c r="J20" s="70">
        <f>AVERAGE('Influent Results After Degass'!K19:K21)</f>
        <v>828.33333333333337</v>
      </c>
      <c r="K20" s="70">
        <f>AVERAGE('Influent Results After Degass'!L19:L21)</f>
        <v>26.333333333333332</v>
      </c>
      <c r="L20" s="70">
        <f>AVERAGE('Influent Results After Degass'!M19:M21)</f>
        <v>183.46666666666667</v>
      </c>
      <c r="M20" s="70">
        <f>AVERAGE('Influent Results After Degass'!N19:N21)</f>
        <v>34.713333333333338</v>
      </c>
      <c r="N20" s="70">
        <f>AVERAGE('Influent Results After Degass'!O19:O21)</f>
        <v>315.73333333333335</v>
      </c>
      <c r="O20" s="70">
        <f>AVERAGE('Influent Results After Degass'!P19:P21)</f>
        <v>16.526666666666667</v>
      </c>
      <c r="P20" s="15">
        <f>AVERAGE('Influent Results After Degass'!Q19:Q21)</f>
        <v>7.5333333333333341</v>
      </c>
      <c r="Q20" s="171">
        <f>AVERAGE('Influent Results After Degass'!R19:R21)</f>
        <v>0.20000000000000004</v>
      </c>
      <c r="R20" s="163">
        <f>AVERAGE('Influent Results After Degass'!S19:S21)</f>
        <v>0.3173333333333333</v>
      </c>
      <c r="S20" s="50">
        <f>AVERAGE('Influent Results After Degass'!T19:T21)</f>
        <v>8.8000000000000009E-2</v>
      </c>
      <c r="T20" s="69">
        <f>AVERAGE('Influent Results After Degass'!U19:U21)</f>
        <v>0.93299999999999994</v>
      </c>
      <c r="U20" s="50">
        <f>AVERAGE('Influent Results After Degass'!V19:V21)</f>
        <v>7.0999999999999994E-2</v>
      </c>
      <c r="V20" s="15">
        <f>AVERAGE('Influent Results After Degass'!W19:W21)</f>
        <v>1.6773333333333333</v>
      </c>
      <c r="X20" s="170">
        <f t="shared" si="3"/>
        <v>24.730108293833158</v>
      </c>
      <c r="Y20" s="170">
        <f t="shared" si="4"/>
        <v>25.935913892761093</v>
      </c>
      <c r="Z20" s="170">
        <f t="shared" si="5"/>
        <v>2.3799097440236379</v>
      </c>
    </row>
    <row r="21" spans="1:26" s="43" customFormat="1" x14ac:dyDescent="0.35">
      <c r="A21" s="43" t="s">
        <v>240</v>
      </c>
      <c r="B21" s="10">
        <v>43475</v>
      </c>
      <c r="C21" s="69">
        <f>AVERAGE('Influent Results After Degass'!D22:D24)</f>
        <v>7.43</v>
      </c>
      <c r="D21" s="70">
        <f>AVERAGE('Influent Results After Degass'!E22:E24)</f>
        <v>1892.6666666666667</v>
      </c>
      <c r="E21" s="171">
        <f>AVERAGE('Influent Results After Degass'!F22:F24)</f>
        <v>0.03</v>
      </c>
      <c r="F21" s="70">
        <f>AVERAGE('Influent Results After Degass'!G22:G24)</f>
        <v>261.33333333333331</v>
      </c>
      <c r="G21" s="70">
        <f>AVERAGE('Influent Results After Degass'!H22:H24)</f>
        <v>723.66666666666663</v>
      </c>
      <c r="H21" s="70">
        <f>AVERAGE('Influent Results After Degass'!I22:I24)</f>
        <v>44.333333333333336</v>
      </c>
      <c r="I21" s="167">
        <f>AVERAGE('Influent Results After Degass'!J22:J24)</f>
        <v>2.5</v>
      </c>
      <c r="J21" s="70">
        <f>AVERAGE('Influent Results After Degass'!K22:K24)</f>
        <v>724</v>
      </c>
      <c r="K21" s="70">
        <f>AVERAGE('Influent Results After Degass'!L22:L24)</f>
        <v>24.333333333333332</v>
      </c>
      <c r="L21" s="70">
        <f>AVERAGE('Influent Results After Degass'!M22:M24)</f>
        <v>183.93333333333331</v>
      </c>
      <c r="M21" s="70">
        <f>AVERAGE('Influent Results After Degass'!N22:N24)</f>
        <v>37.546666666666667</v>
      </c>
      <c r="N21" s="70">
        <f>AVERAGE('Influent Results After Degass'!O22:O24)</f>
        <v>243.06666666666669</v>
      </c>
      <c r="O21" s="70">
        <f>AVERAGE('Influent Results After Degass'!P22:P24)</f>
        <v>16.689999999999998</v>
      </c>
      <c r="P21" s="15">
        <f>AVERAGE('Influent Results After Degass'!Q22:Q24)</f>
        <v>6.4843333333333328</v>
      </c>
      <c r="Q21" s="171">
        <f>AVERAGE('Influent Results After Degass'!R22:R24)</f>
        <v>0.20000000000000004</v>
      </c>
      <c r="R21" s="163">
        <f>AVERAGE('Influent Results After Degass'!S22:S24)</f>
        <v>0.30833333333333335</v>
      </c>
      <c r="S21" s="163">
        <f>AVERAGE('Influent Results After Degass'!T22:T24)</f>
        <v>0.36400000000000005</v>
      </c>
      <c r="T21" s="170">
        <f>AVERAGE('Influent Results After Degass'!U22:U24)</f>
        <v>1.6433333333333333</v>
      </c>
      <c r="U21" s="163">
        <f>AVERAGE('Influent Results After Degass'!V22:V24)</f>
        <v>0.18666666666666668</v>
      </c>
      <c r="V21" s="15">
        <f>AVERAGE('Influent Results After Degass'!W22:W24)</f>
        <v>1.5546666666666666</v>
      </c>
      <c r="X21" s="170">
        <f t="shared" si="3"/>
        <v>21.591489067740234</v>
      </c>
      <c r="Y21" s="170">
        <f t="shared" si="4"/>
        <v>23.004581845684072</v>
      </c>
      <c r="Z21" s="170">
        <f t="shared" si="5"/>
        <v>3.1686486028940033</v>
      </c>
    </row>
    <row r="22" spans="1:26" s="43" customFormat="1" x14ac:dyDescent="0.35">
      <c r="A22" s="43" t="s">
        <v>241</v>
      </c>
      <c r="B22" s="10">
        <v>43475</v>
      </c>
      <c r="C22" s="69">
        <f>AVERAGE('Influent Results After Degass'!D25:D27)</f>
        <v>8</v>
      </c>
      <c r="D22" s="70">
        <f>AVERAGE('Influent Results After Degass'!E25:E27)</f>
        <v>810</v>
      </c>
      <c r="E22" s="171">
        <f>AVERAGE('Influent Results After Degass'!F25:F27)</f>
        <v>0.03</v>
      </c>
      <c r="F22" s="70">
        <f>AVERAGE('Influent Results After Degass'!G25:G27)</f>
        <v>152</v>
      </c>
      <c r="G22" s="15">
        <f>AVERAGE('Influent Results After Degass'!H25:H27)</f>
        <v>7.0333333333333341</v>
      </c>
      <c r="H22" s="70">
        <f>AVERAGE('Influent Results After Degass'!I25:I27)</f>
        <v>12</v>
      </c>
      <c r="I22" s="15">
        <f>AVERAGE('Influent Results After Degass'!J25:J27)</f>
        <v>4.7333333333333334</v>
      </c>
      <c r="J22" s="70">
        <f>AVERAGE('Influent Results After Degass'!K25:K27)</f>
        <v>323.66666666666669</v>
      </c>
      <c r="K22" s="70">
        <f>AVERAGE('Influent Results After Degass'!L25:L27)</f>
        <v>17</v>
      </c>
      <c r="L22" s="70">
        <f>AVERAGE('Influent Results After Degass'!M25:M27)</f>
        <v>113.90000000000002</v>
      </c>
      <c r="M22" s="70">
        <f>AVERAGE('Influent Results After Degass'!N25:N27)</f>
        <v>37.360000000000007</v>
      </c>
      <c r="N22" s="165">
        <f>AVERAGE('Influent Results After Degass'!O25:O27)</f>
        <v>61.936666666666667</v>
      </c>
      <c r="O22" s="70">
        <f>AVERAGE('Influent Results After Degass'!P25:P27)</f>
        <v>12.463333333333333</v>
      </c>
      <c r="P22" s="15">
        <f>AVERAGE('Influent Results After Degass'!Q25:Q27)</f>
        <v>3.0556666666666668</v>
      </c>
      <c r="Q22" s="171">
        <f>AVERAGE('Influent Results After Degass'!R25:R27)</f>
        <v>0.20000000000000004</v>
      </c>
      <c r="R22" s="50">
        <f>AVERAGE('Influent Results After Degass'!S25:S27)</f>
        <v>0.02</v>
      </c>
      <c r="S22" s="50">
        <f>AVERAGE('Influent Results After Degass'!T25:T27)</f>
        <v>0.02</v>
      </c>
      <c r="T22" s="176">
        <f>AVERAGE('Influent Results After Degass'!U25:U27)</f>
        <v>4.9666666666666665E-2</v>
      </c>
      <c r="U22" s="177">
        <f>AVERAGE('Influent Results After Degass'!V25:V27)</f>
        <v>0.04</v>
      </c>
      <c r="V22" s="15">
        <f>AVERAGE('Influent Results After Degass'!W25:W27)</f>
        <v>0.94099999999999995</v>
      </c>
      <c r="X22" s="170">
        <f t="shared" si="3"/>
        <v>10.193692800746014</v>
      </c>
      <c r="Y22" s="170">
        <f t="shared" si="4"/>
        <v>11.528221083666763</v>
      </c>
      <c r="Z22" s="170">
        <f t="shared" si="5"/>
        <v>6.1436956707501738</v>
      </c>
    </row>
    <row r="23" spans="1:26" s="43" customFormat="1" x14ac:dyDescent="0.35">
      <c r="A23" s="43" t="s">
        <v>242</v>
      </c>
      <c r="B23" s="10">
        <v>43479</v>
      </c>
      <c r="C23" s="69">
        <f>AVERAGE('Influent Results After Degass'!D28:D30)</f>
        <v>8.02</v>
      </c>
      <c r="D23" s="70">
        <f>AVERAGE('Influent Results After Degass'!E28:E30)</f>
        <v>2373.3333333333335</v>
      </c>
      <c r="E23" s="25"/>
      <c r="F23" s="70">
        <f>AVERAGE('Influent Results After Degass'!G28:G30)</f>
        <v>246</v>
      </c>
      <c r="G23" s="165">
        <f>AVERAGE('Influent Results After Degass'!H28:H30)</f>
        <v>85.666666666666671</v>
      </c>
      <c r="H23" s="70">
        <f>AVERAGE('Influent Results After Degass'!I28:I30)</f>
        <v>91.666666666666671</v>
      </c>
      <c r="I23" s="70">
        <f>AVERAGE('Influent Results After Degass'!J28:J30)</f>
        <v>16.333333333333332</v>
      </c>
      <c r="J23" s="70">
        <f>AVERAGE('Influent Results After Degass'!K28:K30)</f>
        <v>990.33333333333337</v>
      </c>
      <c r="K23" s="70">
        <f>AVERAGE('Influent Results After Degass'!L28:L30)</f>
        <v>17.666666666666668</v>
      </c>
      <c r="L23" s="70">
        <f>AVERAGE('Influent Results After Degass'!M28:M30)</f>
        <v>156.66666666666666</v>
      </c>
      <c r="M23" s="70">
        <f>AVERAGE('Influent Results After Degass'!N28:N30)</f>
        <v>44.4</v>
      </c>
      <c r="N23" s="70">
        <f>AVERAGE('Influent Results After Degass'!O28:O30)</f>
        <v>413.66666666666669</v>
      </c>
      <c r="O23" s="70">
        <f>AVERAGE('Influent Results After Degass'!P28:P30)</f>
        <v>22.243333333333336</v>
      </c>
      <c r="P23" s="15">
        <f>AVERAGE('Influent Results After Degass'!Q28:Q30)</f>
        <v>8.5503333333333345</v>
      </c>
      <c r="Q23" s="171">
        <f>AVERAGE('Influent Results After Degass'!R28:R30)</f>
        <v>0.20000000000000004</v>
      </c>
      <c r="R23" s="50">
        <f>AVERAGE('Influent Results After Degass'!S28:S30)</f>
        <v>0.02</v>
      </c>
      <c r="S23" s="50">
        <f>AVERAGE('Influent Results After Degass'!T28:T30)</f>
        <v>0.02</v>
      </c>
      <c r="T23" s="69">
        <f>AVERAGE('Influent Results After Degass'!U28:U30)</f>
        <v>0.45066666666666672</v>
      </c>
      <c r="U23" s="177">
        <f>AVERAGE('Influent Results After Degass'!V28:V30)</f>
        <v>0.04</v>
      </c>
      <c r="V23" s="15">
        <f>AVERAGE('Influent Results After Degass'!W28:W30)</f>
        <v>1.8339999999999999</v>
      </c>
      <c r="X23" s="170">
        <f t="shared" si="3"/>
        <v>28.3882999921966</v>
      </c>
      <c r="Y23" s="170">
        <f t="shared" si="4"/>
        <v>29.681022762329455</v>
      </c>
      <c r="Z23" s="170">
        <f t="shared" si="5"/>
        <v>2.2261715976911356</v>
      </c>
    </row>
    <row r="24" spans="1:26" s="43" customFormat="1" x14ac:dyDescent="0.35">
      <c r="Q24" s="163"/>
      <c r="X24" s="170"/>
      <c r="Y24" s="170"/>
      <c r="Z24" s="170"/>
    </row>
    <row r="25" spans="1:26" s="155" customFormat="1" x14ac:dyDescent="0.35">
      <c r="A25" s="156" t="s">
        <v>265</v>
      </c>
      <c r="Q25" s="163"/>
      <c r="X25" s="170"/>
      <c r="Y25" s="170"/>
      <c r="Z25" s="170"/>
    </row>
    <row r="26" spans="1:26" s="43" customFormat="1" x14ac:dyDescent="0.35">
      <c r="A26" s="142" t="s">
        <v>237</v>
      </c>
      <c r="B26" s="10">
        <v>43501</v>
      </c>
      <c r="C26" s="25">
        <f>AVERAGE('Influent Results After Degass'!D32:D34)</f>
        <v>8</v>
      </c>
      <c r="D26" s="12">
        <f>AVERAGE('Influent Results After Degass'!E32:E34)</f>
        <v>1495.6666666666667</v>
      </c>
      <c r="E26" s="198"/>
      <c r="F26" s="165">
        <f>AVERAGE('Influent Results After Degass'!G32:G34)</f>
        <v>272.66666666666669</v>
      </c>
      <c r="G26" s="70">
        <f>AVERAGE('Influent Results After Degass'!H32:H34)</f>
        <v>211</v>
      </c>
      <c r="H26" s="70">
        <f>AVERAGE('Influent Results After Degass'!I32:I34)</f>
        <v>31.666666666666668</v>
      </c>
      <c r="I26" s="70">
        <f>AVERAGE('Influent Results After Degass'!J32:J34)</f>
        <v>24.666666666666668</v>
      </c>
      <c r="J26" s="70">
        <f>AVERAGE('Influent Results After Degass'!K32:K34)</f>
        <v>503</v>
      </c>
      <c r="K26" s="70">
        <f>AVERAGE('Influent Results After Degass'!L32:L34)</f>
        <v>21.333333333333332</v>
      </c>
      <c r="L26" s="70">
        <f>AVERAGE('Influent Results After Degass'!M32:M34)</f>
        <v>120.3</v>
      </c>
      <c r="M26" s="70">
        <f>AVERAGE('Influent Results After Degass'!N32:N34)</f>
        <v>46.626666666666665</v>
      </c>
      <c r="N26" s="70">
        <f>AVERAGE('Influent Results After Degass'!O32:O34)</f>
        <v>175.29999999999998</v>
      </c>
      <c r="O26" s="70">
        <f>AVERAGE('Influent Results After Degass'!P32:P34)</f>
        <v>24.856666666666666</v>
      </c>
      <c r="P26" s="15">
        <f>AVERAGE('Influent Results After Degass'!Q32:Q34)</f>
        <v>6.1836666666666673</v>
      </c>
      <c r="Q26" s="171">
        <f>AVERAGE('Influent Results After Degass'!R32:R34)</f>
        <v>0.20000000000000004</v>
      </c>
      <c r="R26" s="50">
        <f>AVERAGE('Influent Results After Degass'!S32:S34)</f>
        <v>6.0333333333333329E-2</v>
      </c>
      <c r="S26" s="50">
        <f>AVERAGE('Influent Results After Degass'!T32:T34)</f>
        <v>0.02</v>
      </c>
      <c r="T26" s="176">
        <f>AVERAGE('Influent Results After Degass'!U32:U34)</f>
        <v>3.0333333333333334E-2</v>
      </c>
      <c r="U26" s="177">
        <f>AVERAGE('Influent Results After Degass'!V32:V34)</f>
        <v>0.04</v>
      </c>
      <c r="V26" s="15">
        <f>AVERAGE('Influent Results After Degass'!W32:W34)</f>
        <v>1.2903333333333333</v>
      </c>
      <c r="X26" s="170">
        <f t="shared" si="3"/>
        <v>17.217080989910524</v>
      </c>
      <c r="Y26" s="170">
        <f t="shared" si="4"/>
        <v>17.62062825062905</v>
      </c>
      <c r="Z26" s="170">
        <f t="shared" si="5"/>
        <v>1.1583633640553208</v>
      </c>
    </row>
    <row r="27" spans="1:26" s="43" customFormat="1" x14ac:dyDescent="0.35">
      <c r="A27" s="142" t="s">
        <v>238</v>
      </c>
      <c r="B27" s="10">
        <v>43501</v>
      </c>
      <c r="C27" s="25">
        <f>AVERAGE('Influent Results After Degass'!D35:D37)</f>
        <v>7.8999999999999995</v>
      </c>
      <c r="D27" s="189">
        <f>AVERAGE('Influent Results After Degass'!E35:E37)</f>
        <v>1712</v>
      </c>
      <c r="E27" s="198"/>
      <c r="F27" s="165">
        <f>AVERAGE('Influent Results After Degass'!G35:G37)</f>
        <v>320.66666666666669</v>
      </c>
      <c r="G27" s="70">
        <f>AVERAGE('Influent Results After Degass'!H35:H37)</f>
        <v>289.66666666666669</v>
      </c>
      <c r="H27" s="70">
        <f>AVERAGE('Influent Results After Degass'!I35:I37)</f>
        <v>46.333333333333336</v>
      </c>
      <c r="I27" s="70">
        <f>AVERAGE('Influent Results After Degass'!J35:J37)</f>
        <v>21.333333333333332</v>
      </c>
      <c r="J27" s="70">
        <f>AVERAGE('Influent Results After Degass'!K35:K37)</f>
        <v>590.66666666666663</v>
      </c>
      <c r="K27" s="70">
        <f>AVERAGE('Influent Results After Degass'!L35:L37)</f>
        <v>27.666666666666668</v>
      </c>
      <c r="L27" s="70">
        <f>AVERAGE('Influent Results After Degass'!M35:M37)</f>
        <v>150.53333333333333</v>
      </c>
      <c r="M27" s="70">
        <f>AVERAGE('Influent Results After Degass'!N35:N37)</f>
        <v>63.043333333333329</v>
      </c>
      <c r="N27" s="70">
        <f>AVERAGE('Influent Results After Degass'!O35:O37)</f>
        <v>191.6</v>
      </c>
      <c r="O27" s="70">
        <f>AVERAGE('Influent Results After Degass'!P35:P37)</f>
        <v>23.92</v>
      </c>
      <c r="P27" s="15">
        <f>AVERAGE('Influent Results After Degass'!Q35:Q37)</f>
        <v>6.5399999999999991</v>
      </c>
      <c r="Q27" s="171">
        <f>AVERAGE('Influent Results After Degass'!R35:R37)</f>
        <v>0.20000000000000004</v>
      </c>
      <c r="R27" s="50">
        <f>AVERAGE('Influent Results After Degass'!S35:S37)</f>
        <v>7.2999999999999995E-2</v>
      </c>
      <c r="S27" s="50">
        <f>AVERAGE('Influent Results After Degass'!T35:T37)</f>
        <v>0.02</v>
      </c>
      <c r="T27" s="176">
        <f>AVERAGE('Influent Results After Degass'!U35:U37)</f>
        <v>4.6333333333333337E-2</v>
      </c>
      <c r="U27" s="177">
        <f>AVERAGE('Influent Results After Degass'!V35:V37)</f>
        <v>0.04</v>
      </c>
      <c r="V27" s="15">
        <f>AVERAGE('Influent Results After Degass'!W35:W37)</f>
        <v>1.5233333333333334</v>
      </c>
      <c r="X27" s="170">
        <f t="shared" si="3"/>
        <v>20.36229391363047</v>
      </c>
      <c r="Y27" s="170">
        <f t="shared" si="4"/>
        <v>21.197449742351029</v>
      </c>
      <c r="Z27" s="170">
        <f t="shared" si="5"/>
        <v>2.0095307507999007</v>
      </c>
    </row>
    <row r="28" spans="1:26" s="43" customFormat="1" x14ac:dyDescent="0.35">
      <c r="A28" s="142" t="s">
        <v>239</v>
      </c>
      <c r="B28" s="10">
        <v>43501</v>
      </c>
      <c r="C28" s="25">
        <f>AVERAGE('Influent Results After Degass'!D38:D40)</f>
        <v>7.9366666666666674</v>
      </c>
      <c r="D28" s="189">
        <f>AVERAGE('Influent Results After Degass'!E38:E40)</f>
        <v>2010</v>
      </c>
      <c r="E28" s="198"/>
      <c r="F28" s="165">
        <f>AVERAGE('Influent Results After Degass'!G38:G40)</f>
        <v>292.66666666666669</v>
      </c>
      <c r="G28" s="70">
        <f>AVERAGE('Influent Results After Degass'!H38:H40)</f>
        <v>671</v>
      </c>
      <c r="H28" s="70">
        <f>AVERAGE('Influent Results After Degass'!I38:I40)</f>
        <v>51.333333333333336</v>
      </c>
      <c r="I28" s="167">
        <f>AVERAGE('Influent Results After Degass'!J38:J40)</f>
        <v>5</v>
      </c>
      <c r="J28" s="70">
        <f>AVERAGE('Influent Results After Degass'!K38:K40)</f>
        <v>783.66666666666663</v>
      </c>
      <c r="K28" s="70">
        <f>AVERAGE('Influent Results After Degass'!L38:L40)</f>
        <v>25.666666666666668</v>
      </c>
      <c r="L28" s="70">
        <f>AVERAGE('Influent Results After Degass'!M38:M40)</f>
        <v>183.86666666666667</v>
      </c>
      <c r="M28" s="70">
        <f>AVERAGE('Influent Results After Degass'!N38:N40)</f>
        <v>36.213333333333331</v>
      </c>
      <c r="N28" s="70">
        <f>AVERAGE('Influent Results After Degass'!O38:O40)</f>
        <v>314.06666666666666</v>
      </c>
      <c r="O28" s="70">
        <f>AVERAGE('Influent Results After Degass'!P38:P40)</f>
        <v>16.126666666666665</v>
      </c>
      <c r="P28" s="15">
        <f>AVERAGE('Influent Results After Degass'!Q38:Q40)</f>
        <v>7.9676666666666662</v>
      </c>
      <c r="Q28" s="171">
        <f>AVERAGE('Influent Results After Degass'!R38:R40)</f>
        <v>0.20000000000000004</v>
      </c>
      <c r="R28" s="163">
        <f>AVERAGE('Influent Results After Degass'!S38:S40)</f>
        <v>0.51200000000000001</v>
      </c>
      <c r="S28" s="50">
        <f>AVERAGE('Influent Results After Degass'!T38:T40)</f>
        <v>0.02</v>
      </c>
      <c r="T28" s="170">
        <f>AVERAGE('Influent Results After Degass'!U38:U40)</f>
        <v>1.0669999999999999</v>
      </c>
      <c r="U28" s="163">
        <f>AVERAGE('Influent Results After Degass'!V38:V40)</f>
        <v>0.12133333333333333</v>
      </c>
      <c r="V28" s="15">
        <f>AVERAGE('Influent Results After Degass'!W38:W40)</f>
        <v>1.9513333333333331</v>
      </c>
      <c r="X28" s="170">
        <f t="shared" si="3"/>
        <v>23.698218659126702</v>
      </c>
      <c r="Y28" s="170">
        <f t="shared" si="4"/>
        <v>26.017842217347727</v>
      </c>
      <c r="Z28" s="170">
        <f t="shared" si="5"/>
        <v>4.6657428551799596</v>
      </c>
    </row>
    <row r="29" spans="1:26" s="43" customFormat="1" x14ac:dyDescent="0.35">
      <c r="A29" s="142" t="s">
        <v>240</v>
      </c>
      <c r="B29" s="10">
        <v>43501</v>
      </c>
      <c r="C29" s="25">
        <f>AVERAGE('Influent Results After Degass'!D41:D43)</f>
        <v>7.8233333333333333</v>
      </c>
      <c r="D29" s="12">
        <f>AVERAGE('Influent Results After Degass'!E41:E43)</f>
        <v>1774.6666666666667</v>
      </c>
      <c r="E29" s="198"/>
      <c r="F29" s="165">
        <f>AVERAGE('Influent Results After Degass'!G41:G43)</f>
        <v>262.66666666666669</v>
      </c>
      <c r="G29" s="70">
        <f>AVERAGE('Influent Results After Degass'!H41:H43)</f>
        <v>758.33333333333337</v>
      </c>
      <c r="H29" s="70">
        <f>AVERAGE('Influent Results After Degass'!I41:I43)</f>
        <v>41.333333333333336</v>
      </c>
      <c r="I29" s="167">
        <f>AVERAGE('Influent Results After Degass'!J41:J43)</f>
        <v>5</v>
      </c>
      <c r="J29" s="70">
        <f>AVERAGE('Influent Results After Degass'!K41:K43)</f>
        <v>665.66666666666663</v>
      </c>
      <c r="K29" s="70">
        <f>AVERAGE('Influent Results After Degass'!L41:L43)</f>
        <v>24</v>
      </c>
      <c r="L29" s="70">
        <f>AVERAGE('Influent Results After Degass'!M41:M43)</f>
        <v>175.5</v>
      </c>
      <c r="M29" s="70">
        <f>AVERAGE('Influent Results After Degass'!N41:N43)</f>
        <v>36.853333333333332</v>
      </c>
      <c r="N29" s="70">
        <f>AVERAGE('Influent Results After Degass'!O41:O43)</f>
        <v>246.66666666666666</v>
      </c>
      <c r="O29" s="70">
        <f>AVERAGE('Influent Results After Degass'!P41:P43)</f>
        <v>14.556666666666667</v>
      </c>
      <c r="P29" s="15">
        <f>AVERAGE('Influent Results After Degass'!Q41:Q43)</f>
        <v>7.0040000000000004</v>
      </c>
      <c r="Q29" s="171">
        <f>AVERAGE('Influent Results After Degass'!R41:R43)</f>
        <v>0.20000000000000004</v>
      </c>
      <c r="R29" s="163">
        <f>AVERAGE('Influent Results After Degass'!S41:S43)</f>
        <v>0.33266666666666667</v>
      </c>
      <c r="S29" s="50">
        <f>AVERAGE('Influent Results After Degass'!T41:T43)</f>
        <v>7.0333333333333345E-2</v>
      </c>
      <c r="T29" s="170">
        <f>AVERAGE('Influent Results After Degass'!U41:U43)</f>
        <v>1.763333333333333</v>
      </c>
      <c r="U29" s="163">
        <f>AVERAGE('Influent Results After Degass'!V41:V43)</f>
        <v>0.17899999999999996</v>
      </c>
      <c r="V29" s="15">
        <f>AVERAGE('Influent Results After Degass'!W41:W43)</f>
        <v>1.6143333333333334</v>
      </c>
      <c r="X29" s="170">
        <f t="shared" si="3"/>
        <v>20.359333377331446</v>
      </c>
      <c r="Y29" s="170">
        <f t="shared" si="4"/>
        <v>22.696619814439998</v>
      </c>
      <c r="Z29" s="170">
        <f t="shared" si="5"/>
        <v>5.4284861066674486</v>
      </c>
    </row>
    <row r="30" spans="1:26" s="43" customFormat="1" x14ac:dyDescent="0.35">
      <c r="A30" s="142" t="s">
        <v>241</v>
      </c>
      <c r="B30" s="10">
        <v>43501</v>
      </c>
      <c r="C30" s="189">
        <f>AVERAGE('Influent Results After Degass'!D44:D46)</f>
        <v>8.1800000000000015</v>
      </c>
      <c r="D30" s="12">
        <f>AVERAGE('Influent Results After Degass'!E44:E46)</f>
        <v>926.66666666666663</v>
      </c>
      <c r="E30" s="198"/>
      <c r="F30" s="165">
        <f>AVERAGE('Influent Results After Degass'!G44:G46)</f>
        <v>171.33333333333334</v>
      </c>
      <c r="G30" s="15">
        <f>AVERAGE('Influent Results After Degass'!H44:H46)</f>
        <v>7.2666666666666666</v>
      </c>
      <c r="H30" s="70">
        <f>AVERAGE('Influent Results After Degass'!I44:I46)</f>
        <v>12</v>
      </c>
      <c r="I30" s="15">
        <f>AVERAGE('Influent Results After Degass'!J44:J46)</f>
        <v>4.7666666666666666</v>
      </c>
      <c r="J30" s="70">
        <f>AVERAGE('Influent Results After Degass'!K44:K46)</f>
        <v>327.66666666666669</v>
      </c>
      <c r="K30" s="70">
        <f>AVERAGE('Influent Results After Degass'!L44:L46)</f>
        <v>16.666666666666668</v>
      </c>
      <c r="L30" s="70">
        <f>AVERAGE('Influent Results After Degass'!M44:M46)</f>
        <v>109.96666666666665</v>
      </c>
      <c r="M30" s="70">
        <f>AVERAGE('Influent Results After Degass'!N44:N46)</f>
        <v>36.120000000000005</v>
      </c>
      <c r="N30" s="165">
        <f>AVERAGE('Influent Results After Degass'!O44:O46)</f>
        <v>56.776666666666671</v>
      </c>
      <c r="O30" s="70">
        <f>AVERAGE('Influent Results After Degass'!P44:P46)</f>
        <v>12.15</v>
      </c>
      <c r="P30" s="15">
        <f>AVERAGE('Influent Results After Degass'!Q44:Q46)</f>
        <v>3.3543333333333334</v>
      </c>
      <c r="Q30" s="171">
        <f>AVERAGE('Influent Results After Degass'!R44:R46)</f>
        <v>0.20000000000000004</v>
      </c>
      <c r="R30" s="177">
        <f>AVERAGE('Influent Results After Degass'!S44:S46)</f>
        <v>0.02</v>
      </c>
      <c r="S30" s="177">
        <f>AVERAGE('Influent Results After Degass'!T44:T46)</f>
        <v>0.02</v>
      </c>
      <c r="T30" s="176">
        <f>AVERAGE('Influent Results After Degass'!U44:U46)</f>
        <v>3.0666666666666665E-2</v>
      </c>
      <c r="U30" s="177">
        <f>AVERAGE('Influent Results After Degass'!V44:V46)</f>
        <v>0.04</v>
      </c>
      <c r="V30" s="15">
        <f>AVERAGE('Influent Results After Degass'!W44:W46)</f>
        <v>1.18</v>
      </c>
      <c r="X30" s="170">
        <f t="shared" si="3"/>
        <v>10.664178384353033</v>
      </c>
      <c r="Y30" s="170">
        <f t="shared" si="4"/>
        <v>11.013166403652486</v>
      </c>
      <c r="Z30" s="170">
        <f t="shared" si="5"/>
        <v>1.6099205078499954</v>
      </c>
    </row>
    <row r="31" spans="1:26" x14ac:dyDescent="0.35">
      <c r="X31" s="170"/>
      <c r="Y31" s="170"/>
      <c r="Z31" s="170"/>
    </row>
    <row r="32" spans="1:26" x14ac:dyDescent="0.35">
      <c r="A32" s="159" t="s">
        <v>282</v>
      </c>
      <c r="X32" s="170"/>
      <c r="Y32" s="170"/>
      <c r="Z32" s="170"/>
    </row>
    <row r="33" spans="1:26" x14ac:dyDescent="0.35">
      <c r="A33" s="155" t="s">
        <v>237</v>
      </c>
      <c r="C33" s="163">
        <f t="shared" ref="C33:V33" si="6">AVERAGE(C10,C18,C26)</f>
        <v>7.4611111111111112</v>
      </c>
      <c r="D33" s="165">
        <f>AVERAGE(D10,D18,D26)</f>
        <v>1518.6666666666667</v>
      </c>
      <c r="E33" s="171">
        <f t="shared" si="6"/>
        <v>0.03</v>
      </c>
      <c r="F33" s="165">
        <f t="shared" si="6"/>
        <v>272</v>
      </c>
      <c r="G33" s="165">
        <f>AVERAGE(G10,G18,G26)</f>
        <v>214.7777777777778</v>
      </c>
      <c r="H33" s="165">
        <f t="shared" si="6"/>
        <v>32.000000000000007</v>
      </c>
      <c r="I33" s="165">
        <f t="shared" si="6"/>
        <v>25.222222222222225</v>
      </c>
      <c r="J33" s="165">
        <f t="shared" si="6"/>
        <v>534.88888888888891</v>
      </c>
      <c r="K33" s="165">
        <f t="shared" si="6"/>
        <v>23.444444444444443</v>
      </c>
      <c r="L33" s="165">
        <f t="shared" si="6"/>
        <v>120.68888888888888</v>
      </c>
      <c r="M33" s="165">
        <f t="shared" si="6"/>
        <v>45.616666666666667</v>
      </c>
      <c r="N33" s="165">
        <f t="shared" si="6"/>
        <v>192.36666666666667</v>
      </c>
      <c r="O33" s="165">
        <f t="shared" si="6"/>
        <v>24.27333333333333</v>
      </c>
      <c r="P33" s="170">
        <f t="shared" si="6"/>
        <v>5.9746666666666668</v>
      </c>
      <c r="Q33" s="171">
        <f t="shared" si="6"/>
        <v>0.20000000000000004</v>
      </c>
      <c r="R33" s="176">
        <f t="shared" si="6"/>
        <v>3.7333333333333329E-2</v>
      </c>
      <c r="S33" s="177">
        <f t="shared" si="6"/>
        <v>0.02</v>
      </c>
      <c r="T33" s="176">
        <f t="shared" si="6"/>
        <v>3.1111111111111114E-2</v>
      </c>
      <c r="U33" s="177">
        <f t="shared" si="6"/>
        <v>0.04</v>
      </c>
      <c r="V33" s="170">
        <f t="shared" si="6"/>
        <v>1.1833333333333333</v>
      </c>
      <c r="X33" s="170">
        <f t="shared" ref="X33:X38" si="7">((F33/50)+(H33/35.45)+(I33/62)+(J33/48.03))</f>
        <v>17.886048036252305</v>
      </c>
      <c r="Y33" s="170">
        <f t="shared" ref="Y33:Y38" si="8">((L33/20.04)+(M33/12.16)+(N33/22.99)+(P33/39.1))</f>
        <v>18.293981151875062</v>
      </c>
      <c r="Z33" s="170">
        <f t="shared" ref="Z33:Z38" si="9">ABS((X33-Y33)/(X33+Y33)*100)</f>
        <v>1.1275090838141792</v>
      </c>
    </row>
    <row r="34" spans="1:26" x14ac:dyDescent="0.35">
      <c r="A34" s="155" t="s">
        <v>238</v>
      </c>
      <c r="C34" s="163">
        <f t="shared" ref="C34:V34" si="10">AVERAGE(C11,C19,C27)</f>
        <v>7.4677777777777772</v>
      </c>
      <c r="D34" s="165">
        <f t="shared" si="10"/>
        <v>1670.1111111111111</v>
      </c>
      <c r="E34" s="171">
        <f t="shared" si="10"/>
        <v>0.03</v>
      </c>
      <c r="F34" s="165">
        <f t="shared" si="10"/>
        <v>320.66666666666669</v>
      </c>
      <c r="G34" s="165">
        <f t="shared" si="10"/>
        <v>287.22222222222223</v>
      </c>
      <c r="H34" s="165">
        <f>AVERAGE(H11,H19,H27)</f>
        <v>47.333333333333336</v>
      </c>
      <c r="I34" s="165">
        <f t="shared" si="10"/>
        <v>21.777777777777775</v>
      </c>
      <c r="J34" s="165">
        <f t="shared" si="10"/>
        <v>614.55555555555554</v>
      </c>
      <c r="K34" s="165">
        <f t="shared" si="10"/>
        <v>28.111111111111114</v>
      </c>
      <c r="L34" s="165">
        <f t="shared" si="10"/>
        <v>153.01111111111109</v>
      </c>
      <c r="M34" s="165">
        <f t="shared" si="10"/>
        <v>62.398888888888884</v>
      </c>
      <c r="N34" s="165">
        <f t="shared" si="10"/>
        <v>206.23333333333335</v>
      </c>
      <c r="O34" s="165">
        <f t="shared" si="10"/>
        <v>23.54111111111111</v>
      </c>
      <c r="P34" s="170">
        <f t="shared" si="10"/>
        <v>6.3293333333333335</v>
      </c>
      <c r="Q34" s="171">
        <f t="shared" si="10"/>
        <v>0.20000000000000004</v>
      </c>
      <c r="R34" s="176">
        <f t="shared" si="10"/>
        <v>4.7000000000000007E-2</v>
      </c>
      <c r="S34" s="177">
        <f t="shared" si="10"/>
        <v>0.02</v>
      </c>
      <c r="T34" s="176">
        <f t="shared" si="10"/>
        <v>4.5777777777777785E-2</v>
      </c>
      <c r="U34" s="177">
        <f t="shared" si="10"/>
        <v>0.04</v>
      </c>
      <c r="V34" s="170">
        <f t="shared" si="10"/>
        <v>1.3484444444444446</v>
      </c>
      <c r="X34" s="170">
        <f t="shared" si="7"/>
        <v>20.895045443353979</v>
      </c>
      <c r="Y34" s="170">
        <f t="shared" si="8"/>
        <v>21.89921500465627</v>
      </c>
      <c r="Z34" s="170">
        <f t="shared" si="9"/>
        <v>2.3465052340891206</v>
      </c>
    </row>
    <row r="35" spans="1:26" x14ac:dyDescent="0.35">
      <c r="A35" s="155" t="s">
        <v>239</v>
      </c>
      <c r="C35" s="163">
        <f t="shared" ref="C35:V35" si="11">AVERAGE(C12,C20,C28)</f>
        <v>7.6166666666666671</v>
      </c>
      <c r="D35" s="165">
        <f t="shared" si="11"/>
        <v>2012</v>
      </c>
      <c r="E35" s="163">
        <f t="shared" si="11"/>
        <v>4.1666666666666671E-2</v>
      </c>
      <c r="F35" s="165">
        <f t="shared" si="11"/>
        <v>293.88888888888891</v>
      </c>
      <c r="G35" s="165">
        <f t="shared" si="11"/>
        <v>661.22222222222217</v>
      </c>
      <c r="H35" s="165">
        <f t="shared" si="11"/>
        <v>53.44444444444445</v>
      </c>
      <c r="I35" s="125">
        <f t="shared" si="11"/>
        <v>3.3333333333333335</v>
      </c>
      <c r="J35" s="165">
        <f t="shared" si="11"/>
        <v>800.8888888888888</v>
      </c>
      <c r="K35" s="165">
        <f t="shared" si="11"/>
        <v>26.555555555555557</v>
      </c>
      <c r="L35" s="165">
        <f t="shared" si="11"/>
        <v>183.55555555555557</v>
      </c>
      <c r="M35" s="165">
        <f t="shared" si="11"/>
        <v>35.531111111111109</v>
      </c>
      <c r="N35" s="165">
        <f t="shared" si="11"/>
        <v>315.04444444444442</v>
      </c>
      <c r="O35" s="165">
        <f t="shared" si="11"/>
        <v>16.411111111111111</v>
      </c>
      <c r="P35" s="170">
        <f t="shared" si="11"/>
        <v>7.6787777777777784</v>
      </c>
      <c r="Q35" s="171">
        <f t="shared" si="11"/>
        <v>0.20000000000000004</v>
      </c>
      <c r="R35" s="163">
        <f t="shared" si="11"/>
        <v>0.44400000000000001</v>
      </c>
      <c r="S35" s="176">
        <f t="shared" si="11"/>
        <v>8.1000000000000003E-2</v>
      </c>
      <c r="T35" s="170">
        <f t="shared" si="11"/>
        <v>0.99611111111111106</v>
      </c>
      <c r="U35" s="176">
        <f t="shared" si="11"/>
        <v>9.8999999999999991E-2</v>
      </c>
      <c r="V35" s="170">
        <f t="shared" si="11"/>
        <v>1.699888888888889</v>
      </c>
      <c r="X35" s="170">
        <f t="shared" si="7"/>
        <v>24.113905366209003</v>
      </c>
      <c r="Y35" s="170">
        <f t="shared" si="8"/>
        <v>25.98135601585059</v>
      </c>
      <c r="Z35" s="170">
        <f t="shared" si="9"/>
        <v>3.7277989935997597</v>
      </c>
    </row>
    <row r="36" spans="1:26" x14ac:dyDescent="0.35">
      <c r="A36" s="155" t="s">
        <v>240</v>
      </c>
      <c r="C36" s="163">
        <f t="shared" ref="C36:V36" si="12">AVERAGE(C13,C21,C29)</f>
        <v>7.3144444444444447</v>
      </c>
      <c r="D36" s="165">
        <f t="shared" si="12"/>
        <v>1813.4444444444446</v>
      </c>
      <c r="E36" s="163">
        <f t="shared" si="12"/>
        <v>0.16999999999999998</v>
      </c>
      <c r="F36" s="165">
        <f t="shared" si="12"/>
        <v>263.22222222222223</v>
      </c>
      <c r="G36" s="165">
        <f t="shared" si="12"/>
        <v>746.22222222222217</v>
      </c>
      <c r="H36" s="165">
        <f t="shared" si="12"/>
        <v>42.44444444444445</v>
      </c>
      <c r="I36" s="125">
        <f t="shared" si="12"/>
        <v>3.3333333333333335</v>
      </c>
      <c r="J36" s="165">
        <f t="shared" si="12"/>
        <v>691.22222222222217</v>
      </c>
      <c r="K36" s="165">
        <f t="shared" si="12"/>
        <v>24.222222222222218</v>
      </c>
      <c r="L36" s="165">
        <f t="shared" si="12"/>
        <v>177.8111111111111</v>
      </c>
      <c r="M36" s="165">
        <f t="shared" si="12"/>
        <v>36.911111111111104</v>
      </c>
      <c r="N36" s="165">
        <f t="shared" si="12"/>
        <v>244.24444444444444</v>
      </c>
      <c r="O36" s="165">
        <f t="shared" si="12"/>
        <v>15.707777777777777</v>
      </c>
      <c r="P36" s="170">
        <f t="shared" si="12"/>
        <v>6.6575555555555548</v>
      </c>
      <c r="Q36" s="171">
        <f t="shared" si="12"/>
        <v>0.20000000000000004</v>
      </c>
      <c r="R36" s="163">
        <f t="shared" si="12"/>
        <v>0.31644444444444447</v>
      </c>
      <c r="S36" s="163">
        <f t="shared" si="12"/>
        <v>0.26611111111111113</v>
      </c>
      <c r="T36" s="170">
        <f t="shared" si="12"/>
        <v>1.6833333333333333</v>
      </c>
      <c r="U36" s="163">
        <f t="shared" si="12"/>
        <v>0.18411111111111111</v>
      </c>
      <c r="V36" s="170">
        <f t="shared" si="12"/>
        <v>1.5754444444444446</v>
      </c>
      <c r="X36" s="170">
        <f t="shared" si="7"/>
        <v>20.906980678310703</v>
      </c>
      <c r="Y36" s="170">
        <f t="shared" si="8"/>
        <v>22.702475892168966</v>
      </c>
      <c r="Z36" s="170">
        <f t="shared" si="9"/>
        <v>4.1172152901205354</v>
      </c>
    </row>
    <row r="37" spans="1:26" x14ac:dyDescent="0.35">
      <c r="A37" s="155" t="s">
        <v>241</v>
      </c>
      <c r="C37" s="163">
        <f t="shared" ref="C37:V37" si="13">AVERAGE(C14,C22,C30)</f>
        <v>8.0499999999999989</v>
      </c>
      <c r="D37" s="165">
        <f t="shared" si="13"/>
        <v>792.8888888888888</v>
      </c>
      <c r="E37" s="171">
        <f t="shared" si="13"/>
        <v>0.03</v>
      </c>
      <c r="F37" s="165">
        <f t="shared" si="13"/>
        <v>161.7777777777778</v>
      </c>
      <c r="G37" s="170">
        <f t="shared" si="13"/>
        <v>7.1555555555555559</v>
      </c>
      <c r="H37" s="165">
        <f t="shared" si="13"/>
        <v>11.777777777777779</v>
      </c>
      <c r="I37" s="170">
        <f t="shared" si="13"/>
        <v>4.7</v>
      </c>
      <c r="J37" s="165">
        <f t="shared" si="13"/>
        <v>323.22222222222223</v>
      </c>
      <c r="K37" s="165">
        <f t="shared" si="13"/>
        <v>17.333333333333332</v>
      </c>
      <c r="L37" s="165">
        <f t="shared" si="13"/>
        <v>110.73333333333333</v>
      </c>
      <c r="M37" s="165">
        <f t="shared" si="13"/>
        <v>36.826666666666675</v>
      </c>
      <c r="N37" s="165">
        <f t="shared" si="13"/>
        <v>60.793333333333329</v>
      </c>
      <c r="O37" s="165">
        <f t="shared" si="13"/>
        <v>12.273333333333333</v>
      </c>
      <c r="P37" s="170">
        <f t="shared" si="13"/>
        <v>3.2865555555555557</v>
      </c>
      <c r="Q37" s="171">
        <f t="shared" si="13"/>
        <v>0.20000000000000004</v>
      </c>
      <c r="R37" s="177">
        <f t="shared" si="13"/>
        <v>0.02</v>
      </c>
      <c r="S37" s="177">
        <f t="shared" si="13"/>
        <v>0.02</v>
      </c>
      <c r="T37" s="176">
        <f t="shared" si="13"/>
        <v>4.3000000000000003E-2</v>
      </c>
      <c r="U37" s="177">
        <f t="shared" si="13"/>
        <v>0.04</v>
      </c>
      <c r="V37" s="170">
        <f t="shared" si="13"/>
        <v>1.2584444444444445</v>
      </c>
      <c r="X37" s="170">
        <f t="shared" si="7"/>
        <v>10.373188636120361</v>
      </c>
      <c r="Y37" s="170">
        <f t="shared" si="8"/>
        <v>11.282517455045328</v>
      </c>
      <c r="Z37" s="170">
        <f t="shared" si="9"/>
        <v>4.1990264140864122</v>
      </c>
    </row>
    <row r="38" spans="1:26" x14ac:dyDescent="0.35">
      <c r="A38" s="155" t="s">
        <v>242</v>
      </c>
      <c r="C38" s="163">
        <f t="shared" ref="C38:V38" si="14">AVERAGE(C15,C23,C31)</f>
        <v>7.6666666666666661</v>
      </c>
      <c r="D38" s="165">
        <f t="shared" si="14"/>
        <v>2311.5</v>
      </c>
      <c r="E38" s="171">
        <f t="shared" si="14"/>
        <v>0.03</v>
      </c>
      <c r="F38" s="165">
        <f>AVERAGE(F15,F23,F31)</f>
        <v>244.83333333333331</v>
      </c>
      <c r="G38" s="165">
        <f>AVERAGE(G15,G23,G31)</f>
        <v>85.666666666666671</v>
      </c>
      <c r="H38" s="165">
        <f t="shared" si="14"/>
        <v>91.5</v>
      </c>
      <c r="I38" s="12">
        <f t="shared" si="14"/>
        <v>16.333333333333332</v>
      </c>
      <c r="J38" s="165">
        <f t="shared" si="14"/>
        <v>975.66666666666674</v>
      </c>
      <c r="K38" s="165">
        <f t="shared" si="14"/>
        <v>20</v>
      </c>
      <c r="L38" s="165">
        <f t="shared" si="14"/>
        <v>158.21666666666667</v>
      </c>
      <c r="M38" s="165">
        <f t="shared" si="14"/>
        <v>44.49</v>
      </c>
      <c r="N38" s="165">
        <f t="shared" si="14"/>
        <v>407.98333333333335</v>
      </c>
      <c r="O38" s="165">
        <f t="shared" si="14"/>
        <v>22.978333333333335</v>
      </c>
      <c r="P38" s="170">
        <f t="shared" si="14"/>
        <v>8.5111666666666679</v>
      </c>
      <c r="Q38" s="171">
        <f t="shared" si="14"/>
        <v>0.20000000000000004</v>
      </c>
      <c r="R38" s="177">
        <f t="shared" si="14"/>
        <v>0.02</v>
      </c>
      <c r="S38" s="177">
        <f t="shared" si="14"/>
        <v>0.02</v>
      </c>
      <c r="T38" s="163">
        <f t="shared" si="14"/>
        <v>0.44666666666666671</v>
      </c>
      <c r="U38" s="177">
        <f t="shared" si="14"/>
        <v>0.04</v>
      </c>
      <c r="V38" s="170">
        <f t="shared" si="14"/>
        <v>1.7963333333333331</v>
      </c>
      <c r="X38" s="170">
        <f t="shared" si="7"/>
        <v>28.054900498795039</v>
      </c>
      <c r="Y38" s="170">
        <f t="shared" si="8"/>
        <v>29.517558751050874</v>
      </c>
      <c r="Z38" s="170">
        <f t="shared" si="9"/>
        <v>2.5405519780010954</v>
      </c>
    </row>
    <row r="39" spans="1:26" x14ac:dyDescent="0.35">
      <c r="Y39" s="157"/>
      <c r="Z39" s="157"/>
    </row>
    <row r="40" spans="1:26" x14ac:dyDescent="0.35">
      <c r="A40" s="156" t="s">
        <v>268</v>
      </c>
      <c r="Y40" s="157"/>
      <c r="Z40" s="157"/>
    </row>
    <row r="41" spans="1:26" s="162" customFormat="1" x14ac:dyDescent="0.35">
      <c r="A41" s="162">
        <v>106</v>
      </c>
      <c r="B41" s="168">
        <v>43535</v>
      </c>
      <c r="C41" s="189">
        <v>7.57</v>
      </c>
      <c r="D41" s="189">
        <v>1519</v>
      </c>
      <c r="E41" s="198"/>
      <c r="F41" s="164">
        <v>271</v>
      </c>
      <c r="G41" s="162">
        <v>213</v>
      </c>
      <c r="H41" s="162">
        <v>32</v>
      </c>
      <c r="I41" s="162">
        <v>26</v>
      </c>
      <c r="J41" s="162">
        <v>524</v>
      </c>
      <c r="K41" s="162">
        <v>22</v>
      </c>
      <c r="L41" s="165">
        <v>113.4</v>
      </c>
      <c r="M41" s="165">
        <v>42.96</v>
      </c>
      <c r="N41" s="165">
        <v>179.1</v>
      </c>
      <c r="O41" s="165">
        <v>22.92</v>
      </c>
      <c r="P41" s="170">
        <v>6.1239999999999997</v>
      </c>
      <c r="Q41" s="171">
        <v>0.2</v>
      </c>
      <c r="R41" s="177">
        <v>0.02</v>
      </c>
      <c r="S41" s="177">
        <v>0.02</v>
      </c>
      <c r="T41" s="162">
        <v>3.2000000000000001E-2</v>
      </c>
      <c r="U41" s="177">
        <v>0.04</v>
      </c>
      <c r="V41" s="170">
        <v>1.2190000000000001</v>
      </c>
      <c r="X41" s="170">
        <f>((F41/50)+(H41/35.45)+(I41/62)+(J41/48.03))</f>
        <v>17.651882681116589</v>
      </c>
      <c r="Y41" s="170">
        <f>((L41/20.04)+(M41/12.16)+(N41/22.99)+(P41/39.1))</f>
        <v>17.138545040157563</v>
      </c>
      <c r="Z41" s="170">
        <f>ABS((X41-Y41)/(X41+Y41)*100)</f>
        <v>1.4755140266502762</v>
      </c>
    </row>
    <row r="42" spans="1:26" s="162" customFormat="1" x14ac:dyDescent="0.35">
      <c r="A42" s="162">
        <v>110</v>
      </c>
      <c r="B42" s="168">
        <v>43535</v>
      </c>
      <c r="C42" s="189">
        <v>7.37</v>
      </c>
      <c r="D42" s="189">
        <v>1737</v>
      </c>
      <c r="E42" s="198"/>
      <c r="F42" s="164">
        <v>325</v>
      </c>
      <c r="G42" s="162">
        <v>288</v>
      </c>
      <c r="H42" s="162">
        <v>45</v>
      </c>
      <c r="I42" s="162">
        <v>23</v>
      </c>
      <c r="J42" s="162">
        <v>610</v>
      </c>
      <c r="K42" s="162">
        <v>23</v>
      </c>
      <c r="L42" s="165">
        <v>148</v>
      </c>
      <c r="M42" s="165">
        <v>59.86</v>
      </c>
      <c r="N42" s="165">
        <v>193.9</v>
      </c>
      <c r="O42" s="165">
        <v>22.33</v>
      </c>
      <c r="P42" s="170">
        <v>6.5419999999999998</v>
      </c>
      <c r="Q42" s="171">
        <v>0.2</v>
      </c>
      <c r="R42" s="162">
        <v>3.2000000000000001E-2</v>
      </c>
      <c r="S42" s="177">
        <v>0.02</v>
      </c>
      <c r="T42" s="177">
        <v>0.02</v>
      </c>
      <c r="U42" s="177">
        <v>0.04</v>
      </c>
      <c r="V42" s="170">
        <v>1.4610000000000001</v>
      </c>
      <c r="X42" s="170">
        <f>((F42/50)+(H42/35.45)+(I42/62)+(J42/48.03))</f>
        <v>20.840756840016226</v>
      </c>
      <c r="Y42" s="170">
        <f>((L42/20.04)+(M42/12.16)+(N42/22.99)+(P42/39.1))</f>
        <v>20.90934327072841</v>
      </c>
      <c r="Z42" s="170">
        <f>ABS((X42-Y42)/(X42+Y42)*100)</f>
        <v>0.16427848204017317</v>
      </c>
    </row>
    <row r="43" spans="1:26" s="162" customFormat="1" x14ac:dyDescent="0.35">
      <c r="A43" s="162">
        <v>120</v>
      </c>
      <c r="B43" s="168">
        <v>43535</v>
      </c>
      <c r="C43" s="189"/>
      <c r="D43" s="189"/>
      <c r="E43" s="198"/>
      <c r="F43" s="164">
        <v>296</v>
      </c>
      <c r="G43" s="162">
        <v>656</v>
      </c>
      <c r="H43" s="162">
        <v>51</v>
      </c>
      <c r="I43" s="171">
        <v>0.5</v>
      </c>
      <c r="J43" s="162">
        <v>800</v>
      </c>
      <c r="K43" s="162">
        <v>24</v>
      </c>
      <c r="L43" s="165">
        <v>170.2</v>
      </c>
      <c r="M43" s="165">
        <v>34.93</v>
      </c>
      <c r="N43" s="165">
        <v>278.5</v>
      </c>
      <c r="O43" s="165">
        <v>15.44</v>
      </c>
      <c r="P43" s="170">
        <v>7.3140000000000001</v>
      </c>
      <c r="Q43" s="171">
        <v>0.2</v>
      </c>
      <c r="R43" s="163">
        <v>0.47699999999999998</v>
      </c>
      <c r="S43" s="177">
        <v>0.02</v>
      </c>
      <c r="T43" s="170">
        <v>1.0649999999999999</v>
      </c>
      <c r="U43" s="162">
        <v>9.7000000000000003E-2</v>
      </c>
      <c r="V43" s="170">
        <v>1.758</v>
      </c>
      <c r="X43" s="170">
        <f>((F43/50)+(H43/35.45)+(I43/62)+(J43/48.03))</f>
        <v>24.022967002733107</v>
      </c>
      <c r="Y43" s="170">
        <f>((L43/20.04)+(M43/12.16)+(N43/22.99)+(P43/39.1))</f>
        <v>23.666568282753637</v>
      </c>
      <c r="Z43" s="170">
        <f>ABS((X43-Y43)/(X43+Y43)*100)</f>
        <v>0.74733108185252617</v>
      </c>
    </row>
    <row r="44" spans="1:26" s="162" customFormat="1" x14ac:dyDescent="0.35">
      <c r="A44" s="162">
        <v>121</v>
      </c>
      <c r="B44" s="168">
        <v>43535</v>
      </c>
      <c r="C44" s="189">
        <v>7.39</v>
      </c>
      <c r="D44" s="189">
        <v>1809</v>
      </c>
      <c r="E44" s="198"/>
      <c r="F44" s="164">
        <v>272</v>
      </c>
      <c r="G44" s="162">
        <v>732</v>
      </c>
      <c r="H44" s="162">
        <v>41</v>
      </c>
      <c r="I44" s="171">
        <v>0.5</v>
      </c>
      <c r="J44" s="162">
        <v>709</v>
      </c>
      <c r="K44" s="162">
        <v>19</v>
      </c>
      <c r="L44" s="165">
        <v>164.7</v>
      </c>
      <c r="M44" s="165">
        <v>35.369999999999997</v>
      </c>
      <c r="N44" s="165">
        <v>217.2</v>
      </c>
      <c r="O44" s="165">
        <v>15.24</v>
      </c>
      <c r="P44" s="170">
        <v>6.6920000000000002</v>
      </c>
      <c r="Q44" s="171">
        <v>0.2</v>
      </c>
      <c r="R44" s="163">
        <v>0.28399999999999997</v>
      </c>
      <c r="S44" s="177">
        <v>0.02</v>
      </c>
      <c r="T44" s="170">
        <v>1.6519999999999999</v>
      </c>
      <c r="U44" s="163">
        <v>0.14099999999999999</v>
      </c>
      <c r="V44" s="170">
        <v>1.528</v>
      </c>
      <c r="X44" s="170">
        <f>((F44/50)+(H44/35.45)+(I44/62)+(J44/48.03))</f>
        <v>21.366230378027169</v>
      </c>
      <c r="Y44" s="170">
        <f>((L44/20.04)+(M44/12.16)+(N44/22.99)+(P44/39.1))</f>
        <v>20.74601678157137</v>
      </c>
      <c r="Z44" s="170">
        <f>ABS((X44-Y44)/(X44+Y44)*100)</f>
        <v>1.4727630043233979</v>
      </c>
    </row>
    <row r="45" spans="1:26" s="162" customFormat="1" x14ac:dyDescent="0.35">
      <c r="A45" s="162" t="s">
        <v>103</v>
      </c>
      <c r="B45" s="168">
        <v>43535</v>
      </c>
      <c r="C45" s="189"/>
      <c r="D45" s="189"/>
      <c r="E45" s="198"/>
      <c r="F45" s="164">
        <v>248</v>
      </c>
      <c r="G45" s="162">
        <v>89</v>
      </c>
      <c r="H45" s="162">
        <v>87</v>
      </c>
      <c r="I45" s="189">
        <v>18</v>
      </c>
      <c r="J45" s="162">
        <v>994</v>
      </c>
      <c r="K45" s="162">
        <v>17</v>
      </c>
      <c r="L45" s="165">
        <v>151.5</v>
      </c>
      <c r="M45" s="165">
        <v>44.49</v>
      </c>
      <c r="N45" s="165">
        <v>413</v>
      </c>
      <c r="O45" s="165">
        <v>22.97</v>
      </c>
      <c r="P45" s="170">
        <v>8.5960000000000001</v>
      </c>
      <c r="Q45" s="171">
        <v>0.2</v>
      </c>
      <c r="R45" s="177">
        <v>0.02</v>
      </c>
      <c r="S45" s="177">
        <v>0.02</v>
      </c>
      <c r="T45" s="163">
        <v>0.31900000000000001</v>
      </c>
      <c r="U45" s="177">
        <v>0.04</v>
      </c>
      <c r="V45" s="170">
        <v>1.8089999999999999</v>
      </c>
      <c r="X45" s="170">
        <f>((F45/50)+(H45/35.45)+(I45/62)+(J45/48.03))</f>
        <v>28.399882079630135</v>
      </c>
      <c r="Y45" s="170">
        <f>((L45/20.04)+(M45/12.16)+(N45/22.99)+(P45/39.1))</f>
        <v>29.402776210498001</v>
      </c>
      <c r="Z45" s="170">
        <f>ABS((X45-Y45)/(X45+Y45)*100)</f>
        <v>1.7350311569306238</v>
      </c>
    </row>
    <row r="46" spans="1:26" x14ac:dyDescent="0.35">
      <c r="A46" s="162" t="s">
        <v>241</v>
      </c>
      <c r="B46" s="168">
        <v>43531</v>
      </c>
      <c r="C46" s="163">
        <f>AVERAGE('Influent Results'!D29:D31)</f>
        <v>8.1733333333333338</v>
      </c>
      <c r="D46" s="165">
        <f>AVERAGE('Influent Results'!E29:E31)</f>
        <v>959.33333333333337</v>
      </c>
      <c r="E46" s="198"/>
      <c r="F46" s="165">
        <f>AVERAGE('Influent Results'!G29:G31)</f>
        <v>160.66666666666666</v>
      </c>
      <c r="G46" s="162">
        <f>AVERAGE('Influent Results'!H29:H31)</f>
        <v>7.3999999999999995</v>
      </c>
      <c r="H46" s="162">
        <f>AVERAGE('Influent Results'!I29:I31)</f>
        <v>15</v>
      </c>
      <c r="I46" s="169">
        <f>AVERAGE('Influent Results'!J29:J31)</f>
        <v>0.5</v>
      </c>
      <c r="J46" s="165">
        <f>AVERAGE('Influent Results'!K29:K31)</f>
        <v>355.33333333333331</v>
      </c>
      <c r="K46" s="162">
        <f>AVERAGE('Influent Results'!L29:L31)</f>
        <v>15</v>
      </c>
      <c r="L46" s="165">
        <f>AVERAGE('Influent Results'!M29:M31)</f>
        <v>102.33333333333333</v>
      </c>
      <c r="M46" s="165">
        <f>AVERAGE('Influent Results'!N29:N31)</f>
        <v>39</v>
      </c>
      <c r="N46" s="165">
        <f>AVERAGE('Influent Results'!O29:O31)</f>
        <v>72.333333333333329</v>
      </c>
      <c r="O46" s="165">
        <f>AVERAGE('Influent Results'!P29:P31)</f>
        <v>12</v>
      </c>
      <c r="P46" s="170">
        <f>AVERAGE('Influent Results'!Q29:Q31)</f>
        <v>4.1333333333333329</v>
      </c>
      <c r="Q46" s="171">
        <f>AVERAGE('Influent Results'!R29:R31)</f>
        <v>0.20000000000000004</v>
      </c>
      <c r="R46" s="177">
        <f>AVERAGE('Influent Results'!S29:S31)</f>
        <v>0.02</v>
      </c>
      <c r="S46" s="177">
        <f>AVERAGE('Influent Results'!T29:T31)</f>
        <v>0.02</v>
      </c>
      <c r="T46" s="176">
        <f>AVERAGE('Influent Results'!U29:U31)</f>
        <v>5.1333333333333335E-2</v>
      </c>
      <c r="U46" s="177">
        <f>AVERAGE('Influent Results'!V29:V31)</f>
        <v>0.04</v>
      </c>
      <c r="V46" s="170">
        <f>AVERAGE('Influent Results'!X29:X31)</f>
        <v>1.0303333333333333</v>
      </c>
      <c r="X46" s="170">
        <f t="shared" ref="X46:X60" si="15">((F46/50)+(H46/35.45)+(I46/62)+(J46/48.03))</f>
        <v>11.042682951695816</v>
      </c>
      <c r="Y46" s="170">
        <f t="shared" ref="Y46:Y60" si="16">((L46/20.04)+(M46/12.16)+(N46/22.99)+(P46/39.1))</f>
        <v>11.565697942004107</v>
      </c>
      <c r="Z46" s="170">
        <f t="shared" ref="Z46:Z60" si="17">ABS((X46-Y46)/(X46+Y46)*100)</f>
        <v>2.3133677407833937</v>
      </c>
    </row>
    <row r="47" spans="1:26" x14ac:dyDescent="0.35">
      <c r="X47" s="170"/>
      <c r="Y47" s="170"/>
      <c r="Z47" s="170"/>
    </row>
    <row r="48" spans="1:26" x14ac:dyDescent="0.35">
      <c r="A48" s="160" t="s">
        <v>269</v>
      </c>
      <c r="X48" s="170"/>
      <c r="Y48" s="170"/>
      <c r="Z48" s="170"/>
    </row>
    <row r="49" spans="1:26" x14ac:dyDescent="0.35">
      <c r="A49" s="162" t="s">
        <v>237</v>
      </c>
      <c r="C49" s="163">
        <f>AVERAGE(C10,C18,C26,C41)</f>
        <v>7.4883333333333333</v>
      </c>
      <c r="D49" s="165">
        <v>1530.1666666666667</v>
      </c>
      <c r="E49" s="26">
        <v>0.03</v>
      </c>
      <c r="F49" s="165">
        <f t="shared" ref="F49:V49" si="18">AVERAGE(F10,F18,F26,F41)</f>
        <v>271.75</v>
      </c>
      <c r="G49" s="165">
        <f t="shared" si="18"/>
        <v>214.33333333333334</v>
      </c>
      <c r="H49" s="165">
        <f t="shared" si="18"/>
        <v>32</v>
      </c>
      <c r="I49" s="165">
        <f t="shared" si="18"/>
        <v>25.416666666666668</v>
      </c>
      <c r="J49" s="165">
        <f t="shared" si="18"/>
        <v>532.16666666666674</v>
      </c>
      <c r="K49" s="165">
        <f t="shared" si="18"/>
        <v>23.083333333333332</v>
      </c>
      <c r="L49" s="165">
        <f t="shared" si="18"/>
        <v>118.86666666666667</v>
      </c>
      <c r="M49" s="165">
        <f t="shared" si="18"/>
        <v>44.952500000000001</v>
      </c>
      <c r="N49" s="165">
        <f t="shared" si="18"/>
        <v>189.05</v>
      </c>
      <c r="O49" s="165">
        <f t="shared" si="18"/>
        <v>23.934999999999999</v>
      </c>
      <c r="P49" s="170">
        <f t="shared" si="18"/>
        <v>6.0119999999999996</v>
      </c>
      <c r="Q49" s="171">
        <f t="shared" si="18"/>
        <v>0.2</v>
      </c>
      <c r="R49" s="161">
        <f t="shared" si="18"/>
        <v>3.2999999999999995E-2</v>
      </c>
      <c r="S49" s="177">
        <f t="shared" si="18"/>
        <v>0.02</v>
      </c>
      <c r="T49" s="176">
        <f t="shared" si="18"/>
        <v>3.1333333333333338E-2</v>
      </c>
      <c r="U49" s="177">
        <f t="shared" si="18"/>
        <v>0.04</v>
      </c>
      <c r="V49" s="170">
        <f t="shared" si="18"/>
        <v>1.19225</v>
      </c>
      <c r="X49" s="170">
        <f t="shared" si="15"/>
        <v>17.827506697468376</v>
      </c>
      <c r="Y49" s="170">
        <f t="shared" si="16"/>
        <v>18.005122123945686</v>
      </c>
      <c r="Z49" s="170">
        <f t="shared" si="17"/>
        <v>0.49568070308914758</v>
      </c>
    </row>
    <row r="50" spans="1:26" x14ac:dyDescent="0.35">
      <c r="A50" s="162" t="s">
        <v>238</v>
      </c>
      <c r="C50" s="163">
        <f>AVERAGE(C11,C19,C27,C42)</f>
        <v>7.4433333333333334</v>
      </c>
      <c r="D50" s="165">
        <v>1649.1666666666665</v>
      </c>
      <c r="E50" s="26">
        <v>0.03</v>
      </c>
      <c r="F50" s="165">
        <f t="shared" ref="F50:V50" si="19">AVERAGE(F11,F19,F27,F42)</f>
        <v>321.75</v>
      </c>
      <c r="G50" s="165">
        <f t="shared" si="19"/>
        <v>287.41666666666669</v>
      </c>
      <c r="H50" s="165">
        <f>AVERAGE(H11,H19,H27,H42)</f>
        <v>46.75</v>
      </c>
      <c r="I50" s="165">
        <f t="shared" si="19"/>
        <v>22.083333333333332</v>
      </c>
      <c r="J50" s="165">
        <f t="shared" si="19"/>
        <v>613.41666666666663</v>
      </c>
      <c r="K50" s="165">
        <f t="shared" si="19"/>
        <v>26.833333333333336</v>
      </c>
      <c r="L50" s="165">
        <f t="shared" si="19"/>
        <v>151.75833333333333</v>
      </c>
      <c r="M50" s="165">
        <f t="shared" si="19"/>
        <v>61.764166666666668</v>
      </c>
      <c r="N50" s="165">
        <f t="shared" si="19"/>
        <v>203.15</v>
      </c>
      <c r="O50" s="165">
        <f t="shared" si="19"/>
        <v>23.238333333333333</v>
      </c>
      <c r="P50" s="170">
        <f t="shared" si="19"/>
        <v>6.3825000000000003</v>
      </c>
      <c r="Q50" s="171">
        <f t="shared" si="19"/>
        <v>0.2</v>
      </c>
      <c r="R50" s="161">
        <f t="shared" si="19"/>
        <v>4.3250000000000004E-2</v>
      </c>
      <c r="S50" s="177">
        <f t="shared" si="19"/>
        <v>0.02</v>
      </c>
      <c r="T50" s="161">
        <f t="shared" si="19"/>
        <v>3.9333333333333338E-2</v>
      </c>
      <c r="U50" s="177">
        <f t="shared" si="19"/>
        <v>0.04</v>
      </c>
      <c r="V50" s="170">
        <f t="shared" si="19"/>
        <v>1.3765833333333335</v>
      </c>
      <c r="X50" s="170">
        <f t="shared" si="15"/>
        <v>20.881473292519541</v>
      </c>
      <c r="Y50" s="170">
        <f t="shared" si="16"/>
        <v>21.651747071174306</v>
      </c>
      <c r="Z50" s="170">
        <f t="shared" si="17"/>
        <v>1.8109933178543591</v>
      </c>
    </row>
    <row r="51" spans="1:26" x14ac:dyDescent="0.35">
      <c r="A51" s="162" t="s">
        <v>239</v>
      </c>
      <c r="C51" s="163">
        <f>AVERAGE(C12,C20,C28,C43)</f>
        <v>7.6166666666666671</v>
      </c>
      <c r="D51" s="165">
        <v>2013</v>
      </c>
      <c r="E51" s="25">
        <v>4.1666666666666671E-2</v>
      </c>
      <c r="F51" s="165">
        <f t="shared" ref="F51:V51" si="20">AVERAGE(F12,F20,F28,F43)</f>
        <v>294.41666666666669</v>
      </c>
      <c r="G51" s="165">
        <f t="shared" si="20"/>
        <v>659.91666666666663</v>
      </c>
      <c r="H51" s="165">
        <f t="shared" si="20"/>
        <v>52.833333333333336</v>
      </c>
      <c r="I51" s="167">
        <f t="shared" si="20"/>
        <v>2.625</v>
      </c>
      <c r="J51" s="165">
        <f t="shared" si="20"/>
        <v>800.66666666666663</v>
      </c>
      <c r="K51" s="165">
        <f t="shared" si="20"/>
        <v>25.916666666666668</v>
      </c>
      <c r="L51" s="165">
        <f t="shared" si="20"/>
        <v>180.2166666666667</v>
      </c>
      <c r="M51" s="165">
        <f t="shared" si="20"/>
        <v>35.380833333333335</v>
      </c>
      <c r="N51" s="165">
        <f t="shared" si="20"/>
        <v>305.9083333333333</v>
      </c>
      <c r="O51" s="165">
        <f t="shared" si="20"/>
        <v>16.168333333333333</v>
      </c>
      <c r="P51" s="170">
        <f t="shared" si="20"/>
        <v>7.5875833333333338</v>
      </c>
      <c r="Q51" s="171">
        <f t="shared" si="20"/>
        <v>0.2</v>
      </c>
      <c r="R51" s="163">
        <f t="shared" si="20"/>
        <v>0.45225000000000004</v>
      </c>
      <c r="S51" s="161">
        <f t="shared" si="20"/>
        <v>6.5750000000000003E-2</v>
      </c>
      <c r="T51" s="6">
        <f t="shared" si="20"/>
        <v>1.0133333333333332</v>
      </c>
      <c r="U51" s="163">
        <f t="shared" si="20"/>
        <v>9.8500000000000004E-2</v>
      </c>
      <c r="V51" s="170">
        <f t="shared" si="20"/>
        <v>1.7144166666666667</v>
      </c>
      <c r="X51" s="170">
        <f t="shared" si="15"/>
        <v>24.091170775340032</v>
      </c>
      <c r="Y51" s="170">
        <f t="shared" si="16"/>
        <v>25.402659082576353</v>
      </c>
      <c r="Z51" s="170">
        <f t="shared" si="17"/>
        <v>2.649801623760486</v>
      </c>
    </row>
    <row r="52" spans="1:26" x14ac:dyDescent="0.35">
      <c r="A52" s="162" t="s">
        <v>240</v>
      </c>
      <c r="C52" s="163">
        <f>AVERAGE(C13,C21,C29,C44)</f>
        <v>7.3333333333333339</v>
      </c>
      <c r="D52" s="165">
        <v>1832.8333333333335</v>
      </c>
      <c r="E52" s="198">
        <v>0.16999999999999998</v>
      </c>
      <c r="F52" s="165">
        <f t="shared" ref="F52:V52" si="21">AVERAGE(F13,F21,F29,F44)</f>
        <v>265.41666666666669</v>
      </c>
      <c r="G52" s="165">
        <f t="shared" si="21"/>
        <v>742.66666666666663</v>
      </c>
      <c r="H52" s="165">
        <f t="shared" si="21"/>
        <v>42.083333333333336</v>
      </c>
      <c r="I52" s="167">
        <f t="shared" si="21"/>
        <v>2.625</v>
      </c>
      <c r="J52" s="165">
        <f t="shared" si="21"/>
        <v>695.66666666666663</v>
      </c>
      <c r="K52" s="165">
        <f t="shared" si="21"/>
        <v>22.916666666666664</v>
      </c>
      <c r="L52" s="165">
        <f t="shared" si="21"/>
        <v>174.5333333333333</v>
      </c>
      <c r="M52" s="165">
        <f t="shared" si="21"/>
        <v>36.525833333333331</v>
      </c>
      <c r="N52" s="165">
        <f t="shared" si="21"/>
        <v>237.48333333333335</v>
      </c>
      <c r="O52" s="165">
        <f t="shared" si="21"/>
        <v>15.590833333333332</v>
      </c>
      <c r="P52" s="170">
        <f t="shared" si="21"/>
        <v>6.6661666666666664</v>
      </c>
      <c r="Q52" s="171">
        <f t="shared" si="21"/>
        <v>0.2</v>
      </c>
      <c r="R52" s="163">
        <f t="shared" si="21"/>
        <v>0.30833333333333335</v>
      </c>
      <c r="S52" s="25">
        <f t="shared" si="21"/>
        <v>0.20458333333333337</v>
      </c>
      <c r="T52" s="6">
        <f t="shared" si="21"/>
        <v>1.6755</v>
      </c>
      <c r="U52" s="163">
        <f t="shared" si="21"/>
        <v>0.17333333333333334</v>
      </c>
      <c r="V52" s="170">
        <f t="shared" si="21"/>
        <v>1.5635833333333333</v>
      </c>
      <c r="X52" s="170">
        <f t="shared" si="15"/>
        <v>21.021793103239819</v>
      </c>
      <c r="Y52" s="170">
        <f t="shared" si="16"/>
        <v>22.213361114519572</v>
      </c>
      <c r="Z52" s="170">
        <f t="shared" si="17"/>
        <v>2.756016562999331</v>
      </c>
    </row>
    <row r="53" spans="1:26" x14ac:dyDescent="0.35">
      <c r="A53" s="162" t="s">
        <v>241</v>
      </c>
      <c r="C53" s="163">
        <f>C46</f>
        <v>8.1733333333333338</v>
      </c>
      <c r="D53" s="190">
        <v>959</v>
      </c>
      <c r="E53" s="26">
        <v>0.03</v>
      </c>
      <c r="F53" s="165">
        <f>F46</f>
        <v>160.66666666666666</v>
      </c>
      <c r="G53" s="170">
        <f t="shared" ref="G53:V53" si="22">G46</f>
        <v>7.3999999999999995</v>
      </c>
      <c r="H53" s="165">
        <f t="shared" si="22"/>
        <v>15</v>
      </c>
      <c r="I53" s="171">
        <f t="shared" si="22"/>
        <v>0.5</v>
      </c>
      <c r="J53" s="165">
        <f t="shared" si="22"/>
        <v>355.33333333333331</v>
      </c>
      <c r="K53" s="165">
        <f t="shared" si="22"/>
        <v>15</v>
      </c>
      <c r="L53" s="165">
        <f t="shared" si="22"/>
        <v>102.33333333333333</v>
      </c>
      <c r="M53" s="165">
        <f t="shared" si="22"/>
        <v>39</v>
      </c>
      <c r="N53" s="165">
        <f t="shared" si="22"/>
        <v>72.333333333333329</v>
      </c>
      <c r="O53" s="165">
        <f t="shared" si="22"/>
        <v>12</v>
      </c>
      <c r="P53" s="170">
        <f t="shared" si="22"/>
        <v>4.1333333333333329</v>
      </c>
      <c r="Q53" s="171">
        <f t="shared" si="22"/>
        <v>0.20000000000000004</v>
      </c>
      <c r="R53" s="177">
        <f t="shared" si="22"/>
        <v>0.02</v>
      </c>
      <c r="S53" s="177">
        <f t="shared" si="22"/>
        <v>0.02</v>
      </c>
      <c r="T53" s="161">
        <f t="shared" si="22"/>
        <v>5.1333333333333335E-2</v>
      </c>
      <c r="U53" s="177">
        <f t="shared" si="22"/>
        <v>0.04</v>
      </c>
      <c r="V53" s="170">
        <f t="shared" si="22"/>
        <v>1.0303333333333333</v>
      </c>
      <c r="X53" s="170">
        <f t="shared" si="15"/>
        <v>11.042682951695816</v>
      </c>
      <c r="Y53" s="170">
        <f t="shared" si="16"/>
        <v>11.565697942004107</v>
      </c>
      <c r="Z53" s="170">
        <f t="shared" si="17"/>
        <v>2.3133677407833937</v>
      </c>
    </row>
    <row r="54" spans="1:26" x14ac:dyDescent="0.35">
      <c r="A54" s="162" t="s">
        <v>242</v>
      </c>
      <c r="C54" s="163">
        <f>AVERAGE(C15,C23,C45)</f>
        <v>7.6666666666666661</v>
      </c>
      <c r="D54" s="190">
        <v>2312</v>
      </c>
      <c r="E54" s="26">
        <v>0.03</v>
      </c>
      <c r="F54" s="165">
        <f>AVERAGE(F15,F23,F45)</f>
        <v>245.88888888888889</v>
      </c>
      <c r="G54" s="165">
        <f t="shared" ref="G54:V54" si="23">AVERAGE(G15,G23,G45)</f>
        <v>86.777777777777786</v>
      </c>
      <c r="H54" s="12">
        <f t="shared" si="23"/>
        <v>90</v>
      </c>
      <c r="I54" s="12">
        <f t="shared" si="23"/>
        <v>16.888888888888889</v>
      </c>
      <c r="J54" s="165">
        <f t="shared" si="23"/>
        <v>981.77777777777783</v>
      </c>
      <c r="K54" s="165">
        <f t="shared" si="23"/>
        <v>19</v>
      </c>
      <c r="L54" s="165">
        <f t="shared" si="23"/>
        <v>155.97777777777779</v>
      </c>
      <c r="M54" s="165">
        <f t="shared" si="23"/>
        <v>44.49</v>
      </c>
      <c r="N54" s="165">
        <f t="shared" si="23"/>
        <v>409.65555555555557</v>
      </c>
      <c r="O54" s="165">
        <f t="shared" si="23"/>
        <v>22.975555555555559</v>
      </c>
      <c r="P54" s="170">
        <f t="shared" si="23"/>
        <v>8.5394444444444453</v>
      </c>
      <c r="Q54" s="171">
        <f t="shared" si="23"/>
        <v>0.20000000000000004</v>
      </c>
      <c r="R54" s="177">
        <f t="shared" si="23"/>
        <v>0.02</v>
      </c>
      <c r="S54" s="177">
        <f t="shared" si="23"/>
        <v>0.02</v>
      </c>
      <c r="T54" s="25">
        <f t="shared" si="23"/>
        <v>0.40411111111111114</v>
      </c>
      <c r="U54" s="177">
        <f t="shared" si="23"/>
        <v>0.04</v>
      </c>
      <c r="V54" s="170">
        <f t="shared" si="23"/>
        <v>1.8005555555555555</v>
      </c>
      <c r="X54" s="170">
        <f t="shared" si="15"/>
        <v>28.169894359073403</v>
      </c>
      <c r="Y54" s="170">
        <f t="shared" si="16"/>
        <v>29.479297904199917</v>
      </c>
      <c r="Z54" s="170">
        <f t="shared" si="17"/>
        <v>2.2713302541112936</v>
      </c>
    </row>
    <row r="55" spans="1:26" x14ac:dyDescent="0.35">
      <c r="C55" s="190"/>
      <c r="D55" s="190"/>
      <c r="E55" s="198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X55" s="183"/>
      <c r="Y55" s="170"/>
      <c r="Z55" s="170"/>
    </row>
    <row r="56" spans="1:26" x14ac:dyDescent="0.35">
      <c r="A56" s="159" t="s">
        <v>283</v>
      </c>
      <c r="C56" s="190"/>
      <c r="D56" s="190"/>
      <c r="E56" s="198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X56" s="183"/>
      <c r="Y56" s="170"/>
      <c r="Z56" s="170"/>
    </row>
    <row r="57" spans="1:26" x14ac:dyDescent="0.35">
      <c r="A57" s="162" t="s">
        <v>237</v>
      </c>
      <c r="C57" s="163">
        <f>AVERAGE('Influent Results'!D36:D38,'Influent Results After Degass'!D56)</f>
        <v>7.1099999999999994</v>
      </c>
      <c r="D57" s="165">
        <f>AVERAGE('Influent Results'!E36:E38,'Influent Results After Degass'!E56)</f>
        <v>2145.25</v>
      </c>
      <c r="E57" s="198"/>
      <c r="F57" s="165">
        <f>AVERAGE('Influent Results'!G36:G38,'Influent Results After Degass'!G56)</f>
        <v>377.125</v>
      </c>
      <c r="G57" s="165">
        <f>AVERAGE('Influent Results'!H36:H38,'Influent Results After Degass'!H56)</f>
        <v>412.5</v>
      </c>
      <c r="H57" s="165">
        <f>AVERAGE('Influent Results'!I36:I38,'Influent Results After Degass'!I56)</f>
        <v>51.25</v>
      </c>
      <c r="I57" s="165">
        <f>AVERAGE('Influent Results'!J36:J38,'Influent Results After Degass'!J56)</f>
        <v>14.75</v>
      </c>
      <c r="J57" s="165">
        <f>AVERAGE('Influent Results'!K36:K38,'Influent Results After Degass'!K56)</f>
        <v>757.25</v>
      </c>
      <c r="K57" s="165">
        <f>AVERAGE('Influent Results'!L36:L38,'Influent Results After Degass'!L56)</f>
        <v>28.75</v>
      </c>
      <c r="L57" s="165">
        <f>AVERAGE('Influent Results'!M36:M38,'Influent Results After Degass'!M56)</f>
        <v>159.60000000000002</v>
      </c>
      <c r="M57" s="165">
        <f>AVERAGE('Influent Results'!N36:N38,'Influent Results After Degass'!N56)</f>
        <v>64.23</v>
      </c>
      <c r="N57" s="165">
        <f>AVERAGE('Influent Results'!O36:O38,'Influent Results After Degass'!O56)</f>
        <v>271.52499999999998</v>
      </c>
      <c r="O57" s="165">
        <f>AVERAGE('Influent Results'!P36:P38,'Influent Results After Degass'!P56)</f>
        <v>24.852500000000003</v>
      </c>
      <c r="P57" s="170">
        <f>AVERAGE('Influent Results'!Q36:Q38,'Influent Results After Degass'!Q56)</f>
        <v>6.8772500000000001</v>
      </c>
      <c r="Q57" s="171">
        <f>AVERAGE('Influent Results'!R36:R38,'Influent Results After Degass'!R56)</f>
        <v>0.20000000000000004</v>
      </c>
      <c r="R57" s="176">
        <f>AVERAGE('Influent Results'!S36:S38,'Influent Results After Degass'!S56)</f>
        <v>4.9666666666666671E-2</v>
      </c>
      <c r="S57" s="177">
        <f>AVERAGE('Influent Results'!T36:T38,'Influent Results After Degass'!T56)</f>
        <v>0.02</v>
      </c>
      <c r="T57" s="176">
        <f>AVERAGE('Influent Results'!U36:U38,'Influent Results After Degass'!U56)</f>
        <v>4.8666666666666671E-2</v>
      </c>
      <c r="U57" s="177">
        <f>AVERAGE('Influent Results'!V36:V38,'Influent Results After Degass'!V56)</f>
        <v>0.04</v>
      </c>
      <c r="V57" s="170">
        <f>AVERAGE('Influent Results'!X36:X38,'Influent Results After Degass'!W56)</f>
        <v>1.5040000000000002</v>
      </c>
      <c r="X57" s="170">
        <f t="shared" si="15"/>
        <v>24.992289191530155</v>
      </c>
      <c r="Y57" s="170">
        <f t="shared" si="16"/>
        <v>25.232602784473706</v>
      </c>
      <c r="Z57" s="170">
        <f t="shared" si="17"/>
        <v>0.47847508175501152</v>
      </c>
    </row>
    <row r="58" spans="1:26" x14ac:dyDescent="0.35">
      <c r="A58" s="162" t="s">
        <v>238</v>
      </c>
      <c r="C58" s="163">
        <f>AVERAGE('Influent Results'!D39:D41,'Influent Results After Degass'!D57)</f>
        <v>6.99</v>
      </c>
      <c r="D58" s="165">
        <f>AVERAGE('Influent Results'!E39:E41,'Influent Results After Degass'!E57)</f>
        <v>2666.25</v>
      </c>
      <c r="E58" s="198"/>
      <c r="F58" s="165">
        <f>AVERAGE('Influent Results'!G39:G41,'Influent Results After Degass'!G57)</f>
        <v>340.375</v>
      </c>
      <c r="G58" s="165">
        <f>AVERAGE('Influent Results'!H39:H41,'Influent Results After Degass'!H57)</f>
        <v>595.25</v>
      </c>
      <c r="H58" s="165">
        <f>AVERAGE('Influent Results'!I39:I41,'Influent Results After Degass'!I57)</f>
        <v>83</v>
      </c>
      <c r="I58" s="171">
        <f>AVERAGE('Influent Results'!J39:J41,'Influent Results After Degass'!J57)</f>
        <v>0.5</v>
      </c>
      <c r="J58" s="190">
        <f>AVERAGE('Influent Results'!K39:K41,'Influent Results After Degass'!K57)</f>
        <v>1120</v>
      </c>
      <c r="K58" s="165">
        <f>AVERAGE('Influent Results'!L39:L41,'Influent Results After Degass'!L57)</f>
        <v>31.5</v>
      </c>
      <c r="L58" s="165">
        <f>AVERAGE('Influent Results'!M39:M41,'Influent Results After Degass'!M57)</f>
        <v>290.3</v>
      </c>
      <c r="M58" s="165">
        <f>AVERAGE('Influent Results'!N39:N41,'Influent Results After Degass'!N57)</f>
        <v>112.95</v>
      </c>
      <c r="N58" s="165">
        <f>AVERAGE('Influent Results'!O39:O41,'Influent Results After Degass'!O57)</f>
        <v>238.57500000000002</v>
      </c>
      <c r="O58" s="165">
        <f>AVERAGE('Influent Results'!P39:P41,'Influent Results After Degass'!P57)</f>
        <v>22.385000000000002</v>
      </c>
      <c r="P58" s="170">
        <f>AVERAGE('Influent Results'!Q39:Q41,'Influent Results After Degass'!Q57)</f>
        <v>8.1567499999999988</v>
      </c>
      <c r="Q58" s="171">
        <f>AVERAGE('Influent Results'!R39:R41,'Influent Results After Degass'!R57)</f>
        <v>0.20000000000000004</v>
      </c>
      <c r="R58" s="176">
        <f>AVERAGE('Influent Results'!S39:S41,'Influent Results After Degass'!S57)</f>
        <v>2.1000000000000001E-2</v>
      </c>
      <c r="S58" s="177">
        <f>AVERAGE('Influent Results'!T39:T41,'Influent Results After Degass'!T57)</f>
        <v>0.02</v>
      </c>
      <c r="T58" s="163">
        <f>AVERAGE('Influent Results'!U39:U41,'Influent Results After Degass'!U57)</f>
        <v>0.19499999999999998</v>
      </c>
      <c r="U58" s="177">
        <f>AVERAGE('Influent Results'!V39:V41,'Influent Results After Degass'!V57)</f>
        <v>0.04</v>
      </c>
      <c r="V58" s="170">
        <f>AVERAGE('Influent Results'!X39:X41,'Influent Results After Degass'!W57)</f>
        <v>2.5666666666666669</v>
      </c>
      <c r="X58" s="170">
        <f t="shared" si="15"/>
        <v>32.475649436020717</v>
      </c>
      <c r="Y58" s="170">
        <f t="shared" si="16"/>
        <v>34.360629764902313</v>
      </c>
      <c r="Z58" s="170">
        <f t="shared" si="17"/>
        <v>2.8202951322514136</v>
      </c>
    </row>
    <row r="59" spans="1:26" x14ac:dyDescent="0.35">
      <c r="A59" s="162" t="s">
        <v>239</v>
      </c>
      <c r="C59" s="163">
        <f>AVERAGE('Influent Results'!D42:D44,'Influent Results After Degass'!D55)</f>
        <v>7.2149999999999999</v>
      </c>
      <c r="D59" s="165">
        <f>AVERAGE('Influent Results'!E42:E44,'Influent Results After Degass'!E55)</f>
        <v>2617.25</v>
      </c>
      <c r="E59" s="198"/>
      <c r="F59" s="165">
        <f>AVERAGE('Influent Results'!G42:G44,'Influent Results After Degass'!G55)</f>
        <v>263.04999999999995</v>
      </c>
      <c r="G59" s="165">
        <f>AVERAGE('Influent Results'!H42:H44,'Influent Results After Degass'!H55)</f>
        <v>721.75</v>
      </c>
      <c r="H59" s="165">
        <f>AVERAGE('Influent Results'!I42:I44,'Influent Results After Degass'!I55)</f>
        <v>63.25</v>
      </c>
      <c r="I59" s="171">
        <f>AVERAGE('Influent Results'!J42:J44,'Influent Results After Degass'!J55)</f>
        <v>0.5</v>
      </c>
      <c r="J59" s="165">
        <f>AVERAGE('Influent Results'!K42:K44,'Influent Results After Degass'!K55)</f>
        <v>911.25</v>
      </c>
      <c r="K59" s="165">
        <f>AVERAGE('Influent Results'!L42:L44,'Influent Results After Degass'!L55)</f>
        <v>26.5</v>
      </c>
      <c r="L59" s="165">
        <f>AVERAGE('Influent Results'!M42:M44,'Influent Results After Degass'!M55)</f>
        <v>159.125</v>
      </c>
      <c r="M59" s="165">
        <f>AVERAGE('Influent Results'!N42:N44,'Influent Results After Degass'!N55)</f>
        <v>44.637500000000003</v>
      </c>
      <c r="N59" s="165">
        <f>AVERAGE('Influent Results'!O42:O44,'Influent Results After Degass'!O55)</f>
        <v>361.32500000000005</v>
      </c>
      <c r="O59" s="165">
        <f>AVERAGE('Influent Results'!P42:P44,'Influent Results After Degass'!P55)</f>
        <v>16.149999999999999</v>
      </c>
      <c r="P59" s="170">
        <f>AVERAGE('Influent Results'!Q42:Q44,'Influent Results After Degass'!Q55)</f>
        <v>8.37425</v>
      </c>
      <c r="Q59" s="171">
        <f>AVERAGE('Influent Results'!R42:R44,'Influent Results After Degass'!R55)</f>
        <v>0.20000000000000004</v>
      </c>
      <c r="R59" s="163">
        <f>AVERAGE('Influent Results'!S42:S44,'Influent Results After Degass'!S55)</f>
        <v>0.73666666666666669</v>
      </c>
      <c r="S59" s="177">
        <f>AVERAGE('Influent Results'!T42:T44,'Influent Results After Degass'!T55)</f>
        <v>0.02</v>
      </c>
      <c r="T59" s="163">
        <f>AVERAGE('Influent Results'!U42:U44,'Influent Results After Degass'!U55)</f>
        <v>0.81966666666666665</v>
      </c>
      <c r="U59" s="163">
        <f>AVERAGE('Influent Results'!V42:V44,'Influent Results After Degass'!V55)</f>
        <v>0.17233333333333334</v>
      </c>
      <c r="V59" s="170">
        <f>AVERAGE('Influent Results'!X42:X44,'Influent Results After Degass'!W55)</f>
        <v>1.8426666666666669</v>
      </c>
      <c r="X59" s="170">
        <f t="shared" si="15"/>
        <v>26.025784795855472</v>
      </c>
      <c r="Y59" s="170">
        <f t="shared" si="16"/>
        <v>27.542007412731795</v>
      </c>
      <c r="Z59" s="170">
        <f t="shared" si="17"/>
        <v>2.8304743472949463</v>
      </c>
    </row>
    <row r="60" spans="1:26" x14ac:dyDescent="0.35">
      <c r="A60" s="162" t="s">
        <v>241</v>
      </c>
      <c r="C60" s="163">
        <f>AVERAGE('Influent Results'!D33:D35,'Influent Results After Degass'!D54)</f>
        <v>7.7750000000000004</v>
      </c>
      <c r="D60" s="190">
        <f>AVERAGE('Influent Results'!E33:E35,'Influent Results After Degass'!E54)</f>
        <v>498</v>
      </c>
      <c r="E60" s="198"/>
      <c r="F60" s="165">
        <f>AVERAGE('Influent Results'!G33:G35,'Influent Results After Degass'!G54)</f>
        <v>98.424999999999997</v>
      </c>
      <c r="G60" s="170">
        <f>AVERAGE('Influent Results'!H33:H35,'Influent Results After Degass'!H54)</f>
        <v>3.0750000000000002</v>
      </c>
      <c r="H60" s="6">
        <f>AVERAGE('Influent Results'!I33:I35,'Influent Results After Degass'!I54)</f>
        <v>3.875</v>
      </c>
      <c r="I60" s="6">
        <f>AVERAGE('Influent Results'!J33:J35,'Influent Results After Degass'!J54)</f>
        <v>1.825</v>
      </c>
      <c r="J60" s="190">
        <f>AVERAGE('Influent Results'!K33:K35,'Influent Results After Degass'!K54)</f>
        <v>137</v>
      </c>
      <c r="K60" s="165">
        <f>AVERAGE('Influent Results'!L33:L35,'Influent Results After Degass'!L54)</f>
        <v>11.5</v>
      </c>
      <c r="L60" s="165">
        <f>AVERAGE('Influent Results'!M33:M35,'Influent Results After Degass'!M54)</f>
        <v>63.497500000000002</v>
      </c>
      <c r="M60" s="165">
        <f>AVERAGE('Influent Results'!N33:N35,'Influent Results After Degass'!N54)</f>
        <v>16.197500000000002</v>
      </c>
      <c r="N60" s="165">
        <f>AVERAGE('Influent Results'!O33:O35,'Influent Results After Degass'!O54)</f>
        <v>22.785</v>
      </c>
      <c r="O60" s="165">
        <f>AVERAGE('Influent Results'!P33:P35,'Influent Results After Degass'!P54)</f>
        <v>14.3</v>
      </c>
      <c r="P60" s="170">
        <f>AVERAGE('Influent Results'!Q33:Q35,'Influent Results After Degass'!Q54)</f>
        <v>2.0294999999999996</v>
      </c>
      <c r="Q60" s="171">
        <f>AVERAGE('Influent Results'!R33:R35,'Influent Results After Degass'!R54)</f>
        <v>0.2</v>
      </c>
      <c r="R60" s="177">
        <f>AVERAGE('Influent Results'!S33:S35,'Influent Results After Degass'!S54)</f>
        <v>0.02</v>
      </c>
      <c r="S60" s="177">
        <f>AVERAGE('Influent Results'!T33:T35,'Influent Results After Degass'!T54)</f>
        <v>0.02</v>
      </c>
      <c r="T60" s="81">
        <f>AVERAGE('Influent Results'!U33:U35,'Influent Results After Degass'!U54)</f>
        <v>0.02</v>
      </c>
      <c r="U60" s="177">
        <f>AVERAGE('Influent Results'!V33:V35,'Influent Results After Degass'!V54)</f>
        <v>0.04</v>
      </c>
      <c r="V60" s="163">
        <f>AVERAGE('Influent Results'!X33:X35,'Influent Results After Degass'!W54)</f>
        <v>0.56574999999999998</v>
      </c>
      <c r="X60" s="170">
        <f t="shared" si="15"/>
        <v>4.9596282963380229</v>
      </c>
      <c r="Y60" s="170">
        <f t="shared" si="16"/>
        <v>5.5435576245955129</v>
      </c>
      <c r="Z60" s="170">
        <f t="shared" si="17"/>
        <v>5.5595448148135764</v>
      </c>
    </row>
    <row r="61" spans="1:26" x14ac:dyDescent="0.35">
      <c r="A61" s="101" t="s">
        <v>242</v>
      </c>
      <c r="C61" s="165">
        <f>AVERAGE('Influent Results'!D45:D47)</f>
        <v>7.2966666666666669</v>
      </c>
      <c r="D61" s="165">
        <f>AVERAGE('Influent Results'!E45:E47)</f>
        <v>2818.6666666666665</v>
      </c>
      <c r="E61" s="165"/>
      <c r="F61" s="165">
        <f>AVERAGE('Influent Results'!G45:G47)</f>
        <v>239.16666666666666</v>
      </c>
      <c r="G61" s="165">
        <f>AVERAGE('Influent Results'!H45:H47,'Influent Results After Degass'!H58)</f>
        <v>92.25</v>
      </c>
      <c r="H61" s="165">
        <f>AVERAGE('Influent Results'!I45:I47,'Influent Results After Degass'!I58)</f>
        <v>85.5</v>
      </c>
      <c r="I61" s="170">
        <f>AVERAGE('Influent Results'!J45:J47,'Influent Results After Degass'!J58)</f>
        <v>8.6749999999999989</v>
      </c>
      <c r="J61" s="165">
        <f>AVERAGE('Influent Results'!K45:K47,'Influent Results After Degass'!K58)</f>
        <v>1102.75</v>
      </c>
      <c r="K61" s="165">
        <f>AVERAGE('Influent Results'!L45:L47,'Influent Results After Degass'!L58)</f>
        <v>22</v>
      </c>
      <c r="L61" s="165">
        <f>AVERAGE('Influent Results'!M45:M47,'Influent Results After Degass'!M58)</f>
        <v>186.625</v>
      </c>
      <c r="M61" s="165">
        <f>AVERAGE('Influent Results'!N45:N47,'Influent Results After Degass'!N58)</f>
        <v>54.629999999999995</v>
      </c>
      <c r="N61" s="165">
        <f>AVERAGE('Influent Results'!O45:O47,'Influent Results After Degass'!O58)</f>
        <v>477.95000000000005</v>
      </c>
      <c r="O61" s="165">
        <f>AVERAGE('Influent Results'!P45:P47,'Influent Results After Degass'!P58)</f>
        <v>22.017500000000002</v>
      </c>
      <c r="P61" s="170">
        <f>AVERAGE('Influent Results'!Q45:Q47,'Influent Results After Degass'!Q58)</f>
        <v>9.5917500000000011</v>
      </c>
      <c r="Q61" s="198"/>
      <c r="R61" s="198"/>
      <c r="S61" s="198"/>
      <c r="T61" s="198"/>
      <c r="U61" s="198"/>
      <c r="V61" s="198"/>
      <c r="X61" s="170"/>
      <c r="Y61" s="170"/>
      <c r="Z61" s="170"/>
    </row>
  </sheetData>
  <pageMargins left="0.7" right="0.7" top="0.75" bottom="0.75" header="0.3" footer="0.3"/>
  <pageSetup orientation="portrait" r:id="rId1"/>
  <ignoredErrors>
    <ignoredError sqref="C10:V13 F26:V30 C57:V59 C26:D30 C60:H60 I60:V60 C15:V23 C14:E14 F14:V14 C61:P61" formulaRange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O144"/>
  <sheetViews>
    <sheetView zoomScaleNormal="100" workbookViewId="0">
      <selection activeCell="A9" sqref="A9"/>
    </sheetView>
  </sheetViews>
  <sheetFormatPr defaultColWidth="9.1796875" defaultRowHeight="14.5" x14ac:dyDescent="0.35"/>
  <cols>
    <col min="1" max="1" width="9.7265625" style="1" bestFit="1" customWidth="1"/>
    <col min="2" max="2" width="10.453125" style="1" bestFit="1" customWidth="1"/>
    <col min="3" max="5" width="9.1796875" style="1"/>
    <col min="6" max="6" width="9.54296875" style="1" bestFit="1" customWidth="1"/>
    <col min="7" max="7" width="9.1796875" style="43"/>
    <col min="8" max="8" width="5.54296875" style="1" bestFit="1" customWidth="1"/>
    <col min="9" max="9" width="17.1796875" style="1" bestFit="1" customWidth="1"/>
    <col min="10" max="10" width="16.7265625" style="1" bestFit="1" customWidth="1"/>
    <col min="11" max="11" width="6.7265625" style="1" customWidth="1"/>
    <col min="12" max="14" width="7.26953125" style="1" bestFit="1" customWidth="1"/>
    <col min="15" max="15" width="7.26953125" style="1" customWidth="1"/>
    <col min="16" max="18" width="7.26953125" style="1" bestFit="1" customWidth="1"/>
    <col min="19" max="19" width="7.26953125" style="68" customWidth="1"/>
    <col min="20" max="20" width="7.26953125" style="68" bestFit="1" customWidth="1"/>
    <col min="21" max="21" width="7.26953125" style="1" customWidth="1"/>
    <col min="22" max="22" width="7.26953125" style="1" bestFit="1" customWidth="1"/>
    <col min="23" max="23" width="7.26953125" style="68" bestFit="1" customWidth="1"/>
    <col min="24" max="26" width="7.26953125" style="1" bestFit="1" customWidth="1"/>
    <col min="27" max="27" width="11.453125" style="1" customWidth="1"/>
    <col min="28" max="28" width="7.1796875" style="1" bestFit="1" customWidth="1"/>
    <col min="29" max="29" width="7.54296875" style="1" bestFit="1" customWidth="1"/>
    <col min="30" max="30" width="14.54296875" style="1" bestFit="1" customWidth="1"/>
    <col min="31" max="31" width="9.1796875" style="1"/>
    <col min="32" max="41" width="14.54296875" style="1" customWidth="1"/>
    <col min="42" max="16384" width="9.1796875" style="1"/>
  </cols>
  <sheetData>
    <row r="1" spans="1:41" s="31" customFormat="1" x14ac:dyDescent="0.35">
      <c r="A1" s="31" t="s">
        <v>46</v>
      </c>
      <c r="F1" s="25"/>
      <c r="G1" s="25"/>
    </row>
    <row r="2" spans="1:41" x14ac:dyDescent="0.35">
      <c r="F2" s="4"/>
      <c r="G2" s="25"/>
      <c r="H2" s="3"/>
      <c r="N2" s="3"/>
    </row>
    <row r="3" spans="1:41" x14ac:dyDescent="0.35">
      <c r="A3" s="1" t="s">
        <v>8</v>
      </c>
      <c r="F3" s="2"/>
      <c r="G3" s="2"/>
      <c r="N3" s="3"/>
    </row>
    <row r="4" spans="1:41" s="3" customFormat="1" x14ac:dyDescent="0.35">
      <c r="A4" s="3" t="s">
        <v>74</v>
      </c>
      <c r="F4" s="4"/>
      <c r="G4" s="25"/>
      <c r="S4" s="31"/>
      <c r="T4" s="31"/>
      <c r="W4" s="31"/>
    </row>
    <row r="5" spans="1:41" x14ac:dyDescent="0.35">
      <c r="A5" s="9" t="s">
        <v>75</v>
      </c>
      <c r="F5" s="2"/>
      <c r="G5" s="2"/>
      <c r="N5" s="3"/>
    </row>
    <row r="6" spans="1:41" s="203" customFormat="1" x14ac:dyDescent="0.35">
      <c r="A6" s="26" t="s">
        <v>358</v>
      </c>
      <c r="F6" s="163"/>
      <c r="G6" s="163"/>
      <c r="N6" s="202"/>
    </row>
    <row r="7" spans="1:41" x14ac:dyDescent="0.35">
      <c r="F7" s="2"/>
      <c r="G7" s="2"/>
      <c r="N7" s="3"/>
    </row>
    <row r="8" spans="1:41" s="31" customFormat="1" x14ac:dyDescent="0.35">
      <c r="A8" s="31" t="s">
        <v>364</v>
      </c>
      <c r="F8" s="25"/>
      <c r="G8" s="25"/>
      <c r="AF8" s="26" t="s">
        <v>170</v>
      </c>
    </row>
    <row r="9" spans="1:41" x14ac:dyDescent="0.35">
      <c r="F9" s="2"/>
      <c r="G9" s="2"/>
      <c r="N9" s="3"/>
    </row>
    <row r="10" spans="1:41" x14ac:dyDescent="0.35">
      <c r="A10" s="1" t="s">
        <v>9</v>
      </c>
      <c r="B10" s="1" t="s">
        <v>10</v>
      </c>
      <c r="C10" s="1" t="s">
        <v>11</v>
      </c>
      <c r="D10" s="1" t="s">
        <v>7</v>
      </c>
      <c r="E10" s="1" t="s">
        <v>12</v>
      </c>
      <c r="F10" s="2" t="s">
        <v>13</v>
      </c>
      <c r="G10" s="2" t="s">
        <v>81</v>
      </c>
      <c r="H10" s="1" t="s">
        <v>14</v>
      </c>
      <c r="I10" s="1" t="s">
        <v>15</v>
      </c>
      <c r="J10" s="1" t="s">
        <v>16</v>
      </c>
      <c r="K10" s="1" t="s">
        <v>3</v>
      </c>
      <c r="L10" s="1" t="s">
        <v>31</v>
      </c>
      <c r="M10" s="1" t="s">
        <v>30</v>
      </c>
      <c r="N10" s="1" t="s">
        <v>18</v>
      </c>
      <c r="O10" s="1" t="s">
        <v>17</v>
      </c>
      <c r="P10" s="1" t="s">
        <v>20</v>
      </c>
      <c r="Q10" s="1" t="s">
        <v>19</v>
      </c>
      <c r="R10" s="1" t="s">
        <v>21</v>
      </c>
      <c r="S10" s="68" t="s">
        <v>47</v>
      </c>
      <c r="T10" s="68" t="s">
        <v>24</v>
      </c>
      <c r="U10" s="1" t="s">
        <v>48</v>
      </c>
      <c r="V10" s="1" t="s">
        <v>4</v>
      </c>
      <c r="W10" s="1" t="s">
        <v>22</v>
      </c>
      <c r="X10" s="1" t="s">
        <v>23</v>
      </c>
      <c r="Y10" s="1" t="s">
        <v>25</v>
      </c>
      <c r="Z10" s="1" t="s">
        <v>49</v>
      </c>
      <c r="AA10" s="1" t="s">
        <v>26</v>
      </c>
      <c r="AB10" s="1" t="s">
        <v>123</v>
      </c>
      <c r="AC10" s="1" t="s">
        <v>124</v>
      </c>
      <c r="AD10" s="1" t="s">
        <v>27</v>
      </c>
      <c r="AF10" s="88" t="s">
        <v>171</v>
      </c>
      <c r="AG10" s="88" t="s">
        <v>172</v>
      </c>
      <c r="AH10" s="88" t="s">
        <v>173</v>
      </c>
      <c r="AI10" s="88" t="s">
        <v>174</v>
      </c>
      <c r="AJ10" s="88" t="s">
        <v>175</v>
      </c>
      <c r="AK10" s="88" t="s">
        <v>176</v>
      </c>
      <c r="AL10" s="88" t="s">
        <v>177</v>
      </c>
      <c r="AM10" s="88" t="s">
        <v>178</v>
      </c>
      <c r="AN10" s="88" t="s">
        <v>179</v>
      </c>
      <c r="AO10" s="88" t="s">
        <v>180</v>
      </c>
    </row>
    <row r="11" spans="1:41" x14ac:dyDescent="0.35">
      <c r="D11" s="1" t="s">
        <v>6</v>
      </c>
      <c r="E11" s="1" t="s">
        <v>6</v>
      </c>
      <c r="F11" s="2"/>
      <c r="G11" s="2"/>
      <c r="I11" s="203" t="s">
        <v>357</v>
      </c>
      <c r="J11" s="1" t="s">
        <v>28</v>
      </c>
      <c r="K11" s="27" t="s">
        <v>352</v>
      </c>
      <c r="L11" s="1" t="s">
        <v>5</v>
      </c>
      <c r="M11" s="1" t="s">
        <v>5</v>
      </c>
      <c r="N11" s="1" t="s">
        <v>5</v>
      </c>
      <c r="O11" s="1" t="s">
        <v>5</v>
      </c>
      <c r="P11" s="1" t="s">
        <v>5</v>
      </c>
      <c r="Q11" s="1" t="s">
        <v>5</v>
      </c>
      <c r="R11" s="1" t="s">
        <v>5</v>
      </c>
      <c r="S11" s="68" t="s">
        <v>5</v>
      </c>
      <c r="T11" s="68" t="s">
        <v>5</v>
      </c>
      <c r="U11" s="1" t="s">
        <v>5</v>
      </c>
      <c r="V11" s="1" t="s">
        <v>5</v>
      </c>
      <c r="W11" s="1" t="s">
        <v>5</v>
      </c>
      <c r="X11" s="1" t="s">
        <v>5</v>
      </c>
      <c r="Y11" s="1" t="s">
        <v>5</v>
      </c>
      <c r="Z11" s="1" t="s">
        <v>5</v>
      </c>
      <c r="AF11" s="88"/>
      <c r="AG11" s="88"/>
      <c r="AH11" s="88"/>
      <c r="AI11" s="88"/>
      <c r="AJ11" s="88"/>
      <c r="AK11" s="88"/>
      <c r="AL11" s="88"/>
      <c r="AM11" s="88"/>
      <c r="AN11" s="88"/>
      <c r="AO11" s="88"/>
    </row>
    <row r="12" spans="1:41" x14ac:dyDescent="0.35">
      <c r="F12" s="2"/>
      <c r="G12" s="2"/>
      <c r="N12" s="3"/>
      <c r="W12" s="1"/>
      <c r="AF12" s="88"/>
      <c r="AG12" s="88"/>
      <c r="AH12" s="88"/>
      <c r="AI12" s="88"/>
      <c r="AJ12" s="88"/>
      <c r="AK12" s="88"/>
      <c r="AL12" s="88"/>
      <c r="AM12" s="88"/>
      <c r="AN12" s="88"/>
      <c r="AO12" s="88"/>
    </row>
    <row r="13" spans="1:41" x14ac:dyDescent="0.35">
      <c r="A13" s="1" t="s">
        <v>54</v>
      </c>
      <c r="F13" s="2"/>
      <c r="G13" s="2"/>
      <c r="H13" s="25">
        <f>AVERAGE(B69:B75)</f>
        <v>7.2285714285714278</v>
      </c>
      <c r="I13" s="165">
        <f>'Influent Results Master'!D33</f>
        <v>1518.6666666666667</v>
      </c>
      <c r="J13" s="56">
        <f>'Influent Results Master'!F33</f>
        <v>272</v>
      </c>
      <c r="K13" s="165">
        <f>'Influent Results Master'!G33</f>
        <v>214.7777777777778</v>
      </c>
      <c r="L13" s="165">
        <f>'Influent Results Master'!H33</f>
        <v>32.000000000000007</v>
      </c>
      <c r="M13" s="165">
        <f>'Influent Results Master'!I33</f>
        <v>25.222222222222225</v>
      </c>
      <c r="N13" s="165">
        <f>'Influent Results Master'!J33</f>
        <v>534.88888888888891</v>
      </c>
      <c r="O13" s="165">
        <f>'Influent Results Master'!K33</f>
        <v>23.444444444444443</v>
      </c>
      <c r="P13" s="165">
        <f>'Influent Results Master'!L33</f>
        <v>120.68888888888888</v>
      </c>
      <c r="Q13" s="165">
        <f>'Influent Results Master'!M33</f>
        <v>45.616666666666667</v>
      </c>
      <c r="R13" s="165">
        <f>'Influent Results Master'!N33</f>
        <v>192.36666666666667</v>
      </c>
      <c r="S13" s="165">
        <f>'Influent Results Master'!O33</f>
        <v>24.27333333333333</v>
      </c>
      <c r="T13" s="170">
        <f>'Influent Results Master'!P33</f>
        <v>5.9746666666666668</v>
      </c>
      <c r="U13" s="171">
        <f>'Influent Results Master'!Q33</f>
        <v>0.20000000000000004</v>
      </c>
      <c r="V13" s="176">
        <f>'Influent Results Master'!R33</f>
        <v>3.7333333333333329E-2</v>
      </c>
      <c r="W13" s="177">
        <f>'Influent Results Master'!S33</f>
        <v>0.02</v>
      </c>
      <c r="X13" s="176">
        <f>'Influent Results Master'!T33</f>
        <v>3.1111111111111114E-2</v>
      </c>
      <c r="Y13" s="177">
        <f>'Influent Results Master'!U33</f>
        <v>0.04</v>
      </c>
      <c r="Z13" s="170">
        <f>'Influent Results Master'!V33</f>
        <v>1.1833333333333333</v>
      </c>
      <c r="AB13" s="69">
        <f>((J13/50)+(L13/35.45)+(M13/62)+(N13/48.03))</f>
        <v>17.886048036252305</v>
      </c>
      <c r="AC13" s="69">
        <f>((P13/20.04)+(Q13/12.16)+(R13/22.99)+(T13/39.1))</f>
        <v>18.293981151875062</v>
      </c>
      <c r="AD13" s="69">
        <f>ABS((AB13-AC13)/(AB13+AC13)*100)</f>
        <v>1.1275090838141792</v>
      </c>
      <c r="AF13" s="88">
        <v>7.23</v>
      </c>
      <c r="AG13" s="88">
        <v>-0.55598800000000004</v>
      </c>
      <c r="AH13" s="88">
        <v>3.3300000000000003E-2</v>
      </c>
      <c r="AI13" s="88">
        <v>-0.92259999999999998</v>
      </c>
      <c r="AJ13" s="88">
        <v>-1.1722999999999999</v>
      </c>
      <c r="AK13" s="88">
        <v>-1.8418000000000001</v>
      </c>
      <c r="AL13" s="88">
        <v>-0.52980000000000005</v>
      </c>
      <c r="AM13" s="88">
        <v>-1.6244000000000001</v>
      </c>
      <c r="AN13" s="88">
        <v>-1.7309000000000001</v>
      </c>
      <c r="AO13" s="88">
        <v>-1.1631</v>
      </c>
    </row>
    <row r="14" spans="1:41" s="51" customFormat="1" x14ac:dyDescent="0.35">
      <c r="F14" s="52"/>
      <c r="G14" s="52"/>
      <c r="J14" s="56"/>
      <c r="K14" s="56"/>
      <c r="L14" s="19"/>
      <c r="M14" s="34"/>
      <c r="N14" s="56"/>
      <c r="O14" s="56"/>
      <c r="Q14" s="56"/>
      <c r="R14" s="56"/>
      <c r="S14" s="70"/>
      <c r="T14" s="70"/>
      <c r="U14" s="50"/>
      <c r="V14" s="50"/>
      <c r="W14" s="50"/>
      <c r="X14" s="50"/>
      <c r="Z14" s="52"/>
      <c r="AB14" s="69"/>
      <c r="AC14" s="69"/>
      <c r="AD14" s="69"/>
      <c r="AF14" s="88"/>
      <c r="AG14" s="88"/>
      <c r="AH14" s="88"/>
      <c r="AI14" s="88"/>
      <c r="AJ14" s="88"/>
      <c r="AK14" s="88"/>
      <c r="AL14" s="88"/>
      <c r="AM14" s="88"/>
      <c r="AN14" s="88"/>
      <c r="AO14" s="88"/>
    </row>
    <row r="15" spans="1:41" x14ac:dyDescent="0.35">
      <c r="A15" s="1">
        <v>1</v>
      </c>
      <c r="B15" s="10">
        <v>43481</v>
      </c>
      <c r="C15" s="1">
        <v>1</v>
      </c>
      <c r="D15" s="1">
        <v>152</v>
      </c>
      <c r="E15" s="1">
        <v>152</v>
      </c>
      <c r="F15" s="2">
        <f t="shared" ref="F15:F21" si="0">D15/143</f>
        <v>1.0629370629370629</v>
      </c>
      <c r="G15" s="2">
        <v>1.06</v>
      </c>
      <c r="H15" s="1">
        <v>7.66</v>
      </c>
      <c r="I15" s="1">
        <v>3930</v>
      </c>
      <c r="J15" s="1">
        <v>267</v>
      </c>
      <c r="K15" s="1">
        <v>690</v>
      </c>
      <c r="L15" s="1">
        <v>83</v>
      </c>
      <c r="M15" s="27">
        <v>32</v>
      </c>
      <c r="N15" s="3">
        <v>2233</v>
      </c>
      <c r="O15" s="1">
        <v>88</v>
      </c>
      <c r="P15" s="12">
        <v>441</v>
      </c>
      <c r="Q15" s="21">
        <v>147.1</v>
      </c>
      <c r="R15" s="21">
        <v>560</v>
      </c>
      <c r="S15" s="49">
        <v>23.28</v>
      </c>
      <c r="T15" s="49">
        <v>31.53</v>
      </c>
      <c r="U15" s="174">
        <v>0.45600000000000002</v>
      </c>
      <c r="V15" s="174">
        <v>0.41199999999999998</v>
      </c>
      <c r="W15" s="177">
        <v>0.02</v>
      </c>
      <c r="X15" s="172">
        <v>1.1120000000000001</v>
      </c>
      <c r="Y15" s="177">
        <v>0.04</v>
      </c>
      <c r="Z15" s="66">
        <v>3.577</v>
      </c>
      <c r="AB15" s="69">
        <f t="shared" ref="AB15:AB21" si="1">((J15/50)+(L15/35.45)+(M15/62)+(N15/48.03))</f>
        <v>54.689230816609467</v>
      </c>
      <c r="AC15" s="69">
        <f t="shared" ref="AC15:AC61" si="2">((P15/20.04)+(Q15/12.16)+(R15/22.99)+(T15/39.1))</f>
        <v>59.267838062443197</v>
      </c>
      <c r="AD15" s="69">
        <f t="shared" ref="AD15:AD61" si="3">ABS((AB15-AC15)/(AB15+AC15)*100)</f>
        <v>4.0178352171318084</v>
      </c>
      <c r="AF15" s="88">
        <v>7.66</v>
      </c>
      <c r="AG15" s="88">
        <v>4.4598800000000001</v>
      </c>
      <c r="AH15" s="88">
        <v>0.75109999999999999</v>
      </c>
      <c r="AI15" s="88">
        <v>-0.1303</v>
      </c>
      <c r="AJ15" s="88">
        <v>-0.37930000000000003</v>
      </c>
      <c r="AK15" s="88">
        <v>-2.3365999999999998</v>
      </c>
      <c r="AL15" s="88">
        <v>0.86260000000000003</v>
      </c>
      <c r="AM15" s="88">
        <v>4.4299999999999999E-2</v>
      </c>
      <c r="AN15" s="88">
        <v>-0.36609999999999998</v>
      </c>
      <c r="AO15" s="88">
        <v>-0.48849999999999999</v>
      </c>
    </row>
    <row r="16" spans="1:41" x14ac:dyDescent="0.35">
      <c r="A16" s="1">
        <v>1</v>
      </c>
      <c r="B16" s="10">
        <v>43482</v>
      </c>
      <c r="C16" s="3">
        <v>2</v>
      </c>
      <c r="D16" s="3">
        <v>148</v>
      </c>
      <c r="E16" s="3">
        <f t="shared" ref="E16:E21" si="4">E15+D16</f>
        <v>300</v>
      </c>
      <c r="F16" s="2">
        <f t="shared" si="0"/>
        <v>1.034965034965035</v>
      </c>
      <c r="G16" s="2">
        <f t="shared" ref="G16:G21" si="5">G15+F16</f>
        <v>2.0949650349650351</v>
      </c>
      <c r="H16" s="4">
        <v>7.49</v>
      </c>
      <c r="I16" s="3">
        <v>1953</v>
      </c>
      <c r="J16" s="3">
        <v>305</v>
      </c>
      <c r="K16" s="3">
        <v>526</v>
      </c>
      <c r="L16" s="3">
        <v>52</v>
      </c>
      <c r="M16" s="27">
        <v>4.7</v>
      </c>
      <c r="N16" s="3">
        <v>748</v>
      </c>
      <c r="O16" s="3">
        <v>32</v>
      </c>
      <c r="P16" s="70">
        <v>218.3</v>
      </c>
      <c r="Q16" s="49">
        <v>54.52</v>
      </c>
      <c r="R16" s="49">
        <v>231.4</v>
      </c>
      <c r="S16" s="49">
        <v>24.25</v>
      </c>
      <c r="T16" s="49">
        <v>19.02</v>
      </c>
      <c r="U16" s="171">
        <v>0.2</v>
      </c>
      <c r="V16" s="11">
        <v>0.215</v>
      </c>
      <c r="W16" s="177">
        <v>0.02</v>
      </c>
      <c r="X16" s="11">
        <v>0.48399999999999999</v>
      </c>
      <c r="Y16" s="177">
        <v>0.04</v>
      </c>
      <c r="Z16" s="18">
        <v>1.627</v>
      </c>
      <c r="AB16" s="69">
        <f t="shared" si="1"/>
        <v>23.216261010015074</v>
      </c>
      <c r="AC16" s="69">
        <f t="shared" si="2"/>
        <v>25.928456976246629</v>
      </c>
      <c r="AD16" s="69">
        <f t="shared" si="3"/>
        <v>5.5187944449894752</v>
      </c>
      <c r="AF16" s="88">
        <v>7.49</v>
      </c>
      <c r="AG16" s="88">
        <v>9.8583499999999997</v>
      </c>
      <c r="AH16" s="88">
        <v>0.54520000000000002</v>
      </c>
      <c r="AI16" s="88">
        <v>-0.61460000000000004</v>
      </c>
      <c r="AJ16" s="88">
        <v>-0.86409999999999998</v>
      </c>
      <c r="AK16" s="88">
        <v>-2.0697000000000001</v>
      </c>
      <c r="AL16" s="88">
        <v>0.31969999999999998</v>
      </c>
      <c r="AM16" s="88">
        <v>-0.1807</v>
      </c>
      <c r="AN16" s="88">
        <v>-0.68469999999999998</v>
      </c>
      <c r="AO16" s="88">
        <v>-0.82540000000000002</v>
      </c>
    </row>
    <row r="17" spans="1:41" x14ac:dyDescent="0.35">
      <c r="A17" s="1">
        <v>1</v>
      </c>
      <c r="B17" s="10">
        <v>43483</v>
      </c>
      <c r="C17" s="1">
        <v>3</v>
      </c>
      <c r="D17" s="1">
        <v>142</v>
      </c>
      <c r="E17" s="31">
        <f t="shared" si="4"/>
        <v>442</v>
      </c>
      <c r="F17" s="2">
        <f t="shared" si="0"/>
        <v>0.99300699300699302</v>
      </c>
      <c r="G17" s="2">
        <f t="shared" si="5"/>
        <v>3.087972027972028</v>
      </c>
      <c r="H17" s="1">
        <v>7.41</v>
      </c>
      <c r="I17" s="1">
        <v>1661</v>
      </c>
      <c r="J17" s="1">
        <v>286</v>
      </c>
      <c r="K17" s="14">
        <v>394</v>
      </c>
      <c r="L17" s="14">
        <v>33</v>
      </c>
      <c r="M17" s="27">
        <v>4.7</v>
      </c>
      <c r="N17" s="3">
        <v>629</v>
      </c>
      <c r="O17" s="1">
        <v>28</v>
      </c>
      <c r="P17" s="70">
        <v>162.69999999999999</v>
      </c>
      <c r="Q17" s="49">
        <v>42.03</v>
      </c>
      <c r="R17" s="49">
        <v>210.8</v>
      </c>
      <c r="S17" s="49">
        <v>24.02</v>
      </c>
      <c r="T17" s="49">
        <v>16.52</v>
      </c>
      <c r="U17" s="171">
        <v>0.2</v>
      </c>
      <c r="V17" s="174">
        <v>0.15</v>
      </c>
      <c r="W17" s="177">
        <v>0.02</v>
      </c>
      <c r="X17" s="32">
        <v>0.4</v>
      </c>
      <c r="Y17" s="177">
        <v>0.04</v>
      </c>
      <c r="Z17" s="18">
        <v>1.387</v>
      </c>
      <c r="AB17" s="69">
        <f t="shared" si="1"/>
        <v>19.822676705189139</v>
      </c>
      <c r="AC17" s="69">
        <f t="shared" si="2"/>
        <v>21.16688734433589</v>
      </c>
      <c r="AD17" s="69">
        <f t="shared" si="3"/>
        <v>3.2793972571228847</v>
      </c>
      <c r="AF17" s="88">
        <v>7.41</v>
      </c>
      <c r="AG17" s="88">
        <v>7.37669</v>
      </c>
      <c r="AH17" s="88">
        <v>0.34520000000000001</v>
      </c>
      <c r="AI17" s="88">
        <v>-0.755</v>
      </c>
      <c r="AJ17" s="88">
        <v>-1.0045999999999999</v>
      </c>
      <c r="AK17" s="88">
        <v>-2.0072000000000001</v>
      </c>
      <c r="AL17" s="88">
        <v>-7.1900000000000006E-2</v>
      </c>
      <c r="AM17" s="88">
        <v>-0.32619999999999999</v>
      </c>
      <c r="AN17" s="88">
        <v>-0.92469999999999997</v>
      </c>
      <c r="AO17" s="88">
        <v>-1.0170999999999999</v>
      </c>
    </row>
    <row r="18" spans="1:41" x14ac:dyDescent="0.35">
      <c r="A18" s="1">
        <v>1</v>
      </c>
      <c r="B18" s="10">
        <v>43484</v>
      </c>
      <c r="C18" s="1">
        <v>4</v>
      </c>
      <c r="D18" s="1">
        <v>148</v>
      </c>
      <c r="E18" s="31">
        <f t="shared" si="4"/>
        <v>590</v>
      </c>
      <c r="F18" s="2">
        <f t="shared" si="0"/>
        <v>1.034965034965035</v>
      </c>
      <c r="G18" s="2">
        <f t="shared" si="5"/>
        <v>4.122937062937063</v>
      </c>
      <c r="H18" s="1">
        <v>7.68</v>
      </c>
      <c r="I18" s="1">
        <v>1555</v>
      </c>
      <c r="J18" s="1">
        <v>285</v>
      </c>
      <c r="K18" s="14">
        <v>343</v>
      </c>
      <c r="L18" s="14">
        <v>34</v>
      </c>
      <c r="M18" s="27">
        <v>9.1</v>
      </c>
      <c r="N18" s="3">
        <v>614</v>
      </c>
      <c r="O18" s="1">
        <v>26</v>
      </c>
      <c r="P18" s="70">
        <v>149.80000000000001</v>
      </c>
      <c r="Q18" s="49">
        <v>39.35</v>
      </c>
      <c r="R18" s="49">
        <v>210.3</v>
      </c>
      <c r="S18" s="49">
        <v>23.78</v>
      </c>
      <c r="T18" s="49">
        <v>15.52</v>
      </c>
      <c r="U18" s="171">
        <v>0.2</v>
      </c>
      <c r="V18" s="174">
        <v>0.10199999999999999</v>
      </c>
      <c r="W18" s="177">
        <v>0.02</v>
      </c>
      <c r="X18" s="32">
        <v>0.375</v>
      </c>
      <c r="Y18" s="177">
        <v>0.04</v>
      </c>
      <c r="Z18" s="18">
        <v>1.276</v>
      </c>
      <c r="AB18" s="69">
        <f t="shared" si="1"/>
        <v>19.589548382341416</v>
      </c>
      <c r="AC18" s="69">
        <f t="shared" si="2"/>
        <v>20.255455998731268</v>
      </c>
      <c r="AD18" s="69">
        <f t="shared" si="3"/>
        <v>1.6712449320401475</v>
      </c>
      <c r="AF18" s="88">
        <v>7.68</v>
      </c>
      <c r="AG18" s="88">
        <v>5.5527699999999998</v>
      </c>
      <c r="AH18" s="88">
        <v>0.57789999999999997</v>
      </c>
      <c r="AI18" s="88">
        <v>-0.79039999999999999</v>
      </c>
      <c r="AJ18" s="88">
        <v>-1.04</v>
      </c>
      <c r="AK18" s="88">
        <v>-2.2801999999999998</v>
      </c>
      <c r="AL18" s="88">
        <v>0.39789999999999998</v>
      </c>
      <c r="AM18" s="88">
        <v>-7.7100000000000002E-2</v>
      </c>
      <c r="AN18" s="88">
        <v>-1.123</v>
      </c>
      <c r="AO18" s="88">
        <v>-0.78</v>
      </c>
    </row>
    <row r="19" spans="1:41" x14ac:dyDescent="0.35">
      <c r="A19" s="1">
        <v>1</v>
      </c>
      <c r="B19" s="10">
        <v>43485</v>
      </c>
      <c r="C19" s="1">
        <v>5</v>
      </c>
      <c r="D19" s="1">
        <v>142</v>
      </c>
      <c r="E19" s="31">
        <f t="shared" si="4"/>
        <v>732</v>
      </c>
      <c r="F19" s="2">
        <f t="shared" si="0"/>
        <v>0.99300699300699302</v>
      </c>
      <c r="G19" s="2">
        <f t="shared" si="5"/>
        <v>5.1159440559440563</v>
      </c>
      <c r="H19" s="1">
        <v>7.49</v>
      </c>
      <c r="I19" s="1">
        <v>1550</v>
      </c>
      <c r="J19" s="1">
        <v>252</v>
      </c>
      <c r="K19" s="14">
        <v>288</v>
      </c>
      <c r="L19" s="14">
        <v>34</v>
      </c>
      <c r="M19" s="27">
        <v>14</v>
      </c>
      <c r="N19" s="3">
        <v>601</v>
      </c>
      <c r="O19" s="1">
        <v>26</v>
      </c>
      <c r="P19" s="70">
        <v>146.30000000000001</v>
      </c>
      <c r="Q19" s="49">
        <v>39.39</v>
      </c>
      <c r="R19" s="21">
        <v>212.7</v>
      </c>
      <c r="S19" s="21">
        <v>24.45</v>
      </c>
      <c r="T19" s="21">
        <v>15.61</v>
      </c>
      <c r="U19" s="171">
        <v>0.2</v>
      </c>
      <c r="V19" s="30">
        <v>8.6999999999999994E-2</v>
      </c>
      <c r="W19" s="177">
        <v>0.02</v>
      </c>
      <c r="X19" s="11">
        <v>0.39500000000000002</v>
      </c>
      <c r="Y19" s="177">
        <v>0.04</v>
      </c>
      <c r="Z19" s="66">
        <v>1.2969999999999999</v>
      </c>
      <c r="AB19" s="69">
        <f t="shared" si="1"/>
        <v>18.737916472177744</v>
      </c>
      <c r="AC19" s="69">
        <f t="shared" si="2"/>
        <v>20.190789778535073</v>
      </c>
      <c r="AD19" s="69">
        <f t="shared" si="3"/>
        <v>3.7321386870665032</v>
      </c>
      <c r="AF19" s="88">
        <v>7.49</v>
      </c>
      <c r="AG19" s="88">
        <v>4.83847</v>
      </c>
      <c r="AH19" s="88">
        <v>0.32969999999999999</v>
      </c>
      <c r="AI19" s="88">
        <v>-0.80669999999999997</v>
      </c>
      <c r="AJ19" s="88">
        <v>-1.0563</v>
      </c>
      <c r="AK19" s="88">
        <v>-2.1406000000000001</v>
      </c>
      <c r="AL19" s="88">
        <v>-8.7499999999999994E-2</v>
      </c>
      <c r="AM19" s="88">
        <v>-0.29239999999999999</v>
      </c>
      <c r="AN19" s="88">
        <v>-1.2</v>
      </c>
      <c r="AO19" s="88">
        <v>-1.0172000000000001</v>
      </c>
    </row>
    <row r="20" spans="1:41" x14ac:dyDescent="0.35">
      <c r="A20" s="1">
        <v>1</v>
      </c>
      <c r="B20" s="10">
        <v>43486</v>
      </c>
      <c r="C20" s="1">
        <v>6</v>
      </c>
      <c r="D20" s="1">
        <v>149</v>
      </c>
      <c r="E20" s="31">
        <f t="shared" si="4"/>
        <v>881</v>
      </c>
      <c r="F20" s="2">
        <f t="shared" si="0"/>
        <v>1.0419580419580419</v>
      </c>
      <c r="G20" s="2">
        <f t="shared" si="5"/>
        <v>6.157902097902098</v>
      </c>
      <c r="H20" s="1">
        <v>7.44</v>
      </c>
      <c r="I20" s="1">
        <v>1536</v>
      </c>
      <c r="J20" s="1">
        <v>260</v>
      </c>
      <c r="K20" s="14">
        <v>254</v>
      </c>
      <c r="L20" s="14">
        <v>35</v>
      </c>
      <c r="M20" s="191">
        <v>19</v>
      </c>
      <c r="N20" s="3">
        <v>596</v>
      </c>
      <c r="O20" s="1">
        <v>25</v>
      </c>
      <c r="P20" s="70">
        <v>142.5</v>
      </c>
      <c r="Q20" s="49">
        <v>39.18</v>
      </c>
      <c r="R20" s="21">
        <v>212.8</v>
      </c>
      <c r="S20" s="21">
        <v>24.08</v>
      </c>
      <c r="T20" s="21">
        <v>15.48</v>
      </c>
      <c r="U20" s="171">
        <v>0.2</v>
      </c>
      <c r="V20" s="30">
        <v>7.2999999999999995E-2</v>
      </c>
      <c r="W20" s="177">
        <v>0.02</v>
      </c>
      <c r="X20" s="11">
        <v>0.40699999999999997</v>
      </c>
      <c r="Y20" s="177">
        <v>0.04</v>
      </c>
      <c r="Z20" s="66">
        <v>1.274</v>
      </c>
      <c r="AB20" s="69">
        <f t="shared" si="1"/>
        <v>18.902668775014234</v>
      </c>
      <c r="AC20" s="69">
        <f t="shared" si="2"/>
        <v>19.984924192294169</v>
      </c>
      <c r="AD20" s="69">
        <f t="shared" si="3"/>
        <v>2.7830352426023222</v>
      </c>
      <c r="AF20" s="88">
        <v>7.44</v>
      </c>
      <c r="AG20" s="88">
        <v>3.0464699999999998</v>
      </c>
      <c r="AH20" s="88">
        <v>0.28499999999999998</v>
      </c>
      <c r="AI20" s="88">
        <v>-0.81850000000000001</v>
      </c>
      <c r="AJ20" s="88">
        <v>-1.0681</v>
      </c>
      <c r="AK20" s="88">
        <v>-2.0762</v>
      </c>
      <c r="AL20" s="88">
        <v>-0.16769999999999999</v>
      </c>
      <c r="AM20" s="88">
        <v>-0.31780000000000003</v>
      </c>
      <c r="AN20" s="88">
        <v>-1.2858000000000001</v>
      </c>
      <c r="AO20" s="88">
        <v>-1.0527</v>
      </c>
    </row>
    <row r="21" spans="1:41" x14ac:dyDescent="0.35">
      <c r="A21" s="1">
        <v>1</v>
      </c>
      <c r="B21" s="10">
        <v>43487</v>
      </c>
      <c r="C21" s="1">
        <v>7</v>
      </c>
      <c r="D21" s="1">
        <v>149</v>
      </c>
      <c r="E21" s="31">
        <f t="shared" si="4"/>
        <v>1030</v>
      </c>
      <c r="F21" s="2">
        <f t="shared" si="0"/>
        <v>1.0419580419580419</v>
      </c>
      <c r="G21" s="2">
        <f t="shared" si="5"/>
        <v>7.1998601398601396</v>
      </c>
      <c r="H21" s="1">
        <v>7.62</v>
      </c>
      <c r="I21" s="1">
        <v>1522</v>
      </c>
      <c r="J21" s="1">
        <v>252</v>
      </c>
      <c r="K21" s="14">
        <v>245</v>
      </c>
      <c r="L21" s="1">
        <v>33</v>
      </c>
      <c r="M21" s="191">
        <v>18</v>
      </c>
      <c r="N21" s="1">
        <v>535</v>
      </c>
      <c r="O21" s="1">
        <v>26</v>
      </c>
      <c r="P21" s="70">
        <v>138.4</v>
      </c>
      <c r="Q21" s="49">
        <v>37.630000000000003</v>
      </c>
      <c r="R21" s="49">
        <v>207.5</v>
      </c>
      <c r="S21" s="49">
        <v>23.58</v>
      </c>
      <c r="T21" s="49">
        <v>14.31</v>
      </c>
      <c r="U21" s="171">
        <v>0.2</v>
      </c>
      <c r="V21" s="30">
        <v>6.3E-2</v>
      </c>
      <c r="W21" s="177">
        <v>0.02</v>
      </c>
      <c r="X21" s="32">
        <v>0.4</v>
      </c>
      <c r="Y21" s="177">
        <v>0.04</v>
      </c>
      <c r="Z21" s="66">
        <v>1.2989999999999999</v>
      </c>
      <c r="AB21" s="69">
        <f t="shared" si="1"/>
        <v>17.400082694725249</v>
      </c>
      <c r="AC21" s="69">
        <f t="shared" si="2"/>
        <v>19.392407979786441</v>
      </c>
      <c r="AD21" s="69">
        <f t="shared" si="3"/>
        <v>5.4150323844245527</v>
      </c>
      <c r="AF21" s="88">
        <v>7.62</v>
      </c>
      <c r="AG21" s="88">
        <v>6.1799600000000003</v>
      </c>
      <c r="AH21" s="88">
        <v>0.44890000000000002</v>
      </c>
      <c r="AI21" s="88">
        <v>-0.86209999999999998</v>
      </c>
      <c r="AJ21" s="88">
        <v>-1.1116999999999999</v>
      </c>
      <c r="AK21" s="88">
        <v>-2.2707000000000002</v>
      </c>
      <c r="AL21" s="88">
        <v>0.16320000000000001</v>
      </c>
      <c r="AM21" s="88">
        <v>-0.14829999999999999</v>
      </c>
      <c r="AN21" s="88">
        <v>-1.3453999999999999</v>
      </c>
      <c r="AO21" s="88">
        <v>-0.88570000000000004</v>
      </c>
    </row>
    <row r="22" spans="1:41" s="43" customFormat="1" x14ac:dyDescent="0.35">
      <c r="B22" s="10"/>
      <c r="E22" s="31"/>
      <c r="F22" s="25"/>
      <c r="G22" s="25"/>
      <c r="K22" s="27"/>
      <c r="L22" s="27"/>
      <c r="N22" s="31"/>
      <c r="P22" s="68"/>
      <c r="Q22" s="68"/>
      <c r="R22" s="13"/>
      <c r="S22" s="13"/>
      <c r="T22" s="13"/>
      <c r="U22" s="11"/>
      <c r="V22" s="15"/>
      <c r="W22" s="15"/>
      <c r="X22" s="16"/>
      <c r="Y22" s="68"/>
      <c r="Z22" s="68"/>
      <c r="AB22" s="69"/>
      <c r="AC22" s="69"/>
      <c r="AD22" s="69"/>
      <c r="AF22" s="88"/>
      <c r="AG22" s="88"/>
      <c r="AH22" s="88"/>
      <c r="AI22" s="88"/>
      <c r="AJ22" s="88"/>
      <c r="AK22" s="88"/>
      <c r="AL22" s="88"/>
      <c r="AM22" s="88"/>
      <c r="AN22" s="88"/>
      <c r="AO22" s="88"/>
    </row>
    <row r="23" spans="1:41" x14ac:dyDescent="0.35">
      <c r="A23" s="1" t="s">
        <v>55</v>
      </c>
      <c r="F23" s="2"/>
      <c r="G23" s="2"/>
      <c r="H23" s="69">
        <f>AVERAGE(B76:B90)</f>
        <v>8.006000000000002</v>
      </c>
      <c r="I23" s="165">
        <f>'Influent Results Master'!D37</f>
        <v>792.8888888888888</v>
      </c>
      <c r="J23" s="165">
        <f>'Influent Results Master'!F37</f>
        <v>161.7777777777778</v>
      </c>
      <c r="K23" s="170">
        <f>'Influent Results Master'!G37</f>
        <v>7.1555555555555559</v>
      </c>
      <c r="L23" s="165">
        <f>'Influent Results Master'!H37</f>
        <v>11.777777777777779</v>
      </c>
      <c r="M23" s="170">
        <f>'Influent Results Master'!I37</f>
        <v>4.7</v>
      </c>
      <c r="N23" s="165">
        <f>'Influent Results Master'!J37</f>
        <v>323.22222222222223</v>
      </c>
      <c r="O23" s="165">
        <f>'Influent Results Master'!K37</f>
        <v>17.333333333333332</v>
      </c>
      <c r="P23" s="165">
        <f>'Influent Results Master'!L37</f>
        <v>110.73333333333333</v>
      </c>
      <c r="Q23" s="165">
        <f>'Influent Results Master'!M37</f>
        <v>36.826666666666675</v>
      </c>
      <c r="R23" s="165">
        <f>'Influent Results Master'!N37</f>
        <v>60.793333333333329</v>
      </c>
      <c r="S23" s="165">
        <f>'Influent Results Master'!O37</f>
        <v>12.273333333333333</v>
      </c>
      <c r="T23" s="170">
        <f>'Influent Results Master'!P37</f>
        <v>3.2865555555555557</v>
      </c>
      <c r="U23" s="171">
        <f>'Influent Results Master'!Q37</f>
        <v>0.20000000000000004</v>
      </c>
      <c r="V23" s="177">
        <f>'Influent Results Master'!R37</f>
        <v>0.02</v>
      </c>
      <c r="W23" s="177">
        <f>'Influent Results Master'!S37</f>
        <v>0.02</v>
      </c>
      <c r="X23" s="176">
        <f>'Influent Results Master'!T37</f>
        <v>4.3000000000000003E-2</v>
      </c>
      <c r="Y23" s="177">
        <f>'Influent Results Master'!U37</f>
        <v>0.04</v>
      </c>
      <c r="Z23" s="170">
        <f>'Influent Results Master'!V37</f>
        <v>1.2584444444444445</v>
      </c>
      <c r="AB23" s="69">
        <f>((J23/50)+(L23/35.45)+(M23/62)+(N23/48.03))</f>
        <v>10.373188636120361</v>
      </c>
      <c r="AC23" s="69">
        <f t="shared" si="2"/>
        <v>11.282517455045328</v>
      </c>
      <c r="AD23" s="69">
        <f t="shared" si="3"/>
        <v>4.1990264140864122</v>
      </c>
      <c r="AF23" s="88">
        <v>8.01</v>
      </c>
      <c r="AG23" s="88">
        <v>7.5099799999999997</v>
      </c>
      <c r="AH23" s="88">
        <v>0.61680000000000001</v>
      </c>
      <c r="AI23" s="88">
        <v>-1.0588</v>
      </c>
      <c r="AJ23" s="88">
        <v>-1.3086</v>
      </c>
      <c r="AK23" s="88">
        <v>-2.8633999999999999</v>
      </c>
      <c r="AL23" s="88">
        <v>0.57609999999999995</v>
      </c>
      <c r="AM23" s="88">
        <v>-0.84299999999999997</v>
      </c>
      <c r="AN23" s="88">
        <v>-1.8180000000000001</v>
      </c>
      <c r="AO23" s="88">
        <v>-0.64070000000000005</v>
      </c>
    </row>
    <row r="24" spans="1:41" s="68" customFormat="1" x14ac:dyDescent="0.35">
      <c r="F24" s="69"/>
      <c r="G24" s="69"/>
      <c r="M24" s="65"/>
      <c r="N24" s="27"/>
      <c r="O24" s="65"/>
      <c r="P24" s="65"/>
      <c r="Q24" s="65"/>
      <c r="S24" s="67"/>
      <c r="T24" s="67"/>
      <c r="U24" s="67"/>
      <c r="V24" s="65"/>
      <c r="W24" s="65"/>
      <c r="X24" s="67"/>
      <c r="Y24" s="65"/>
      <c r="AB24" s="69"/>
      <c r="AC24" s="69"/>
      <c r="AD24" s="69"/>
      <c r="AF24" s="88"/>
      <c r="AG24" s="88"/>
      <c r="AH24" s="88"/>
      <c r="AI24" s="88"/>
      <c r="AJ24" s="88"/>
      <c r="AK24" s="88"/>
      <c r="AL24" s="88"/>
      <c r="AM24" s="88"/>
      <c r="AN24" s="88"/>
      <c r="AO24" s="88"/>
    </row>
    <row r="25" spans="1:41" x14ac:dyDescent="0.35">
      <c r="A25" s="1">
        <v>1</v>
      </c>
      <c r="B25" s="10">
        <v>43488</v>
      </c>
      <c r="C25" s="1">
        <v>8</v>
      </c>
      <c r="D25" s="1">
        <v>144</v>
      </c>
      <c r="E25" s="31">
        <f>D25+E21</f>
        <v>1174</v>
      </c>
      <c r="F25" s="69">
        <f>D25/143</f>
        <v>1.0069930069930071</v>
      </c>
      <c r="G25" s="69">
        <f>G21+F25</f>
        <v>8.2068531468531472</v>
      </c>
      <c r="H25" s="1">
        <v>7.82</v>
      </c>
      <c r="I25" s="1">
        <v>1115</v>
      </c>
      <c r="J25" s="1">
        <v>203</v>
      </c>
      <c r="K25" s="186">
        <v>137</v>
      </c>
      <c r="L25" s="27">
        <v>15</v>
      </c>
      <c r="M25" s="18">
        <v>3.3</v>
      </c>
      <c r="N25" s="186">
        <v>422</v>
      </c>
      <c r="O25" s="186">
        <v>23</v>
      </c>
      <c r="P25" s="21">
        <v>85.27</v>
      </c>
      <c r="Q25" s="21">
        <v>22.59</v>
      </c>
      <c r="R25" s="21">
        <v>162.80000000000001</v>
      </c>
      <c r="S25" s="21">
        <v>21.84</v>
      </c>
      <c r="T25" s="21">
        <v>11.43</v>
      </c>
      <c r="U25" s="169">
        <v>0.2</v>
      </c>
      <c r="V25" s="186">
        <v>4.2000000000000003E-2</v>
      </c>
      <c r="W25" s="81">
        <v>0.02</v>
      </c>
      <c r="X25" s="25">
        <v>0.25</v>
      </c>
      <c r="Y25" s="177">
        <v>0.04</v>
      </c>
      <c r="Z25" s="25">
        <v>0.88</v>
      </c>
      <c r="AB25" s="69">
        <f t="shared" ref="AB25:AB39" si="6">((J25/50)+(L25/35.45)+(M25/62)+(N25/48.03))</f>
        <v>13.322532284214248</v>
      </c>
      <c r="AC25" s="69">
        <f t="shared" si="2"/>
        <v>13.486387361765535</v>
      </c>
      <c r="AD25" s="69">
        <f t="shared" si="3"/>
        <v>0.61119612321214634</v>
      </c>
      <c r="AF25" s="88">
        <v>7.82</v>
      </c>
      <c r="AG25" s="88">
        <v>3.1972299999999998</v>
      </c>
      <c r="AH25" s="88">
        <v>0.39229999999999998</v>
      </c>
      <c r="AI25" s="88">
        <v>-1.0809</v>
      </c>
      <c r="AJ25" s="88">
        <v>-1.3306</v>
      </c>
      <c r="AK25" s="88">
        <v>-2.5541</v>
      </c>
      <c r="AL25" s="88">
        <v>3.1699999999999999E-2</v>
      </c>
      <c r="AM25" s="88">
        <v>-0.1883</v>
      </c>
      <c r="AN25" s="88">
        <v>-1.6636</v>
      </c>
      <c r="AO25" s="88">
        <v>-0.96060000000000001</v>
      </c>
    </row>
    <row r="26" spans="1:41" x14ac:dyDescent="0.35">
      <c r="A26" s="1">
        <v>1</v>
      </c>
      <c r="B26" s="10">
        <v>43489</v>
      </c>
      <c r="C26" s="1">
        <v>9</v>
      </c>
      <c r="D26" s="1">
        <v>144</v>
      </c>
      <c r="E26" s="3">
        <f>D26+E25</f>
        <v>1318</v>
      </c>
      <c r="F26" s="4">
        <f>D26/143</f>
        <v>1.0069930069930071</v>
      </c>
      <c r="G26" s="25">
        <f>G25+F26</f>
        <v>9.2138461538461538</v>
      </c>
      <c r="H26" s="1">
        <v>7.72</v>
      </c>
      <c r="I26" s="1">
        <v>1018</v>
      </c>
      <c r="J26" s="1">
        <v>164</v>
      </c>
      <c r="K26" s="27">
        <v>121</v>
      </c>
      <c r="L26" s="27">
        <v>13</v>
      </c>
      <c r="M26" s="18">
        <v>2</v>
      </c>
      <c r="N26" s="186">
        <v>411</v>
      </c>
      <c r="O26" s="186">
        <v>18</v>
      </c>
      <c r="P26" s="12">
        <v>69.14</v>
      </c>
      <c r="Q26" s="12">
        <v>18.25</v>
      </c>
      <c r="R26" s="12">
        <v>114.6</v>
      </c>
      <c r="S26" s="12">
        <v>19.66</v>
      </c>
      <c r="T26" s="6">
        <v>9.1969999999999992</v>
      </c>
      <c r="U26" s="169">
        <v>0.2</v>
      </c>
      <c r="V26" s="81">
        <v>0.02</v>
      </c>
      <c r="W26" s="81">
        <v>0.02</v>
      </c>
      <c r="X26" s="11">
        <v>0.253</v>
      </c>
      <c r="Y26" s="177">
        <v>0.04</v>
      </c>
      <c r="Z26" s="174">
        <v>0.82799999999999996</v>
      </c>
      <c r="AB26" s="69">
        <f t="shared" si="6"/>
        <v>12.236123525894726</v>
      </c>
      <c r="AC26" s="69">
        <f t="shared" si="2"/>
        <v>10.170915549685281</v>
      </c>
      <c r="AD26" s="25">
        <f t="shared" si="3"/>
        <v>9.2167821426266983</v>
      </c>
      <c r="AF26" s="88">
        <v>7.72</v>
      </c>
      <c r="AG26" s="88">
        <v>-7.4626599999999996</v>
      </c>
      <c r="AH26" s="88">
        <v>0.1263</v>
      </c>
      <c r="AI26" s="88">
        <v>-1.1478999999999999</v>
      </c>
      <c r="AJ26" s="88">
        <v>-1.3976999999999999</v>
      </c>
      <c r="AK26" s="88">
        <v>-2.5392999999999999</v>
      </c>
      <c r="AL26" s="88">
        <v>-0.50209999999999999</v>
      </c>
      <c r="AM26" s="88">
        <v>-0.35270000000000001</v>
      </c>
      <c r="AN26" s="88">
        <v>-2.0529999999999999</v>
      </c>
      <c r="AO26" s="88">
        <v>-1.2283999999999999</v>
      </c>
    </row>
    <row r="27" spans="1:41" x14ac:dyDescent="0.35">
      <c r="A27" s="1">
        <v>1</v>
      </c>
      <c r="B27" s="10">
        <v>43490</v>
      </c>
      <c r="C27" s="1">
        <v>10</v>
      </c>
      <c r="D27" s="1">
        <v>144</v>
      </c>
      <c r="E27" s="31">
        <f t="shared" ref="E27:E35" si="7">D27+E26</f>
        <v>1462</v>
      </c>
      <c r="F27" s="25">
        <f t="shared" ref="F27:F35" si="8">D27/143</f>
        <v>1.0069930069930071</v>
      </c>
      <c r="G27" s="25">
        <f t="shared" ref="G27:G35" si="9">G26+F27</f>
        <v>10.22083916083916</v>
      </c>
      <c r="H27" s="1">
        <v>7.51</v>
      </c>
      <c r="I27" s="1">
        <v>979</v>
      </c>
      <c r="J27" s="1">
        <v>174</v>
      </c>
      <c r="K27" s="27">
        <v>104</v>
      </c>
      <c r="L27" s="27">
        <v>13</v>
      </c>
      <c r="M27" s="18">
        <v>2.1</v>
      </c>
      <c r="N27" s="186">
        <v>409</v>
      </c>
      <c r="O27" s="186">
        <v>18</v>
      </c>
      <c r="P27" s="12">
        <v>100.4</v>
      </c>
      <c r="Q27" s="12">
        <v>25.68</v>
      </c>
      <c r="R27" s="12">
        <v>86.78</v>
      </c>
      <c r="S27" s="12">
        <v>21.56</v>
      </c>
      <c r="T27" s="12">
        <v>11.46</v>
      </c>
      <c r="U27" s="169">
        <v>0.2</v>
      </c>
      <c r="V27" s="81">
        <v>0.02</v>
      </c>
      <c r="W27" s="81">
        <v>0.02</v>
      </c>
      <c r="X27" s="11">
        <v>0.317</v>
      </c>
      <c r="Y27" s="177">
        <v>0.04</v>
      </c>
      <c r="Z27" s="172">
        <v>1.1299999999999999</v>
      </c>
      <c r="AB27" s="69">
        <f t="shared" si="6"/>
        <v>12.396095787854659</v>
      </c>
      <c r="AC27" s="69">
        <f t="shared" si="2"/>
        <v>11.189601419837372</v>
      </c>
      <c r="AD27" s="69">
        <f t="shared" si="3"/>
        <v>5.1153644405466707</v>
      </c>
      <c r="AF27" s="88">
        <v>7.51</v>
      </c>
      <c r="AG27" s="88">
        <v>-2.7372800000000002</v>
      </c>
      <c r="AH27" s="88">
        <v>0.1043</v>
      </c>
      <c r="AI27" s="88">
        <v>-1.0121</v>
      </c>
      <c r="AJ27" s="88">
        <v>-1.2619</v>
      </c>
      <c r="AK27" s="88">
        <v>-2.3062999999999998</v>
      </c>
      <c r="AL27" s="88">
        <v>-0.56110000000000004</v>
      </c>
      <c r="AM27" s="88">
        <v>-0.44280000000000003</v>
      </c>
      <c r="AN27" s="88">
        <v>-1.8931</v>
      </c>
      <c r="AO27" s="88">
        <v>-1.2654000000000001</v>
      </c>
    </row>
    <row r="28" spans="1:41" x14ac:dyDescent="0.35">
      <c r="A28" s="1">
        <v>1</v>
      </c>
      <c r="B28" s="10">
        <v>43491</v>
      </c>
      <c r="C28" s="1">
        <v>11</v>
      </c>
      <c r="D28" s="1">
        <v>144</v>
      </c>
      <c r="E28" s="31">
        <f t="shared" si="7"/>
        <v>1606</v>
      </c>
      <c r="F28" s="25">
        <f t="shared" si="8"/>
        <v>1.0069930069930071</v>
      </c>
      <c r="G28" s="25">
        <f t="shared" si="9"/>
        <v>11.227832167832167</v>
      </c>
      <c r="H28" s="1">
        <v>7.61</v>
      </c>
      <c r="I28" s="1">
        <v>956</v>
      </c>
      <c r="J28" s="1">
        <v>159</v>
      </c>
      <c r="K28" s="27">
        <v>95</v>
      </c>
      <c r="L28" s="27">
        <v>12</v>
      </c>
      <c r="M28" s="18">
        <v>2.1</v>
      </c>
      <c r="N28" s="186">
        <v>341</v>
      </c>
      <c r="O28" s="186">
        <v>17</v>
      </c>
      <c r="P28" s="12">
        <v>109.3</v>
      </c>
      <c r="Q28" s="12">
        <v>24.86</v>
      </c>
      <c r="R28" s="12">
        <v>73.14</v>
      </c>
      <c r="S28" s="12">
        <v>19.149999999999999</v>
      </c>
      <c r="T28" s="12">
        <v>10</v>
      </c>
      <c r="U28" s="169">
        <v>0.2</v>
      </c>
      <c r="V28" s="33">
        <v>3.9E-2</v>
      </c>
      <c r="W28" s="81">
        <v>0.02</v>
      </c>
      <c r="X28" s="11">
        <v>0.34</v>
      </c>
      <c r="Y28" s="177">
        <v>0.04</v>
      </c>
      <c r="Z28" s="172">
        <v>1.1599999999999999</v>
      </c>
      <c r="AB28" s="69">
        <f t="shared" si="6"/>
        <v>10.652105240104031</v>
      </c>
      <c r="AC28" s="69">
        <f t="shared" si="2"/>
        <v>10.935637396898777</v>
      </c>
      <c r="AD28" s="25">
        <f t="shared" si="3"/>
        <v>1.3133941865174572</v>
      </c>
      <c r="AF28" s="88">
        <v>7.61</v>
      </c>
      <c r="AG28" s="88">
        <v>4.9682199999999996</v>
      </c>
      <c r="AH28" s="88">
        <v>0.2238</v>
      </c>
      <c r="AI28" s="88">
        <v>-1.0331999999999999</v>
      </c>
      <c r="AJ28" s="88">
        <v>-1.2830999999999999</v>
      </c>
      <c r="AK28" s="88">
        <v>-2.4466000000000001</v>
      </c>
      <c r="AL28" s="88">
        <v>-0.37569999999999998</v>
      </c>
      <c r="AM28" s="88">
        <v>-0.33079999999999998</v>
      </c>
      <c r="AN28" s="88">
        <v>-1.5359</v>
      </c>
      <c r="AO28" s="88">
        <v>-1.1995</v>
      </c>
    </row>
    <row r="29" spans="1:41" x14ac:dyDescent="0.35">
      <c r="A29" s="43">
        <v>1</v>
      </c>
      <c r="B29" s="17">
        <v>43492</v>
      </c>
      <c r="C29" s="1">
        <v>12</v>
      </c>
      <c r="D29" s="1">
        <v>144</v>
      </c>
      <c r="E29" s="31">
        <f t="shared" si="7"/>
        <v>1750</v>
      </c>
      <c r="F29" s="25">
        <f t="shared" si="8"/>
        <v>1.0069930069930071</v>
      </c>
      <c r="G29" s="25">
        <f t="shared" si="9"/>
        <v>12.234825174825174</v>
      </c>
      <c r="H29" s="1">
        <v>7.66</v>
      </c>
      <c r="I29" s="1">
        <v>953</v>
      </c>
      <c r="J29" s="1">
        <v>166</v>
      </c>
      <c r="K29" s="27">
        <v>86</v>
      </c>
      <c r="L29" s="27">
        <v>12</v>
      </c>
      <c r="M29" s="18">
        <v>2.7</v>
      </c>
      <c r="N29" s="186">
        <v>408</v>
      </c>
      <c r="O29" s="186">
        <v>17</v>
      </c>
      <c r="P29" s="12">
        <v>108.4</v>
      </c>
      <c r="Q29" s="12">
        <v>27.7</v>
      </c>
      <c r="R29" s="12">
        <v>61.97</v>
      </c>
      <c r="S29" s="12">
        <v>20</v>
      </c>
      <c r="T29" s="6">
        <v>9.02</v>
      </c>
      <c r="U29" s="169">
        <v>0.2</v>
      </c>
      <c r="V29" s="33">
        <v>3.5999999999999997E-2</v>
      </c>
      <c r="W29" s="81">
        <v>0.02</v>
      </c>
      <c r="X29" s="11">
        <v>0.38</v>
      </c>
      <c r="Y29" s="177">
        <v>0.04</v>
      </c>
      <c r="Z29" s="172">
        <v>1.117</v>
      </c>
      <c r="AB29" s="69">
        <f t="shared" si="6"/>
        <v>12.196744141865699</v>
      </c>
      <c r="AC29" s="69">
        <f t="shared" si="2"/>
        <v>10.613352491340308</v>
      </c>
      <c r="AD29" s="25">
        <f t="shared" si="3"/>
        <v>6.941626228011474</v>
      </c>
      <c r="AF29" s="88">
        <v>7.66</v>
      </c>
      <c r="AG29" s="88">
        <v>-4.9782400000000004</v>
      </c>
      <c r="AH29" s="88">
        <v>0.26719999999999999</v>
      </c>
      <c r="AI29" s="88">
        <v>-0.98109999999999997</v>
      </c>
      <c r="AJ29" s="88">
        <v>-1.2309000000000001</v>
      </c>
      <c r="AK29" s="88">
        <v>-2.4792000000000001</v>
      </c>
      <c r="AL29" s="88">
        <v>-0.2359</v>
      </c>
      <c r="AM29" s="88">
        <v>-0.23369999999999999</v>
      </c>
      <c r="AN29" s="88">
        <v>-1.6002000000000001</v>
      </c>
      <c r="AO29" s="88">
        <v>-1.103</v>
      </c>
    </row>
    <row r="30" spans="1:41" s="43" customFormat="1" x14ac:dyDescent="0.35">
      <c r="A30" s="43">
        <v>1</v>
      </c>
      <c r="B30" s="28">
        <v>43493</v>
      </c>
      <c r="C30" s="43">
        <v>13</v>
      </c>
      <c r="D30" s="43">
        <v>147</v>
      </c>
      <c r="E30" s="31">
        <f t="shared" si="7"/>
        <v>1897</v>
      </c>
      <c r="F30" s="25">
        <f t="shared" si="8"/>
        <v>1.0279720279720279</v>
      </c>
      <c r="G30" s="25">
        <f t="shared" si="9"/>
        <v>13.262797202797202</v>
      </c>
      <c r="H30" s="43">
        <v>7.49</v>
      </c>
      <c r="I30" s="43">
        <v>950</v>
      </c>
      <c r="J30" s="43">
        <v>166</v>
      </c>
      <c r="K30" s="27">
        <v>80</v>
      </c>
      <c r="L30" s="27">
        <v>12</v>
      </c>
      <c r="M30" s="18">
        <v>2.6</v>
      </c>
      <c r="N30" s="186">
        <v>343</v>
      </c>
      <c r="O30" s="186">
        <v>18</v>
      </c>
      <c r="P30" s="21">
        <v>113.1</v>
      </c>
      <c r="Q30" s="21">
        <v>26.06</v>
      </c>
      <c r="R30" s="21">
        <v>65.040000000000006</v>
      </c>
      <c r="S30" s="21">
        <v>18.489999999999998</v>
      </c>
      <c r="T30" s="18">
        <v>7.867</v>
      </c>
      <c r="U30" s="169">
        <v>0.2</v>
      </c>
      <c r="V30" s="33">
        <v>3.2000000000000001E-2</v>
      </c>
      <c r="W30" s="81">
        <v>0.02</v>
      </c>
      <c r="X30" s="11">
        <v>0.38</v>
      </c>
      <c r="Y30" s="177">
        <v>0.04</v>
      </c>
      <c r="Z30" s="172">
        <v>1.17</v>
      </c>
      <c r="AB30" s="69">
        <f t="shared" si="6"/>
        <v>10.841810397498939</v>
      </c>
      <c r="AC30" s="69">
        <f t="shared" si="2"/>
        <v>10.817062837502025</v>
      </c>
      <c r="AD30" s="25">
        <f t="shared" si="3"/>
        <v>0.11426060685798711</v>
      </c>
      <c r="AF30" s="88">
        <v>7.49</v>
      </c>
      <c r="AG30" s="88">
        <v>3.4653399999999999</v>
      </c>
      <c r="AH30" s="88">
        <v>0.13780000000000001</v>
      </c>
      <c r="AI30" s="88">
        <v>-1.0194000000000001</v>
      </c>
      <c r="AJ30" s="88">
        <v>-1.2692000000000001</v>
      </c>
      <c r="AK30" s="88">
        <v>-2.3069000000000002</v>
      </c>
      <c r="AL30" s="88">
        <v>-0.54200000000000004</v>
      </c>
      <c r="AM30" s="88">
        <v>-0.38379999999999997</v>
      </c>
      <c r="AN30" s="88">
        <v>-1.6080000000000001</v>
      </c>
      <c r="AO30" s="88">
        <v>-1.2798</v>
      </c>
    </row>
    <row r="31" spans="1:41" s="43" customFormat="1" x14ac:dyDescent="0.35">
      <c r="A31" s="43">
        <v>1</v>
      </c>
      <c r="B31" s="28">
        <v>43494</v>
      </c>
      <c r="C31" s="68">
        <v>14</v>
      </c>
      <c r="D31" s="43">
        <v>143</v>
      </c>
      <c r="E31" s="31">
        <f t="shared" si="7"/>
        <v>2040</v>
      </c>
      <c r="F31" s="25">
        <f t="shared" si="8"/>
        <v>1</v>
      </c>
      <c r="G31" s="25">
        <f t="shared" si="9"/>
        <v>14.262797202797202</v>
      </c>
      <c r="H31" s="43">
        <v>7.63</v>
      </c>
      <c r="I31" s="43">
        <v>954</v>
      </c>
      <c r="J31" s="43">
        <v>164</v>
      </c>
      <c r="K31" s="27">
        <v>76</v>
      </c>
      <c r="L31" s="27">
        <v>11</v>
      </c>
      <c r="M31" s="18">
        <v>2.6</v>
      </c>
      <c r="N31" s="186">
        <v>345</v>
      </c>
      <c r="O31" s="186">
        <v>16</v>
      </c>
      <c r="P31" s="21">
        <v>102.7</v>
      </c>
      <c r="Q31" s="21">
        <v>26.46</v>
      </c>
      <c r="R31" s="21">
        <v>56.69</v>
      </c>
      <c r="S31" s="21">
        <v>19.86</v>
      </c>
      <c r="T31" s="18">
        <v>7.8840000000000003</v>
      </c>
      <c r="U31" s="169">
        <v>0.2</v>
      </c>
      <c r="V31" s="81">
        <v>0.02</v>
      </c>
      <c r="W31" s="81">
        <v>0.02</v>
      </c>
      <c r="X31" s="11">
        <v>0.38100000000000001</v>
      </c>
      <c r="Y31" s="177">
        <v>0.04</v>
      </c>
      <c r="Z31" s="172">
        <v>1.036</v>
      </c>
      <c r="AB31" s="69">
        <f t="shared" si="6"/>
        <v>10.815242294053954</v>
      </c>
      <c r="AC31" s="69">
        <f t="shared" si="2"/>
        <v>9.9682288891949966</v>
      </c>
      <c r="AD31" s="69">
        <f t="shared" si="3"/>
        <v>4.0754183812261005</v>
      </c>
      <c r="AF31" s="88">
        <v>7.63</v>
      </c>
      <c r="AG31" s="88">
        <v>-1.2122599999999999</v>
      </c>
      <c r="AH31" s="88">
        <v>0.23100000000000001</v>
      </c>
      <c r="AI31" s="88">
        <v>-1.05</v>
      </c>
      <c r="AJ31" s="88">
        <v>-1.2998000000000001</v>
      </c>
      <c r="AK31" s="88">
        <v>-2.4519000000000002</v>
      </c>
      <c r="AL31" s="88">
        <v>-0.30659999999999998</v>
      </c>
      <c r="AM31" s="88">
        <v>-0.2455</v>
      </c>
      <c r="AN31" s="88">
        <v>-1.8507</v>
      </c>
      <c r="AO31" s="88">
        <v>-1.1375999999999999</v>
      </c>
    </row>
    <row r="32" spans="1:41" s="43" customFormat="1" x14ac:dyDescent="0.35">
      <c r="A32" s="68">
        <v>1</v>
      </c>
      <c r="B32" s="28">
        <v>43495</v>
      </c>
      <c r="C32" s="68">
        <v>15</v>
      </c>
      <c r="D32" s="43">
        <v>151</v>
      </c>
      <c r="E32" s="31">
        <f t="shared" si="7"/>
        <v>2191</v>
      </c>
      <c r="F32" s="25">
        <f t="shared" si="8"/>
        <v>1.055944055944056</v>
      </c>
      <c r="G32" s="25">
        <f t="shared" si="9"/>
        <v>15.318741258741259</v>
      </c>
      <c r="H32" s="43">
        <v>7.83</v>
      </c>
      <c r="I32" s="43">
        <v>936</v>
      </c>
      <c r="J32" s="43">
        <v>165</v>
      </c>
      <c r="K32" s="27">
        <v>67</v>
      </c>
      <c r="L32" s="27">
        <v>11</v>
      </c>
      <c r="M32" s="18">
        <v>2.9</v>
      </c>
      <c r="N32" s="186">
        <v>342</v>
      </c>
      <c r="O32" s="186">
        <v>17</v>
      </c>
      <c r="P32" s="21">
        <v>113.4</v>
      </c>
      <c r="Q32" s="21">
        <v>31.83</v>
      </c>
      <c r="R32" s="21">
        <v>65.06</v>
      </c>
      <c r="S32" s="21">
        <v>21.08</v>
      </c>
      <c r="T32" s="18">
        <v>9.1440000000000001</v>
      </c>
      <c r="U32" s="169">
        <v>0.2</v>
      </c>
      <c r="V32" s="33">
        <v>0.02</v>
      </c>
      <c r="W32" s="81">
        <v>0.02</v>
      </c>
      <c r="X32" s="11">
        <v>0.41799999999999998</v>
      </c>
      <c r="Y32" s="177">
        <v>0.04</v>
      </c>
      <c r="Z32" s="172">
        <v>1.1259999999999999</v>
      </c>
      <c r="AB32" s="69">
        <f t="shared" si="6"/>
        <v>10.777620041832561</v>
      </c>
      <c r="AC32" s="69">
        <f t="shared" si="2"/>
        <v>11.340069266330621</v>
      </c>
      <c r="AD32" s="69">
        <f t="shared" si="3"/>
        <v>2.5429836573862703</v>
      </c>
      <c r="AF32" s="88">
        <v>7.83</v>
      </c>
      <c r="AG32" s="88">
        <v>6.6244300000000003</v>
      </c>
      <c r="AH32" s="88">
        <v>0.46839999999999998</v>
      </c>
      <c r="AI32" s="88">
        <v>-1.0268999999999999</v>
      </c>
      <c r="AJ32" s="88">
        <v>-1.2766999999999999</v>
      </c>
      <c r="AK32" s="88">
        <v>-2.6562999999999999</v>
      </c>
      <c r="AL32" s="88">
        <v>0.20499999999999999</v>
      </c>
      <c r="AM32" s="88">
        <v>-1.2999999999999999E-2</v>
      </c>
      <c r="AN32" s="88">
        <v>-1.8142</v>
      </c>
      <c r="AO32" s="88">
        <v>-0.86339999999999995</v>
      </c>
    </row>
    <row r="33" spans="1:41" s="68" customFormat="1" x14ac:dyDescent="0.35">
      <c r="A33" s="68">
        <v>1</v>
      </c>
      <c r="B33" s="28">
        <v>43496</v>
      </c>
      <c r="C33" s="68">
        <v>16</v>
      </c>
      <c r="D33" s="68">
        <v>143</v>
      </c>
      <c r="E33" s="31">
        <f t="shared" si="7"/>
        <v>2334</v>
      </c>
      <c r="F33" s="25">
        <f t="shared" si="8"/>
        <v>1</v>
      </c>
      <c r="G33" s="25">
        <f t="shared" si="9"/>
        <v>16.318741258741259</v>
      </c>
      <c r="H33" s="68">
        <v>7.51</v>
      </c>
      <c r="I33" s="68">
        <v>946</v>
      </c>
      <c r="J33" s="68">
        <v>164</v>
      </c>
      <c r="K33" s="27">
        <v>64</v>
      </c>
      <c r="L33" s="27">
        <v>12</v>
      </c>
      <c r="M33" s="18">
        <v>3</v>
      </c>
      <c r="N33" s="186">
        <v>343</v>
      </c>
      <c r="O33" s="186">
        <v>16</v>
      </c>
      <c r="P33" s="21">
        <v>119.4</v>
      </c>
      <c r="Q33" s="21">
        <v>34.4</v>
      </c>
      <c r="R33" s="21">
        <v>67.260000000000005</v>
      </c>
      <c r="S33" s="21">
        <v>21.97</v>
      </c>
      <c r="T33" s="18">
        <v>9.6509999999999998</v>
      </c>
      <c r="U33" s="169">
        <v>0.2</v>
      </c>
      <c r="V33" s="33">
        <v>0.02</v>
      </c>
      <c r="W33" s="81">
        <v>0.02</v>
      </c>
      <c r="X33" s="11">
        <v>0.41399999999999998</v>
      </c>
      <c r="Y33" s="177">
        <v>0.04</v>
      </c>
      <c r="Z33" s="172">
        <v>1.1060000000000001</v>
      </c>
      <c r="AB33" s="69">
        <f t="shared" si="6"/>
        <v>10.808262010402165</v>
      </c>
      <c r="AC33" s="69">
        <f t="shared" si="2"/>
        <v>11.959479679968405</v>
      </c>
      <c r="AD33" s="69">
        <f t="shared" si="3"/>
        <v>5.0563542279344187</v>
      </c>
      <c r="AF33" s="88">
        <v>7.51</v>
      </c>
      <c r="AG33" s="88">
        <v>9.5432500000000005</v>
      </c>
      <c r="AH33" s="88">
        <v>0.17219999999999999</v>
      </c>
      <c r="AI33" s="88">
        <v>-1.0105999999999999</v>
      </c>
      <c r="AJ33" s="88">
        <v>-1.2604</v>
      </c>
      <c r="AK33" s="88">
        <v>-2.3351000000000002</v>
      </c>
      <c r="AL33" s="88">
        <v>-0.37690000000000001</v>
      </c>
      <c r="AM33" s="88">
        <v>-0.33810000000000001</v>
      </c>
      <c r="AN33" s="88">
        <v>-1.7944</v>
      </c>
      <c r="AO33" s="88">
        <v>-1.1491</v>
      </c>
    </row>
    <row r="34" spans="1:41" s="68" customFormat="1" x14ac:dyDescent="0.35">
      <c r="A34" s="68">
        <v>1</v>
      </c>
      <c r="B34" s="28">
        <v>43497</v>
      </c>
      <c r="C34" s="68">
        <v>17</v>
      </c>
      <c r="D34" s="68">
        <v>149</v>
      </c>
      <c r="E34" s="31">
        <f t="shared" si="7"/>
        <v>2483</v>
      </c>
      <c r="F34" s="25">
        <f t="shared" si="8"/>
        <v>1.0419580419580419</v>
      </c>
      <c r="G34" s="25">
        <f t="shared" si="9"/>
        <v>17.360699300699302</v>
      </c>
      <c r="H34" s="68">
        <v>7.52</v>
      </c>
      <c r="I34" s="68">
        <v>953</v>
      </c>
      <c r="J34" s="68">
        <v>165</v>
      </c>
      <c r="K34" s="27">
        <v>64</v>
      </c>
      <c r="L34" s="27">
        <v>12</v>
      </c>
      <c r="M34" s="18">
        <v>3.2</v>
      </c>
      <c r="N34" s="186">
        <v>349</v>
      </c>
      <c r="O34" s="186">
        <v>17</v>
      </c>
      <c r="P34" s="21">
        <v>103.9</v>
      </c>
      <c r="Q34" s="21">
        <v>29.91</v>
      </c>
      <c r="R34" s="21">
        <v>60.58</v>
      </c>
      <c r="S34" s="21">
        <v>19.63</v>
      </c>
      <c r="T34" s="18">
        <v>8.8610000000000007</v>
      </c>
      <c r="U34" s="169">
        <v>0.2</v>
      </c>
      <c r="V34" s="81">
        <v>0.02</v>
      </c>
      <c r="W34" s="81">
        <v>0.02</v>
      </c>
      <c r="X34" s="11">
        <v>0.442</v>
      </c>
      <c r="Y34" s="177">
        <v>0.04</v>
      </c>
      <c r="Z34" s="172">
        <v>1.1559999999999999</v>
      </c>
      <c r="AB34" s="69">
        <f t="shared" si="6"/>
        <v>10.956409740651404</v>
      </c>
      <c r="AC34" s="69">
        <f t="shared" si="2"/>
        <v>10.506017447995216</v>
      </c>
      <c r="AD34" s="69">
        <f t="shared" si="3"/>
        <v>2.0985151804938469</v>
      </c>
      <c r="AF34" s="88">
        <v>7.52</v>
      </c>
      <c r="AG34" s="88">
        <v>1.15602</v>
      </c>
      <c r="AH34" s="88">
        <v>0.12720000000000001</v>
      </c>
      <c r="AI34" s="88">
        <v>-1.0471999999999999</v>
      </c>
      <c r="AJ34" s="88">
        <v>-1.2969999999999999</v>
      </c>
      <c r="AK34" s="88">
        <v>-2.339</v>
      </c>
      <c r="AL34" s="88">
        <v>-0.46610000000000001</v>
      </c>
      <c r="AM34" s="88">
        <v>-0.29110000000000003</v>
      </c>
      <c r="AN34" s="88">
        <v>-1.8502000000000001</v>
      </c>
      <c r="AO34" s="88">
        <v>-1.1934</v>
      </c>
    </row>
    <row r="35" spans="1:41" s="68" customFormat="1" x14ac:dyDescent="0.35">
      <c r="A35" s="68">
        <v>1</v>
      </c>
      <c r="B35" s="28">
        <v>43498</v>
      </c>
      <c r="C35" s="68">
        <v>18</v>
      </c>
      <c r="D35" s="68">
        <v>143</v>
      </c>
      <c r="E35" s="31">
        <f t="shared" si="7"/>
        <v>2626</v>
      </c>
      <c r="F35" s="25">
        <f t="shared" si="8"/>
        <v>1</v>
      </c>
      <c r="G35" s="25">
        <f t="shared" si="9"/>
        <v>18.360699300699302</v>
      </c>
      <c r="H35" s="68">
        <v>7.75</v>
      </c>
      <c r="I35" s="68">
        <v>932</v>
      </c>
      <c r="J35" s="68">
        <v>163</v>
      </c>
      <c r="K35" s="27">
        <v>59</v>
      </c>
      <c r="L35" s="27">
        <v>12</v>
      </c>
      <c r="M35" s="18">
        <v>3.4</v>
      </c>
      <c r="N35" s="186">
        <v>350</v>
      </c>
      <c r="O35" s="186">
        <v>18</v>
      </c>
      <c r="P35" s="21">
        <v>102.8</v>
      </c>
      <c r="Q35" s="21">
        <v>29.43</v>
      </c>
      <c r="R35" s="21">
        <v>55.47</v>
      </c>
      <c r="S35" s="21">
        <v>18.63</v>
      </c>
      <c r="T35" s="18">
        <v>9.1270000000000007</v>
      </c>
      <c r="U35" s="169">
        <v>0.2</v>
      </c>
      <c r="V35" s="81">
        <v>0.02</v>
      </c>
      <c r="W35" s="81">
        <v>0.02</v>
      </c>
      <c r="X35" s="25">
        <v>0.45200000000000001</v>
      </c>
      <c r="Y35" s="177">
        <v>0.04</v>
      </c>
      <c r="Z35" s="170">
        <v>1.1299999999999999</v>
      </c>
      <c r="AB35" s="69">
        <f t="shared" si="6"/>
        <v>10.940455867735954</v>
      </c>
      <c r="AC35" s="69">
        <f t="shared" si="2"/>
        <v>10.196186060863425</v>
      </c>
      <c r="AD35" s="69">
        <f t="shared" si="3"/>
        <v>3.5212301433061555</v>
      </c>
      <c r="AF35" s="88">
        <v>7.75</v>
      </c>
      <c r="AG35" s="88">
        <v>-0.52708299999999997</v>
      </c>
      <c r="AH35" s="88">
        <v>0.34410000000000002</v>
      </c>
      <c r="AI35" s="88">
        <v>-1.0488</v>
      </c>
      <c r="AJ35" s="88">
        <v>-1.2986</v>
      </c>
      <c r="AK35" s="88">
        <v>-2.5771999999999999</v>
      </c>
      <c r="AL35" s="88">
        <v>-3.4500000000000003E-2</v>
      </c>
      <c r="AM35" s="88">
        <v>-5.8700000000000002E-2</v>
      </c>
      <c r="AN35" s="88">
        <v>-1.8540000000000001</v>
      </c>
      <c r="AO35" s="88">
        <v>-0.97850000000000004</v>
      </c>
    </row>
    <row r="36" spans="1:41" s="68" customFormat="1" x14ac:dyDescent="0.35">
      <c r="A36" s="68">
        <v>1</v>
      </c>
      <c r="B36" s="28">
        <v>43499</v>
      </c>
      <c r="C36" s="68">
        <v>19</v>
      </c>
      <c r="D36" s="68">
        <v>147</v>
      </c>
      <c r="E36" s="31">
        <f t="shared" ref="E36:E37" si="10">D36+E35</f>
        <v>2773</v>
      </c>
      <c r="F36" s="25">
        <f t="shared" ref="F36:F37" si="11">D36/143</f>
        <v>1.0279720279720279</v>
      </c>
      <c r="G36" s="25">
        <f t="shared" ref="G36:G37" si="12">G35+F36</f>
        <v>19.388671328671329</v>
      </c>
      <c r="H36" s="68">
        <v>7.63</v>
      </c>
      <c r="I36" s="68">
        <v>933</v>
      </c>
      <c r="J36" s="68">
        <v>178</v>
      </c>
      <c r="K36" s="27">
        <v>58</v>
      </c>
      <c r="L36" s="27">
        <v>12</v>
      </c>
      <c r="M36" s="18">
        <v>3.5</v>
      </c>
      <c r="N36" s="186">
        <v>345</v>
      </c>
      <c r="O36" s="186">
        <v>16</v>
      </c>
      <c r="P36" s="21">
        <v>96.04</v>
      </c>
      <c r="Q36" s="21">
        <v>29.6</v>
      </c>
      <c r="R36" s="21">
        <v>53.23</v>
      </c>
      <c r="S36" s="21">
        <v>17.91</v>
      </c>
      <c r="T36" s="18">
        <v>6.8979999999999997</v>
      </c>
      <c r="U36" s="169">
        <v>0.2</v>
      </c>
      <c r="V36" s="81">
        <v>0.02</v>
      </c>
      <c r="W36" s="81">
        <v>0.02</v>
      </c>
      <c r="X36" s="11">
        <v>0.46400000000000002</v>
      </c>
      <c r="Y36" s="177">
        <v>0.04</v>
      </c>
      <c r="Z36" s="172">
        <v>1.1000000000000001</v>
      </c>
      <c r="AB36" s="69">
        <f t="shared" si="6"/>
        <v>11.137967167797072</v>
      </c>
      <c r="AC36" s="69">
        <f t="shared" si="2"/>
        <v>9.718399635273995</v>
      </c>
      <c r="AD36" s="69">
        <f t="shared" si="3"/>
        <v>6.8063989568597716</v>
      </c>
      <c r="AF36" s="88">
        <v>7.63</v>
      </c>
      <c r="AG36" s="88">
        <v>-4.1296200000000001</v>
      </c>
      <c r="AH36" s="88">
        <v>0.23649999999999999</v>
      </c>
      <c r="AI36" s="88">
        <v>-1.0788</v>
      </c>
      <c r="AJ36" s="88">
        <v>-1.3287</v>
      </c>
      <c r="AK36" s="88">
        <v>-2.4157999999999999</v>
      </c>
      <c r="AL36" s="88">
        <v>-0.21709999999999999</v>
      </c>
      <c r="AM36" s="88">
        <v>-0.125</v>
      </c>
      <c r="AN36" s="88">
        <v>-1.8814</v>
      </c>
      <c r="AO36" s="88">
        <v>-1.0536000000000001</v>
      </c>
    </row>
    <row r="37" spans="1:41" s="68" customFormat="1" x14ac:dyDescent="0.35">
      <c r="A37" s="68">
        <v>1</v>
      </c>
      <c r="B37" s="28">
        <v>43500</v>
      </c>
      <c r="C37" s="68">
        <v>20</v>
      </c>
      <c r="D37" s="68">
        <v>145</v>
      </c>
      <c r="E37" s="31">
        <f t="shared" si="10"/>
        <v>2918</v>
      </c>
      <c r="F37" s="69">
        <f t="shared" si="11"/>
        <v>1.013986013986014</v>
      </c>
      <c r="G37" s="25">
        <f t="shared" si="12"/>
        <v>20.402657342657342</v>
      </c>
      <c r="H37" s="68">
        <v>7.42</v>
      </c>
      <c r="I37" s="68">
        <v>944</v>
      </c>
      <c r="J37" s="68">
        <v>162</v>
      </c>
      <c r="K37" s="27">
        <v>57</v>
      </c>
      <c r="L37" s="27">
        <v>12</v>
      </c>
      <c r="M37" s="18">
        <v>3.5</v>
      </c>
      <c r="N37" s="186">
        <v>349</v>
      </c>
      <c r="O37" s="186">
        <v>16</v>
      </c>
      <c r="P37" s="21">
        <v>97.43</v>
      </c>
      <c r="Q37" s="21">
        <v>30.78</v>
      </c>
      <c r="R37" s="21">
        <v>55.08</v>
      </c>
      <c r="S37" s="21">
        <v>17.920000000000002</v>
      </c>
      <c r="T37" s="18">
        <v>6.9210000000000003</v>
      </c>
      <c r="U37" s="169">
        <v>0.2</v>
      </c>
      <c r="V37" s="81">
        <v>0.02</v>
      </c>
      <c r="W37" s="81">
        <v>0.02</v>
      </c>
      <c r="X37" s="11">
        <v>0.49199999999999999</v>
      </c>
      <c r="Y37" s="177">
        <v>0.04</v>
      </c>
      <c r="Z37" s="172">
        <v>1.1240000000000001</v>
      </c>
      <c r="AB37" s="69">
        <f t="shared" si="6"/>
        <v>10.901248450328824</v>
      </c>
      <c r="AC37" s="69">
        <f t="shared" si="2"/>
        <v>9.965858391162417</v>
      </c>
      <c r="AD37" s="69">
        <f t="shared" si="3"/>
        <v>4.4826054051082833</v>
      </c>
      <c r="AF37" s="88">
        <v>7.42</v>
      </c>
      <c r="AG37" s="88">
        <v>-1.6494500000000001</v>
      </c>
      <c r="AH37" s="88">
        <v>-5.5999999999999999E-3</v>
      </c>
      <c r="AI37" s="88">
        <v>-1.0693999999999999</v>
      </c>
      <c r="AJ37" s="88">
        <v>-1.3191999999999999</v>
      </c>
      <c r="AK37" s="88">
        <v>-2.2448000000000001</v>
      </c>
      <c r="AL37" s="88">
        <v>-0.69130000000000003</v>
      </c>
      <c r="AM37" s="88">
        <v>-0.34860000000000002</v>
      </c>
      <c r="AN37" s="88">
        <v>-1.8752</v>
      </c>
      <c r="AO37" s="88">
        <v>-1.2856000000000001</v>
      </c>
    </row>
    <row r="38" spans="1:41" s="68" customFormat="1" x14ac:dyDescent="0.35">
      <c r="A38" s="68">
        <v>1</v>
      </c>
      <c r="B38" s="28">
        <v>43501</v>
      </c>
      <c r="C38" s="68">
        <v>21</v>
      </c>
      <c r="D38" s="68">
        <v>145</v>
      </c>
      <c r="E38" s="31">
        <f t="shared" ref="E38" si="13">D38+E37</f>
        <v>3063</v>
      </c>
      <c r="F38" s="69">
        <f t="shared" ref="F38" si="14">D38/143</f>
        <v>1.013986013986014</v>
      </c>
      <c r="G38" s="25">
        <f t="shared" ref="G38" si="15">G37+F38</f>
        <v>21.416643356643355</v>
      </c>
      <c r="H38" s="68">
        <v>7.55</v>
      </c>
      <c r="I38" s="68">
        <v>934</v>
      </c>
      <c r="J38" s="68">
        <v>162</v>
      </c>
      <c r="K38" s="27">
        <v>52</v>
      </c>
      <c r="L38" s="27">
        <v>12</v>
      </c>
      <c r="M38" s="18">
        <v>3.5</v>
      </c>
      <c r="N38" s="186">
        <v>344</v>
      </c>
      <c r="O38" s="186">
        <v>16</v>
      </c>
      <c r="P38" s="12">
        <v>105.4</v>
      </c>
      <c r="Q38" s="12">
        <v>34.58</v>
      </c>
      <c r="R38" s="12">
        <v>60.09</v>
      </c>
      <c r="S38" s="12">
        <v>20.76</v>
      </c>
      <c r="T38" s="6">
        <v>8.1460000000000008</v>
      </c>
      <c r="U38" s="169">
        <v>0.2</v>
      </c>
      <c r="V38" s="81">
        <v>0.02</v>
      </c>
      <c r="W38" s="81">
        <v>0.02</v>
      </c>
      <c r="X38" s="25">
        <v>0.50600000000000001</v>
      </c>
      <c r="Y38" s="177">
        <v>0.04</v>
      </c>
      <c r="Z38" s="170">
        <v>1.1639999999999999</v>
      </c>
      <c r="AB38" s="69">
        <f t="shared" si="6"/>
        <v>10.797146847164136</v>
      </c>
      <c r="AC38" s="69">
        <f t="shared" si="2"/>
        <v>10.925313740400153</v>
      </c>
      <c r="AD38" s="69">
        <f t="shared" si="3"/>
        <v>0.59002014398585279</v>
      </c>
      <c r="AF38" s="88">
        <v>7.55</v>
      </c>
      <c r="AG38" s="88">
        <v>4.3410200000000003</v>
      </c>
      <c r="AH38" s="88">
        <v>0.1555</v>
      </c>
      <c r="AI38" s="88">
        <v>-1.0518000000000001</v>
      </c>
      <c r="AJ38" s="88">
        <v>-1.3016000000000001</v>
      </c>
      <c r="AK38" s="88">
        <v>-2.3782999999999999</v>
      </c>
      <c r="AL38" s="88">
        <v>-0.3533</v>
      </c>
      <c r="AM38" s="88">
        <v>-0.2114</v>
      </c>
      <c r="AN38" s="88">
        <v>-1.8439000000000001</v>
      </c>
      <c r="AO38" s="88">
        <v>-1.1088</v>
      </c>
    </row>
    <row r="39" spans="1:41" s="68" customFormat="1" x14ac:dyDescent="0.35">
      <c r="A39" s="68">
        <v>1</v>
      </c>
      <c r="B39" s="28">
        <v>43502</v>
      </c>
      <c r="C39" s="68">
        <v>22</v>
      </c>
      <c r="D39" s="68">
        <v>144</v>
      </c>
      <c r="E39" s="31">
        <f t="shared" ref="E39" si="16">D39+E38</f>
        <v>3207</v>
      </c>
      <c r="F39" s="69">
        <f t="shared" ref="F39" si="17">D39/143</f>
        <v>1.0069930069930071</v>
      </c>
      <c r="G39" s="25">
        <f t="shared" ref="G39" si="18">G38+F39</f>
        <v>22.423636363636362</v>
      </c>
      <c r="H39" s="68">
        <v>7.58</v>
      </c>
      <c r="I39" s="68">
        <v>944</v>
      </c>
      <c r="J39" s="68">
        <v>163</v>
      </c>
      <c r="K39" s="27">
        <v>51</v>
      </c>
      <c r="L39" s="27">
        <v>12</v>
      </c>
      <c r="M39" s="18">
        <v>3.9</v>
      </c>
      <c r="N39" s="186">
        <v>336</v>
      </c>
      <c r="O39" s="186">
        <v>17</v>
      </c>
      <c r="P39" s="12">
        <v>104.2</v>
      </c>
      <c r="Q39" s="12">
        <v>36.020000000000003</v>
      </c>
      <c r="R39" s="12">
        <v>60.51</v>
      </c>
      <c r="S39" s="12">
        <v>20.57</v>
      </c>
      <c r="T39" s="6">
        <v>8.0350000000000001</v>
      </c>
      <c r="U39" s="169">
        <v>0.2</v>
      </c>
      <c r="V39" s="81">
        <v>0.02</v>
      </c>
      <c r="W39" s="81">
        <v>0.02</v>
      </c>
      <c r="X39" s="25">
        <v>0.53500000000000003</v>
      </c>
      <c r="Y39" s="177">
        <v>0.04</v>
      </c>
      <c r="Z39" s="170">
        <v>1.1679999999999999</v>
      </c>
      <c r="AB39" s="69">
        <f t="shared" si="6"/>
        <v>10.657035895003858</v>
      </c>
      <c r="AC39" s="69">
        <f t="shared" si="2"/>
        <v>10.999284491357654</v>
      </c>
      <c r="AD39" s="69">
        <f t="shared" si="3"/>
        <v>1.5803635624514214</v>
      </c>
      <c r="AF39" s="88">
        <v>7.58</v>
      </c>
      <c r="AG39" s="88">
        <v>5.6043200000000004</v>
      </c>
      <c r="AH39" s="88">
        <v>0.18490000000000001</v>
      </c>
      <c r="AI39" s="88">
        <v>-1.0654999999999999</v>
      </c>
      <c r="AJ39" s="88">
        <v>-1.3152999999999999</v>
      </c>
      <c r="AK39" s="88">
        <v>-2.4060999999999999</v>
      </c>
      <c r="AL39" s="88">
        <v>-0.27200000000000002</v>
      </c>
      <c r="AM39" s="88">
        <v>-0.15310000000000001</v>
      </c>
      <c r="AN39" s="88">
        <v>-1.8464</v>
      </c>
      <c r="AO39" s="88">
        <v>-1.0569999999999999</v>
      </c>
    </row>
    <row r="40" spans="1:41" s="68" customFormat="1" x14ac:dyDescent="0.35">
      <c r="B40" s="28"/>
      <c r="E40" s="31"/>
      <c r="F40" s="69"/>
      <c r="G40" s="25"/>
      <c r="K40" s="27"/>
      <c r="L40" s="27"/>
      <c r="M40" s="186"/>
      <c r="N40" s="186"/>
      <c r="O40" s="186"/>
      <c r="P40" s="18"/>
      <c r="Q40" s="27"/>
      <c r="R40" s="11"/>
      <c r="S40" s="11"/>
      <c r="T40" s="11"/>
      <c r="U40" s="26"/>
      <c r="V40" s="186"/>
      <c r="W40" s="186"/>
      <c r="X40" s="186"/>
      <c r="AB40" s="69"/>
      <c r="AC40" s="69"/>
      <c r="AD40" s="69"/>
      <c r="AF40" s="88"/>
      <c r="AG40" s="88"/>
      <c r="AH40" s="88"/>
      <c r="AI40" s="88"/>
      <c r="AJ40" s="88"/>
      <c r="AK40" s="88"/>
      <c r="AL40" s="88"/>
      <c r="AM40" s="88"/>
      <c r="AN40" s="88"/>
      <c r="AO40" s="88"/>
    </row>
    <row r="41" spans="1:41" s="43" customFormat="1" x14ac:dyDescent="0.35">
      <c r="A41" s="43" t="s">
        <v>54</v>
      </c>
      <c r="B41" s="28"/>
      <c r="E41" s="31"/>
      <c r="F41" s="69"/>
      <c r="G41" s="25"/>
      <c r="H41" s="69">
        <f>AVERAGE(B91:B98)</f>
        <v>7.1524999999999999</v>
      </c>
      <c r="I41" s="165">
        <f>'Influent Results Master'!D33</f>
        <v>1518.6666666666667</v>
      </c>
      <c r="J41" s="165">
        <f>'Influent Results Master'!F33</f>
        <v>272</v>
      </c>
      <c r="K41" s="165">
        <f>'Influent Results Master'!G33</f>
        <v>214.7777777777778</v>
      </c>
      <c r="L41" s="165">
        <f>'Influent Results Master'!H33</f>
        <v>32.000000000000007</v>
      </c>
      <c r="M41" s="165">
        <f>'Influent Results Master'!I33</f>
        <v>25.222222222222225</v>
      </c>
      <c r="N41" s="165">
        <f>'Influent Results Master'!J33</f>
        <v>534.88888888888891</v>
      </c>
      <c r="O41" s="165">
        <f>'Influent Results Master'!K33</f>
        <v>23.444444444444443</v>
      </c>
      <c r="P41" s="165">
        <f>'Influent Results Master'!L33</f>
        <v>120.68888888888888</v>
      </c>
      <c r="Q41" s="165">
        <f>'Influent Results Master'!M33</f>
        <v>45.616666666666667</v>
      </c>
      <c r="R41" s="165">
        <f>'Influent Results Master'!N33</f>
        <v>192.36666666666667</v>
      </c>
      <c r="S41" s="165">
        <f>'Influent Results Master'!O33</f>
        <v>24.27333333333333</v>
      </c>
      <c r="T41" s="170">
        <f>'Influent Results Master'!P33</f>
        <v>5.9746666666666668</v>
      </c>
      <c r="U41" s="171">
        <f>'Influent Results Master'!Q33</f>
        <v>0.20000000000000004</v>
      </c>
      <c r="V41" s="176">
        <f>'Influent Results Master'!R33</f>
        <v>3.7333333333333329E-2</v>
      </c>
      <c r="W41" s="177">
        <f>'Influent Results Master'!S33</f>
        <v>0.02</v>
      </c>
      <c r="X41" s="176">
        <f>'Influent Results Master'!T33</f>
        <v>3.1111111111111114E-2</v>
      </c>
      <c r="Y41" s="177">
        <f>'Influent Results Master'!U33</f>
        <v>0.04</v>
      </c>
      <c r="Z41" s="170">
        <f>'Influent Results Master'!V33</f>
        <v>1.1833333333333333</v>
      </c>
      <c r="AB41" s="69">
        <f>((J41/50)+(L41/35.45)+(M41/62)+(N41/48.03))</f>
        <v>17.886048036252305</v>
      </c>
      <c r="AC41" s="69">
        <f t="shared" si="2"/>
        <v>18.293981151875062</v>
      </c>
      <c r="AD41" s="69">
        <f t="shared" si="3"/>
        <v>1.1275090838141792</v>
      </c>
      <c r="AF41" s="88">
        <v>7.15</v>
      </c>
      <c r="AG41" s="88">
        <v>-0.55590600000000001</v>
      </c>
      <c r="AH41" s="88">
        <v>-4.6199999999999998E-2</v>
      </c>
      <c r="AI41" s="88">
        <v>-0.92249999999999999</v>
      </c>
      <c r="AJ41" s="88">
        <v>-1.1721999999999999</v>
      </c>
      <c r="AK41" s="88">
        <v>-1.7613000000000001</v>
      </c>
      <c r="AL41" s="88">
        <v>-0.68869999999999998</v>
      </c>
      <c r="AM41" s="88">
        <v>-1.6897</v>
      </c>
      <c r="AN41" s="88">
        <v>-1.6895</v>
      </c>
      <c r="AO41" s="88">
        <v>-1.2424999999999999</v>
      </c>
    </row>
    <row r="42" spans="1:41" s="68" customFormat="1" x14ac:dyDescent="0.35">
      <c r="B42" s="28"/>
      <c r="E42" s="31"/>
      <c r="F42" s="69"/>
      <c r="G42" s="25"/>
      <c r="K42" s="27"/>
      <c r="L42" s="27"/>
      <c r="M42" s="186"/>
      <c r="N42" s="186"/>
      <c r="O42" s="186"/>
      <c r="P42" s="18"/>
      <c r="Q42" s="27"/>
      <c r="R42" s="11"/>
      <c r="S42" s="11"/>
      <c r="T42" s="11"/>
      <c r="U42" s="26"/>
      <c r="V42" s="186"/>
      <c r="W42" s="161"/>
      <c r="X42" s="186"/>
      <c r="Y42" s="176"/>
      <c r="AB42" s="69"/>
      <c r="AC42" s="69"/>
      <c r="AD42" s="69"/>
      <c r="AF42" s="88"/>
      <c r="AG42" s="88"/>
      <c r="AH42" s="88"/>
      <c r="AI42" s="88"/>
      <c r="AJ42" s="88"/>
      <c r="AK42" s="88"/>
      <c r="AL42" s="88"/>
      <c r="AM42" s="88"/>
      <c r="AN42" s="88"/>
      <c r="AO42" s="88"/>
    </row>
    <row r="43" spans="1:41" s="43" customFormat="1" x14ac:dyDescent="0.35">
      <c r="A43" s="43">
        <v>1</v>
      </c>
      <c r="B43" s="28">
        <v>43503</v>
      </c>
      <c r="C43" s="43">
        <v>23</v>
      </c>
      <c r="D43" s="43">
        <v>143</v>
      </c>
      <c r="E43" s="31">
        <f>D43+E39</f>
        <v>3350</v>
      </c>
      <c r="F43" s="69">
        <f t="shared" ref="F43:F46" si="19">D43/143</f>
        <v>1</v>
      </c>
      <c r="G43" s="25">
        <f>G39+F43</f>
        <v>23.423636363636362</v>
      </c>
      <c r="H43" s="43">
        <v>7.46</v>
      </c>
      <c r="I43" s="43">
        <v>1287</v>
      </c>
      <c r="J43" s="43">
        <v>230</v>
      </c>
      <c r="K43" s="27">
        <v>87</v>
      </c>
      <c r="L43" s="27">
        <v>32</v>
      </c>
      <c r="M43" s="186">
        <v>20</v>
      </c>
      <c r="N43" s="186">
        <v>456</v>
      </c>
      <c r="O43" s="186">
        <v>19</v>
      </c>
      <c r="P43" s="21">
        <v>156.9</v>
      </c>
      <c r="Q43" s="21">
        <v>54.52</v>
      </c>
      <c r="R43" s="21">
        <v>84.88</v>
      </c>
      <c r="S43" s="21">
        <v>20.41</v>
      </c>
      <c r="T43" s="21">
        <v>10.01</v>
      </c>
      <c r="U43" s="169">
        <v>0.2</v>
      </c>
      <c r="V43" s="161">
        <v>0.03</v>
      </c>
      <c r="W43" s="81">
        <v>0.02</v>
      </c>
      <c r="X43" s="25">
        <v>0.81699999999999995</v>
      </c>
      <c r="Y43" s="177">
        <v>0.04</v>
      </c>
      <c r="Z43" s="170">
        <v>1.7310000000000001</v>
      </c>
      <c r="AB43" s="69">
        <f t="shared" ref="AB43:AB50" si="20">((J43/50)+(L43/35.45)+(M43/62)+(N43/48.03))</f>
        <v>15.319326684528434</v>
      </c>
      <c r="AC43" s="69">
        <f t="shared" si="2"/>
        <v>16.260944196522118</v>
      </c>
      <c r="AD43" s="69">
        <f t="shared" si="3"/>
        <v>2.9816638227719974</v>
      </c>
      <c r="AF43" s="88">
        <v>7.46</v>
      </c>
      <c r="AG43" s="88">
        <v>0.61524400000000001</v>
      </c>
      <c r="AH43" s="88">
        <v>0.33150000000000002</v>
      </c>
      <c r="AI43" s="88">
        <v>-0.86199999999999999</v>
      </c>
      <c r="AJ43" s="88">
        <v>-1.1116999999999999</v>
      </c>
      <c r="AK43" s="88">
        <v>-2.1493000000000002</v>
      </c>
      <c r="AL43" s="88">
        <v>2.6800000000000001E-2</v>
      </c>
      <c r="AM43" s="88">
        <v>-1.18E-2</v>
      </c>
      <c r="AN43" s="88">
        <v>-1.5773999999999999</v>
      </c>
      <c r="AO43" s="88">
        <v>-0.90469999999999995</v>
      </c>
    </row>
    <row r="44" spans="1:41" s="43" customFormat="1" x14ac:dyDescent="0.35">
      <c r="A44" s="43">
        <v>1</v>
      </c>
      <c r="B44" s="28">
        <v>43504</v>
      </c>
      <c r="C44" s="43">
        <v>24</v>
      </c>
      <c r="D44" s="43">
        <v>143</v>
      </c>
      <c r="E44" s="31">
        <f t="shared" ref="E44:E47" si="21">D44+E43</f>
        <v>3493</v>
      </c>
      <c r="F44" s="69">
        <f t="shared" si="19"/>
        <v>1</v>
      </c>
      <c r="G44" s="25">
        <f t="shared" ref="G44:G46" si="22">G43+F44</f>
        <v>24.423636363636362</v>
      </c>
      <c r="H44" s="43">
        <v>7.51</v>
      </c>
      <c r="I44" s="43">
        <v>1460</v>
      </c>
      <c r="J44" s="43">
        <v>280</v>
      </c>
      <c r="K44" s="24">
        <v>132</v>
      </c>
      <c r="L44" s="24">
        <v>36</v>
      </c>
      <c r="M44" s="43">
        <v>25</v>
      </c>
      <c r="N44" s="31">
        <v>512</v>
      </c>
      <c r="O44" s="43">
        <v>14</v>
      </c>
      <c r="P44" s="175">
        <v>144.4</v>
      </c>
      <c r="Q44" s="175">
        <v>53.9</v>
      </c>
      <c r="R44" s="175">
        <v>135.69999999999999</v>
      </c>
      <c r="S44" s="175">
        <v>19.920000000000002</v>
      </c>
      <c r="T44" s="175">
        <v>10.38</v>
      </c>
      <c r="U44" s="171">
        <v>0.2</v>
      </c>
      <c r="V44" s="68">
        <v>5.5E-2</v>
      </c>
      <c r="W44" s="177">
        <v>0.02</v>
      </c>
      <c r="X44" s="163">
        <v>0.82099999999999995</v>
      </c>
      <c r="Y44" s="177">
        <v>0.04</v>
      </c>
      <c r="Z44" s="170">
        <v>1.722</v>
      </c>
      <c r="AB44" s="69">
        <f t="shared" si="20"/>
        <v>17.678744780106712</v>
      </c>
      <c r="AC44" s="69">
        <f t="shared" si="2"/>
        <v>17.806194090797366</v>
      </c>
      <c r="AD44" s="69">
        <f t="shared" si="3"/>
        <v>0.35916452090933787</v>
      </c>
      <c r="AF44" s="88">
        <v>7.51</v>
      </c>
      <c r="AG44" s="88">
        <v>-0.55554099999999995</v>
      </c>
      <c r="AH44" s="88">
        <v>0.41049999999999998</v>
      </c>
      <c r="AI44" s="88">
        <v>-0.86529999999999996</v>
      </c>
      <c r="AJ44" s="88">
        <v>-1.1149</v>
      </c>
      <c r="AK44" s="88">
        <v>-2.1145999999999998</v>
      </c>
      <c r="AL44" s="88">
        <v>0.21820000000000001</v>
      </c>
      <c r="AM44" s="88">
        <v>0.1047</v>
      </c>
      <c r="AN44" s="88">
        <v>-1.3776999999999999</v>
      </c>
      <c r="AO44" s="88">
        <v>-0.79220000000000002</v>
      </c>
    </row>
    <row r="45" spans="1:41" s="43" customFormat="1" x14ac:dyDescent="0.35">
      <c r="A45" s="43">
        <v>1</v>
      </c>
      <c r="B45" s="28">
        <v>43505</v>
      </c>
      <c r="C45" s="43">
        <v>25</v>
      </c>
      <c r="D45" s="43">
        <v>152</v>
      </c>
      <c r="E45" s="31">
        <f t="shared" si="21"/>
        <v>3645</v>
      </c>
      <c r="F45" s="69">
        <f t="shared" si="19"/>
        <v>1.0629370629370629</v>
      </c>
      <c r="G45" s="25">
        <f t="shared" si="22"/>
        <v>25.486573426573425</v>
      </c>
      <c r="H45" s="43">
        <v>7.42</v>
      </c>
      <c r="I45" s="43">
        <v>1513</v>
      </c>
      <c r="J45" s="43">
        <v>272</v>
      </c>
      <c r="K45" s="24">
        <v>153</v>
      </c>
      <c r="L45" s="24">
        <v>36</v>
      </c>
      <c r="M45" s="43">
        <v>25</v>
      </c>
      <c r="N45" s="31">
        <v>531</v>
      </c>
      <c r="O45" s="43">
        <v>15</v>
      </c>
      <c r="P45" s="175">
        <v>126.4</v>
      </c>
      <c r="Q45" s="175">
        <v>48.6</v>
      </c>
      <c r="R45" s="175">
        <v>178.1</v>
      </c>
      <c r="S45" s="175">
        <v>19.670000000000002</v>
      </c>
      <c r="T45" s="175">
        <v>10.88</v>
      </c>
      <c r="U45" s="171">
        <v>0.2</v>
      </c>
      <c r="V45" s="68">
        <v>6.4000000000000001E-2</v>
      </c>
      <c r="W45" s="177">
        <v>0.02</v>
      </c>
      <c r="X45" s="163">
        <v>0.7</v>
      </c>
      <c r="Y45" s="177">
        <v>0.04</v>
      </c>
      <c r="Z45" s="170">
        <v>1.5309999999999999</v>
      </c>
      <c r="AB45" s="69">
        <f t="shared" si="20"/>
        <v>17.914330872132531</v>
      </c>
      <c r="AC45" s="69">
        <f t="shared" si="2"/>
        <v>18.329203080402351</v>
      </c>
      <c r="AD45" s="69">
        <f t="shared" si="3"/>
        <v>1.1446792379935777</v>
      </c>
      <c r="AF45" s="88">
        <v>7.42</v>
      </c>
      <c r="AG45" s="88">
        <v>0.249283</v>
      </c>
      <c r="AH45" s="88">
        <v>0.24709999999999999</v>
      </c>
      <c r="AI45" s="88">
        <v>-0.90349999999999997</v>
      </c>
      <c r="AJ45" s="88">
        <v>-1.1531</v>
      </c>
      <c r="AK45" s="88">
        <v>-2.0344000000000002</v>
      </c>
      <c r="AL45" s="88">
        <v>-9.5100000000000004E-2</v>
      </c>
      <c r="AM45" s="88">
        <v>-6.9500000000000006E-2</v>
      </c>
      <c r="AN45" s="88">
        <v>-1.3767</v>
      </c>
      <c r="AO45" s="88">
        <v>-0.94220000000000004</v>
      </c>
    </row>
    <row r="46" spans="1:41" s="43" customFormat="1" x14ac:dyDescent="0.35">
      <c r="A46" s="43">
        <v>1</v>
      </c>
      <c r="B46" s="28">
        <v>43506</v>
      </c>
      <c r="C46" s="43">
        <v>26</v>
      </c>
      <c r="D46" s="43">
        <v>144</v>
      </c>
      <c r="E46" s="31">
        <f t="shared" si="21"/>
        <v>3789</v>
      </c>
      <c r="F46" s="69">
        <f t="shared" si="19"/>
        <v>1.0069930069930071</v>
      </c>
      <c r="G46" s="25">
        <f t="shared" si="22"/>
        <v>26.493566433566432</v>
      </c>
      <c r="H46" s="43">
        <v>7.7</v>
      </c>
      <c r="I46" s="43">
        <v>1475</v>
      </c>
      <c r="J46" s="43">
        <v>277</v>
      </c>
      <c r="K46" s="24">
        <v>174</v>
      </c>
      <c r="L46" s="24">
        <v>36</v>
      </c>
      <c r="M46" s="43">
        <v>20</v>
      </c>
      <c r="N46" s="31">
        <v>527</v>
      </c>
      <c r="O46" s="43">
        <v>15</v>
      </c>
      <c r="P46" s="175">
        <v>123</v>
      </c>
      <c r="Q46" s="175">
        <v>45.69</v>
      </c>
      <c r="R46" s="175">
        <v>191.6</v>
      </c>
      <c r="S46" s="175">
        <v>19.5</v>
      </c>
      <c r="T46" s="175">
        <v>10.130000000000001</v>
      </c>
      <c r="U46" s="171">
        <v>0.2</v>
      </c>
      <c r="V46" s="68">
        <v>6.6000000000000003E-2</v>
      </c>
      <c r="W46" s="177">
        <v>0.02</v>
      </c>
      <c r="X46" s="163">
        <v>0.63900000000000001</v>
      </c>
      <c r="Y46" s="177">
        <v>0.04</v>
      </c>
      <c r="Z46" s="170">
        <v>1.4419999999999999</v>
      </c>
      <c r="AB46" s="69">
        <f t="shared" si="20"/>
        <v>17.850404428310455</v>
      </c>
      <c r="AC46" s="69">
        <f t="shared" si="2"/>
        <v>18.488263436786539</v>
      </c>
      <c r="AD46" s="69">
        <f t="shared" si="3"/>
        <v>1.7553175334991931</v>
      </c>
      <c r="AF46" s="88">
        <v>7.7</v>
      </c>
      <c r="AG46" s="88">
        <v>1.86843</v>
      </c>
      <c r="AH46" s="88">
        <v>0.51949999999999996</v>
      </c>
      <c r="AI46" s="88">
        <v>-0.91559999999999997</v>
      </c>
      <c r="AJ46" s="88">
        <v>-1.1652</v>
      </c>
      <c r="AK46" s="88">
        <v>-2.3096000000000001</v>
      </c>
      <c r="AL46" s="88">
        <v>0.43519999999999998</v>
      </c>
      <c r="AM46" s="88">
        <v>0.17660000000000001</v>
      </c>
      <c r="AN46" s="88">
        <v>-1.3747</v>
      </c>
      <c r="AO46" s="88">
        <v>-0.68430000000000002</v>
      </c>
    </row>
    <row r="47" spans="1:41" s="43" customFormat="1" x14ac:dyDescent="0.35">
      <c r="A47" s="43">
        <v>1</v>
      </c>
      <c r="B47" s="28">
        <v>43507</v>
      </c>
      <c r="C47" s="43">
        <v>27</v>
      </c>
      <c r="D47" s="43">
        <v>146</v>
      </c>
      <c r="E47" s="31">
        <f t="shared" si="21"/>
        <v>3935</v>
      </c>
      <c r="F47" s="69">
        <f t="shared" ref="F47" si="23">D47/143</f>
        <v>1.020979020979021</v>
      </c>
      <c r="G47" s="25">
        <f t="shared" ref="G47" si="24">G46+F47</f>
        <v>27.514545454545452</v>
      </c>
      <c r="H47" s="68">
        <v>7.55</v>
      </c>
      <c r="I47" s="43">
        <v>1507</v>
      </c>
      <c r="J47" s="43">
        <v>275</v>
      </c>
      <c r="K47" s="24">
        <v>181</v>
      </c>
      <c r="L47" s="24">
        <v>36</v>
      </c>
      <c r="M47" s="43">
        <v>25</v>
      </c>
      <c r="N47" s="31">
        <v>528</v>
      </c>
      <c r="O47" s="43">
        <v>15</v>
      </c>
      <c r="P47" s="175">
        <v>115.9</v>
      </c>
      <c r="Q47" s="175">
        <v>44.19</v>
      </c>
      <c r="R47" s="175">
        <v>195.5</v>
      </c>
      <c r="S47" s="175">
        <v>19.54</v>
      </c>
      <c r="T47" s="175">
        <v>10.69</v>
      </c>
      <c r="U47" s="171">
        <v>0.2</v>
      </c>
      <c r="V47" s="68">
        <v>6.7000000000000004E-2</v>
      </c>
      <c r="W47" s="177">
        <v>0.02</v>
      </c>
      <c r="X47" s="163">
        <v>0.61899999999999999</v>
      </c>
      <c r="Y47" s="177">
        <v>0.04</v>
      </c>
      <c r="Z47" s="170">
        <v>1.3919999999999999</v>
      </c>
      <c r="AB47" s="69">
        <f t="shared" si="20"/>
        <v>17.911869910233715</v>
      </c>
      <c r="AC47" s="69">
        <f t="shared" si="2"/>
        <v>18.194577980569093</v>
      </c>
      <c r="AD47" s="69">
        <f t="shared" si="3"/>
        <v>0.78298499810996514</v>
      </c>
      <c r="AF47" s="88">
        <v>7.55</v>
      </c>
      <c r="AG47" s="88">
        <v>-0.15118200000000001</v>
      </c>
      <c r="AH47" s="88">
        <v>0.34320000000000001</v>
      </c>
      <c r="AI47" s="88">
        <v>-0.93710000000000004</v>
      </c>
      <c r="AJ47" s="88">
        <v>-1.1867000000000001</v>
      </c>
      <c r="AK47" s="88">
        <v>-2.1596000000000002</v>
      </c>
      <c r="AL47" s="88">
        <v>9.3899999999999997E-2</v>
      </c>
      <c r="AM47" s="88">
        <v>1.2E-2</v>
      </c>
      <c r="AN47" s="88">
        <v>-1.3945000000000001</v>
      </c>
      <c r="AO47" s="88">
        <v>-0.84930000000000005</v>
      </c>
    </row>
    <row r="48" spans="1:41" s="43" customFormat="1" x14ac:dyDescent="0.35">
      <c r="A48" s="43">
        <v>1</v>
      </c>
      <c r="B48" s="28">
        <v>43508</v>
      </c>
      <c r="C48" s="68">
        <v>28</v>
      </c>
      <c r="D48" s="43">
        <v>146</v>
      </c>
      <c r="E48" s="31">
        <f t="shared" ref="E48:E49" si="25">D48+E47</f>
        <v>4081</v>
      </c>
      <c r="F48" s="69">
        <f t="shared" ref="F48:F49" si="26">D48/143</f>
        <v>1.020979020979021</v>
      </c>
      <c r="G48" s="25">
        <f t="shared" ref="G48:G49" si="27">G47+F48</f>
        <v>28.535524475524472</v>
      </c>
      <c r="H48" s="43">
        <v>7.6</v>
      </c>
      <c r="I48" s="43">
        <v>1504</v>
      </c>
      <c r="J48" s="43">
        <v>271</v>
      </c>
      <c r="K48" s="24">
        <v>194</v>
      </c>
      <c r="L48" s="24">
        <v>37</v>
      </c>
      <c r="M48" s="43">
        <v>25</v>
      </c>
      <c r="N48" s="31">
        <v>529</v>
      </c>
      <c r="O48" s="43">
        <v>18</v>
      </c>
      <c r="P48" s="175">
        <v>112.6</v>
      </c>
      <c r="Q48" s="175">
        <v>43.61</v>
      </c>
      <c r="R48" s="175">
        <v>193.5</v>
      </c>
      <c r="S48" s="175">
        <v>19.170000000000002</v>
      </c>
      <c r="T48" s="175">
        <v>10.15</v>
      </c>
      <c r="U48" s="171">
        <v>0.2</v>
      </c>
      <c r="V48" s="65">
        <v>6.4000000000000001E-2</v>
      </c>
      <c r="W48" s="177">
        <v>0.02</v>
      </c>
      <c r="X48" s="163">
        <v>0.57999999999999996</v>
      </c>
      <c r="Y48" s="177">
        <v>0.04</v>
      </c>
      <c r="Z48" s="170">
        <v>1.3460000000000001</v>
      </c>
      <c r="AB48" s="69">
        <f t="shared" si="20"/>
        <v>17.880898975577516</v>
      </c>
      <c r="AC48" s="69">
        <f t="shared" si="2"/>
        <v>17.88140486640987</v>
      </c>
      <c r="AD48" s="69">
        <f t="shared" si="3"/>
        <v>1.4145924003926529E-3</v>
      </c>
      <c r="AF48" s="88">
        <v>7.6</v>
      </c>
      <c r="AG48" s="88">
        <v>-1.09595</v>
      </c>
      <c r="AH48" s="88">
        <v>0.374</v>
      </c>
      <c r="AI48" s="88">
        <v>-0.94630000000000003</v>
      </c>
      <c r="AJ48" s="88">
        <v>-1.196</v>
      </c>
      <c r="AK48" s="88">
        <v>-2.2161</v>
      </c>
      <c r="AL48" s="88">
        <v>0.16250000000000001</v>
      </c>
      <c r="AM48" s="88">
        <v>2.7900000000000001E-2</v>
      </c>
      <c r="AN48" s="88">
        <v>-1.4261999999999999</v>
      </c>
      <c r="AO48" s="88">
        <v>-0.8115</v>
      </c>
    </row>
    <row r="49" spans="1:41" s="43" customFormat="1" x14ac:dyDescent="0.35">
      <c r="A49" s="43">
        <v>1</v>
      </c>
      <c r="B49" s="28">
        <v>43509</v>
      </c>
      <c r="C49" s="68">
        <v>29</v>
      </c>
      <c r="D49" s="43">
        <v>145</v>
      </c>
      <c r="E49" s="31">
        <f t="shared" si="25"/>
        <v>4226</v>
      </c>
      <c r="F49" s="69">
        <f t="shared" si="26"/>
        <v>1.013986013986014</v>
      </c>
      <c r="G49" s="25">
        <f t="shared" si="27"/>
        <v>29.549510489510485</v>
      </c>
      <c r="H49" s="43">
        <v>7.67</v>
      </c>
      <c r="I49" s="43">
        <v>1462</v>
      </c>
      <c r="J49" s="43">
        <v>270</v>
      </c>
      <c r="K49" s="24">
        <v>200</v>
      </c>
      <c r="L49" s="24">
        <v>36</v>
      </c>
      <c r="M49" s="43">
        <v>26</v>
      </c>
      <c r="N49" s="31">
        <v>534</v>
      </c>
      <c r="O49" s="43">
        <v>18</v>
      </c>
      <c r="P49" s="165">
        <v>120.2</v>
      </c>
      <c r="Q49" s="165">
        <v>43.45</v>
      </c>
      <c r="R49" s="175">
        <v>197.9</v>
      </c>
      <c r="S49" s="175">
        <v>20.39</v>
      </c>
      <c r="T49" s="172">
        <v>9.9039999999999999</v>
      </c>
      <c r="U49" s="171">
        <v>0.2</v>
      </c>
      <c r="V49" s="68">
        <v>6.6000000000000003E-2</v>
      </c>
      <c r="W49" s="177">
        <v>0.02</v>
      </c>
      <c r="X49" s="163">
        <v>0.57899999999999996</v>
      </c>
      <c r="Y49" s="177">
        <v>0.04</v>
      </c>
      <c r="Z49" s="170">
        <v>1.365</v>
      </c>
      <c r="AB49" s="69">
        <f t="shared" si="20"/>
        <v>17.952920866289407</v>
      </c>
      <c r="AC49" s="69">
        <f t="shared" si="2"/>
        <v>18.432584488345412</v>
      </c>
      <c r="AD49" s="69">
        <f t="shared" si="3"/>
        <v>1.318282149391407</v>
      </c>
      <c r="AF49" s="88">
        <v>7.67</v>
      </c>
      <c r="AG49" s="88">
        <v>0.227714</v>
      </c>
      <c r="AH49" s="88">
        <v>0.46710000000000002</v>
      </c>
      <c r="AI49" s="88">
        <v>-0.91990000000000005</v>
      </c>
      <c r="AJ49" s="88">
        <v>-1.1695</v>
      </c>
      <c r="AK49" s="88">
        <v>-2.2898999999999998</v>
      </c>
      <c r="AL49" s="88">
        <v>0.31879999999999997</v>
      </c>
      <c r="AM49" s="88">
        <v>9.1399999999999995E-2</v>
      </c>
      <c r="AN49" s="88">
        <v>-1.3875999999999999</v>
      </c>
      <c r="AO49" s="88">
        <v>-0.74829999999999997</v>
      </c>
    </row>
    <row r="50" spans="1:41" s="43" customFormat="1" x14ac:dyDescent="0.35">
      <c r="A50" s="43">
        <v>1</v>
      </c>
      <c r="B50" s="28">
        <v>43510</v>
      </c>
      <c r="C50" s="43">
        <v>30</v>
      </c>
      <c r="D50" s="43">
        <v>143</v>
      </c>
      <c r="E50" s="31">
        <f t="shared" ref="E50" si="28">D50+E49</f>
        <v>4369</v>
      </c>
      <c r="F50" s="69">
        <f t="shared" ref="F50" si="29">D50/143</f>
        <v>1</v>
      </c>
      <c r="G50" s="25">
        <f t="shared" ref="G50" si="30">G49+F50</f>
        <v>30.549510489510485</v>
      </c>
      <c r="H50" s="43">
        <v>7.48</v>
      </c>
      <c r="I50" s="43">
        <v>1538</v>
      </c>
      <c r="J50" s="43">
        <v>266</v>
      </c>
      <c r="K50" s="24">
        <v>207</v>
      </c>
      <c r="L50" s="24">
        <v>40</v>
      </c>
      <c r="M50" s="43">
        <v>25</v>
      </c>
      <c r="N50" s="31">
        <v>553</v>
      </c>
      <c r="O50" s="43">
        <v>17</v>
      </c>
      <c r="P50" s="165">
        <v>131.5</v>
      </c>
      <c r="Q50" s="165">
        <v>45.07</v>
      </c>
      <c r="R50" s="165">
        <v>206.5</v>
      </c>
      <c r="S50" s="165">
        <v>21.25</v>
      </c>
      <c r="T50" s="170">
        <v>9.7360000000000007</v>
      </c>
      <c r="U50" s="171">
        <v>0.2</v>
      </c>
      <c r="V50" s="65">
        <v>6.5000000000000002E-2</v>
      </c>
      <c r="W50" s="177">
        <v>0.02</v>
      </c>
      <c r="X50" s="163">
        <v>0.57599999999999996</v>
      </c>
      <c r="Y50" s="177">
        <v>0.04</v>
      </c>
      <c r="Z50" s="170">
        <v>1.37</v>
      </c>
      <c r="AB50" s="69">
        <f t="shared" si="20"/>
        <v>18.365212904900602</v>
      </c>
      <c r="AC50" s="69">
        <f t="shared" si="2"/>
        <v>19.499459437933609</v>
      </c>
      <c r="AD50" s="69">
        <f t="shared" si="3"/>
        <v>2.9955271308393092</v>
      </c>
      <c r="AF50" s="88">
        <v>7.48</v>
      </c>
      <c r="AG50" s="88">
        <v>2.31006</v>
      </c>
      <c r="AH50" s="88">
        <v>0.30690000000000001</v>
      </c>
      <c r="AI50" s="88">
        <v>-0.87770000000000004</v>
      </c>
      <c r="AJ50" s="88">
        <v>-1.1273</v>
      </c>
      <c r="AK50" s="88">
        <v>-2.1059000000000001</v>
      </c>
      <c r="AL50" s="88">
        <v>-2.52E-2</v>
      </c>
      <c r="AM50" s="88">
        <v>-0.1124</v>
      </c>
      <c r="AN50" s="88">
        <v>-1.3625</v>
      </c>
      <c r="AO50" s="88">
        <v>-0.93210000000000004</v>
      </c>
    </row>
    <row r="51" spans="1:41" s="68" customFormat="1" x14ac:dyDescent="0.35">
      <c r="B51" s="28"/>
      <c r="E51" s="31"/>
      <c r="F51" s="69"/>
      <c r="G51" s="25"/>
      <c r="K51" s="65"/>
      <c r="L51" s="65"/>
      <c r="N51" s="31"/>
      <c r="P51" s="66"/>
      <c r="Q51" s="65"/>
      <c r="R51" s="32"/>
      <c r="S51" s="32"/>
      <c r="T51" s="32"/>
      <c r="U51" s="65"/>
      <c r="V51" s="65"/>
      <c r="W51" s="65"/>
      <c r="AB51" s="69"/>
      <c r="AC51" s="69"/>
      <c r="AD51" s="69"/>
      <c r="AF51" s="88"/>
      <c r="AG51" s="88"/>
      <c r="AH51" s="88"/>
      <c r="AI51" s="88"/>
      <c r="AJ51" s="88"/>
      <c r="AK51" s="88"/>
      <c r="AL51" s="88"/>
      <c r="AM51" s="88"/>
      <c r="AN51" s="88"/>
      <c r="AO51" s="88"/>
    </row>
    <row r="52" spans="1:41" s="43" customFormat="1" x14ac:dyDescent="0.35">
      <c r="A52" s="43" t="s">
        <v>76</v>
      </c>
      <c r="B52" s="28"/>
      <c r="E52" s="31"/>
      <c r="F52" s="69"/>
      <c r="G52" s="25"/>
      <c r="H52" s="69">
        <f>AVERAGE(B99:B107)</f>
        <v>7.3355555555555547</v>
      </c>
      <c r="I52" s="165">
        <f>'Influent Results Master'!D38</f>
        <v>2311.5</v>
      </c>
      <c r="J52" s="165">
        <f>'Influent Results Master'!F38</f>
        <v>244.83333333333331</v>
      </c>
      <c r="K52" s="165">
        <f>'Influent Results Master'!G38</f>
        <v>85.666666666666671</v>
      </c>
      <c r="L52" s="165">
        <f>'Influent Results Master'!H38</f>
        <v>91.5</v>
      </c>
      <c r="M52" s="165">
        <f>'Influent Results Master'!I38</f>
        <v>16.333333333333332</v>
      </c>
      <c r="N52" s="165">
        <f>'Influent Results Master'!J38</f>
        <v>975.66666666666674</v>
      </c>
      <c r="O52" s="165">
        <f>'Influent Results Master'!K38</f>
        <v>20</v>
      </c>
      <c r="P52" s="165">
        <f>'Influent Results Master'!L38</f>
        <v>158.21666666666667</v>
      </c>
      <c r="Q52" s="165">
        <f>'Influent Results Master'!M38</f>
        <v>44.49</v>
      </c>
      <c r="R52" s="165">
        <f>'Influent Results Master'!N38</f>
        <v>407.98333333333335</v>
      </c>
      <c r="S52" s="165">
        <f>'Influent Results Master'!O38</f>
        <v>22.978333333333335</v>
      </c>
      <c r="T52" s="170">
        <f>'Influent Results Master'!P38</f>
        <v>8.5111666666666679</v>
      </c>
      <c r="U52" s="171">
        <f>'Influent Results Master'!Q38</f>
        <v>0.20000000000000004</v>
      </c>
      <c r="V52" s="177">
        <f>'Influent Results Master'!R38</f>
        <v>0.02</v>
      </c>
      <c r="W52" s="177">
        <f>'Influent Results Master'!S38</f>
        <v>0.02</v>
      </c>
      <c r="X52" s="163">
        <f>'Influent Results Master'!T38</f>
        <v>0.44666666666666671</v>
      </c>
      <c r="Y52" s="177">
        <f>'Influent Results Master'!U38</f>
        <v>0.04</v>
      </c>
      <c r="Z52" s="170">
        <f>'Influent Results Master'!V38</f>
        <v>1.7963333333333331</v>
      </c>
      <c r="AB52" s="69">
        <f>((J52/50)+(L52/35.45)+(M52/62)+(N52/48.03))</f>
        <v>28.054900498795039</v>
      </c>
      <c r="AC52" s="69">
        <f t="shared" si="2"/>
        <v>29.517558751050874</v>
      </c>
      <c r="AD52" s="69">
        <f t="shared" si="3"/>
        <v>2.5405519780010954</v>
      </c>
      <c r="AF52" s="88">
        <v>7.34</v>
      </c>
      <c r="AG52" s="88">
        <v>-0.38549800000000001</v>
      </c>
      <c r="AH52" s="88">
        <v>0.10920000000000001</v>
      </c>
      <c r="AI52" s="88">
        <v>-0.67869999999999997</v>
      </c>
      <c r="AJ52" s="88">
        <v>-0.92810000000000004</v>
      </c>
      <c r="AK52" s="88">
        <v>-2.0108000000000001</v>
      </c>
      <c r="AL52" s="88">
        <v>-0.4995</v>
      </c>
      <c r="AM52" s="88">
        <v>-0.55330000000000001</v>
      </c>
      <c r="AN52" s="88">
        <v>-1.9323999999999999</v>
      </c>
      <c r="AO52" s="88">
        <v>-1.2088000000000001</v>
      </c>
    </row>
    <row r="53" spans="1:41" s="68" customFormat="1" x14ac:dyDescent="0.35">
      <c r="B53" s="28"/>
      <c r="E53" s="31"/>
      <c r="F53" s="69"/>
      <c r="G53" s="25"/>
      <c r="K53" s="65"/>
      <c r="L53" s="65"/>
      <c r="N53" s="31"/>
      <c r="P53" s="66"/>
      <c r="Q53" s="65"/>
      <c r="R53" s="32"/>
      <c r="S53" s="32"/>
      <c r="T53" s="32"/>
      <c r="U53" s="65"/>
      <c r="V53" s="65"/>
      <c r="W53" s="65"/>
      <c r="AB53" s="69"/>
      <c r="AC53" s="69"/>
      <c r="AD53" s="69"/>
      <c r="AF53" s="88"/>
      <c r="AG53" s="88"/>
      <c r="AH53" s="88"/>
      <c r="AI53" s="88"/>
      <c r="AJ53" s="88"/>
      <c r="AK53" s="88"/>
      <c r="AL53" s="88"/>
      <c r="AM53" s="88"/>
      <c r="AN53" s="88"/>
      <c r="AO53" s="88"/>
    </row>
    <row r="54" spans="1:41" s="43" customFormat="1" x14ac:dyDescent="0.35">
      <c r="A54" s="43">
        <v>1</v>
      </c>
      <c r="B54" s="28">
        <v>43511</v>
      </c>
      <c r="C54" s="43">
        <v>31</v>
      </c>
      <c r="D54" s="43">
        <v>148</v>
      </c>
      <c r="E54" s="31">
        <f>D54+E50</f>
        <v>4517</v>
      </c>
      <c r="F54" s="69">
        <f t="shared" ref="F54" si="31">D54/143</f>
        <v>1.034965034965035</v>
      </c>
      <c r="G54" s="25">
        <f>G50+F54</f>
        <v>31.584475524475522</v>
      </c>
      <c r="H54" s="43">
        <v>7.68</v>
      </c>
      <c r="I54" s="43">
        <v>1953</v>
      </c>
      <c r="J54" s="43">
        <v>253</v>
      </c>
      <c r="K54" s="24">
        <v>244</v>
      </c>
      <c r="L54" s="24">
        <v>69</v>
      </c>
      <c r="M54" s="186">
        <v>18</v>
      </c>
      <c r="N54" s="31">
        <v>846</v>
      </c>
      <c r="O54" s="43">
        <v>19</v>
      </c>
      <c r="P54" s="165">
        <v>184.1</v>
      </c>
      <c r="Q54" s="165">
        <v>62.2</v>
      </c>
      <c r="R54" s="12">
        <v>250.9</v>
      </c>
      <c r="S54" s="165">
        <v>21.12</v>
      </c>
      <c r="T54" s="165">
        <v>11.12</v>
      </c>
      <c r="U54" s="171">
        <v>0.2</v>
      </c>
      <c r="V54" s="68">
        <v>4.8000000000000001E-2</v>
      </c>
      <c r="W54" s="177">
        <v>0.02</v>
      </c>
      <c r="X54" s="163">
        <v>0.77700000000000002</v>
      </c>
      <c r="Y54" s="177">
        <v>0.04</v>
      </c>
      <c r="Z54" s="170">
        <v>1.9239999999999999</v>
      </c>
      <c r="AB54" s="69">
        <f t="shared" ref="AB54:AB61" si="32">((J54/50)+(L54/35.45)+(M54/62)+(N54/48.03))</f>
        <v>24.910717221159857</v>
      </c>
      <c r="AC54" s="69">
        <f t="shared" si="2"/>
        <v>25.499597928795737</v>
      </c>
      <c r="AD54" s="69">
        <f t="shared" si="3"/>
        <v>1.1681750171252381</v>
      </c>
      <c r="AF54" s="88">
        <v>7.68</v>
      </c>
      <c r="AG54" s="88">
        <v>-0.13279199999999999</v>
      </c>
      <c r="AH54" s="88">
        <v>0.55959999999999999</v>
      </c>
      <c r="AI54" s="88">
        <v>-0.64749999999999996</v>
      </c>
      <c r="AJ54" s="88">
        <v>-0.89710000000000001</v>
      </c>
      <c r="AK54" s="88">
        <v>-2.3420999999999998</v>
      </c>
      <c r="AL54" s="88">
        <v>0.47760000000000002</v>
      </c>
      <c r="AM54" s="88">
        <v>0.11749999999999999</v>
      </c>
      <c r="AN54" s="88">
        <v>-1.4358</v>
      </c>
      <c r="AO54" s="88">
        <v>-0.68200000000000005</v>
      </c>
    </row>
    <row r="55" spans="1:41" s="43" customFormat="1" x14ac:dyDescent="0.35">
      <c r="A55" s="43">
        <v>1</v>
      </c>
      <c r="B55" s="28">
        <v>43512</v>
      </c>
      <c r="C55" s="43">
        <v>32</v>
      </c>
      <c r="D55" s="43">
        <v>147</v>
      </c>
      <c r="E55" s="31">
        <f>D55+E54</f>
        <v>4664</v>
      </c>
      <c r="F55" s="69">
        <f t="shared" ref="F55:F60" si="33">D55/143</f>
        <v>1.0279720279720279</v>
      </c>
      <c r="G55" s="25">
        <f>G54+F55</f>
        <v>32.612447552447549</v>
      </c>
      <c r="H55" s="43">
        <v>7.61</v>
      </c>
      <c r="I55" s="43">
        <v>2310</v>
      </c>
      <c r="J55" s="43">
        <v>247</v>
      </c>
      <c r="K55" s="24">
        <v>192</v>
      </c>
      <c r="L55" s="24">
        <v>89</v>
      </c>
      <c r="M55" s="186">
        <v>16</v>
      </c>
      <c r="N55" s="31">
        <v>1024</v>
      </c>
      <c r="O55" s="31">
        <v>19</v>
      </c>
      <c r="P55" s="175">
        <v>194.3</v>
      </c>
      <c r="Q55" s="175">
        <v>66.13</v>
      </c>
      <c r="R55" s="21">
        <v>315.2</v>
      </c>
      <c r="S55" s="175">
        <v>21.14</v>
      </c>
      <c r="T55" s="175">
        <v>11.84</v>
      </c>
      <c r="U55" s="171">
        <v>0.2</v>
      </c>
      <c r="V55" s="68">
        <v>3.5000000000000003E-2</v>
      </c>
      <c r="W55" s="177">
        <v>0.02</v>
      </c>
      <c r="X55" s="163">
        <v>0.79200000000000004</v>
      </c>
      <c r="Y55" s="177">
        <v>0.04</v>
      </c>
      <c r="Z55" s="170">
        <v>2.024</v>
      </c>
      <c r="AB55" s="69">
        <f t="shared" si="32"/>
        <v>29.028651123523858</v>
      </c>
      <c r="AC55" s="69">
        <f t="shared" si="2"/>
        <v>29.147053280014969</v>
      </c>
      <c r="AD55" s="69">
        <f t="shared" si="3"/>
        <v>0.2035250930006941</v>
      </c>
      <c r="AF55" s="88">
        <v>7.61</v>
      </c>
      <c r="AG55" s="88">
        <v>-0.88598500000000002</v>
      </c>
      <c r="AH55" s="88">
        <v>0.47039999999999998</v>
      </c>
      <c r="AI55" s="88">
        <v>-0.58409999999999995</v>
      </c>
      <c r="AJ55" s="88">
        <v>-0.83350000000000002</v>
      </c>
      <c r="AK55" s="88">
        <v>-2.2848000000000002</v>
      </c>
      <c r="AL55" s="88">
        <v>0.30409999999999998</v>
      </c>
      <c r="AM55" s="88">
        <v>9.1999999999999998E-3</v>
      </c>
      <c r="AN55" s="88">
        <v>-1.5946</v>
      </c>
      <c r="AO55" s="88">
        <v>-0.76629999999999998</v>
      </c>
    </row>
    <row r="56" spans="1:41" s="43" customFormat="1" x14ac:dyDescent="0.35">
      <c r="A56" s="43">
        <v>1</v>
      </c>
      <c r="B56" s="28">
        <v>43513</v>
      </c>
      <c r="C56" s="68">
        <v>33</v>
      </c>
      <c r="D56" s="43">
        <v>146</v>
      </c>
      <c r="E56" s="31">
        <f t="shared" ref="E56:E60" si="34">D56+E55</f>
        <v>4810</v>
      </c>
      <c r="F56" s="69">
        <f t="shared" si="33"/>
        <v>1.020979020979021</v>
      </c>
      <c r="G56" s="25">
        <f t="shared" ref="G56:G60" si="35">G55+F56</f>
        <v>33.633426573426568</v>
      </c>
      <c r="H56" s="43">
        <v>7.57</v>
      </c>
      <c r="I56" s="43">
        <v>2370</v>
      </c>
      <c r="J56" s="43">
        <v>252</v>
      </c>
      <c r="K56" s="24">
        <v>158</v>
      </c>
      <c r="L56" s="24">
        <v>88</v>
      </c>
      <c r="M56" s="186">
        <v>15</v>
      </c>
      <c r="N56" s="31">
        <v>1030</v>
      </c>
      <c r="O56" s="43">
        <v>18</v>
      </c>
      <c r="P56" s="175">
        <v>178.7</v>
      </c>
      <c r="Q56" s="175">
        <v>59.34</v>
      </c>
      <c r="R56" s="21">
        <v>366.1</v>
      </c>
      <c r="S56" s="175">
        <v>21.57</v>
      </c>
      <c r="T56" s="175">
        <v>11.26</v>
      </c>
      <c r="U56" s="171">
        <v>0.2</v>
      </c>
      <c r="V56" s="68">
        <v>3.1E-2</v>
      </c>
      <c r="W56" s="177">
        <v>0.02</v>
      </c>
      <c r="X56" s="163">
        <v>0.68500000000000005</v>
      </c>
      <c r="Y56" s="177">
        <v>0.04</v>
      </c>
      <c r="Z56" s="170">
        <v>1.863</v>
      </c>
      <c r="AB56" s="69">
        <f t="shared" si="32"/>
        <v>29.209235270352558</v>
      </c>
      <c r="AC56" s="69">
        <f t="shared" si="2"/>
        <v>30.009394338361169</v>
      </c>
      <c r="AD56" s="69">
        <f t="shared" si="3"/>
        <v>1.351194840704101</v>
      </c>
      <c r="AF56" s="88">
        <v>7.57</v>
      </c>
      <c r="AG56" s="88">
        <v>0.47325499999999998</v>
      </c>
      <c r="AH56" s="88">
        <v>0.40110000000000001</v>
      </c>
      <c r="AI56" s="88">
        <v>-0.61609999999999998</v>
      </c>
      <c r="AJ56" s="88">
        <v>-0.86550000000000005</v>
      </c>
      <c r="AK56" s="88">
        <v>-2.2342</v>
      </c>
      <c r="AL56" s="88">
        <v>0.15509999999999999</v>
      </c>
      <c r="AM56" s="88">
        <v>-8.72E-2</v>
      </c>
      <c r="AN56" s="88">
        <v>-1.6888000000000001</v>
      </c>
      <c r="AO56" s="88">
        <v>-0.84599999999999997</v>
      </c>
    </row>
    <row r="57" spans="1:41" s="43" customFormat="1" x14ac:dyDescent="0.35">
      <c r="A57" s="43">
        <v>1</v>
      </c>
      <c r="B57" s="28">
        <v>43514</v>
      </c>
      <c r="C57" s="68">
        <v>34</v>
      </c>
      <c r="D57" s="43">
        <v>145</v>
      </c>
      <c r="E57" s="31">
        <f t="shared" si="34"/>
        <v>4955</v>
      </c>
      <c r="F57" s="69">
        <f t="shared" si="33"/>
        <v>1.013986013986014</v>
      </c>
      <c r="G57" s="25">
        <f t="shared" si="35"/>
        <v>34.647412587412582</v>
      </c>
      <c r="H57" s="43">
        <v>7.51</v>
      </c>
      <c r="I57" s="43">
        <v>2390</v>
      </c>
      <c r="J57" s="43">
        <v>253</v>
      </c>
      <c r="K57" s="24">
        <v>134</v>
      </c>
      <c r="L57" s="24">
        <v>87</v>
      </c>
      <c r="M57" s="186">
        <v>15</v>
      </c>
      <c r="N57" s="31">
        <v>1027</v>
      </c>
      <c r="O57" s="43">
        <v>19</v>
      </c>
      <c r="P57" s="175">
        <v>164.5</v>
      </c>
      <c r="Q57" s="175">
        <v>56.09</v>
      </c>
      <c r="R57" s="21">
        <v>377.6</v>
      </c>
      <c r="S57" s="175">
        <v>22.2</v>
      </c>
      <c r="T57" s="175">
        <v>11.14</v>
      </c>
      <c r="U57" s="171">
        <v>0.2</v>
      </c>
      <c r="V57" s="68">
        <v>2.5999999999999999E-2</v>
      </c>
      <c r="W57" s="177">
        <v>0.02</v>
      </c>
      <c r="X57" s="163">
        <v>0.59599999999999997</v>
      </c>
      <c r="Y57" s="177">
        <v>0.04</v>
      </c>
      <c r="Z57" s="170">
        <v>1.6759999999999999</v>
      </c>
      <c r="AB57" s="69">
        <f t="shared" si="32"/>
        <v>29.138565563742887</v>
      </c>
      <c r="AC57" s="69">
        <f t="shared" si="2"/>
        <v>29.530690199342704</v>
      </c>
      <c r="AD57" s="69">
        <f t="shared" si="3"/>
        <v>0.66836476873555306</v>
      </c>
      <c r="AF57" s="88">
        <v>7.51</v>
      </c>
      <c r="AG57" s="88">
        <v>-0.339063</v>
      </c>
      <c r="AH57" s="88">
        <v>0.30830000000000002</v>
      </c>
      <c r="AI57" s="88">
        <v>-0.64790000000000003</v>
      </c>
      <c r="AJ57" s="88">
        <v>-0.89729999999999999</v>
      </c>
      <c r="AK57" s="88">
        <v>-2.17</v>
      </c>
      <c r="AL57" s="88">
        <v>-1.8599999999999998E-2</v>
      </c>
      <c r="AM57" s="88">
        <v>-0.20349999999999999</v>
      </c>
      <c r="AN57" s="88">
        <v>-1.8010999999999999</v>
      </c>
      <c r="AO57" s="88">
        <v>-0.92700000000000005</v>
      </c>
    </row>
    <row r="58" spans="1:41" s="43" customFormat="1" x14ac:dyDescent="0.35">
      <c r="A58" s="43">
        <v>1</v>
      </c>
      <c r="B58" s="28">
        <v>43515</v>
      </c>
      <c r="C58" s="68">
        <v>35</v>
      </c>
      <c r="D58" s="43">
        <v>144</v>
      </c>
      <c r="E58" s="31">
        <f t="shared" si="34"/>
        <v>5099</v>
      </c>
      <c r="F58" s="69">
        <f t="shared" si="33"/>
        <v>1.0069930069930071</v>
      </c>
      <c r="G58" s="25">
        <f t="shared" si="35"/>
        <v>35.654405594405588</v>
      </c>
      <c r="H58" s="43">
        <v>7.53</v>
      </c>
      <c r="I58" s="43">
        <v>2390</v>
      </c>
      <c r="J58" s="43">
        <v>267</v>
      </c>
      <c r="K58" s="24">
        <v>128</v>
      </c>
      <c r="L58" s="24">
        <v>87</v>
      </c>
      <c r="M58" s="186">
        <v>15</v>
      </c>
      <c r="N58" s="31">
        <v>1050</v>
      </c>
      <c r="O58" s="43">
        <v>19</v>
      </c>
      <c r="P58" s="175">
        <v>148.4</v>
      </c>
      <c r="Q58" s="175">
        <v>50.98</v>
      </c>
      <c r="R58" s="21">
        <v>385.4</v>
      </c>
      <c r="S58" s="175">
        <v>20.62</v>
      </c>
      <c r="T58" s="172">
        <v>9.8030000000000008</v>
      </c>
      <c r="U58" s="171">
        <v>0.2</v>
      </c>
      <c r="V58" s="68">
        <v>2.4E-2</v>
      </c>
      <c r="W58" s="177">
        <v>0.02</v>
      </c>
      <c r="X58" s="163">
        <v>0.58299999999999996</v>
      </c>
      <c r="Y58" s="177">
        <v>0.04</v>
      </c>
      <c r="Z58" s="170">
        <v>1.6479999999999999</v>
      </c>
      <c r="AB58" s="69">
        <f t="shared" si="32"/>
        <v>29.897432938300454</v>
      </c>
      <c r="AC58" s="69">
        <f t="shared" si="2"/>
        <v>28.612150296143867</v>
      </c>
      <c r="AD58" s="69">
        <f t="shared" si="3"/>
        <v>2.1967044902824537</v>
      </c>
      <c r="AF58" s="88">
        <v>7.53</v>
      </c>
      <c r="AG58" s="88">
        <v>-3.5295700000000001</v>
      </c>
      <c r="AH58" s="88">
        <v>0.30230000000000001</v>
      </c>
      <c r="AI58" s="88">
        <v>-0.68130000000000002</v>
      </c>
      <c r="AJ58" s="88">
        <v>-0.93069999999999997</v>
      </c>
      <c r="AK58" s="88">
        <v>-2.1650999999999998</v>
      </c>
      <c r="AL58" s="88">
        <v>-2.6499999999999999E-2</v>
      </c>
      <c r="AM58" s="88">
        <v>-0.17280000000000001</v>
      </c>
      <c r="AN58" s="88">
        <v>-1.8869</v>
      </c>
      <c r="AO58" s="88">
        <v>-0.92879999999999996</v>
      </c>
    </row>
    <row r="59" spans="1:41" s="43" customFormat="1" x14ac:dyDescent="0.35">
      <c r="A59" s="43">
        <v>1</v>
      </c>
      <c r="B59" s="28">
        <v>43516</v>
      </c>
      <c r="C59" s="68">
        <v>36</v>
      </c>
      <c r="D59" s="43">
        <v>144</v>
      </c>
      <c r="E59" s="31">
        <f t="shared" si="34"/>
        <v>5243</v>
      </c>
      <c r="F59" s="69">
        <f t="shared" si="33"/>
        <v>1.0069930069930071</v>
      </c>
      <c r="G59" s="25">
        <f t="shared" si="35"/>
        <v>36.661398601398595</v>
      </c>
      <c r="H59" s="43">
        <v>7.38</v>
      </c>
      <c r="I59" s="43">
        <v>2410</v>
      </c>
      <c r="J59" s="43">
        <v>262</v>
      </c>
      <c r="K59" s="24">
        <v>140</v>
      </c>
      <c r="L59" s="24">
        <v>88</v>
      </c>
      <c r="M59" s="186">
        <v>15</v>
      </c>
      <c r="N59" s="31">
        <v>1033</v>
      </c>
      <c r="O59" s="43">
        <v>18</v>
      </c>
      <c r="P59" s="175">
        <v>149.80000000000001</v>
      </c>
      <c r="Q59" s="175">
        <v>51.63</v>
      </c>
      <c r="R59" s="21">
        <v>348</v>
      </c>
      <c r="S59" s="175">
        <v>21.44</v>
      </c>
      <c r="T59" s="172">
        <v>9.7249999999999996</v>
      </c>
      <c r="U59" s="171">
        <v>0.2</v>
      </c>
      <c r="V59" s="68">
        <v>3.4000000000000002E-2</v>
      </c>
      <c r="W59" s="177">
        <v>0.02</v>
      </c>
      <c r="X59" s="163">
        <v>0.56000000000000005</v>
      </c>
      <c r="Y59" s="177">
        <v>0.04</v>
      </c>
      <c r="Z59" s="170">
        <v>1.65</v>
      </c>
      <c r="AA59" s="68"/>
      <c r="AB59" s="69">
        <f t="shared" si="32"/>
        <v>29.471696232251375</v>
      </c>
      <c r="AC59" s="69">
        <f t="shared" si="2"/>
        <v>27.106675379669717</v>
      </c>
      <c r="AD59" s="69">
        <f t="shared" si="3"/>
        <v>4.1800793928882651</v>
      </c>
      <c r="AF59" s="88">
        <v>7.38</v>
      </c>
      <c r="AG59" s="88">
        <v>-5.90036</v>
      </c>
      <c r="AH59" s="88">
        <v>0.1545</v>
      </c>
      <c r="AI59" s="88">
        <v>-0.67759999999999998</v>
      </c>
      <c r="AJ59" s="88">
        <v>-0.92700000000000005</v>
      </c>
      <c r="AK59" s="88">
        <v>-2.0209999999999999</v>
      </c>
      <c r="AL59" s="88">
        <v>-0.32090000000000002</v>
      </c>
      <c r="AM59" s="88">
        <v>-0.34089999999999998</v>
      </c>
      <c r="AN59" s="88">
        <v>-1.7243999999999999</v>
      </c>
      <c r="AO59" s="88">
        <v>-1.0753999999999999</v>
      </c>
    </row>
    <row r="60" spans="1:41" s="43" customFormat="1" x14ac:dyDescent="0.35">
      <c r="A60" s="43">
        <v>1</v>
      </c>
      <c r="B60" s="28">
        <v>43517</v>
      </c>
      <c r="C60" s="68">
        <v>37</v>
      </c>
      <c r="D60" s="43">
        <v>143</v>
      </c>
      <c r="E60" s="31">
        <f t="shared" si="34"/>
        <v>5386</v>
      </c>
      <c r="F60" s="69">
        <f t="shared" si="33"/>
        <v>1</v>
      </c>
      <c r="G60" s="25">
        <f t="shared" si="35"/>
        <v>37.661398601398595</v>
      </c>
      <c r="H60" s="43">
        <v>7.59</v>
      </c>
      <c r="I60" s="43">
        <v>2370</v>
      </c>
      <c r="J60" s="43">
        <v>241</v>
      </c>
      <c r="K60" s="24">
        <v>102</v>
      </c>
      <c r="L60" s="24">
        <v>88</v>
      </c>
      <c r="M60" s="186">
        <v>15</v>
      </c>
      <c r="N60" s="31">
        <v>1027</v>
      </c>
      <c r="O60" s="43">
        <v>18</v>
      </c>
      <c r="P60" s="21">
        <v>153.6</v>
      </c>
      <c r="Q60" s="175">
        <v>50.01</v>
      </c>
      <c r="R60" s="21">
        <v>344</v>
      </c>
      <c r="S60" s="175">
        <v>21.47</v>
      </c>
      <c r="T60" s="172">
        <v>9.2729999999999997</v>
      </c>
      <c r="U60" s="171">
        <v>0.2</v>
      </c>
      <c r="V60" s="68">
        <v>3.2000000000000001E-2</v>
      </c>
      <c r="W60" s="177">
        <v>0.02</v>
      </c>
      <c r="X60" s="163">
        <v>0.54</v>
      </c>
      <c r="Y60" s="177">
        <v>0.04</v>
      </c>
      <c r="Z60" s="170">
        <v>1.54</v>
      </c>
      <c r="AB60" s="69">
        <f t="shared" si="32"/>
        <v>28.926774308453748</v>
      </c>
      <c r="AC60" s="69">
        <f t="shared" si="2"/>
        <v>26.977523660905334</v>
      </c>
      <c r="AD60" s="69">
        <f t="shared" si="3"/>
        <v>3.4867634839396264</v>
      </c>
      <c r="AF60" s="88">
        <v>7.59</v>
      </c>
      <c r="AG60" s="88">
        <v>-5.2838200000000004</v>
      </c>
      <c r="AH60" s="88">
        <v>0.3387</v>
      </c>
      <c r="AI60" s="88">
        <v>-0.66700000000000004</v>
      </c>
      <c r="AJ60" s="88">
        <v>-0.91649999999999998</v>
      </c>
      <c r="AK60" s="88">
        <v>-2.2696000000000001</v>
      </c>
      <c r="AL60" s="88">
        <v>2.2599999999999999E-2</v>
      </c>
      <c r="AM60" s="88">
        <v>-0.1825</v>
      </c>
      <c r="AN60" s="88">
        <v>-1.7367999999999999</v>
      </c>
      <c r="AO60" s="88">
        <v>-0.91610000000000003</v>
      </c>
    </row>
    <row r="61" spans="1:41" s="68" customFormat="1" x14ac:dyDescent="0.35">
      <c r="A61" s="68">
        <v>1</v>
      </c>
      <c r="B61" s="28">
        <v>43518</v>
      </c>
      <c r="C61" s="68">
        <v>38</v>
      </c>
      <c r="D61" s="68">
        <v>145</v>
      </c>
      <c r="E61" s="31">
        <f t="shared" ref="E61" si="36">D61+E60</f>
        <v>5531</v>
      </c>
      <c r="F61" s="69">
        <f t="shared" ref="F61" si="37">D61/143</f>
        <v>1.013986013986014</v>
      </c>
      <c r="G61" s="25">
        <f t="shared" ref="G61" si="38">G60+F61</f>
        <v>38.675384615384608</v>
      </c>
      <c r="H61" s="68">
        <v>7.38</v>
      </c>
      <c r="I61" s="68">
        <v>2390</v>
      </c>
      <c r="J61" s="68">
        <v>239</v>
      </c>
      <c r="K61" s="65">
        <v>97</v>
      </c>
      <c r="L61" s="65">
        <v>88</v>
      </c>
      <c r="M61" s="186">
        <v>15</v>
      </c>
      <c r="N61" s="31">
        <v>1034</v>
      </c>
      <c r="O61" s="68">
        <v>18</v>
      </c>
      <c r="P61" s="175">
        <v>140.6</v>
      </c>
      <c r="Q61" s="175">
        <v>48.88</v>
      </c>
      <c r="R61" s="21">
        <v>346</v>
      </c>
      <c r="S61" s="175">
        <v>21.18</v>
      </c>
      <c r="T61" s="172">
        <v>9.0739999999999998</v>
      </c>
      <c r="U61" s="171">
        <v>0.2</v>
      </c>
      <c r="V61" s="68">
        <v>3.2000000000000001E-2</v>
      </c>
      <c r="W61" s="177">
        <v>0.02</v>
      </c>
      <c r="X61" s="163">
        <v>0.53</v>
      </c>
      <c r="Y61" s="177">
        <v>0.04</v>
      </c>
      <c r="Z61" s="170">
        <v>1.56</v>
      </c>
      <c r="AB61" s="69">
        <f t="shared" si="32"/>
        <v>29.03251655288431</v>
      </c>
      <c r="AC61" s="69">
        <f t="shared" si="2"/>
        <v>26.317798265817061</v>
      </c>
      <c r="AD61" s="69">
        <f t="shared" si="3"/>
        <v>4.9046121886736227</v>
      </c>
      <c r="AF61" s="88">
        <v>7.38</v>
      </c>
      <c r="AG61" s="88">
        <v>-6.89994</v>
      </c>
      <c r="AH61" s="88">
        <v>8.8499999999999995E-2</v>
      </c>
      <c r="AI61" s="88">
        <v>-0.69879999999999998</v>
      </c>
      <c r="AJ61" s="88">
        <v>-0.94830000000000003</v>
      </c>
      <c r="AK61" s="88">
        <v>-2.0596000000000001</v>
      </c>
      <c r="AL61" s="88">
        <v>-0.44900000000000001</v>
      </c>
      <c r="AM61" s="88">
        <v>-0.4017</v>
      </c>
      <c r="AN61" s="88">
        <v>-1.7764</v>
      </c>
      <c r="AO61" s="88">
        <v>-1.1375</v>
      </c>
    </row>
    <row r="62" spans="1:41" s="43" customFormat="1" x14ac:dyDescent="0.35">
      <c r="B62" s="28"/>
      <c r="F62" s="2"/>
      <c r="G62" s="2"/>
      <c r="K62" s="24"/>
      <c r="L62" s="24"/>
      <c r="N62" s="31"/>
      <c r="P62" s="15"/>
      <c r="R62" s="16"/>
      <c r="S62" s="16"/>
      <c r="T62" s="16"/>
      <c r="U62" s="8"/>
      <c r="W62" s="68"/>
      <c r="AB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</row>
    <row r="63" spans="1:41" s="31" customFormat="1" x14ac:dyDescent="0.35">
      <c r="A63" s="31" t="s">
        <v>33</v>
      </c>
      <c r="F63" s="25"/>
      <c r="G63" s="25"/>
      <c r="AF63" s="43"/>
      <c r="AG63" s="43"/>
      <c r="AH63" s="43"/>
      <c r="AI63" s="43"/>
      <c r="AJ63" s="43"/>
      <c r="AK63" s="43"/>
      <c r="AL63" s="43"/>
      <c r="AM63" s="43"/>
      <c r="AN63" s="43"/>
      <c r="AO63" s="43"/>
    </row>
    <row r="64" spans="1:41" x14ac:dyDescent="0.35">
      <c r="A64" s="31"/>
      <c r="B64" s="31"/>
      <c r="C64" s="31"/>
      <c r="D64" s="31"/>
      <c r="E64" s="31"/>
      <c r="F64" s="31"/>
      <c r="G64" s="31"/>
      <c r="AF64" s="43"/>
      <c r="AG64" s="43"/>
      <c r="AH64" s="43"/>
      <c r="AI64" s="43"/>
      <c r="AJ64" s="43"/>
      <c r="AK64" s="43"/>
      <c r="AL64" s="43"/>
      <c r="AM64" s="43"/>
      <c r="AN64" s="43"/>
      <c r="AO64" s="43"/>
    </row>
    <row r="65" spans="1:41" x14ac:dyDescent="0.35">
      <c r="A65" s="31" t="s">
        <v>32</v>
      </c>
      <c r="B65" s="31"/>
      <c r="C65" s="31"/>
      <c r="D65" s="31"/>
      <c r="E65" s="31"/>
      <c r="F65" s="31"/>
      <c r="G65" s="31"/>
      <c r="AF65" s="43"/>
      <c r="AG65" s="43"/>
      <c r="AH65" s="43"/>
      <c r="AI65" s="43"/>
      <c r="AJ65" s="43"/>
      <c r="AK65" s="43"/>
      <c r="AL65" s="43"/>
      <c r="AM65" s="43"/>
      <c r="AN65" s="43"/>
      <c r="AO65" s="43"/>
    </row>
    <row r="66" spans="1:41" x14ac:dyDescent="0.35">
      <c r="A66" s="31"/>
      <c r="B66" s="31"/>
      <c r="C66" s="31"/>
      <c r="D66" s="31"/>
      <c r="E66" s="31"/>
      <c r="F66" s="31"/>
      <c r="G66" s="31"/>
      <c r="AF66" s="43"/>
      <c r="AG66" s="43"/>
      <c r="AH66" s="43"/>
      <c r="AI66" s="43"/>
      <c r="AJ66" s="43"/>
      <c r="AK66" s="43"/>
      <c r="AL66" s="43"/>
      <c r="AM66" s="43"/>
      <c r="AN66" s="43"/>
      <c r="AO66" s="43"/>
    </row>
    <row r="67" spans="1:41" x14ac:dyDescent="0.35">
      <c r="A67" s="31" t="s">
        <v>10</v>
      </c>
      <c r="B67" s="31" t="s">
        <v>14</v>
      </c>
      <c r="C67" s="31"/>
      <c r="D67" s="31"/>
      <c r="E67" s="31"/>
      <c r="AF67" s="43"/>
      <c r="AG67" s="43"/>
      <c r="AH67" s="43"/>
      <c r="AI67" s="43"/>
      <c r="AJ67" s="43"/>
      <c r="AK67" s="43"/>
      <c r="AL67" s="43"/>
      <c r="AM67" s="43"/>
      <c r="AN67" s="43"/>
      <c r="AO67" s="43"/>
    </row>
    <row r="68" spans="1:41" s="43" customFormat="1" x14ac:dyDescent="0.35">
      <c r="A68" s="31"/>
      <c r="B68" s="31"/>
      <c r="C68" s="31"/>
      <c r="D68" s="31"/>
      <c r="E68" s="31"/>
      <c r="S68" s="68"/>
      <c r="T68" s="68"/>
      <c r="W68" s="68"/>
    </row>
    <row r="69" spans="1:41" x14ac:dyDescent="0.35">
      <c r="A69" s="28">
        <v>43480</v>
      </c>
      <c r="B69" s="31">
        <v>7.3</v>
      </c>
      <c r="C69" s="31"/>
      <c r="D69" s="31"/>
      <c r="E69" s="31"/>
      <c r="F69" s="31"/>
      <c r="G69" s="31"/>
      <c r="AF69" s="43"/>
      <c r="AG69" s="43"/>
      <c r="AH69" s="43"/>
      <c r="AI69" s="43"/>
      <c r="AJ69" s="43"/>
      <c r="AK69" s="43"/>
      <c r="AL69" s="43"/>
      <c r="AM69" s="43"/>
      <c r="AN69" s="43"/>
      <c r="AO69" s="43"/>
    </row>
    <row r="70" spans="1:41" x14ac:dyDescent="0.35">
      <c r="A70" s="28">
        <v>43481</v>
      </c>
      <c r="B70" s="31">
        <v>7.1</v>
      </c>
      <c r="C70" s="31"/>
      <c r="D70" s="31"/>
      <c r="E70" s="28"/>
      <c r="F70" s="31"/>
      <c r="G70" s="31"/>
      <c r="AF70" s="68"/>
      <c r="AG70" s="68"/>
      <c r="AH70" s="68"/>
      <c r="AI70" s="68"/>
      <c r="AJ70" s="68"/>
      <c r="AK70" s="68"/>
      <c r="AL70" s="68"/>
      <c r="AM70" s="68"/>
      <c r="AN70" s="68"/>
      <c r="AO70" s="68"/>
    </row>
    <row r="71" spans="1:41" x14ac:dyDescent="0.35">
      <c r="A71" s="28">
        <v>43482</v>
      </c>
      <c r="B71" s="31">
        <v>7.2</v>
      </c>
      <c r="C71" s="31"/>
      <c r="D71" s="31"/>
      <c r="E71" s="28"/>
      <c r="F71" s="31"/>
      <c r="G71" s="31"/>
      <c r="AF71" s="43"/>
      <c r="AG71" s="43"/>
      <c r="AH71" s="43"/>
      <c r="AI71" s="43"/>
      <c r="AJ71" s="43"/>
      <c r="AK71" s="43"/>
      <c r="AL71" s="43"/>
      <c r="AM71" s="43"/>
      <c r="AN71" s="43"/>
      <c r="AO71" s="43"/>
    </row>
    <row r="72" spans="1:41" x14ac:dyDescent="0.35">
      <c r="A72" s="28">
        <v>43483</v>
      </c>
      <c r="B72" s="31">
        <v>7.2</v>
      </c>
      <c r="C72" s="31"/>
      <c r="D72" s="31"/>
      <c r="E72" s="28"/>
      <c r="F72" s="31"/>
      <c r="G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</row>
    <row r="73" spans="1:41" x14ac:dyDescent="0.35">
      <c r="A73" s="28">
        <v>43484</v>
      </c>
      <c r="B73" s="31">
        <v>7.2</v>
      </c>
      <c r="C73" s="31"/>
      <c r="D73" s="31"/>
      <c r="E73" s="28"/>
      <c r="F73" s="31"/>
      <c r="G73" s="31"/>
    </row>
    <row r="74" spans="1:41" x14ac:dyDescent="0.35">
      <c r="A74" s="28">
        <v>43485</v>
      </c>
      <c r="B74" s="31">
        <v>7.3</v>
      </c>
      <c r="C74" s="31"/>
      <c r="D74" s="31"/>
      <c r="E74" s="28"/>
      <c r="F74" s="31"/>
      <c r="G74" s="31"/>
    </row>
    <row r="75" spans="1:41" x14ac:dyDescent="0.35">
      <c r="A75" s="28">
        <v>43486</v>
      </c>
      <c r="B75" s="31">
        <v>7.3</v>
      </c>
      <c r="C75" s="31"/>
      <c r="D75" s="31"/>
      <c r="E75" s="28"/>
      <c r="F75" s="31"/>
      <c r="G75" s="31"/>
    </row>
    <row r="76" spans="1:41" x14ac:dyDescent="0.35">
      <c r="A76" s="28">
        <v>43487</v>
      </c>
      <c r="B76" s="31">
        <v>7.95</v>
      </c>
      <c r="C76" s="31" t="s">
        <v>106</v>
      </c>
      <c r="D76" s="31"/>
      <c r="E76" s="28"/>
      <c r="F76" s="31"/>
      <c r="G76" s="31"/>
    </row>
    <row r="77" spans="1:41" x14ac:dyDescent="0.35">
      <c r="A77" s="28">
        <v>43488</v>
      </c>
      <c r="B77" s="6">
        <v>8</v>
      </c>
      <c r="C77" s="31"/>
      <c r="D77" s="31"/>
      <c r="E77" s="28"/>
      <c r="F77" s="31"/>
      <c r="G77" s="31"/>
      <c r="AF77" s="43"/>
      <c r="AG77" s="43"/>
      <c r="AH77" s="43"/>
      <c r="AI77" s="43"/>
      <c r="AJ77" s="43"/>
      <c r="AK77" s="43"/>
      <c r="AL77" s="43"/>
      <c r="AM77" s="43"/>
      <c r="AN77" s="43"/>
      <c r="AO77" s="43"/>
    </row>
    <row r="78" spans="1:41" x14ac:dyDescent="0.35">
      <c r="A78" s="28">
        <v>43489</v>
      </c>
      <c r="B78" s="6">
        <v>8</v>
      </c>
      <c r="C78" s="31"/>
      <c r="D78" s="31"/>
      <c r="E78" s="28"/>
      <c r="F78" s="31"/>
      <c r="G78" s="31"/>
    </row>
    <row r="79" spans="1:41" x14ac:dyDescent="0.35">
      <c r="A79" s="28">
        <v>43490</v>
      </c>
      <c r="B79" s="6">
        <v>8</v>
      </c>
      <c r="C79" s="31"/>
      <c r="D79" s="31"/>
      <c r="E79" s="28"/>
      <c r="F79" s="31"/>
      <c r="G79" s="31"/>
    </row>
    <row r="80" spans="1:41" x14ac:dyDescent="0.35">
      <c r="A80" s="28">
        <v>43491</v>
      </c>
      <c r="B80" s="31">
        <v>8.02</v>
      </c>
      <c r="C80" s="31"/>
      <c r="D80" s="31"/>
      <c r="E80" s="28"/>
      <c r="F80" s="31"/>
      <c r="G80" s="31"/>
    </row>
    <row r="81" spans="1:41" x14ac:dyDescent="0.35">
      <c r="A81" s="28">
        <v>43492</v>
      </c>
      <c r="B81" s="6">
        <v>8</v>
      </c>
      <c r="C81" s="31"/>
      <c r="D81" s="31"/>
      <c r="E81" s="28"/>
      <c r="F81" s="31"/>
      <c r="G81" s="31"/>
    </row>
    <row r="82" spans="1:41" x14ac:dyDescent="0.35">
      <c r="A82" s="28">
        <v>43493</v>
      </c>
      <c r="B82" s="31">
        <v>7.95</v>
      </c>
      <c r="C82" s="31"/>
      <c r="D82" s="31"/>
      <c r="E82" s="28"/>
      <c r="F82" s="31"/>
      <c r="G82" s="31"/>
    </row>
    <row r="83" spans="1:41" x14ac:dyDescent="0.35">
      <c r="A83" s="28">
        <v>43494</v>
      </c>
      <c r="B83" s="31">
        <v>8.08</v>
      </c>
      <c r="C83" s="31"/>
      <c r="D83" s="31"/>
      <c r="E83" s="31"/>
      <c r="F83" s="25"/>
      <c r="G83" s="25"/>
    </row>
    <row r="84" spans="1:41" x14ac:dyDescent="0.35">
      <c r="A84" s="28">
        <v>43495</v>
      </c>
      <c r="B84" s="31">
        <v>7.98</v>
      </c>
      <c r="C84" s="31"/>
      <c r="D84" s="31"/>
      <c r="E84" s="31"/>
      <c r="F84" s="25"/>
      <c r="G84" s="25"/>
    </row>
    <row r="85" spans="1:41" x14ac:dyDescent="0.35">
      <c r="A85" s="28">
        <v>43496</v>
      </c>
      <c r="B85" s="31">
        <v>8.07</v>
      </c>
      <c r="C85" s="31"/>
      <c r="D85" s="31"/>
      <c r="E85" s="31"/>
      <c r="F85" s="25"/>
      <c r="G85" s="25"/>
    </row>
    <row r="86" spans="1:41" x14ac:dyDescent="0.35">
      <c r="A86" s="28">
        <v>43497</v>
      </c>
      <c r="B86" s="1">
        <v>7.98</v>
      </c>
    </row>
    <row r="87" spans="1:41" x14ac:dyDescent="0.35">
      <c r="A87" s="28">
        <v>43498</v>
      </c>
      <c r="B87" s="69">
        <v>8.06</v>
      </c>
      <c r="F87" s="2"/>
      <c r="G87" s="2"/>
      <c r="N87" s="3"/>
    </row>
    <row r="88" spans="1:41" s="31" customFormat="1" x14ac:dyDescent="0.35">
      <c r="A88" s="28">
        <v>43499</v>
      </c>
      <c r="B88" s="31">
        <v>8.02</v>
      </c>
      <c r="F88" s="25"/>
      <c r="G88" s="25"/>
      <c r="AF88" s="1"/>
      <c r="AG88" s="1"/>
      <c r="AH88" s="1"/>
      <c r="AI88" s="1"/>
      <c r="AJ88" s="1"/>
      <c r="AK88" s="1"/>
      <c r="AL88" s="1"/>
      <c r="AM88" s="1"/>
      <c r="AN88" s="1"/>
      <c r="AO88" s="1"/>
    </row>
    <row r="89" spans="1:41" s="31" customFormat="1" x14ac:dyDescent="0.35">
      <c r="A89" s="28">
        <v>43500</v>
      </c>
      <c r="B89" s="31">
        <v>7.97</v>
      </c>
      <c r="F89" s="25"/>
      <c r="G89" s="25"/>
      <c r="AF89" s="1"/>
      <c r="AG89" s="1"/>
      <c r="AH89" s="1"/>
      <c r="AI89" s="1"/>
      <c r="AJ89" s="1"/>
      <c r="AK89" s="1"/>
      <c r="AL89" s="1"/>
      <c r="AM89" s="1"/>
      <c r="AN89" s="1"/>
      <c r="AO89" s="1"/>
    </row>
    <row r="90" spans="1:41" s="31" customFormat="1" x14ac:dyDescent="0.35">
      <c r="A90" s="28">
        <v>43501</v>
      </c>
      <c r="B90" s="31">
        <v>8.01</v>
      </c>
      <c r="F90" s="25"/>
      <c r="G90" s="25"/>
      <c r="AF90" s="1"/>
      <c r="AG90" s="1"/>
      <c r="AH90" s="1"/>
      <c r="AI90" s="1"/>
      <c r="AJ90" s="1"/>
      <c r="AK90" s="1"/>
      <c r="AL90" s="1"/>
      <c r="AM90" s="1"/>
      <c r="AN90" s="1"/>
      <c r="AO90" s="1"/>
    </row>
    <row r="91" spans="1:41" s="31" customFormat="1" x14ac:dyDescent="0.35">
      <c r="A91" s="28">
        <v>43502</v>
      </c>
      <c r="B91" s="31">
        <v>7.05</v>
      </c>
      <c r="C91" s="31" t="s">
        <v>151</v>
      </c>
      <c r="F91" s="25"/>
      <c r="G91" s="25"/>
      <c r="AF91" s="1"/>
      <c r="AG91" s="1"/>
      <c r="AH91" s="1"/>
      <c r="AI91" s="1"/>
      <c r="AJ91" s="1"/>
      <c r="AK91" s="1"/>
      <c r="AL91" s="1"/>
      <c r="AM91" s="1"/>
      <c r="AN91" s="1"/>
      <c r="AO91" s="1"/>
    </row>
    <row r="92" spans="1:41" s="31" customFormat="1" x14ac:dyDescent="0.35">
      <c r="A92" s="28">
        <v>43503</v>
      </c>
      <c r="B92" s="31">
        <v>7.07</v>
      </c>
      <c r="F92" s="25"/>
      <c r="G92" s="25"/>
      <c r="AF92" s="1"/>
      <c r="AG92" s="1"/>
      <c r="AH92" s="1"/>
      <c r="AI92" s="1"/>
      <c r="AJ92" s="1"/>
      <c r="AK92" s="1"/>
      <c r="AL92" s="1"/>
      <c r="AM92" s="1"/>
      <c r="AN92" s="1"/>
      <c r="AO92" s="1"/>
    </row>
    <row r="93" spans="1:41" s="31" customFormat="1" x14ac:dyDescent="0.35">
      <c r="A93" s="28">
        <v>43504</v>
      </c>
      <c r="B93" s="31">
        <v>7.07</v>
      </c>
      <c r="F93" s="25"/>
      <c r="G93" s="25"/>
      <c r="M93" s="27"/>
      <c r="N93" s="27"/>
      <c r="O93" s="27"/>
      <c r="P93" s="27"/>
      <c r="Q93" s="27"/>
      <c r="R93" s="26"/>
      <c r="S93" s="26"/>
      <c r="T93" s="26"/>
      <c r="U93" s="26"/>
      <c r="V93" s="27"/>
      <c r="W93" s="27"/>
      <c r="X93" s="26"/>
      <c r="Y93" s="27"/>
      <c r="AF93" s="1"/>
      <c r="AG93" s="1"/>
      <c r="AH93" s="1"/>
      <c r="AI93" s="1"/>
      <c r="AJ93" s="1"/>
      <c r="AK93" s="1"/>
      <c r="AL93" s="1"/>
      <c r="AM93" s="1"/>
      <c r="AN93" s="1"/>
      <c r="AO93" s="1"/>
    </row>
    <row r="94" spans="1:41" s="31" customFormat="1" x14ac:dyDescent="0.35">
      <c r="A94" s="28">
        <v>43505</v>
      </c>
      <c r="B94" s="31">
        <v>7.09</v>
      </c>
      <c r="F94" s="25"/>
      <c r="G94" s="25"/>
      <c r="M94" s="27"/>
      <c r="N94" s="27"/>
      <c r="O94" s="27"/>
      <c r="P94" s="27"/>
      <c r="Q94" s="27"/>
      <c r="R94" s="26"/>
      <c r="S94" s="26"/>
      <c r="T94" s="26"/>
      <c r="U94" s="26"/>
      <c r="V94" s="27"/>
      <c r="W94" s="27"/>
      <c r="X94" s="26"/>
      <c r="Y94" s="27"/>
      <c r="AF94" s="1"/>
      <c r="AG94" s="1"/>
      <c r="AH94" s="1"/>
      <c r="AI94" s="1"/>
      <c r="AJ94" s="1"/>
      <c r="AK94" s="1"/>
      <c r="AL94" s="1"/>
      <c r="AM94" s="1"/>
      <c r="AN94" s="1"/>
      <c r="AO94" s="1"/>
    </row>
    <row r="95" spans="1:41" s="31" customFormat="1" x14ac:dyDescent="0.35">
      <c r="A95" s="28">
        <v>43506</v>
      </c>
      <c r="B95" s="31">
        <v>7.15</v>
      </c>
      <c r="F95" s="25"/>
      <c r="G95" s="25"/>
      <c r="R95" s="26"/>
      <c r="S95" s="26"/>
      <c r="T95" s="26"/>
      <c r="U95" s="27"/>
      <c r="X95" s="26"/>
      <c r="Y95" s="27"/>
      <c r="AF95" s="1"/>
      <c r="AG95" s="1"/>
      <c r="AH95" s="1"/>
      <c r="AI95" s="1"/>
      <c r="AJ95" s="1"/>
      <c r="AK95" s="1"/>
      <c r="AL95" s="1"/>
      <c r="AM95" s="1"/>
      <c r="AN95" s="1"/>
      <c r="AO95" s="1"/>
    </row>
    <row r="96" spans="1:41" s="31" customFormat="1" x14ac:dyDescent="0.35">
      <c r="A96" s="28">
        <v>43507</v>
      </c>
      <c r="B96" s="31">
        <v>7.17</v>
      </c>
      <c r="F96" s="25"/>
      <c r="G96" s="25"/>
      <c r="AF96" s="1"/>
      <c r="AG96" s="1"/>
      <c r="AH96" s="1"/>
      <c r="AI96" s="1"/>
      <c r="AJ96" s="1"/>
      <c r="AK96" s="1"/>
      <c r="AL96" s="1"/>
      <c r="AM96" s="1"/>
      <c r="AN96" s="1"/>
      <c r="AO96" s="1"/>
    </row>
    <row r="97" spans="1:25" s="31" customFormat="1" x14ac:dyDescent="0.35">
      <c r="A97" s="28">
        <v>43508</v>
      </c>
      <c r="B97" s="31">
        <v>7.28</v>
      </c>
      <c r="F97" s="25"/>
      <c r="G97" s="25"/>
    </row>
    <row r="98" spans="1:25" s="31" customFormat="1" x14ac:dyDescent="0.35">
      <c r="A98" s="28">
        <v>43509</v>
      </c>
      <c r="B98" s="31">
        <v>7.34</v>
      </c>
      <c r="F98" s="25"/>
      <c r="G98" s="25"/>
    </row>
    <row r="99" spans="1:25" s="31" customFormat="1" x14ac:dyDescent="0.35">
      <c r="A99" s="28">
        <v>43510</v>
      </c>
      <c r="B99" s="85">
        <v>7.36</v>
      </c>
      <c r="C99" s="31" t="s">
        <v>157</v>
      </c>
      <c r="F99" s="25"/>
      <c r="G99" s="25"/>
    </row>
    <row r="100" spans="1:25" s="31" customFormat="1" x14ac:dyDescent="0.35">
      <c r="A100" s="28">
        <v>43511</v>
      </c>
      <c r="B100" s="85">
        <v>7.26</v>
      </c>
      <c r="F100" s="25"/>
      <c r="G100" s="25"/>
      <c r="X100" s="26"/>
      <c r="Y100" s="26"/>
    </row>
    <row r="101" spans="1:25" s="31" customFormat="1" x14ac:dyDescent="0.35">
      <c r="A101" s="28">
        <v>43512</v>
      </c>
      <c r="B101" s="25">
        <v>7.33</v>
      </c>
      <c r="F101" s="25"/>
      <c r="G101" s="25"/>
      <c r="H101" s="25"/>
      <c r="K101" s="27"/>
      <c r="L101" s="27"/>
      <c r="U101" s="26"/>
      <c r="X101" s="26"/>
      <c r="Y101" s="26"/>
    </row>
    <row r="102" spans="1:25" s="31" customFormat="1" x14ac:dyDescent="0.35">
      <c r="A102" s="28">
        <v>43513</v>
      </c>
      <c r="B102" s="25">
        <v>7.3</v>
      </c>
      <c r="F102" s="25"/>
      <c r="G102" s="25"/>
      <c r="K102" s="27"/>
      <c r="L102" s="27"/>
      <c r="R102" s="27"/>
      <c r="S102" s="27"/>
      <c r="T102" s="27"/>
      <c r="U102" s="13"/>
      <c r="X102" s="26"/>
      <c r="Y102" s="26"/>
    </row>
    <row r="103" spans="1:25" s="31" customFormat="1" x14ac:dyDescent="0.35">
      <c r="A103" s="28">
        <v>43514</v>
      </c>
      <c r="B103" s="25">
        <v>7.25</v>
      </c>
      <c r="F103" s="25"/>
      <c r="G103" s="25"/>
      <c r="K103" s="27"/>
      <c r="L103" s="27"/>
      <c r="O103" s="6"/>
      <c r="R103" s="27"/>
      <c r="S103" s="27"/>
      <c r="T103" s="27"/>
      <c r="U103" s="13"/>
      <c r="V103" s="6"/>
      <c r="W103" s="6"/>
      <c r="X103" s="26"/>
    </row>
    <row r="104" spans="1:25" s="31" customFormat="1" x14ac:dyDescent="0.35">
      <c r="A104" s="28">
        <v>43515</v>
      </c>
      <c r="B104" s="25">
        <v>7.3</v>
      </c>
      <c r="F104" s="25"/>
      <c r="G104" s="25"/>
      <c r="J104" s="27"/>
      <c r="K104" s="27"/>
      <c r="L104" s="27"/>
      <c r="R104" s="27"/>
      <c r="S104" s="27"/>
      <c r="T104" s="27"/>
      <c r="U104" s="13"/>
      <c r="X104" s="26"/>
    </row>
    <row r="105" spans="1:25" s="31" customFormat="1" x14ac:dyDescent="0.35">
      <c r="A105" s="28">
        <v>43516</v>
      </c>
      <c r="B105" s="25">
        <v>7.37</v>
      </c>
      <c r="F105" s="25"/>
      <c r="G105" s="25"/>
      <c r="J105" s="27"/>
      <c r="K105" s="27"/>
      <c r="L105" s="27"/>
      <c r="O105" s="27"/>
      <c r="R105" s="27"/>
      <c r="S105" s="27"/>
      <c r="T105" s="27"/>
      <c r="U105" s="13"/>
      <c r="V105" s="18"/>
      <c r="W105" s="18"/>
      <c r="X105" s="26"/>
    </row>
    <row r="106" spans="1:25" s="31" customFormat="1" x14ac:dyDescent="0.35">
      <c r="A106" s="28">
        <v>43517</v>
      </c>
      <c r="B106" s="25">
        <v>7.45</v>
      </c>
      <c r="F106" s="25"/>
      <c r="G106" s="25"/>
      <c r="J106" s="27"/>
      <c r="K106" s="27"/>
      <c r="L106" s="27"/>
      <c r="O106" s="27"/>
      <c r="R106" s="27"/>
      <c r="S106" s="27"/>
      <c r="T106" s="27"/>
      <c r="U106" s="13"/>
      <c r="V106" s="18"/>
      <c r="W106" s="18"/>
      <c r="X106" s="26"/>
    </row>
    <row r="107" spans="1:25" s="31" customFormat="1" x14ac:dyDescent="0.35">
      <c r="A107" s="28">
        <v>43518</v>
      </c>
      <c r="B107" s="25">
        <v>7.4</v>
      </c>
      <c r="F107" s="25"/>
      <c r="G107" s="25"/>
      <c r="J107" s="27"/>
      <c r="K107" s="27"/>
      <c r="L107" s="27"/>
      <c r="O107" s="27"/>
      <c r="R107" s="27"/>
      <c r="S107" s="27"/>
      <c r="T107" s="27"/>
      <c r="U107" s="13"/>
      <c r="V107" s="18"/>
      <c r="W107" s="18"/>
      <c r="X107" s="26"/>
    </row>
    <row r="108" spans="1:25" s="31" customFormat="1" x14ac:dyDescent="0.35">
      <c r="B108" s="28"/>
      <c r="F108" s="25"/>
      <c r="G108" s="25"/>
      <c r="J108" s="27"/>
      <c r="K108" s="27"/>
      <c r="L108" s="27"/>
      <c r="O108" s="27"/>
      <c r="R108" s="27"/>
      <c r="S108" s="27"/>
      <c r="T108" s="27"/>
      <c r="U108" s="13"/>
      <c r="V108" s="18"/>
      <c r="W108" s="18"/>
      <c r="X108" s="26"/>
    </row>
    <row r="109" spans="1:25" s="31" customFormat="1" x14ac:dyDescent="0.35">
      <c r="B109" s="28"/>
      <c r="F109" s="25"/>
      <c r="G109" s="25"/>
      <c r="J109" s="27"/>
      <c r="K109" s="27"/>
      <c r="L109" s="27"/>
      <c r="O109" s="27"/>
      <c r="R109" s="26"/>
      <c r="S109" s="26"/>
      <c r="T109" s="26"/>
      <c r="U109" s="13"/>
      <c r="V109" s="18"/>
      <c r="W109" s="18"/>
      <c r="X109" s="26"/>
    </row>
    <row r="110" spans="1:25" s="31" customFormat="1" x14ac:dyDescent="0.35">
      <c r="F110" s="25"/>
      <c r="G110" s="25"/>
    </row>
    <row r="111" spans="1:25" s="31" customFormat="1" x14ac:dyDescent="0.35">
      <c r="F111" s="25"/>
      <c r="G111" s="25"/>
    </row>
    <row r="112" spans="1:25" s="31" customFormat="1" x14ac:dyDescent="0.35">
      <c r="F112" s="25"/>
      <c r="G112" s="25"/>
    </row>
    <row r="113" spans="1:10" s="31" customFormat="1" x14ac:dyDescent="0.35"/>
    <row r="114" spans="1:10" s="31" customFormat="1" x14ac:dyDescent="0.35"/>
    <row r="115" spans="1:10" s="31" customFormat="1" x14ac:dyDescent="0.35"/>
    <row r="116" spans="1:10" s="31" customFormat="1" x14ac:dyDescent="0.35"/>
    <row r="117" spans="1:10" s="31" customFormat="1" x14ac:dyDescent="0.35"/>
    <row r="118" spans="1:10" s="31" customFormat="1" x14ac:dyDescent="0.35"/>
    <row r="119" spans="1:10" s="31" customFormat="1" x14ac:dyDescent="0.35">
      <c r="A119" s="28"/>
      <c r="E119" s="28"/>
      <c r="J119" s="28"/>
    </row>
    <row r="120" spans="1:10" s="31" customFormat="1" x14ac:dyDescent="0.35">
      <c r="A120" s="28"/>
      <c r="E120" s="28"/>
    </row>
    <row r="121" spans="1:10" s="31" customFormat="1" x14ac:dyDescent="0.35">
      <c r="A121" s="28"/>
      <c r="E121" s="28"/>
      <c r="J121" s="28"/>
    </row>
    <row r="122" spans="1:10" s="31" customFormat="1" x14ac:dyDescent="0.35">
      <c r="A122" s="28"/>
      <c r="E122" s="28"/>
      <c r="J122" s="28"/>
    </row>
    <row r="123" spans="1:10" s="31" customFormat="1" x14ac:dyDescent="0.35">
      <c r="A123" s="28"/>
      <c r="E123" s="28"/>
      <c r="J123" s="28"/>
    </row>
    <row r="124" spans="1:10" s="31" customFormat="1" x14ac:dyDescent="0.35">
      <c r="A124" s="28"/>
      <c r="E124" s="28"/>
      <c r="J124" s="28"/>
    </row>
    <row r="125" spans="1:10" s="31" customFormat="1" x14ac:dyDescent="0.35">
      <c r="A125" s="28"/>
      <c r="E125" s="28"/>
      <c r="J125" s="28"/>
    </row>
    <row r="126" spans="1:10" s="31" customFormat="1" x14ac:dyDescent="0.35">
      <c r="A126" s="28"/>
      <c r="E126" s="28"/>
      <c r="J126" s="28"/>
    </row>
    <row r="127" spans="1:10" s="31" customFormat="1" x14ac:dyDescent="0.35">
      <c r="A127" s="28"/>
      <c r="E127" s="28"/>
      <c r="J127" s="28"/>
    </row>
    <row r="128" spans="1:10" s="31" customFormat="1" x14ac:dyDescent="0.35">
      <c r="A128" s="28"/>
      <c r="E128" s="28"/>
      <c r="J128" s="28"/>
    </row>
    <row r="129" spans="1:41" s="31" customFormat="1" x14ac:dyDescent="0.35">
      <c r="A129" s="28"/>
      <c r="E129" s="28"/>
      <c r="J129" s="28"/>
    </row>
    <row r="130" spans="1:41" s="31" customFormat="1" x14ac:dyDescent="0.35">
      <c r="A130" s="28"/>
      <c r="E130" s="28"/>
      <c r="J130" s="28"/>
    </row>
    <row r="131" spans="1:41" s="31" customFormat="1" x14ac:dyDescent="0.35">
      <c r="A131" s="28"/>
      <c r="E131" s="28"/>
      <c r="J131" s="28"/>
    </row>
    <row r="132" spans="1:41" s="31" customFormat="1" x14ac:dyDescent="0.35">
      <c r="A132" s="28"/>
      <c r="F132" s="25"/>
      <c r="G132" s="25"/>
    </row>
    <row r="133" spans="1:41" s="31" customFormat="1" x14ac:dyDescent="0.35">
      <c r="A133" s="28"/>
      <c r="F133" s="25"/>
      <c r="G133" s="25"/>
    </row>
    <row r="134" spans="1:41" s="31" customFormat="1" x14ac:dyDescent="0.35">
      <c r="A134" s="22"/>
      <c r="F134" s="25"/>
      <c r="G134" s="25"/>
    </row>
    <row r="135" spans="1:41" s="31" customFormat="1" x14ac:dyDescent="0.35"/>
    <row r="136" spans="1:41" x14ac:dyDescent="0.35"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</row>
    <row r="137" spans="1:41" x14ac:dyDescent="0.35"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</row>
    <row r="138" spans="1:41" x14ac:dyDescent="0.35"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</row>
    <row r="139" spans="1:41" x14ac:dyDescent="0.35"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</row>
    <row r="140" spans="1:41" x14ac:dyDescent="0.35"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</row>
    <row r="141" spans="1:41" x14ac:dyDescent="0.35"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</row>
    <row r="142" spans="1:41" x14ac:dyDescent="0.35"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</row>
    <row r="143" spans="1:41" x14ac:dyDescent="0.35"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</row>
    <row r="144" spans="1:41" x14ac:dyDescent="0.35"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R137"/>
  <sheetViews>
    <sheetView zoomScaleNormal="100" workbookViewId="0">
      <pane ySplit="11" topLeftCell="A12" activePane="bottomLeft" state="frozen"/>
      <selection pane="bottomLeft" activeCell="A8" sqref="A8"/>
    </sheetView>
  </sheetViews>
  <sheetFormatPr defaultColWidth="9.1796875" defaultRowHeight="14.5" x14ac:dyDescent="0.35"/>
  <cols>
    <col min="1" max="1" width="9.7265625" style="43" bestFit="1" customWidth="1"/>
    <col min="2" max="2" width="10.54296875" style="43" bestFit="1" customWidth="1"/>
    <col min="3" max="7" width="9.1796875" style="43"/>
    <col min="8" max="8" width="5" style="43" bestFit="1" customWidth="1"/>
    <col min="9" max="9" width="15.7265625" style="43" customWidth="1"/>
    <col min="10" max="10" width="15.453125" style="43" bestFit="1" customWidth="1"/>
    <col min="11" max="11" width="6.26953125" style="43" bestFit="1" customWidth="1"/>
    <col min="12" max="18" width="6.81640625" style="43" bestFit="1" customWidth="1"/>
    <col min="19" max="20" width="6.81640625" style="68" bestFit="1" customWidth="1"/>
    <col min="21" max="26" width="6.81640625" style="43" bestFit="1" customWidth="1"/>
    <col min="27" max="27" width="11.453125" style="43" customWidth="1"/>
    <col min="28" max="28" width="7.1796875" style="68" bestFit="1" customWidth="1"/>
    <col min="29" max="29" width="7.54296875" style="68" bestFit="1" customWidth="1"/>
    <col min="30" max="30" width="14.54296875" style="43" bestFit="1" customWidth="1"/>
    <col min="31" max="31" width="11.7265625" style="43" bestFit="1" customWidth="1"/>
    <col min="32" max="41" width="13.81640625" style="43" customWidth="1"/>
    <col min="42" max="16384" width="9.1796875" style="43"/>
  </cols>
  <sheetData>
    <row r="1" spans="1:41" s="31" customFormat="1" x14ac:dyDescent="0.35">
      <c r="A1" s="31" t="s">
        <v>46</v>
      </c>
      <c r="F1" s="25"/>
      <c r="G1" s="25"/>
    </row>
    <row r="2" spans="1:41" x14ac:dyDescent="0.35">
      <c r="F2" s="25"/>
      <c r="G2" s="25"/>
      <c r="H2" s="31"/>
      <c r="N2" s="31"/>
    </row>
    <row r="3" spans="1:41" x14ac:dyDescent="0.35">
      <c r="A3" s="43" t="s">
        <v>8</v>
      </c>
      <c r="F3" s="2"/>
      <c r="G3" s="2"/>
      <c r="N3" s="31"/>
    </row>
    <row r="4" spans="1:41" s="31" customFormat="1" x14ac:dyDescent="0.35">
      <c r="A4" s="31" t="s">
        <v>74</v>
      </c>
      <c r="F4" s="25"/>
      <c r="G4" s="25"/>
    </row>
    <row r="5" spans="1:41" x14ac:dyDescent="0.35">
      <c r="A5" s="9" t="s">
        <v>77</v>
      </c>
      <c r="F5" s="2"/>
      <c r="G5" s="2"/>
      <c r="N5" s="31"/>
    </row>
    <row r="6" spans="1:41" s="203" customFormat="1" x14ac:dyDescent="0.35">
      <c r="A6" s="26" t="s">
        <v>358</v>
      </c>
      <c r="F6" s="163"/>
      <c r="G6" s="163"/>
      <c r="N6" s="202"/>
    </row>
    <row r="7" spans="1:41" x14ac:dyDescent="0.35">
      <c r="F7" s="2"/>
      <c r="G7" s="2"/>
      <c r="N7" s="31"/>
    </row>
    <row r="8" spans="1:41" s="31" customFormat="1" x14ac:dyDescent="0.35">
      <c r="A8" s="31" t="s">
        <v>365</v>
      </c>
      <c r="F8" s="25"/>
      <c r="G8" s="25"/>
      <c r="AF8" s="26" t="s">
        <v>170</v>
      </c>
    </row>
    <row r="9" spans="1:41" x14ac:dyDescent="0.35">
      <c r="F9" s="2"/>
      <c r="G9" s="2"/>
      <c r="N9" s="31"/>
    </row>
    <row r="10" spans="1:41" x14ac:dyDescent="0.35">
      <c r="A10" s="43" t="s">
        <v>9</v>
      </c>
      <c r="B10" s="43" t="s">
        <v>10</v>
      </c>
      <c r="C10" s="43" t="s">
        <v>11</v>
      </c>
      <c r="D10" s="43" t="s">
        <v>7</v>
      </c>
      <c r="E10" s="43" t="s">
        <v>12</v>
      </c>
      <c r="F10" s="2" t="s">
        <v>13</v>
      </c>
      <c r="G10" s="2" t="s">
        <v>81</v>
      </c>
      <c r="H10" s="43" t="s">
        <v>14</v>
      </c>
      <c r="I10" s="43" t="s">
        <v>15</v>
      </c>
      <c r="J10" s="43" t="s">
        <v>16</v>
      </c>
      <c r="K10" s="43" t="s">
        <v>3</v>
      </c>
      <c r="L10" s="43" t="s">
        <v>31</v>
      </c>
      <c r="M10" s="43" t="s">
        <v>30</v>
      </c>
      <c r="N10" s="43" t="s">
        <v>18</v>
      </c>
      <c r="O10" s="43" t="s">
        <v>17</v>
      </c>
      <c r="P10" s="43" t="s">
        <v>20</v>
      </c>
      <c r="Q10" s="43" t="s">
        <v>19</v>
      </c>
      <c r="R10" s="43" t="s">
        <v>21</v>
      </c>
      <c r="S10" s="68" t="s">
        <v>47</v>
      </c>
      <c r="T10" s="68" t="s">
        <v>24</v>
      </c>
      <c r="U10" s="43" t="s">
        <v>48</v>
      </c>
      <c r="V10" s="43" t="s">
        <v>4</v>
      </c>
      <c r="W10" s="43" t="s">
        <v>22</v>
      </c>
      <c r="X10" s="43" t="s">
        <v>23</v>
      </c>
      <c r="Y10" s="43" t="s">
        <v>25</v>
      </c>
      <c r="Z10" s="43" t="s">
        <v>49</v>
      </c>
      <c r="AA10" s="43" t="s">
        <v>26</v>
      </c>
      <c r="AB10" s="68" t="s">
        <v>123</v>
      </c>
      <c r="AC10" s="68" t="s">
        <v>124</v>
      </c>
      <c r="AD10" s="68" t="s">
        <v>27</v>
      </c>
      <c r="AF10" s="91" t="s">
        <v>171</v>
      </c>
      <c r="AG10" s="91" t="s">
        <v>172</v>
      </c>
      <c r="AH10" s="91" t="s">
        <v>173</v>
      </c>
      <c r="AI10" s="91" t="s">
        <v>174</v>
      </c>
      <c r="AJ10" s="91" t="s">
        <v>175</v>
      </c>
      <c r="AK10" s="91" t="s">
        <v>176</v>
      </c>
      <c r="AL10" s="91" t="s">
        <v>177</v>
      </c>
      <c r="AM10" s="91" t="s">
        <v>178</v>
      </c>
      <c r="AN10" s="91" t="s">
        <v>179</v>
      </c>
      <c r="AO10" s="91" t="s">
        <v>180</v>
      </c>
    </row>
    <row r="11" spans="1:41" x14ac:dyDescent="0.35">
      <c r="D11" s="43" t="s">
        <v>6</v>
      </c>
      <c r="E11" s="43" t="s">
        <v>6</v>
      </c>
      <c r="F11" s="2"/>
      <c r="G11" s="2"/>
      <c r="I11" s="203" t="s">
        <v>357</v>
      </c>
      <c r="J11" s="43" t="s">
        <v>28</v>
      </c>
      <c r="K11" s="27" t="s">
        <v>352</v>
      </c>
      <c r="L11" s="43" t="s">
        <v>5</v>
      </c>
      <c r="M11" s="43" t="s">
        <v>5</v>
      </c>
      <c r="N11" s="43" t="s">
        <v>5</v>
      </c>
      <c r="O11" s="43" t="s">
        <v>5</v>
      </c>
      <c r="P11" s="43" t="s">
        <v>5</v>
      </c>
      <c r="Q11" s="43" t="s">
        <v>5</v>
      </c>
      <c r="R11" s="43" t="s">
        <v>5</v>
      </c>
      <c r="S11" s="68" t="s">
        <v>5</v>
      </c>
      <c r="T11" s="68" t="s">
        <v>5</v>
      </c>
      <c r="U11" s="43" t="s">
        <v>5</v>
      </c>
      <c r="V11" s="43" t="s">
        <v>5</v>
      </c>
      <c r="W11" s="43" t="s">
        <v>5</v>
      </c>
      <c r="X11" s="43" t="s">
        <v>5</v>
      </c>
      <c r="Y11" s="43" t="s">
        <v>5</v>
      </c>
      <c r="Z11" s="43" t="s">
        <v>5</v>
      </c>
      <c r="AD11" s="68"/>
      <c r="AF11" s="91"/>
      <c r="AG11" s="91"/>
      <c r="AH11" s="91"/>
      <c r="AI11" s="91"/>
      <c r="AJ11" s="91"/>
      <c r="AK11" s="91"/>
      <c r="AL11" s="91"/>
      <c r="AM11" s="91"/>
      <c r="AN11" s="91"/>
      <c r="AO11" s="91"/>
    </row>
    <row r="12" spans="1:41" x14ac:dyDescent="0.35">
      <c r="F12" s="2"/>
      <c r="G12" s="2"/>
      <c r="N12" s="31"/>
      <c r="AD12" s="68"/>
      <c r="AF12" s="91"/>
      <c r="AG12" s="91"/>
      <c r="AH12" s="91"/>
      <c r="AI12" s="91"/>
      <c r="AJ12" s="91"/>
      <c r="AK12" s="91"/>
      <c r="AL12" s="91"/>
      <c r="AM12" s="91"/>
      <c r="AN12" s="91"/>
      <c r="AO12" s="91"/>
    </row>
    <row r="13" spans="1:41" x14ac:dyDescent="0.35">
      <c r="A13" s="43" t="s">
        <v>54</v>
      </c>
      <c r="F13" s="2"/>
      <c r="G13" s="2"/>
      <c r="H13" s="25">
        <f>AVERAGE(B69:B75)</f>
        <v>7.2285714285714278</v>
      </c>
      <c r="I13" s="165">
        <f>'Influent Results Master'!D33</f>
        <v>1518.6666666666667</v>
      </c>
      <c r="J13" s="165">
        <f>'Influent Results Master'!F33</f>
        <v>272</v>
      </c>
      <c r="K13" s="165">
        <f>'Influent Results Master'!G33</f>
        <v>214.7777777777778</v>
      </c>
      <c r="L13" s="165">
        <f>'Influent Results Master'!H33</f>
        <v>32.000000000000007</v>
      </c>
      <c r="M13" s="165">
        <f>'Influent Results Master'!I33</f>
        <v>25.222222222222225</v>
      </c>
      <c r="N13" s="165">
        <f>'Influent Results Master'!J33</f>
        <v>534.88888888888891</v>
      </c>
      <c r="O13" s="165">
        <f>'Influent Results Master'!K33</f>
        <v>23.444444444444443</v>
      </c>
      <c r="P13" s="165">
        <f>'Influent Results Master'!L33</f>
        <v>120.68888888888888</v>
      </c>
      <c r="Q13" s="165">
        <f>'Influent Results Master'!M33</f>
        <v>45.616666666666667</v>
      </c>
      <c r="R13" s="165">
        <f>'Influent Results Master'!N33</f>
        <v>192.36666666666667</v>
      </c>
      <c r="S13" s="165">
        <f>'Influent Results Master'!O33</f>
        <v>24.27333333333333</v>
      </c>
      <c r="T13" s="170">
        <f>'Influent Results Master'!P33</f>
        <v>5.9746666666666668</v>
      </c>
      <c r="U13" s="171">
        <f>'Influent Results Master'!Q33</f>
        <v>0.20000000000000004</v>
      </c>
      <c r="V13" s="176">
        <f>'Influent Results Master'!R33</f>
        <v>3.7333333333333329E-2</v>
      </c>
      <c r="W13" s="177">
        <f>'Influent Results Master'!S33</f>
        <v>0.02</v>
      </c>
      <c r="X13" s="176">
        <f>'Influent Results Master'!T33</f>
        <v>3.1111111111111114E-2</v>
      </c>
      <c r="Y13" s="177">
        <f>'Influent Results Master'!U33</f>
        <v>0.04</v>
      </c>
      <c r="Z13" s="170">
        <f>'Influent Results Master'!V33</f>
        <v>1.1833333333333333</v>
      </c>
      <c r="AB13" s="69">
        <f>((J13/50)+(L13/35.45)+(M13/62)+(N13/48.03))</f>
        <v>17.886048036252305</v>
      </c>
      <c r="AC13" s="69">
        <f>((P13/20.04)+(Q13/12.16)+(R13/22.99)+(T13/39.1))</f>
        <v>18.293981151875062</v>
      </c>
      <c r="AD13" s="69">
        <f>ABS((AB13-AC13)/(AB13+AC13)*100)</f>
        <v>1.1275090838141792</v>
      </c>
      <c r="AF13" s="91">
        <v>7.23</v>
      </c>
      <c r="AG13" s="91">
        <v>-0.55606900000000004</v>
      </c>
      <c r="AH13" s="91">
        <v>3.3300000000000003E-2</v>
      </c>
      <c r="AI13" s="91">
        <v>-0.92259999999999998</v>
      </c>
      <c r="AJ13" s="91">
        <v>-1.1722999999999999</v>
      </c>
      <c r="AK13" s="91">
        <v>-1.8418000000000001</v>
      </c>
      <c r="AL13" s="91">
        <v>-0.52980000000000005</v>
      </c>
      <c r="AM13" s="91">
        <v>-1.6101000000000001</v>
      </c>
      <c r="AN13" s="91">
        <v>-1.6896</v>
      </c>
      <c r="AO13" s="91">
        <v>-1.1631</v>
      </c>
    </row>
    <row r="14" spans="1:41" s="51" customFormat="1" x14ac:dyDescent="0.35">
      <c r="F14" s="52"/>
      <c r="G14" s="52"/>
      <c r="J14" s="56"/>
      <c r="K14" s="56"/>
      <c r="L14" s="31"/>
      <c r="M14" s="12"/>
      <c r="N14" s="56"/>
      <c r="O14" s="56"/>
      <c r="Q14" s="56"/>
      <c r="R14" s="56"/>
      <c r="S14" s="70"/>
      <c r="T14" s="70"/>
      <c r="U14" s="50"/>
      <c r="V14" s="50"/>
      <c r="X14" s="50"/>
      <c r="Z14" s="52"/>
      <c r="AB14" s="69"/>
      <c r="AC14" s="69"/>
      <c r="AD14" s="69"/>
      <c r="AF14" s="91"/>
      <c r="AG14" s="91"/>
      <c r="AH14" s="91"/>
      <c r="AI14" s="91"/>
      <c r="AJ14" s="91"/>
      <c r="AK14" s="91"/>
      <c r="AL14" s="91"/>
      <c r="AM14" s="91"/>
      <c r="AN14" s="91"/>
      <c r="AO14" s="91"/>
    </row>
    <row r="15" spans="1:41" x14ac:dyDescent="0.35">
      <c r="A15" s="43">
        <v>2</v>
      </c>
      <c r="B15" s="10">
        <v>43481</v>
      </c>
      <c r="C15" s="43">
        <v>1</v>
      </c>
      <c r="D15" s="43">
        <v>156</v>
      </c>
      <c r="E15" s="43">
        <v>156</v>
      </c>
      <c r="F15" s="2">
        <f t="shared" ref="F15:F21" si="0">D15/151</f>
        <v>1.0331125827814569</v>
      </c>
      <c r="G15" s="2">
        <v>1.03</v>
      </c>
      <c r="H15" s="43">
        <v>7.63</v>
      </c>
      <c r="I15" s="43">
        <v>3280</v>
      </c>
      <c r="J15" s="43">
        <v>329</v>
      </c>
      <c r="K15" s="43">
        <v>370</v>
      </c>
      <c r="L15" s="43">
        <v>101</v>
      </c>
      <c r="M15" s="191">
        <v>25</v>
      </c>
      <c r="N15" s="31">
        <v>1468</v>
      </c>
      <c r="O15" s="43">
        <v>114</v>
      </c>
      <c r="P15" s="70">
        <v>287.60000000000002</v>
      </c>
      <c r="Q15" s="70">
        <v>116.5</v>
      </c>
      <c r="R15" s="21">
        <v>470</v>
      </c>
      <c r="S15" s="49">
        <v>24.68</v>
      </c>
      <c r="T15" s="49">
        <v>16.760000000000002</v>
      </c>
      <c r="U15" s="174">
        <v>0.20599999999999999</v>
      </c>
      <c r="V15" s="174">
        <v>0.315</v>
      </c>
      <c r="W15" s="177">
        <v>0.02</v>
      </c>
      <c r="X15" s="174">
        <v>0.32</v>
      </c>
      <c r="Y15" s="177">
        <v>0.04</v>
      </c>
      <c r="Z15" s="172">
        <v>2.5640000000000001</v>
      </c>
      <c r="AB15" s="69">
        <f t="shared" ref="AB15:AB21" si="1">((J15/50)+(L15/35.45)+(M15/62)+(N15/48.03))</f>
        <v>40.396539711401118</v>
      </c>
      <c r="AC15" s="69">
        <f t="shared" ref="AC15:AC61" si="2">((P15/20.04)+(Q15/12.16)+(R15/22.99)+(T15/39.1))</f>
        <v>44.804205173106062</v>
      </c>
      <c r="AD15" s="69">
        <f t="shared" ref="AD15:AD61" si="3">ABS((AB15-AC15)/(AB15+AC15)*100)</f>
        <v>5.1732710408573324</v>
      </c>
      <c r="AF15" s="91">
        <v>7.63</v>
      </c>
      <c r="AG15" s="91">
        <v>6.3232299999999997</v>
      </c>
      <c r="AH15" s="91">
        <v>0.70920000000000005</v>
      </c>
      <c r="AI15" s="91">
        <v>-0.38179999999999997</v>
      </c>
      <c r="AJ15" s="91">
        <v>-0.63100000000000001</v>
      </c>
      <c r="AK15" s="91">
        <v>-2.1987000000000001</v>
      </c>
      <c r="AL15" s="91">
        <v>0.86150000000000004</v>
      </c>
      <c r="AM15" s="91">
        <v>-0.33689999999999998</v>
      </c>
      <c r="AN15" s="91">
        <v>-0.56820000000000004</v>
      </c>
      <c r="AO15" s="91">
        <v>-0.44769999999999999</v>
      </c>
    </row>
    <row r="16" spans="1:41" x14ac:dyDescent="0.35">
      <c r="A16" s="43">
        <v>2</v>
      </c>
      <c r="B16" s="10">
        <v>43482</v>
      </c>
      <c r="C16" s="31">
        <v>2</v>
      </c>
      <c r="D16" s="31">
        <v>155</v>
      </c>
      <c r="E16" s="31">
        <f t="shared" ref="E16:E21" si="4">E15+D16</f>
        <v>311</v>
      </c>
      <c r="F16" s="2">
        <f t="shared" si="0"/>
        <v>1.0264900662251655</v>
      </c>
      <c r="G16" s="25">
        <f t="shared" ref="G16:G21" si="5">G15+F16</f>
        <v>2.0564900662251655</v>
      </c>
      <c r="H16" s="25">
        <v>7.53</v>
      </c>
      <c r="I16" s="31">
        <v>1775</v>
      </c>
      <c r="J16" s="31">
        <v>337</v>
      </c>
      <c r="K16" s="31">
        <v>352</v>
      </c>
      <c r="L16" s="31">
        <v>52</v>
      </c>
      <c r="M16" s="27">
        <v>3.2</v>
      </c>
      <c r="N16" s="31">
        <v>582</v>
      </c>
      <c r="O16" s="31">
        <v>43</v>
      </c>
      <c r="P16" s="12">
        <v>108.4</v>
      </c>
      <c r="Q16" s="12">
        <v>40.479999999999997</v>
      </c>
      <c r="R16" s="21">
        <v>265.60000000000002</v>
      </c>
      <c r="S16" s="21">
        <v>25.01</v>
      </c>
      <c r="T16" s="21">
        <v>10.78</v>
      </c>
      <c r="U16" s="171">
        <v>0.2</v>
      </c>
      <c r="V16" s="11">
        <v>0.224</v>
      </c>
      <c r="W16" s="177">
        <v>0.02</v>
      </c>
      <c r="X16" s="11">
        <v>0.14699999999999999</v>
      </c>
      <c r="Y16" s="177">
        <v>0.04</v>
      </c>
      <c r="Z16" s="11">
        <v>0.98</v>
      </c>
      <c r="AB16" s="69">
        <f t="shared" si="1"/>
        <v>20.375894236560313</v>
      </c>
      <c r="AC16" s="69">
        <f t="shared" si="2"/>
        <v>20.566681394766572</v>
      </c>
      <c r="AD16" s="69">
        <f t="shared" si="3"/>
        <v>0.46598719124128513</v>
      </c>
      <c r="AF16" s="91">
        <v>7.53</v>
      </c>
      <c r="AG16" s="91">
        <v>4.0398500000000004</v>
      </c>
      <c r="AH16" s="91">
        <v>0.36280000000000001</v>
      </c>
      <c r="AI16" s="91">
        <v>-0.94279999999999997</v>
      </c>
      <c r="AJ16" s="91">
        <v>-1.1923999999999999</v>
      </c>
      <c r="AK16" s="91">
        <v>-2.0518000000000001</v>
      </c>
      <c r="AL16" s="91">
        <v>0.122</v>
      </c>
      <c r="AM16" s="91">
        <v>-0.56340000000000001</v>
      </c>
      <c r="AN16" s="91">
        <v>-0.92569999999999997</v>
      </c>
      <c r="AO16" s="91">
        <v>-0.84079999999999999</v>
      </c>
    </row>
    <row r="17" spans="1:41" x14ac:dyDescent="0.35">
      <c r="A17" s="43">
        <v>2</v>
      </c>
      <c r="B17" s="10">
        <v>43483</v>
      </c>
      <c r="C17" s="43">
        <v>3</v>
      </c>
      <c r="D17" s="43">
        <v>155</v>
      </c>
      <c r="E17" s="31">
        <f t="shared" si="4"/>
        <v>466</v>
      </c>
      <c r="F17" s="2">
        <f t="shared" si="0"/>
        <v>1.0264900662251655</v>
      </c>
      <c r="G17" s="25">
        <f t="shared" si="5"/>
        <v>3.0829801324503308</v>
      </c>
      <c r="H17" s="43">
        <v>7.42</v>
      </c>
      <c r="I17" s="43">
        <v>1653</v>
      </c>
      <c r="J17" s="43">
        <v>288</v>
      </c>
      <c r="K17" s="27">
        <v>306</v>
      </c>
      <c r="L17" s="27">
        <v>34</v>
      </c>
      <c r="M17" s="27">
        <v>4.7</v>
      </c>
      <c r="N17" s="31">
        <v>576</v>
      </c>
      <c r="O17" s="43">
        <v>35</v>
      </c>
      <c r="P17" s="70">
        <v>121.9</v>
      </c>
      <c r="Q17" s="70">
        <v>47.12</v>
      </c>
      <c r="R17" s="21">
        <v>230.4</v>
      </c>
      <c r="S17" s="21">
        <v>25.05</v>
      </c>
      <c r="T17" s="21">
        <v>10.73</v>
      </c>
      <c r="U17" s="171">
        <v>0.2</v>
      </c>
      <c r="V17" s="174">
        <v>0.13200000000000001</v>
      </c>
      <c r="W17" s="177">
        <v>0.02</v>
      </c>
      <c r="X17" s="11">
        <v>0.20200000000000001</v>
      </c>
      <c r="Y17" s="177">
        <v>0.04</v>
      </c>
      <c r="Z17" s="172">
        <v>1.054</v>
      </c>
      <c r="AB17" s="69">
        <f t="shared" si="1"/>
        <v>18.787408456354299</v>
      </c>
      <c r="AC17" s="69">
        <f t="shared" si="2"/>
        <v>20.254007470108885</v>
      </c>
      <c r="AD17" s="69">
        <f t="shared" si="3"/>
        <v>3.7565210660315476</v>
      </c>
      <c r="AF17" s="91">
        <v>7.42</v>
      </c>
      <c r="AG17" s="91">
        <v>7.8004199999999999</v>
      </c>
      <c r="AH17" s="91">
        <v>0.24560000000000001</v>
      </c>
      <c r="AI17" s="91">
        <v>-0.89370000000000005</v>
      </c>
      <c r="AJ17" s="91">
        <v>-1.1433</v>
      </c>
      <c r="AK17" s="91">
        <v>-2.0101</v>
      </c>
      <c r="AL17" s="91">
        <v>-9.6699999999999994E-2</v>
      </c>
      <c r="AM17" s="91">
        <v>-0.59519999999999995</v>
      </c>
      <c r="AN17" s="91">
        <v>-1.0912999999999999</v>
      </c>
      <c r="AO17" s="91">
        <v>-0.94240000000000002</v>
      </c>
    </row>
    <row r="18" spans="1:41" x14ac:dyDescent="0.35">
      <c r="A18" s="43">
        <v>2</v>
      </c>
      <c r="B18" s="10">
        <v>43484</v>
      </c>
      <c r="C18" s="31">
        <v>4</v>
      </c>
      <c r="D18" s="43">
        <v>154</v>
      </c>
      <c r="E18" s="31">
        <f t="shared" si="4"/>
        <v>620</v>
      </c>
      <c r="F18" s="2">
        <f t="shared" si="0"/>
        <v>1.0198675496688743</v>
      </c>
      <c r="G18" s="25">
        <f t="shared" si="5"/>
        <v>4.1028476821192053</v>
      </c>
      <c r="H18" s="43">
        <v>7.53</v>
      </c>
      <c r="I18" s="43">
        <v>1353</v>
      </c>
      <c r="J18" s="43">
        <v>290</v>
      </c>
      <c r="K18" s="27">
        <v>276</v>
      </c>
      <c r="L18" s="27">
        <v>35</v>
      </c>
      <c r="M18" s="27">
        <v>7.1</v>
      </c>
      <c r="N18" s="31">
        <v>588</v>
      </c>
      <c r="O18" s="43">
        <v>36</v>
      </c>
      <c r="P18" s="70">
        <v>123.7</v>
      </c>
      <c r="Q18" s="70">
        <v>49.87</v>
      </c>
      <c r="R18" s="21">
        <v>208.9</v>
      </c>
      <c r="S18" s="21">
        <v>24.52</v>
      </c>
      <c r="T18" s="21">
        <v>10.18</v>
      </c>
      <c r="U18" s="171">
        <v>0.2</v>
      </c>
      <c r="V18" s="174">
        <v>0.1</v>
      </c>
      <c r="W18" s="177">
        <v>0.02</v>
      </c>
      <c r="X18" s="11">
        <v>0.28699999999999998</v>
      </c>
      <c r="Y18" s="177">
        <v>0.04</v>
      </c>
      <c r="Z18" s="172">
        <v>1.093</v>
      </c>
      <c r="AB18" s="69">
        <f t="shared" si="1"/>
        <v>19.144170726079764</v>
      </c>
      <c r="AC18" s="69">
        <f t="shared" si="2"/>
        <v>19.620723436314936</v>
      </c>
      <c r="AD18" s="69">
        <f t="shared" si="3"/>
        <v>1.2293409295502973</v>
      </c>
      <c r="AF18" s="91">
        <v>7.53</v>
      </c>
      <c r="AG18" s="91">
        <v>5.1442699999999997</v>
      </c>
      <c r="AH18" s="91">
        <v>0.36220000000000002</v>
      </c>
      <c r="AI18" s="91">
        <v>-0.88100000000000001</v>
      </c>
      <c r="AJ18" s="91">
        <v>-1.1307</v>
      </c>
      <c r="AK18" s="91">
        <v>-2.1183999999999998</v>
      </c>
      <c r="AL18" s="91">
        <v>0.15679999999999999</v>
      </c>
      <c r="AM18" s="91">
        <v>-0.3322</v>
      </c>
      <c r="AN18" s="91">
        <v>-1.2067000000000001</v>
      </c>
      <c r="AO18" s="91">
        <v>-0.80549999999999999</v>
      </c>
    </row>
    <row r="19" spans="1:41" x14ac:dyDescent="0.35">
      <c r="A19" s="43">
        <v>2</v>
      </c>
      <c r="B19" s="10">
        <v>43485</v>
      </c>
      <c r="C19" s="43">
        <v>5</v>
      </c>
      <c r="D19" s="43">
        <v>153</v>
      </c>
      <c r="E19" s="31">
        <f t="shared" si="4"/>
        <v>773</v>
      </c>
      <c r="F19" s="2">
        <f t="shared" si="0"/>
        <v>1.0132450331125828</v>
      </c>
      <c r="G19" s="25">
        <f t="shared" si="5"/>
        <v>5.1160927152317885</v>
      </c>
      <c r="H19" s="43">
        <v>7.47</v>
      </c>
      <c r="I19" s="43">
        <v>1545</v>
      </c>
      <c r="J19" s="43">
        <v>278</v>
      </c>
      <c r="K19" s="27">
        <v>246</v>
      </c>
      <c r="L19" s="27">
        <v>34</v>
      </c>
      <c r="M19" s="27">
        <v>10</v>
      </c>
      <c r="N19" s="31">
        <v>594</v>
      </c>
      <c r="O19" s="43">
        <v>28</v>
      </c>
      <c r="P19" s="70">
        <v>118.9</v>
      </c>
      <c r="Q19" s="70">
        <v>48.06</v>
      </c>
      <c r="R19" s="21">
        <v>204.6</v>
      </c>
      <c r="S19" s="21">
        <v>24.1</v>
      </c>
      <c r="T19" s="18">
        <v>9.7919999999999998</v>
      </c>
      <c r="U19" s="171">
        <v>0.2</v>
      </c>
      <c r="V19" s="30">
        <v>8.4000000000000005E-2</v>
      </c>
      <c r="W19" s="177">
        <v>0.02</v>
      </c>
      <c r="X19" s="11">
        <v>0.35299999999999998</v>
      </c>
      <c r="Y19" s="177">
        <v>0.04</v>
      </c>
      <c r="Z19" s="172">
        <v>1.0669999999999999</v>
      </c>
      <c r="AB19" s="69">
        <f t="shared" si="1"/>
        <v>19.047658098714919</v>
      </c>
      <c r="AC19" s="69">
        <f t="shared" si="2"/>
        <v>19.035392677823051</v>
      </c>
      <c r="AD19" s="69">
        <f t="shared" si="3"/>
        <v>3.2207033422397557E-2</v>
      </c>
      <c r="AF19" s="91">
        <v>7.47</v>
      </c>
      <c r="AG19" s="91">
        <v>3.6924800000000002</v>
      </c>
      <c r="AH19" s="91">
        <v>0.26750000000000002</v>
      </c>
      <c r="AI19" s="91">
        <v>-0.89</v>
      </c>
      <c r="AJ19" s="91">
        <v>-1.1395999999999999</v>
      </c>
      <c r="AK19" s="91">
        <v>-2.0750000000000002</v>
      </c>
      <c r="AL19" s="91">
        <v>-3.2500000000000001E-2</v>
      </c>
      <c r="AM19" s="91">
        <v>-0.318</v>
      </c>
      <c r="AN19" s="91">
        <v>-1.2990999999999999</v>
      </c>
      <c r="AO19" s="91">
        <v>-0.9</v>
      </c>
    </row>
    <row r="20" spans="1:41" x14ac:dyDescent="0.35">
      <c r="A20" s="43">
        <v>2</v>
      </c>
      <c r="B20" s="10">
        <v>43486</v>
      </c>
      <c r="C20" s="31">
        <v>6</v>
      </c>
      <c r="D20" s="43">
        <v>154</v>
      </c>
      <c r="E20" s="31">
        <f t="shared" si="4"/>
        <v>927</v>
      </c>
      <c r="F20" s="2">
        <f t="shared" si="0"/>
        <v>1.0198675496688743</v>
      </c>
      <c r="G20" s="25">
        <f t="shared" si="5"/>
        <v>6.135960264900663</v>
      </c>
      <c r="H20" s="43">
        <v>7.46</v>
      </c>
      <c r="I20" s="43">
        <v>1523</v>
      </c>
      <c r="J20" s="43">
        <v>252</v>
      </c>
      <c r="K20" s="27">
        <v>238</v>
      </c>
      <c r="L20" s="27">
        <v>34</v>
      </c>
      <c r="M20" s="191">
        <v>13</v>
      </c>
      <c r="N20" s="31">
        <v>591</v>
      </c>
      <c r="O20" s="43">
        <v>27</v>
      </c>
      <c r="P20" s="70">
        <v>119.2</v>
      </c>
      <c r="Q20" s="70">
        <v>49.26</v>
      </c>
      <c r="R20" s="21">
        <v>208</v>
      </c>
      <c r="S20" s="21">
        <v>24.16</v>
      </c>
      <c r="T20" s="18">
        <v>9.8439999999999994</v>
      </c>
      <c r="U20" s="171">
        <v>0.2</v>
      </c>
      <c r="V20" s="30">
        <v>6.6000000000000003E-2</v>
      </c>
      <c r="W20" s="177">
        <v>0.02</v>
      </c>
      <c r="X20" s="11">
        <v>0.40300000000000002</v>
      </c>
      <c r="Y20" s="177">
        <v>0.04</v>
      </c>
      <c r="Z20" s="172">
        <v>1.054</v>
      </c>
      <c r="AB20" s="69">
        <f t="shared" si="1"/>
        <v>18.513584233590301</v>
      </c>
      <c r="AC20" s="69">
        <f t="shared" si="2"/>
        <v>19.298267258628101</v>
      </c>
      <c r="AD20" s="69">
        <f t="shared" si="3"/>
        <v>2.0752303684448954</v>
      </c>
      <c r="AF20" s="91">
        <v>7.46</v>
      </c>
      <c r="AG20" s="91">
        <v>3.0364200000000001</v>
      </c>
      <c r="AH20" s="91">
        <v>0.21540000000000001</v>
      </c>
      <c r="AI20" s="91">
        <v>-0.89329999999999998</v>
      </c>
      <c r="AJ20" s="91">
        <v>-1.1429</v>
      </c>
      <c r="AK20" s="91">
        <v>-2.1080000000000001</v>
      </c>
      <c r="AL20" s="91">
        <v>-0.12809999999999999</v>
      </c>
      <c r="AM20" s="91">
        <v>-0.3135</v>
      </c>
      <c r="AN20" s="91">
        <v>-1.4043000000000001</v>
      </c>
      <c r="AO20" s="91">
        <v>-0.94350000000000001</v>
      </c>
    </row>
    <row r="21" spans="1:41" x14ac:dyDescent="0.35">
      <c r="A21" s="43">
        <v>2</v>
      </c>
      <c r="B21" s="10">
        <v>43487</v>
      </c>
      <c r="C21" s="43">
        <v>7</v>
      </c>
      <c r="D21" s="43">
        <v>150</v>
      </c>
      <c r="E21" s="31">
        <f t="shared" si="4"/>
        <v>1077</v>
      </c>
      <c r="F21" s="2">
        <f t="shared" si="0"/>
        <v>0.99337748344370858</v>
      </c>
      <c r="G21" s="25">
        <f t="shared" si="5"/>
        <v>7.1293377483443718</v>
      </c>
      <c r="H21" s="43">
        <v>7.49</v>
      </c>
      <c r="I21" s="43">
        <v>1520</v>
      </c>
      <c r="J21" s="43">
        <v>244</v>
      </c>
      <c r="K21" s="27">
        <v>212</v>
      </c>
      <c r="L21" s="43">
        <v>30</v>
      </c>
      <c r="M21" s="191">
        <v>12</v>
      </c>
      <c r="N21" s="43">
        <v>534</v>
      </c>
      <c r="O21" s="43">
        <v>25</v>
      </c>
      <c r="P21" s="70">
        <v>120.4</v>
      </c>
      <c r="Q21" s="70">
        <v>49.08</v>
      </c>
      <c r="R21" s="49">
        <v>206.1</v>
      </c>
      <c r="S21" s="49">
        <v>23.82</v>
      </c>
      <c r="T21" s="49">
        <v>9.9629999999999992</v>
      </c>
      <c r="U21" s="171">
        <v>0.2</v>
      </c>
      <c r="V21" s="30">
        <v>0.06</v>
      </c>
      <c r="W21" s="177">
        <v>0.02</v>
      </c>
      <c r="X21" s="174">
        <v>0.432</v>
      </c>
      <c r="Y21" s="177">
        <v>0.04</v>
      </c>
      <c r="Z21" s="172">
        <v>1.0660000000000001</v>
      </c>
      <c r="AB21" s="69">
        <f t="shared" si="1"/>
        <v>17.03786194641134</v>
      </c>
      <c r="AC21" s="69">
        <f t="shared" si="2"/>
        <v>19.26374371673181</v>
      </c>
      <c r="AD21" s="69">
        <f t="shared" si="3"/>
        <v>6.1316344818884891</v>
      </c>
      <c r="AF21" s="91">
        <v>7.49</v>
      </c>
      <c r="AG21" s="91">
        <v>7.8623599999999998</v>
      </c>
      <c r="AH21" s="91">
        <v>0.249</v>
      </c>
      <c r="AI21" s="91">
        <v>-0.91930000000000001</v>
      </c>
      <c r="AJ21" s="91">
        <v>-1.169</v>
      </c>
      <c r="AK21" s="91">
        <v>-2.1518999999999999</v>
      </c>
      <c r="AL21" s="91">
        <v>-6.6100000000000006E-2</v>
      </c>
      <c r="AM21" s="91">
        <v>-0.25380000000000003</v>
      </c>
      <c r="AN21" s="91">
        <v>-1.4238999999999999</v>
      </c>
      <c r="AO21" s="91">
        <v>-0.91510000000000002</v>
      </c>
    </row>
    <row r="22" spans="1:41" x14ac:dyDescent="0.35">
      <c r="B22" s="10"/>
      <c r="E22" s="31"/>
      <c r="F22" s="25"/>
      <c r="G22" s="25"/>
      <c r="K22" s="27"/>
      <c r="L22" s="27"/>
      <c r="N22" s="31"/>
      <c r="R22" s="13"/>
      <c r="S22" s="13"/>
      <c r="T22" s="13"/>
      <c r="U22" s="11"/>
      <c r="V22" s="15"/>
      <c r="W22" s="7"/>
      <c r="X22" s="16"/>
      <c r="AB22" s="69"/>
      <c r="AC22" s="69"/>
      <c r="AD22" s="69"/>
      <c r="AF22" s="91"/>
      <c r="AG22" s="91"/>
      <c r="AH22" s="91"/>
      <c r="AI22" s="91"/>
      <c r="AJ22" s="91"/>
      <c r="AK22" s="91"/>
      <c r="AL22" s="91"/>
      <c r="AM22" s="91"/>
      <c r="AN22" s="91"/>
      <c r="AO22" s="91"/>
    </row>
    <row r="23" spans="1:41" x14ac:dyDescent="0.35">
      <c r="A23" s="43" t="s">
        <v>55</v>
      </c>
      <c r="F23" s="2"/>
      <c r="G23" s="2"/>
      <c r="H23" s="69">
        <f>AVERAGE(B76:B90)</f>
        <v>8.006000000000002</v>
      </c>
      <c r="I23" s="165">
        <f>'Influent Results Master'!D37</f>
        <v>792.8888888888888</v>
      </c>
      <c r="J23" s="165">
        <f>'Influent Results Master'!F37</f>
        <v>161.7777777777778</v>
      </c>
      <c r="K23" s="170">
        <f>'Influent Results Master'!G37</f>
        <v>7.1555555555555559</v>
      </c>
      <c r="L23" s="165">
        <f>'Influent Results Master'!H37</f>
        <v>11.777777777777779</v>
      </c>
      <c r="M23" s="170">
        <f>'Influent Results Master'!I37</f>
        <v>4.7</v>
      </c>
      <c r="N23" s="165">
        <f>'Influent Results Master'!J37</f>
        <v>323.22222222222223</v>
      </c>
      <c r="O23" s="165">
        <f>'Influent Results Master'!K37</f>
        <v>17.333333333333332</v>
      </c>
      <c r="P23" s="165">
        <f>'Influent Results Master'!L37</f>
        <v>110.73333333333333</v>
      </c>
      <c r="Q23" s="165">
        <f>'Influent Results Master'!M37</f>
        <v>36.826666666666675</v>
      </c>
      <c r="R23" s="165">
        <f>'Influent Results Master'!N37</f>
        <v>60.793333333333329</v>
      </c>
      <c r="S23" s="165">
        <f>'Influent Results Master'!O37</f>
        <v>12.273333333333333</v>
      </c>
      <c r="T23" s="170">
        <f>'Influent Results Master'!P37</f>
        <v>3.2865555555555557</v>
      </c>
      <c r="U23" s="171">
        <f>'Influent Results Master'!Q37</f>
        <v>0.20000000000000004</v>
      </c>
      <c r="V23" s="177">
        <f>'Influent Results Master'!R37</f>
        <v>0.02</v>
      </c>
      <c r="W23" s="177">
        <f>'Influent Results Master'!S37</f>
        <v>0.02</v>
      </c>
      <c r="X23" s="176">
        <f>'Influent Results Master'!T37</f>
        <v>4.3000000000000003E-2</v>
      </c>
      <c r="Y23" s="177">
        <f>'Influent Results Master'!U37</f>
        <v>0.04</v>
      </c>
      <c r="Z23" s="170">
        <f>'Influent Results Master'!V37</f>
        <v>1.2584444444444445</v>
      </c>
      <c r="AB23" s="69">
        <f>((J23/50)+(L23/35.45)+(M23/62)+(N23/48.03))</f>
        <v>10.373188636120361</v>
      </c>
      <c r="AC23" s="69">
        <f t="shared" si="2"/>
        <v>11.282517455045328</v>
      </c>
      <c r="AD23" s="69">
        <f t="shared" si="3"/>
        <v>4.1990264140864122</v>
      </c>
      <c r="AF23" s="91">
        <v>8.01</v>
      </c>
      <c r="AG23" s="91">
        <v>7.4676</v>
      </c>
      <c r="AH23" s="91">
        <v>0.61680000000000001</v>
      </c>
      <c r="AI23" s="91">
        <v>-1.0588</v>
      </c>
      <c r="AJ23" s="91">
        <v>-1.3087</v>
      </c>
      <c r="AK23" s="91">
        <v>-2.8633999999999999</v>
      </c>
      <c r="AL23" s="91">
        <v>0.57609999999999995</v>
      </c>
      <c r="AM23" s="91">
        <v>-0.84299999999999997</v>
      </c>
      <c r="AN23" s="91">
        <v>-1.8180000000000001</v>
      </c>
      <c r="AO23" s="91">
        <v>-0.64070000000000005</v>
      </c>
    </row>
    <row r="24" spans="1:41" s="68" customFormat="1" x14ac:dyDescent="0.35">
      <c r="F24" s="69"/>
      <c r="G24" s="69"/>
      <c r="M24" s="65"/>
      <c r="N24" s="27"/>
      <c r="O24" s="65"/>
      <c r="P24" s="65"/>
      <c r="Q24" s="65"/>
      <c r="R24" s="67"/>
      <c r="S24" s="67"/>
      <c r="T24" s="67"/>
      <c r="U24" s="67"/>
      <c r="V24" s="65"/>
      <c r="W24" s="66"/>
      <c r="X24" s="67"/>
      <c r="Y24" s="65"/>
      <c r="AB24" s="69"/>
      <c r="AC24" s="69"/>
      <c r="AD24" s="69"/>
      <c r="AF24" s="91"/>
      <c r="AG24" s="91"/>
      <c r="AH24" s="91"/>
      <c r="AI24" s="91"/>
      <c r="AJ24" s="91"/>
      <c r="AK24" s="91"/>
      <c r="AL24" s="91"/>
      <c r="AM24" s="91"/>
      <c r="AN24" s="91"/>
      <c r="AO24" s="91"/>
    </row>
    <row r="25" spans="1:41" x14ac:dyDescent="0.35">
      <c r="A25" s="43">
        <v>2</v>
      </c>
      <c r="B25" s="10">
        <v>43488</v>
      </c>
      <c r="C25" s="43">
        <v>8</v>
      </c>
      <c r="D25" s="43">
        <v>155</v>
      </c>
      <c r="E25" s="43">
        <f>E21+D25</f>
        <v>1232</v>
      </c>
      <c r="F25" s="69">
        <f t="shared" ref="F25:F39" si="6">D25/151</f>
        <v>1.0264900662251655</v>
      </c>
      <c r="G25" s="69">
        <f>G21+F25</f>
        <v>8.1558278145695375</v>
      </c>
      <c r="H25" s="43">
        <v>7.69</v>
      </c>
      <c r="I25" s="43">
        <v>1118</v>
      </c>
      <c r="J25" s="43">
        <v>227</v>
      </c>
      <c r="K25" s="43">
        <v>139</v>
      </c>
      <c r="L25" s="27">
        <v>15</v>
      </c>
      <c r="M25" s="170">
        <v>2.4</v>
      </c>
      <c r="N25" s="31">
        <v>422</v>
      </c>
      <c r="O25" s="43">
        <v>24</v>
      </c>
      <c r="P25" s="175">
        <v>77.87</v>
      </c>
      <c r="Q25" s="175">
        <v>30.99</v>
      </c>
      <c r="R25" s="175">
        <v>168.1</v>
      </c>
      <c r="S25" s="21">
        <v>22.99</v>
      </c>
      <c r="T25" s="18">
        <v>7.73</v>
      </c>
      <c r="U25" s="171">
        <v>0.2</v>
      </c>
      <c r="V25" s="161">
        <v>6.0999999999999999E-2</v>
      </c>
      <c r="W25" s="177">
        <v>0.02</v>
      </c>
      <c r="X25" s="31">
        <v>0.31</v>
      </c>
      <c r="Y25" s="177">
        <v>0.04</v>
      </c>
      <c r="Z25" s="25">
        <v>0.8</v>
      </c>
      <c r="AB25" s="69">
        <f t="shared" ref="AB25:AB39" si="7">((J25/50)+(L25/35.45)+(M25/62)+(N25/48.03))</f>
        <v>13.788016155181989</v>
      </c>
      <c r="AC25" s="69">
        <f t="shared" si="2"/>
        <v>13.943821217617618</v>
      </c>
      <c r="AD25" s="69">
        <f t="shared" si="3"/>
        <v>0.56182740559573718</v>
      </c>
      <c r="AF25" s="91">
        <v>7.69</v>
      </c>
      <c r="AG25" s="91">
        <v>3.6368200000000002</v>
      </c>
      <c r="AH25" s="91">
        <v>0.27110000000000001</v>
      </c>
      <c r="AI25" s="91">
        <v>-1.1265000000000001</v>
      </c>
      <c r="AJ25" s="91">
        <v>-1.3762000000000001</v>
      </c>
      <c r="AK25" s="91">
        <v>-2.3740000000000001</v>
      </c>
      <c r="AL25" s="91">
        <v>-3.39E-2</v>
      </c>
      <c r="AM25" s="91">
        <v>-0.1784</v>
      </c>
      <c r="AN25" s="91">
        <v>-1.5455000000000001</v>
      </c>
      <c r="AO25" s="91">
        <v>-0.90500000000000003</v>
      </c>
    </row>
    <row r="26" spans="1:41" x14ac:dyDescent="0.35">
      <c r="A26" s="43">
        <v>2</v>
      </c>
      <c r="B26" s="10">
        <v>43489</v>
      </c>
      <c r="C26" s="43">
        <v>9</v>
      </c>
      <c r="D26" s="43">
        <v>151</v>
      </c>
      <c r="E26" s="31">
        <f t="shared" ref="E26:E39" si="8">D26+E25</f>
        <v>1383</v>
      </c>
      <c r="F26" s="25">
        <f t="shared" si="6"/>
        <v>1</v>
      </c>
      <c r="G26" s="25">
        <f t="shared" ref="G26:G39" si="9">G25+F26</f>
        <v>9.1558278145695375</v>
      </c>
      <c r="H26" s="43">
        <v>7.64</v>
      </c>
      <c r="I26" s="43">
        <v>1050</v>
      </c>
      <c r="J26" s="43">
        <v>184</v>
      </c>
      <c r="K26" s="27">
        <v>97</v>
      </c>
      <c r="L26" s="27">
        <v>13</v>
      </c>
      <c r="M26" s="172">
        <v>1.4</v>
      </c>
      <c r="N26" s="31">
        <v>405</v>
      </c>
      <c r="O26" s="43">
        <v>23</v>
      </c>
      <c r="P26" s="175">
        <v>56.28</v>
      </c>
      <c r="Q26" s="175">
        <v>22.86</v>
      </c>
      <c r="R26" s="175">
        <v>129.9</v>
      </c>
      <c r="S26" s="175">
        <v>19.440000000000001</v>
      </c>
      <c r="T26" s="172">
        <v>6.2519999999999998</v>
      </c>
      <c r="U26" s="171">
        <v>0.2</v>
      </c>
      <c r="V26" s="80">
        <v>0.02</v>
      </c>
      <c r="W26" s="177">
        <v>0.02</v>
      </c>
      <c r="X26" s="32">
        <v>0.28199999999999997</v>
      </c>
      <c r="Y26" s="177">
        <v>0.04</v>
      </c>
      <c r="Z26" s="163">
        <v>0.67300000000000004</v>
      </c>
      <c r="AB26" s="69">
        <f t="shared" si="7"/>
        <v>12.501524182742262</v>
      </c>
      <c r="AC26" s="69">
        <f t="shared" si="2"/>
        <v>10.498497873891413</v>
      </c>
      <c r="AD26" s="25">
        <f t="shared" si="3"/>
        <v>8.7088016868798412</v>
      </c>
      <c r="AF26" s="91">
        <v>7.64</v>
      </c>
      <c r="AG26" s="91">
        <v>-6.5965699999999998</v>
      </c>
      <c r="AH26" s="91">
        <v>7.4999999999999997E-3</v>
      </c>
      <c r="AI26" s="91">
        <v>-1.2426999999999999</v>
      </c>
      <c r="AJ26" s="91">
        <v>-1.4924999999999999</v>
      </c>
      <c r="AK26" s="91">
        <v>-2.4076</v>
      </c>
      <c r="AL26" s="91">
        <v>-0.55220000000000002</v>
      </c>
      <c r="AM26" s="91">
        <v>-0.33900000000000002</v>
      </c>
      <c r="AN26" s="91">
        <v>-2.1448999999999998</v>
      </c>
      <c r="AO26" s="91">
        <v>-1.1597999999999999</v>
      </c>
    </row>
    <row r="27" spans="1:41" x14ac:dyDescent="0.35">
      <c r="A27" s="43">
        <v>2</v>
      </c>
      <c r="B27" s="10">
        <v>43490</v>
      </c>
      <c r="C27" s="43">
        <v>10</v>
      </c>
      <c r="D27" s="43">
        <v>149</v>
      </c>
      <c r="E27" s="31">
        <f t="shared" si="8"/>
        <v>1532</v>
      </c>
      <c r="F27" s="25">
        <f t="shared" si="6"/>
        <v>0.98675496688741726</v>
      </c>
      <c r="G27" s="25">
        <f t="shared" si="9"/>
        <v>10.142582781456955</v>
      </c>
      <c r="H27" s="43">
        <v>7.45</v>
      </c>
      <c r="I27" s="43">
        <v>994</v>
      </c>
      <c r="J27" s="43">
        <v>182</v>
      </c>
      <c r="K27" s="27">
        <v>82</v>
      </c>
      <c r="L27" s="27">
        <v>12</v>
      </c>
      <c r="M27" s="172">
        <v>1.6</v>
      </c>
      <c r="N27" s="31">
        <v>404</v>
      </c>
      <c r="O27" s="43">
        <v>20</v>
      </c>
      <c r="P27" s="175">
        <v>77.41</v>
      </c>
      <c r="Q27" s="175">
        <v>28.57</v>
      </c>
      <c r="R27" s="175">
        <v>103.9</v>
      </c>
      <c r="S27" s="175">
        <v>20.7</v>
      </c>
      <c r="T27" s="172">
        <v>7.3079999999999998</v>
      </c>
      <c r="U27" s="171">
        <v>0.2</v>
      </c>
      <c r="V27" s="80">
        <v>0.02</v>
      </c>
      <c r="W27" s="177">
        <v>0.02</v>
      </c>
      <c r="X27" s="32">
        <v>0.34100000000000003</v>
      </c>
      <c r="Y27" s="177">
        <v>0.04</v>
      </c>
      <c r="Z27" s="163">
        <v>0.78</v>
      </c>
      <c r="AB27" s="69">
        <f t="shared" si="7"/>
        <v>12.415720923850078</v>
      </c>
      <c r="AC27" s="69">
        <f t="shared" si="2"/>
        <v>10.918542642733444</v>
      </c>
      <c r="AD27" s="69">
        <f t="shared" si="3"/>
        <v>6.4162225512045268</v>
      </c>
      <c r="AF27" s="91">
        <v>7.45</v>
      </c>
      <c r="AG27" s="91">
        <v>-4.1176700000000004</v>
      </c>
      <c r="AH27" s="91">
        <v>-4.6699999999999998E-2</v>
      </c>
      <c r="AI27" s="91">
        <v>-1.1196999999999999</v>
      </c>
      <c r="AJ27" s="91">
        <v>-1.3694999999999999</v>
      </c>
      <c r="AK27" s="91">
        <v>-2.2237</v>
      </c>
      <c r="AL27" s="91">
        <v>-0.70340000000000003</v>
      </c>
      <c r="AM27" s="91">
        <v>-0.4496</v>
      </c>
      <c r="AN27" s="91">
        <v>-2.0051999999999999</v>
      </c>
      <c r="AO27" s="91">
        <v>-1.2566999999999999</v>
      </c>
    </row>
    <row r="28" spans="1:41" x14ac:dyDescent="0.35">
      <c r="A28" s="43">
        <v>2</v>
      </c>
      <c r="B28" s="10">
        <v>43491</v>
      </c>
      <c r="C28" s="43">
        <v>11</v>
      </c>
      <c r="D28" s="43">
        <v>152</v>
      </c>
      <c r="E28" s="31">
        <f t="shared" si="8"/>
        <v>1684</v>
      </c>
      <c r="F28" s="25">
        <f t="shared" si="6"/>
        <v>1.0066225165562914</v>
      </c>
      <c r="G28" s="25">
        <f t="shared" si="9"/>
        <v>11.149205298013246</v>
      </c>
      <c r="H28" s="43">
        <v>7.51</v>
      </c>
      <c r="I28" s="43">
        <v>967</v>
      </c>
      <c r="J28" s="43">
        <v>181</v>
      </c>
      <c r="K28" s="27">
        <v>86</v>
      </c>
      <c r="L28" s="27">
        <v>12</v>
      </c>
      <c r="M28" s="172">
        <v>1.6</v>
      </c>
      <c r="N28" s="31">
        <v>404</v>
      </c>
      <c r="O28" s="43">
        <v>19</v>
      </c>
      <c r="P28" s="175">
        <v>99.25</v>
      </c>
      <c r="Q28" s="175">
        <v>38.24</v>
      </c>
      <c r="R28" s="175">
        <v>75.52</v>
      </c>
      <c r="S28" s="175">
        <v>21.66</v>
      </c>
      <c r="T28" s="172">
        <v>6.4539999999999997</v>
      </c>
      <c r="U28" s="171">
        <v>0.2</v>
      </c>
      <c r="V28" s="80">
        <v>0.02</v>
      </c>
      <c r="W28" s="177">
        <v>0.02</v>
      </c>
      <c r="X28" s="32">
        <v>0.42599999999999999</v>
      </c>
      <c r="Y28" s="177">
        <v>0.04</v>
      </c>
      <c r="Z28" s="163">
        <v>0.88400000000000001</v>
      </c>
      <c r="AB28" s="69">
        <f t="shared" si="7"/>
        <v>12.395720923850078</v>
      </c>
      <c r="AC28" s="69">
        <f t="shared" si="2"/>
        <v>11.547302072182161</v>
      </c>
      <c r="AD28" s="69">
        <f t="shared" si="3"/>
        <v>3.5434909443494851</v>
      </c>
      <c r="AF28" s="91">
        <v>7.51</v>
      </c>
      <c r="AG28" s="91">
        <v>-0.83767199999999997</v>
      </c>
      <c r="AH28" s="91">
        <v>0.1162</v>
      </c>
      <c r="AI28" s="91">
        <v>-1.0311999999999999</v>
      </c>
      <c r="AJ28" s="91">
        <v>-1.2808999999999999</v>
      </c>
      <c r="AK28" s="91">
        <v>-2.2907000000000002</v>
      </c>
      <c r="AL28" s="91">
        <v>-0.35970000000000002</v>
      </c>
      <c r="AM28" s="91">
        <v>-0.29499999999999998</v>
      </c>
      <c r="AN28" s="91">
        <v>-1.8987000000000001</v>
      </c>
      <c r="AO28" s="91">
        <v>-1.0760000000000001</v>
      </c>
    </row>
    <row r="29" spans="1:41" x14ac:dyDescent="0.35">
      <c r="A29" s="43">
        <v>2</v>
      </c>
      <c r="B29" s="28">
        <v>43492</v>
      </c>
      <c r="C29" s="43">
        <v>12</v>
      </c>
      <c r="D29" s="43">
        <v>151</v>
      </c>
      <c r="E29" s="31">
        <f t="shared" si="8"/>
        <v>1835</v>
      </c>
      <c r="F29" s="25">
        <f t="shared" si="6"/>
        <v>1</v>
      </c>
      <c r="G29" s="25">
        <f t="shared" si="9"/>
        <v>12.149205298013246</v>
      </c>
      <c r="H29" s="43">
        <v>7.55</v>
      </c>
      <c r="I29" s="43">
        <v>959</v>
      </c>
      <c r="J29" s="43">
        <v>168</v>
      </c>
      <c r="K29" s="24">
        <v>87</v>
      </c>
      <c r="L29" s="24">
        <v>12</v>
      </c>
      <c r="M29" s="172">
        <v>1.7</v>
      </c>
      <c r="N29" s="31">
        <v>404</v>
      </c>
      <c r="O29" s="43">
        <v>18</v>
      </c>
      <c r="P29" s="175">
        <v>97.79</v>
      </c>
      <c r="Q29" s="175">
        <v>37.97</v>
      </c>
      <c r="R29" s="175">
        <v>63.36</v>
      </c>
      <c r="S29" s="175">
        <v>20.38</v>
      </c>
      <c r="T29" s="172">
        <v>5.8780000000000001</v>
      </c>
      <c r="U29" s="171">
        <v>0.2</v>
      </c>
      <c r="V29" s="80">
        <v>0.02</v>
      </c>
      <c r="W29" s="177">
        <v>0.02</v>
      </c>
      <c r="X29" s="32">
        <v>0.45100000000000001</v>
      </c>
      <c r="Y29" s="177">
        <v>0.04</v>
      </c>
      <c r="Z29" s="163">
        <v>0.92400000000000004</v>
      </c>
      <c r="AB29" s="69">
        <f t="shared" si="7"/>
        <v>12.137333827075885</v>
      </c>
      <c r="AC29" s="69">
        <f t="shared" si="2"/>
        <v>10.908586755761352</v>
      </c>
      <c r="AD29" s="69">
        <f t="shared" si="3"/>
        <v>5.3317335139547692</v>
      </c>
      <c r="AF29" s="91">
        <v>7.55</v>
      </c>
      <c r="AG29" s="91">
        <v>-3.1055100000000002</v>
      </c>
      <c r="AH29" s="91">
        <v>0.1197</v>
      </c>
      <c r="AI29" s="91">
        <v>-1.0324</v>
      </c>
      <c r="AJ29" s="91">
        <v>-1.2822</v>
      </c>
      <c r="AK29" s="91">
        <v>-2.3628</v>
      </c>
      <c r="AL29" s="91">
        <v>-0.34949999999999998</v>
      </c>
      <c r="AM29" s="91">
        <v>-0.2641</v>
      </c>
      <c r="AN29" s="91">
        <v>-1.9006000000000001</v>
      </c>
      <c r="AO29" s="91">
        <v>-1.0691999999999999</v>
      </c>
    </row>
    <row r="30" spans="1:41" x14ac:dyDescent="0.35">
      <c r="A30" s="43">
        <v>2</v>
      </c>
      <c r="B30" s="28">
        <v>43493</v>
      </c>
      <c r="C30" s="43">
        <v>13</v>
      </c>
      <c r="D30" s="43">
        <v>154</v>
      </c>
      <c r="E30" s="31">
        <f t="shared" si="8"/>
        <v>1989</v>
      </c>
      <c r="F30" s="25">
        <f t="shared" si="6"/>
        <v>1.0198675496688743</v>
      </c>
      <c r="G30" s="25">
        <f t="shared" si="9"/>
        <v>13.16907284768212</v>
      </c>
      <c r="H30" s="43">
        <v>7.45</v>
      </c>
      <c r="I30" s="43">
        <v>953</v>
      </c>
      <c r="J30" s="43">
        <v>172</v>
      </c>
      <c r="K30" s="24">
        <v>82</v>
      </c>
      <c r="L30" s="24">
        <v>12</v>
      </c>
      <c r="M30" s="172">
        <v>1.8</v>
      </c>
      <c r="N30" s="31">
        <v>404</v>
      </c>
      <c r="O30" s="43">
        <v>18</v>
      </c>
      <c r="P30" s="175">
        <v>97.56</v>
      </c>
      <c r="Q30" s="175">
        <v>36.56</v>
      </c>
      <c r="R30" s="175">
        <v>56.99</v>
      </c>
      <c r="S30" s="175">
        <v>19.739999999999998</v>
      </c>
      <c r="T30" s="172">
        <v>5.5030000000000001</v>
      </c>
      <c r="U30" s="171">
        <v>0.2</v>
      </c>
      <c r="V30" s="30">
        <v>3.1E-2</v>
      </c>
      <c r="W30" s="177">
        <v>0.02</v>
      </c>
      <c r="X30" s="65">
        <v>0.48</v>
      </c>
      <c r="Y30" s="177">
        <v>0.04</v>
      </c>
      <c r="Z30" s="170">
        <v>1.02</v>
      </c>
      <c r="AB30" s="69">
        <f t="shared" si="7"/>
        <v>12.21894673030169</v>
      </c>
      <c r="AC30" s="69">
        <f t="shared" si="2"/>
        <v>10.494487979650224</v>
      </c>
      <c r="AD30" s="25">
        <f t="shared" si="3"/>
        <v>7.5922412117436968</v>
      </c>
      <c r="AF30" s="91">
        <v>7.45</v>
      </c>
      <c r="AG30" s="91">
        <v>-5.6961000000000004</v>
      </c>
      <c r="AH30" s="91">
        <v>3.1E-2</v>
      </c>
      <c r="AI30" s="91">
        <v>-1.0305</v>
      </c>
      <c r="AJ30" s="91">
        <v>-1.2803</v>
      </c>
      <c r="AK30" s="91">
        <v>-2.2509999999999999</v>
      </c>
      <c r="AL30" s="91">
        <v>-0.54239999999999999</v>
      </c>
      <c r="AM30" s="91">
        <v>-0.3236</v>
      </c>
      <c r="AN30" s="91">
        <v>-1.7097</v>
      </c>
      <c r="AO30" s="91">
        <v>-1.1734</v>
      </c>
    </row>
    <row r="31" spans="1:41" x14ac:dyDescent="0.35">
      <c r="A31" s="43">
        <v>2</v>
      </c>
      <c r="B31" s="28">
        <v>43494</v>
      </c>
      <c r="C31" s="68">
        <v>14</v>
      </c>
      <c r="D31" s="43">
        <v>154</v>
      </c>
      <c r="E31" s="31">
        <f t="shared" si="8"/>
        <v>2143</v>
      </c>
      <c r="F31" s="25">
        <f t="shared" si="6"/>
        <v>1.0198675496688743</v>
      </c>
      <c r="G31" s="25">
        <f t="shared" si="9"/>
        <v>14.188940397350994</v>
      </c>
      <c r="H31" s="43">
        <v>7.56</v>
      </c>
      <c r="I31" s="43">
        <v>958</v>
      </c>
      <c r="J31" s="43">
        <v>171</v>
      </c>
      <c r="K31" s="24">
        <v>80</v>
      </c>
      <c r="L31" s="24">
        <v>11</v>
      </c>
      <c r="M31" s="172">
        <v>1.7</v>
      </c>
      <c r="N31" s="31">
        <v>344</v>
      </c>
      <c r="O31" s="43">
        <v>19</v>
      </c>
      <c r="P31" s="175">
        <v>92.89</v>
      </c>
      <c r="Q31" s="175">
        <v>34.43</v>
      </c>
      <c r="R31" s="175">
        <v>53.09</v>
      </c>
      <c r="S31" s="175">
        <v>18.649999999999999</v>
      </c>
      <c r="T31" s="172">
        <v>4.8819999999999997</v>
      </c>
      <c r="U31" s="171">
        <v>0.2</v>
      </c>
      <c r="V31" s="80">
        <v>0.02</v>
      </c>
      <c r="W31" s="177">
        <v>0.02</v>
      </c>
      <c r="X31" s="174">
        <v>0.47799999999999998</v>
      </c>
      <c r="Y31" s="177">
        <v>0.04</v>
      </c>
      <c r="Z31" s="163">
        <v>0.90900000000000003</v>
      </c>
      <c r="AB31" s="69">
        <f t="shared" si="7"/>
        <v>10.919905844388758</v>
      </c>
      <c r="AC31" s="69">
        <f t="shared" si="2"/>
        <v>9.9007682474223824</v>
      </c>
      <c r="AD31" s="69">
        <f t="shared" si="3"/>
        <v>4.8948347804320456</v>
      </c>
      <c r="AF31" s="91">
        <v>7.56</v>
      </c>
      <c r="AG31" s="91">
        <v>-2.1360800000000002</v>
      </c>
      <c r="AH31" s="91">
        <v>0.13639999999999999</v>
      </c>
      <c r="AI31" s="91">
        <v>-1.0958000000000001</v>
      </c>
      <c r="AJ31" s="91">
        <v>-1.3456999999999999</v>
      </c>
      <c r="AK31" s="91">
        <v>-2.3626999999999998</v>
      </c>
      <c r="AL31" s="91">
        <v>-0.33779999999999999</v>
      </c>
      <c r="AM31" s="91">
        <v>-0.19850000000000001</v>
      </c>
      <c r="AN31" s="91">
        <v>-1.8951</v>
      </c>
      <c r="AO31" s="91">
        <v>-1.0742</v>
      </c>
    </row>
    <row r="32" spans="1:41" x14ac:dyDescent="0.35">
      <c r="A32" s="68">
        <v>2</v>
      </c>
      <c r="B32" s="28">
        <v>43495</v>
      </c>
      <c r="C32" s="68">
        <v>15</v>
      </c>
      <c r="D32" s="43">
        <v>164</v>
      </c>
      <c r="E32" s="31">
        <f t="shared" si="8"/>
        <v>2307</v>
      </c>
      <c r="F32" s="25">
        <f t="shared" si="6"/>
        <v>1.0860927152317881</v>
      </c>
      <c r="G32" s="25">
        <f t="shared" si="9"/>
        <v>15.275033112582781</v>
      </c>
      <c r="H32" s="43">
        <v>7.6</v>
      </c>
      <c r="I32" s="43">
        <v>945</v>
      </c>
      <c r="J32" s="43">
        <v>170</v>
      </c>
      <c r="K32" s="24">
        <v>77</v>
      </c>
      <c r="L32" s="24">
        <v>12</v>
      </c>
      <c r="M32" s="172">
        <v>2</v>
      </c>
      <c r="N32" s="31">
        <v>343</v>
      </c>
      <c r="O32" s="43">
        <v>18</v>
      </c>
      <c r="P32" s="165">
        <v>102.8</v>
      </c>
      <c r="Q32" s="165">
        <v>41.67</v>
      </c>
      <c r="R32" s="175">
        <v>65.319999999999993</v>
      </c>
      <c r="S32" s="175">
        <v>21.41</v>
      </c>
      <c r="T32" s="172">
        <v>6.141</v>
      </c>
      <c r="U32" s="171">
        <v>0.2</v>
      </c>
      <c r="V32" s="177">
        <v>0.02</v>
      </c>
      <c r="W32" s="177">
        <v>0.02</v>
      </c>
      <c r="X32" s="174">
        <v>0.52800000000000002</v>
      </c>
      <c r="Y32" s="177">
        <v>0.04</v>
      </c>
      <c r="Z32" s="172">
        <v>1</v>
      </c>
      <c r="AB32" s="69">
        <f t="shared" si="7"/>
        <v>10.912132978144101</v>
      </c>
      <c r="AC32" s="69">
        <f t="shared" si="2"/>
        <v>11.554843872722023</v>
      </c>
      <c r="AD32" s="69">
        <f t="shared" si="3"/>
        <v>2.8606914888646662</v>
      </c>
      <c r="AF32" s="91">
        <v>7.6</v>
      </c>
      <c r="AG32" s="91">
        <v>6.9650499999999997</v>
      </c>
      <c r="AH32" s="91">
        <v>0.2122</v>
      </c>
      <c r="AI32" s="91">
        <v>-1.0716000000000001</v>
      </c>
      <c r="AJ32" s="91">
        <v>-1.3213999999999999</v>
      </c>
      <c r="AK32" s="91">
        <v>-2.4093</v>
      </c>
      <c r="AL32" s="91">
        <v>-0.1482</v>
      </c>
      <c r="AM32" s="91">
        <v>-0.12670000000000001</v>
      </c>
      <c r="AN32" s="91">
        <v>-1.9560999999999999</v>
      </c>
      <c r="AO32" s="91">
        <v>-0.96040000000000003</v>
      </c>
    </row>
    <row r="33" spans="1:44" s="68" customFormat="1" x14ac:dyDescent="0.35">
      <c r="A33" s="68">
        <v>2</v>
      </c>
      <c r="B33" s="28">
        <v>43496</v>
      </c>
      <c r="C33" s="68">
        <v>16</v>
      </c>
      <c r="D33" s="68">
        <v>151</v>
      </c>
      <c r="E33" s="31">
        <f t="shared" si="8"/>
        <v>2458</v>
      </c>
      <c r="F33" s="25">
        <f t="shared" si="6"/>
        <v>1</v>
      </c>
      <c r="G33" s="25">
        <f t="shared" si="9"/>
        <v>16.275033112582783</v>
      </c>
      <c r="H33" s="68">
        <v>7.41</v>
      </c>
      <c r="I33" s="68">
        <v>946</v>
      </c>
      <c r="J33" s="68">
        <v>171</v>
      </c>
      <c r="K33" s="65">
        <v>71</v>
      </c>
      <c r="L33" s="65">
        <v>12</v>
      </c>
      <c r="M33" s="172">
        <v>1.7</v>
      </c>
      <c r="N33" s="31">
        <v>344</v>
      </c>
      <c r="O33" s="68">
        <v>18</v>
      </c>
      <c r="P33" s="175">
        <v>107.7</v>
      </c>
      <c r="Q33" s="175">
        <v>43.17</v>
      </c>
      <c r="R33" s="175">
        <v>67.05</v>
      </c>
      <c r="S33" s="175">
        <v>22.41</v>
      </c>
      <c r="T33" s="172">
        <v>6.3689999999999998</v>
      </c>
      <c r="U33" s="171">
        <v>0.2</v>
      </c>
      <c r="V33" s="177">
        <v>0.02</v>
      </c>
      <c r="W33" s="177">
        <v>0.02</v>
      </c>
      <c r="X33" s="174">
        <v>0.51200000000000001</v>
      </c>
      <c r="Y33" s="177">
        <v>0.04</v>
      </c>
      <c r="Z33" s="172">
        <v>0.996</v>
      </c>
      <c r="AB33" s="69">
        <f t="shared" si="7"/>
        <v>10.948114589099619</v>
      </c>
      <c r="AC33" s="69">
        <f t="shared" si="2"/>
        <v>12.003791424712798</v>
      </c>
      <c r="AD33" s="69">
        <f t="shared" si="3"/>
        <v>4.5995170726904959</v>
      </c>
      <c r="AF33" s="91">
        <v>7.41</v>
      </c>
      <c r="AG33" s="91">
        <v>8.9808699999999995</v>
      </c>
      <c r="AH33" s="91">
        <v>4.5600000000000002E-2</v>
      </c>
      <c r="AI33" s="91">
        <v>-1.0559000000000001</v>
      </c>
      <c r="AJ33" s="91">
        <v>-1.3057000000000001</v>
      </c>
      <c r="AK33" s="91">
        <v>-2.2157</v>
      </c>
      <c r="AL33" s="91">
        <v>-0.48649999999999999</v>
      </c>
      <c r="AM33" s="91">
        <v>-0.32819999999999999</v>
      </c>
      <c r="AN33" s="91">
        <v>-1.9382999999999999</v>
      </c>
      <c r="AO33" s="91">
        <v>-1.1322000000000001</v>
      </c>
    </row>
    <row r="34" spans="1:44" s="68" customFormat="1" x14ac:dyDescent="0.35">
      <c r="A34" s="68">
        <v>2</v>
      </c>
      <c r="B34" s="28">
        <v>43497</v>
      </c>
      <c r="C34" s="68">
        <v>17</v>
      </c>
      <c r="D34" s="68">
        <v>152</v>
      </c>
      <c r="E34" s="31">
        <f t="shared" si="8"/>
        <v>2610</v>
      </c>
      <c r="F34" s="25">
        <f t="shared" si="6"/>
        <v>1.0066225165562914</v>
      </c>
      <c r="G34" s="25">
        <f t="shared" si="9"/>
        <v>17.281655629139074</v>
      </c>
      <c r="H34" s="68">
        <v>7.4</v>
      </c>
      <c r="I34" s="68">
        <v>952</v>
      </c>
      <c r="J34" s="68">
        <v>170</v>
      </c>
      <c r="K34" s="65">
        <v>73</v>
      </c>
      <c r="L34" s="65">
        <v>12</v>
      </c>
      <c r="M34" s="172">
        <v>1.6</v>
      </c>
      <c r="N34" s="31">
        <v>344</v>
      </c>
      <c r="O34" s="68">
        <v>17</v>
      </c>
      <c r="P34" s="175">
        <v>102.8</v>
      </c>
      <c r="Q34" s="175">
        <v>33.04</v>
      </c>
      <c r="R34" s="175">
        <v>59.18</v>
      </c>
      <c r="S34" s="175">
        <v>19.95</v>
      </c>
      <c r="T34" s="18">
        <v>5.99</v>
      </c>
      <c r="U34" s="171">
        <v>0.2</v>
      </c>
      <c r="V34" s="80">
        <v>0.02</v>
      </c>
      <c r="W34" s="177">
        <v>0.02</v>
      </c>
      <c r="X34" s="174">
        <v>0.504</v>
      </c>
      <c r="Y34" s="177">
        <v>0.04</v>
      </c>
      <c r="Z34" s="172">
        <v>1.018</v>
      </c>
      <c r="AB34" s="69">
        <f t="shared" si="7"/>
        <v>10.926501685873813</v>
      </c>
      <c r="AC34" s="69">
        <f t="shared" si="2"/>
        <v>10.5742053924921</v>
      </c>
      <c r="AD34" s="69">
        <f t="shared" si="3"/>
        <v>1.6385335240262606</v>
      </c>
      <c r="AF34" s="91">
        <v>7.4</v>
      </c>
      <c r="AG34" s="91">
        <v>1.16164</v>
      </c>
      <c r="AH34" s="91">
        <v>1.7899999999999999E-2</v>
      </c>
      <c r="AI34" s="91">
        <v>-1.0586</v>
      </c>
      <c r="AJ34" s="91">
        <v>-1.3084</v>
      </c>
      <c r="AK34" s="91">
        <v>-2.2050999999999998</v>
      </c>
      <c r="AL34" s="91">
        <v>-0.6371</v>
      </c>
      <c r="AM34" s="91">
        <v>-0.33950000000000002</v>
      </c>
      <c r="AN34" s="91">
        <v>-1.8534999999999999</v>
      </c>
      <c r="AO34" s="91">
        <v>-1.2551000000000001</v>
      </c>
      <c r="AQ34" s="20" t="s">
        <v>181</v>
      </c>
      <c r="AR34" s="20"/>
    </row>
    <row r="35" spans="1:44" s="68" customFormat="1" x14ac:dyDescent="0.35">
      <c r="A35" s="68">
        <v>2</v>
      </c>
      <c r="B35" s="28">
        <v>43498</v>
      </c>
      <c r="C35" s="68">
        <v>18</v>
      </c>
      <c r="D35" s="68">
        <v>150</v>
      </c>
      <c r="E35" s="31">
        <f t="shared" si="8"/>
        <v>2760</v>
      </c>
      <c r="F35" s="25">
        <f t="shared" si="6"/>
        <v>0.99337748344370858</v>
      </c>
      <c r="G35" s="25">
        <f t="shared" si="9"/>
        <v>18.275033112582783</v>
      </c>
      <c r="H35" s="68">
        <v>7.6</v>
      </c>
      <c r="I35" s="68">
        <v>935</v>
      </c>
      <c r="J35" s="68">
        <v>170</v>
      </c>
      <c r="K35" s="65">
        <v>70</v>
      </c>
      <c r="L35" s="65">
        <v>12</v>
      </c>
      <c r="M35" s="172">
        <v>1.5</v>
      </c>
      <c r="N35" s="31">
        <v>343</v>
      </c>
      <c r="O35" s="68">
        <v>20</v>
      </c>
      <c r="P35" s="175">
        <v>100.7</v>
      </c>
      <c r="Q35" s="175">
        <v>38.57</v>
      </c>
      <c r="R35" s="175">
        <v>61.98</v>
      </c>
      <c r="S35" s="175">
        <v>20.3</v>
      </c>
      <c r="T35" s="172">
        <v>5.5179999999999998</v>
      </c>
      <c r="U35" s="171">
        <v>0.2</v>
      </c>
      <c r="V35" s="80">
        <v>0.02</v>
      </c>
      <c r="W35" s="177">
        <v>0.02</v>
      </c>
      <c r="X35" s="25">
        <v>0.52400000000000002</v>
      </c>
      <c r="Y35" s="177">
        <v>0.04</v>
      </c>
      <c r="Z35" s="25">
        <v>0.99399999999999999</v>
      </c>
      <c r="AB35" s="69">
        <f t="shared" si="7"/>
        <v>10.904068462015069</v>
      </c>
      <c r="AC35" s="69">
        <f t="shared" si="2"/>
        <v>11.033905182433903</v>
      </c>
      <c r="AD35" s="69">
        <f t="shared" si="3"/>
        <v>0.59183552010368934</v>
      </c>
      <c r="AF35" s="91">
        <v>7.6</v>
      </c>
      <c r="AG35" s="91">
        <v>4.2662100000000001</v>
      </c>
      <c r="AH35" s="91">
        <v>0.2049</v>
      </c>
      <c r="AI35" s="91">
        <v>-1.0747</v>
      </c>
      <c r="AJ35" s="91">
        <v>-1.3245</v>
      </c>
      <c r="AK35" s="91">
        <v>-2.4081999999999999</v>
      </c>
      <c r="AL35" s="91">
        <v>-0.187</v>
      </c>
      <c r="AM35" s="91">
        <v>-0.12720000000000001</v>
      </c>
      <c r="AN35" s="91">
        <v>-1.8653999999999999</v>
      </c>
      <c r="AO35" s="91">
        <v>-0.99199999999999999</v>
      </c>
    </row>
    <row r="36" spans="1:44" s="68" customFormat="1" x14ac:dyDescent="0.35">
      <c r="A36" s="68">
        <v>2</v>
      </c>
      <c r="B36" s="28">
        <v>43499</v>
      </c>
      <c r="C36" s="68">
        <v>19</v>
      </c>
      <c r="D36" s="68">
        <v>156</v>
      </c>
      <c r="E36" s="31">
        <f t="shared" si="8"/>
        <v>2916</v>
      </c>
      <c r="F36" s="25">
        <f t="shared" si="6"/>
        <v>1.0331125827814569</v>
      </c>
      <c r="G36" s="25">
        <f t="shared" si="9"/>
        <v>19.308145695364239</v>
      </c>
      <c r="H36" s="68">
        <v>7.5</v>
      </c>
      <c r="I36" s="68">
        <v>936</v>
      </c>
      <c r="J36" s="68">
        <v>181</v>
      </c>
      <c r="K36" s="65">
        <v>71</v>
      </c>
      <c r="L36" s="65">
        <v>12</v>
      </c>
      <c r="M36" s="172">
        <v>1.5</v>
      </c>
      <c r="N36" s="31">
        <v>345</v>
      </c>
      <c r="O36" s="68">
        <v>17</v>
      </c>
      <c r="P36" s="175">
        <v>88.12</v>
      </c>
      <c r="Q36" s="175">
        <v>34.74</v>
      </c>
      <c r="R36" s="175">
        <v>54.1</v>
      </c>
      <c r="S36" s="175">
        <v>17.78</v>
      </c>
      <c r="T36" s="172">
        <v>4.798</v>
      </c>
      <c r="U36" s="171">
        <v>0.2</v>
      </c>
      <c r="V36" s="80">
        <v>0.02</v>
      </c>
      <c r="W36" s="177">
        <v>0.02</v>
      </c>
      <c r="X36" s="174">
        <v>0.53400000000000003</v>
      </c>
      <c r="Y36" s="177">
        <v>0.04</v>
      </c>
      <c r="Z36" s="172">
        <v>1.008</v>
      </c>
      <c r="AB36" s="69">
        <f t="shared" si="7"/>
        <v>11.165709103280944</v>
      </c>
      <c r="AC36" s="69">
        <f t="shared" si="2"/>
        <v>9.730021523193912</v>
      </c>
      <c r="AD36" s="69">
        <f t="shared" si="3"/>
        <v>6.8707220903202995</v>
      </c>
      <c r="AF36" s="91">
        <v>7.5</v>
      </c>
      <c r="AG36" s="91">
        <v>-4.3135399999999997</v>
      </c>
      <c r="AH36" s="91">
        <v>7.8E-2</v>
      </c>
      <c r="AI36" s="91">
        <v>-1.1161000000000001</v>
      </c>
      <c r="AJ36" s="91">
        <v>-1.3660000000000001</v>
      </c>
      <c r="AK36" s="91">
        <v>-2.2766999999999999</v>
      </c>
      <c r="AL36" s="91">
        <v>-0.42730000000000001</v>
      </c>
      <c r="AM36" s="91">
        <v>-0.18559999999999999</v>
      </c>
      <c r="AN36" s="91">
        <v>-1.9194</v>
      </c>
      <c r="AO36" s="91">
        <v>-1.1052999999999999</v>
      </c>
    </row>
    <row r="37" spans="1:44" s="68" customFormat="1" x14ac:dyDescent="0.35">
      <c r="A37" s="68">
        <v>2</v>
      </c>
      <c r="B37" s="28">
        <v>43500</v>
      </c>
      <c r="C37" s="68">
        <v>20</v>
      </c>
      <c r="D37" s="68">
        <v>156</v>
      </c>
      <c r="E37" s="31">
        <f t="shared" si="8"/>
        <v>3072</v>
      </c>
      <c r="F37" s="69">
        <f t="shared" si="6"/>
        <v>1.0331125827814569</v>
      </c>
      <c r="G37" s="25">
        <f t="shared" si="9"/>
        <v>20.341258278145695</v>
      </c>
      <c r="H37" s="68">
        <v>7.4</v>
      </c>
      <c r="I37" s="68">
        <v>941</v>
      </c>
      <c r="J37" s="68">
        <v>166</v>
      </c>
      <c r="K37" s="65">
        <v>60</v>
      </c>
      <c r="L37" s="65">
        <v>12</v>
      </c>
      <c r="M37" s="172">
        <v>1.4</v>
      </c>
      <c r="N37" s="31">
        <v>348</v>
      </c>
      <c r="O37" s="68">
        <v>18</v>
      </c>
      <c r="P37" s="175">
        <v>93.32</v>
      </c>
      <c r="Q37" s="175">
        <v>34.97</v>
      </c>
      <c r="R37" s="175">
        <v>53.47</v>
      </c>
      <c r="S37" s="175">
        <v>17.55</v>
      </c>
      <c r="T37" s="172">
        <v>4.8310000000000004</v>
      </c>
      <c r="U37" s="171">
        <v>0.2</v>
      </c>
      <c r="V37" s="80">
        <v>0.02</v>
      </c>
      <c r="W37" s="177">
        <v>0.02</v>
      </c>
      <c r="X37" s="174">
        <v>0.55200000000000005</v>
      </c>
      <c r="Y37" s="177">
        <v>0.04</v>
      </c>
      <c r="Z37" s="172">
        <v>1.03</v>
      </c>
      <c r="AB37" s="69">
        <f t="shared" si="7"/>
        <v>10.926557161953951</v>
      </c>
      <c r="AC37" s="69">
        <f t="shared" si="2"/>
        <v>9.9818578057813152</v>
      </c>
      <c r="AD37" s="69">
        <f t="shared" si="3"/>
        <v>4.5182734206798791</v>
      </c>
      <c r="AF37" s="91">
        <v>7.4</v>
      </c>
      <c r="AG37" s="91">
        <v>-1.80637</v>
      </c>
      <c r="AH37" s="91">
        <v>-3.3700000000000001E-2</v>
      </c>
      <c r="AI37" s="91">
        <v>-1.0906</v>
      </c>
      <c r="AJ37" s="91">
        <v>-1.3404</v>
      </c>
      <c r="AK37" s="91">
        <v>-2.2141000000000002</v>
      </c>
      <c r="AL37" s="91">
        <v>-0.6734</v>
      </c>
      <c r="AM37" s="91">
        <v>-0.30840000000000001</v>
      </c>
      <c r="AN37" s="91">
        <v>-1.8944000000000001</v>
      </c>
      <c r="AO37" s="91">
        <v>-1.2396</v>
      </c>
    </row>
    <row r="38" spans="1:44" s="68" customFormat="1" x14ac:dyDescent="0.35">
      <c r="A38" s="68">
        <v>2</v>
      </c>
      <c r="B38" s="28">
        <v>43501</v>
      </c>
      <c r="C38" s="68">
        <v>21</v>
      </c>
      <c r="D38" s="68">
        <v>152</v>
      </c>
      <c r="E38" s="31">
        <f t="shared" si="8"/>
        <v>3224</v>
      </c>
      <c r="F38" s="69">
        <f t="shared" si="6"/>
        <v>1.0066225165562914</v>
      </c>
      <c r="G38" s="25">
        <f t="shared" si="9"/>
        <v>21.347880794701986</v>
      </c>
      <c r="H38" s="68">
        <v>7.43</v>
      </c>
      <c r="I38" s="68">
        <v>942</v>
      </c>
      <c r="J38" s="68">
        <v>168</v>
      </c>
      <c r="K38" s="65">
        <v>65</v>
      </c>
      <c r="L38" s="65">
        <v>12</v>
      </c>
      <c r="M38" s="172">
        <v>1.4</v>
      </c>
      <c r="N38" s="31">
        <v>349</v>
      </c>
      <c r="O38" s="68">
        <v>17</v>
      </c>
      <c r="P38" s="165">
        <v>99.24</v>
      </c>
      <c r="Q38" s="165">
        <v>40.86</v>
      </c>
      <c r="R38" s="165">
        <v>59.67</v>
      </c>
      <c r="S38" s="165">
        <v>20.59</v>
      </c>
      <c r="T38" s="170">
        <v>5.8319999999999999</v>
      </c>
      <c r="U38" s="171">
        <v>0.2</v>
      </c>
      <c r="V38" s="177">
        <v>0.02</v>
      </c>
      <c r="W38" s="177">
        <v>0.02</v>
      </c>
      <c r="X38" s="25">
        <v>0.53300000000000003</v>
      </c>
      <c r="Y38" s="177">
        <v>0.04</v>
      </c>
      <c r="Z38" s="170">
        <v>1.06</v>
      </c>
      <c r="AB38" s="69">
        <f t="shared" si="7"/>
        <v>10.987377482586888</v>
      </c>
      <c r="AC38" s="69">
        <f t="shared" si="2"/>
        <v>11.056925481075352</v>
      </c>
      <c r="AD38" s="69">
        <f t="shared" si="3"/>
        <v>0.31549193731870856</v>
      </c>
      <c r="AF38" s="91">
        <v>7.43</v>
      </c>
      <c r="AG38" s="91">
        <v>3.8824800000000002</v>
      </c>
      <c r="AH38" s="91">
        <v>2.4E-2</v>
      </c>
      <c r="AI38" s="91">
        <v>-1.0759000000000001</v>
      </c>
      <c r="AJ38" s="91">
        <v>-1.3257000000000001</v>
      </c>
      <c r="AK38" s="91">
        <v>-2.2414999999999998</v>
      </c>
      <c r="AL38" s="91">
        <v>-0.51749999999999996</v>
      </c>
      <c r="AM38" s="91">
        <v>-0.29480000000000001</v>
      </c>
      <c r="AN38" s="91">
        <v>-1.8737999999999999</v>
      </c>
      <c r="AO38" s="91">
        <v>-1.1415999999999999</v>
      </c>
    </row>
    <row r="39" spans="1:44" s="68" customFormat="1" x14ac:dyDescent="0.35">
      <c r="A39" s="68">
        <v>2</v>
      </c>
      <c r="B39" s="28">
        <v>43502</v>
      </c>
      <c r="C39" s="68">
        <v>22</v>
      </c>
      <c r="D39" s="68">
        <v>154</v>
      </c>
      <c r="E39" s="31">
        <f t="shared" si="8"/>
        <v>3378</v>
      </c>
      <c r="F39" s="69">
        <f t="shared" si="6"/>
        <v>1.0198675496688743</v>
      </c>
      <c r="G39" s="25">
        <f t="shared" si="9"/>
        <v>22.36774834437086</v>
      </c>
      <c r="H39" s="68">
        <v>7.45</v>
      </c>
      <c r="I39" s="68">
        <v>938</v>
      </c>
      <c r="J39" s="68">
        <v>167</v>
      </c>
      <c r="K39" s="65">
        <v>66</v>
      </c>
      <c r="L39" s="65">
        <v>12</v>
      </c>
      <c r="M39" s="172">
        <v>2</v>
      </c>
      <c r="N39" s="31">
        <v>334</v>
      </c>
      <c r="O39" s="68">
        <v>16</v>
      </c>
      <c r="P39" s="165">
        <v>100.6</v>
      </c>
      <c r="Q39" s="165">
        <v>40.020000000000003</v>
      </c>
      <c r="R39" s="165">
        <v>60.01</v>
      </c>
      <c r="S39" s="165">
        <v>20.12</v>
      </c>
      <c r="T39" s="170">
        <v>5.5549999999999997</v>
      </c>
      <c r="U39" s="171">
        <v>0.2</v>
      </c>
      <c r="V39" s="177">
        <v>0.02</v>
      </c>
      <c r="W39" s="177">
        <v>0.02</v>
      </c>
      <c r="X39" s="163">
        <v>0.56399999999999995</v>
      </c>
      <c r="Y39" s="177">
        <v>0.04</v>
      </c>
      <c r="Z39" s="170">
        <v>1.0680000000000001</v>
      </c>
      <c r="AB39" s="69">
        <f t="shared" si="7"/>
        <v>10.66475009244766</v>
      </c>
      <c r="AC39" s="69">
        <f t="shared" si="2"/>
        <v>11.063415444899519</v>
      </c>
      <c r="AD39" s="69">
        <f t="shared" si="3"/>
        <v>1.8347860603630721</v>
      </c>
      <c r="AF39" s="91">
        <v>7.45</v>
      </c>
      <c r="AG39" s="91">
        <v>5.7960099999999999</v>
      </c>
      <c r="AH39" s="91">
        <v>5.1900000000000002E-2</v>
      </c>
      <c r="AI39" s="91">
        <v>-1.0844</v>
      </c>
      <c r="AJ39" s="91">
        <v>-1.3342000000000001</v>
      </c>
      <c r="AK39" s="91">
        <v>-2.2642000000000002</v>
      </c>
      <c r="AL39" s="91">
        <v>-0.4773</v>
      </c>
      <c r="AM39" s="91">
        <v>-0.24859999999999999</v>
      </c>
      <c r="AN39" s="91">
        <v>-1.8619000000000001</v>
      </c>
      <c r="AO39" s="91">
        <v>-1.1292</v>
      </c>
    </row>
    <row r="40" spans="1:44" s="68" customFormat="1" x14ac:dyDescent="0.35">
      <c r="B40" s="28"/>
      <c r="E40" s="31"/>
      <c r="F40" s="69"/>
      <c r="G40" s="25"/>
      <c r="K40" s="65"/>
      <c r="L40" s="65"/>
      <c r="N40" s="31"/>
      <c r="P40" s="66"/>
      <c r="Q40" s="65"/>
      <c r="R40" s="32"/>
      <c r="S40" s="32"/>
      <c r="T40" s="32"/>
      <c r="U40" s="67"/>
      <c r="AB40" s="69"/>
      <c r="AC40" s="69"/>
      <c r="AD40" s="69"/>
      <c r="AF40" s="91"/>
      <c r="AG40" s="91"/>
      <c r="AH40" s="91"/>
      <c r="AI40" s="91"/>
      <c r="AJ40" s="91"/>
      <c r="AK40" s="91"/>
      <c r="AL40" s="91"/>
      <c r="AM40" s="91"/>
      <c r="AN40" s="91"/>
      <c r="AO40" s="91"/>
    </row>
    <row r="41" spans="1:44" x14ac:dyDescent="0.35">
      <c r="A41" s="43" t="s">
        <v>54</v>
      </c>
      <c r="B41" s="28"/>
      <c r="E41" s="31"/>
      <c r="F41" s="69"/>
      <c r="G41" s="25"/>
      <c r="H41" s="69">
        <f>AVERAGE(B91:B98)</f>
        <v>7.1524999999999999</v>
      </c>
      <c r="I41" s="165">
        <f>'Influent Results Master'!D33</f>
        <v>1518.6666666666667</v>
      </c>
      <c r="J41" s="165">
        <f>'Influent Results Master'!F33</f>
        <v>272</v>
      </c>
      <c r="K41" s="165">
        <f>'Influent Results Master'!G33</f>
        <v>214.7777777777778</v>
      </c>
      <c r="L41" s="165">
        <f>'Influent Results Master'!H33</f>
        <v>32.000000000000007</v>
      </c>
      <c r="M41" s="165">
        <f>'Influent Results Master'!I33</f>
        <v>25.222222222222225</v>
      </c>
      <c r="N41" s="165">
        <f>'Influent Results Master'!J33</f>
        <v>534.88888888888891</v>
      </c>
      <c r="O41" s="165">
        <f>'Influent Results Master'!K33</f>
        <v>23.444444444444443</v>
      </c>
      <c r="P41" s="165">
        <f>'Influent Results Master'!L33</f>
        <v>120.68888888888888</v>
      </c>
      <c r="Q41" s="165">
        <f>'Influent Results Master'!M33</f>
        <v>45.616666666666667</v>
      </c>
      <c r="R41" s="165">
        <f>'Influent Results Master'!N33</f>
        <v>192.36666666666667</v>
      </c>
      <c r="S41" s="165">
        <f>'Influent Results Master'!O33</f>
        <v>24.27333333333333</v>
      </c>
      <c r="T41" s="170">
        <f>'Influent Results Master'!P33</f>
        <v>5.9746666666666668</v>
      </c>
      <c r="U41" s="171">
        <f>'Influent Results Master'!Q33</f>
        <v>0.20000000000000004</v>
      </c>
      <c r="V41" s="176">
        <f>'Influent Results Master'!R33</f>
        <v>3.7333333333333329E-2</v>
      </c>
      <c r="W41" s="177">
        <f>'Influent Results Master'!S33</f>
        <v>0.02</v>
      </c>
      <c r="X41" s="176">
        <f>'Influent Results Master'!T33</f>
        <v>3.1111111111111114E-2</v>
      </c>
      <c r="Y41" s="177">
        <f>'Influent Results Master'!U33</f>
        <v>0.04</v>
      </c>
      <c r="Z41" s="170">
        <f>'Influent Results Master'!V33</f>
        <v>1.1833333333333333</v>
      </c>
      <c r="AB41" s="69">
        <f>((J41/50)+(L41/35.45)+(M41/62)+(N41/48.03))</f>
        <v>17.886048036252305</v>
      </c>
      <c r="AC41" s="69">
        <f t="shared" si="2"/>
        <v>18.293981151875062</v>
      </c>
      <c r="AD41" s="69">
        <f t="shared" si="3"/>
        <v>1.1275090838141792</v>
      </c>
      <c r="AF41" s="91">
        <v>7.15</v>
      </c>
      <c r="AG41" s="91">
        <v>-0.55590600000000001</v>
      </c>
      <c r="AH41" s="91">
        <v>-4.6199999999999998E-2</v>
      </c>
      <c r="AI41" s="91">
        <v>-0.92249999999999999</v>
      </c>
      <c r="AJ41" s="91">
        <v>-1.1721999999999999</v>
      </c>
      <c r="AK41" s="91">
        <v>-1.7613000000000001</v>
      </c>
      <c r="AL41" s="91">
        <v>-0.68869999999999998</v>
      </c>
      <c r="AM41" s="91">
        <v>-1.6897</v>
      </c>
      <c r="AN41" s="91">
        <v>-1.6895</v>
      </c>
      <c r="AO41" s="91">
        <v>-1.2424999999999999</v>
      </c>
    </row>
    <row r="42" spans="1:44" s="68" customFormat="1" x14ac:dyDescent="0.35">
      <c r="B42" s="28"/>
      <c r="E42" s="31"/>
      <c r="F42" s="69"/>
      <c r="G42" s="25"/>
      <c r="K42" s="65"/>
      <c r="L42" s="65"/>
      <c r="N42" s="31"/>
      <c r="P42" s="66"/>
      <c r="Q42" s="65"/>
      <c r="R42" s="32"/>
      <c r="S42" s="32"/>
      <c r="T42" s="32"/>
      <c r="U42" s="67"/>
      <c r="AB42" s="69"/>
      <c r="AC42" s="69"/>
      <c r="AD42" s="69"/>
      <c r="AF42" s="91"/>
      <c r="AG42" s="91"/>
      <c r="AH42" s="91"/>
      <c r="AI42" s="91"/>
      <c r="AJ42" s="91"/>
      <c r="AK42" s="91"/>
      <c r="AL42" s="91"/>
      <c r="AM42" s="91"/>
      <c r="AN42" s="91"/>
      <c r="AO42" s="91"/>
    </row>
    <row r="43" spans="1:44" x14ac:dyDescent="0.35">
      <c r="A43" s="43">
        <v>2</v>
      </c>
      <c r="B43" s="28">
        <v>43503</v>
      </c>
      <c r="C43" s="43">
        <v>23</v>
      </c>
      <c r="D43" s="43">
        <v>153</v>
      </c>
      <c r="E43" s="31">
        <f>D43+E39</f>
        <v>3531</v>
      </c>
      <c r="F43" s="69">
        <f t="shared" ref="F43:F50" si="10">D43/151</f>
        <v>1.0132450331125828</v>
      </c>
      <c r="G43" s="25">
        <f>G39+F43</f>
        <v>23.380993377483442</v>
      </c>
      <c r="H43" s="43">
        <v>7.31</v>
      </c>
      <c r="I43" s="43">
        <v>1257</v>
      </c>
      <c r="J43" s="43">
        <v>220</v>
      </c>
      <c r="K43" s="24">
        <v>134</v>
      </c>
      <c r="L43" s="24">
        <v>31</v>
      </c>
      <c r="M43" s="43">
        <v>14</v>
      </c>
      <c r="N43" s="31">
        <v>453</v>
      </c>
      <c r="O43" s="43">
        <v>22</v>
      </c>
      <c r="P43" s="175">
        <v>153.6</v>
      </c>
      <c r="Q43" s="175">
        <v>61.97</v>
      </c>
      <c r="R43" s="175">
        <v>77.81</v>
      </c>
      <c r="S43" s="175">
        <v>21.08</v>
      </c>
      <c r="T43" s="172">
        <v>7.47</v>
      </c>
      <c r="U43" s="171">
        <v>0.2</v>
      </c>
      <c r="V43" s="177">
        <v>0.02</v>
      </c>
      <c r="W43" s="177">
        <v>0.02</v>
      </c>
      <c r="X43" s="163">
        <v>0.89100000000000001</v>
      </c>
      <c r="Y43" s="177">
        <v>0.04</v>
      </c>
      <c r="Z43" s="170">
        <v>1.5609999999999999</v>
      </c>
      <c r="AB43" s="69">
        <f t="shared" ref="AB43:AB50" si="11">((J43/50)+(L43/35.45)+(M43/62)+(N43/48.03))</f>
        <v>14.931882784370373</v>
      </c>
      <c r="AC43" s="69">
        <f t="shared" si="2"/>
        <v>16.336451363820753</v>
      </c>
      <c r="AD43" s="69">
        <f t="shared" si="3"/>
        <v>4.4919840398073614</v>
      </c>
      <c r="AF43" s="91">
        <v>7.31</v>
      </c>
      <c r="AG43" s="91">
        <v>2.9163600000000001</v>
      </c>
      <c r="AH43" s="91">
        <v>0.15670000000000001</v>
      </c>
      <c r="AI43" s="91">
        <v>-0.87439999999999996</v>
      </c>
      <c r="AJ43" s="91">
        <v>-1.1242000000000001</v>
      </c>
      <c r="AK43" s="91">
        <v>-2.0175000000000001</v>
      </c>
      <c r="AL43" s="91">
        <v>-0.2586</v>
      </c>
      <c r="AM43" s="91">
        <v>-0.14019999999999999</v>
      </c>
      <c r="AN43" s="91">
        <v>-1.7597</v>
      </c>
      <c r="AO43" s="91">
        <v>-1.0153000000000001</v>
      </c>
    </row>
    <row r="44" spans="1:44" x14ac:dyDescent="0.35">
      <c r="A44" s="43">
        <v>2</v>
      </c>
      <c r="B44" s="28">
        <v>43504</v>
      </c>
      <c r="C44" s="43">
        <v>24</v>
      </c>
      <c r="D44" s="43">
        <v>151</v>
      </c>
      <c r="E44" s="31">
        <f t="shared" ref="E44:E50" si="12">D44+E43</f>
        <v>3682</v>
      </c>
      <c r="F44" s="69">
        <f t="shared" si="10"/>
        <v>1</v>
      </c>
      <c r="G44" s="25">
        <f t="shared" ref="G44:G50" si="13">G43+F44</f>
        <v>24.380993377483442</v>
      </c>
      <c r="H44" s="43">
        <v>7.32</v>
      </c>
      <c r="I44" s="43">
        <v>1437</v>
      </c>
      <c r="J44" s="43">
        <v>274</v>
      </c>
      <c r="K44" s="24">
        <v>227</v>
      </c>
      <c r="L44" s="24">
        <v>36</v>
      </c>
      <c r="M44" s="43">
        <v>19</v>
      </c>
      <c r="N44" s="31">
        <v>510</v>
      </c>
      <c r="O44" s="43">
        <v>16</v>
      </c>
      <c r="P44" s="175">
        <v>157.1</v>
      </c>
      <c r="Q44" s="175">
        <v>65.55</v>
      </c>
      <c r="R44" s="175">
        <v>102.3</v>
      </c>
      <c r="S44" s="175">
        <v>19.77</v>
      </c>
      <c r="T44" s="172">
        <v>7.3579999999999997</v>
      </c>
      <c r="U44" s="171">
        <v>0.2</v>
      </c>
      <c r="V44" s="68">
        <v>2.9000000000000001E-2</v>
      </c>
      <c r="W44" s="177">
        <v>0.02</v>
      </c>
      <c r="X44" s="163">
        <v>0.97299999999999998</v>
      </c>
      <c r="Y44" s="177">
        <v>0.04</v>
      </c>
      <c r="Z44" s="170">
        <v>1.675</v>
      </c>
      <c r="AB44" s="69">
        <f t="shared" si="11"/>
        <v>17.420329945292451</v>
      </c>
      <c r="AC44" s="69">
        <f t="shared" si="2"/>
        <v>17.867891266058173</v>
      </c>
      <c r="AD44" s="69">
        <f t="shared" si="3"/>
        <v>1.268302298620146</v>
      </c>
      <c r="AF44" s="91">
        <v>7.32</v>
      </c>
      <c r="AG44" s="91">
        <v>1.57067</v>
      </c>
      <c r="AH44" s="91">
        <v>0.25119999999999998</v>
      </c>
      <c r="AI44" s="91">
        <v>-0.83850000000000002</v>
      </c>
      <c r="AJ44" s="91">
        <v>-1.0881000000000001</v>
      </c>
      <c r="AK44" s="91">
        <v>-1.9343999999999999</v>
      </c>
      <c r="AL44" s="91">
        <v>-5.3100000000000001E-2</v>
      </c>
      <c r="AM44" s="91">
        <v>-1.9E-2</v>
      </c>
      <c r="AN44" s="91">
        <v>-1.6155999999999999</v>
      </c>
      <c r="AO44" s="91">
        <v>-0.9042</v>
      </c>
    </row>
    <row r="45" spans="1:44" x14ac:dyDescent="0.35">
      <c r="A45" s="43">
        <v>2</v>
      </c>
      <c r="B45" s="28">
        <v>43505</v>
      </c>
      <c r="C45" s="43">
        <v>25</v>
      </c>
      <c r="D45" s="43">
        <v>152</v>
      </c>
      <c r="E45" s="31">
        <f t="shared" si="12"/>
        <v>3834</v>
      </c>
      <c r="F45" s="69">
        <f t="shared" si="10"/>
        <v>1.0066225165562914</v>
      </c>
      <c r="G45" s="25">
        <f t="shared" si="13"/>
        <v>25.387615894039733</v>
      </c>
      <c r="H45" s="43">
        <v>7.33</v>
      </c>
      <c r="I45" s="43">
        <v>1502</v>
      </c>
      <c r="J45" s="43">
        <v>273</v>
      </c>
      <c r="K45" s="24">
        <v>205</v>
      </c>
      <c r="L45" s="24">
        <v>36</v>
      </c>
      <c r="M45" s="43">
        <v>20</v>
      </c>
      <c r="N45" s="31">
        <v>529</v>
      </c>
      <c r="O45" s="43">
        <v>16</v>
      </c>
      <c r="P45" s="175">
        <v>125.9</v>
      </c>
      <c r="Q45" s="175">
        <v>53.03</v>
      </c>
      <c r="R45" s="175">
        <v>161.1</v>
      </c>
      <c r="S45" s="175">
        <v>18.48</v>
      </c>
      <c r="T45" s="172">
        <v>7.782</v>
      </c>
      <c r="U45" s="171">
        <v>0.2</v>
      </c>
      <c r="V45" s="68">
        <v>4.7E-2</v>
      </c>
      <c r="W45" s="177">
        <v>0.02</v>
      </c>
      <c r="X45" s="163">
        <v>0.75900000000000001</v>
      </c>
      <c r="Y45" s="177">
        <v>0.04</v>
      </c>
      <c r="Z45" s="170">
        <v>1.397</v>
      </c>
      <c r="AB45" s="69">
        <f t="shared" si="11"/>
        <v>17.812045069576332</v>
      </c>
      <c r="AC45" s="69">
        <f t="shared" si="2"/>
        <v>17.849877518931194</v>
      </c>
      <c r="AD45" s="69">
        <f t="shared" si="3"/>
        <v>0.10608639862578377</v>
      </c>
      <c r="AF45" s="91">
        <v>7.33</v>
      </c>
      <c r="AG45" s="91">
        <v>-5.7753199999999998E-2</v>
      </c>
      <c r="AH45" s="91">
        <v>0.15989999999999999</v>
      </c>
      <c r="AI45" s="91">
        <v>-0.90549999999999997</v>
      </c>
      <c r="AJ45" s="91">
        <v>-1.1551</v>
      </c>
      <c r="AK45" s="91">
        <v>-1.9420999999999999</v>
      </c>
      <c r="AL45" s="91">
        <v>-0.23019999999999999</v>
      </c>
      <c r="AM45" s="91">
        <v>-0.1195</v>
      </c>
      <c r="AN45" s="91">
        <v>-1.5087999999999999</v>
      </c>
      <c r="AO45" s="91">
        <v>-0.99009999999999998</v>
      </c>
    </row>
    <row r="46" spans="1:44" x14ac:dyDescent="0.35">
      <c r="A46" s="43">
        <v>2</v>
      </c>
      <c r="B46" s="28">
        <v>43506</v>
      </c>
      <c r="C46" s="43">
        <v>26</v>
      </c>
      <c r="D46" s="43">
        <v>152</v>
      </c>
      <c r="E46" s="31">
        <f t="shared" si="12"/>
        <v>3986</v>
      </c>
      <c r="F46" s="69">
        <f t="shared" si="10"/>
        <v>1.0066225165562914</v>
      </c>
      <c r="G46" s="25">
        <f t="shared" si="13"/>
        <v>26.394238410596024</v>
      </c>
      <c r="H46" s="43">
        <v>7.54</v>
      </c>
      <c r="I46" s="43">
        <v>1742</v>
      </c>
      <c r="J46" s="43">
        <v>278</v>
      </c>
      <c r="K46" s="24">
        <v>196</v>
      </c>
      <c r="L46" s="24">
        <v>36</v>
      </c>
      <c r="M46" s="43">
        <v>19</v>
      </c>
      <c r="N46" s="31">
        <v>530</v>
      </c>
      <c r="O46" s="43">
        <v>16</v>
      </c>
      <c r="P46" s="175">
        <v>115.4</v>
      </c>
      <c r="Q46" s="175">
        <v>48.93</v>
      </c>
      <c r="R46" s="175">
        <v>192.9</v>
      </c>
      <c r="S46" s="175">
        <v>17.97</v>
      </c>
      <c r="T46" s="172">
        <v>7.5739999999999998</v>
      </c>
      <c r="U46" s="171">
        <v>0.2</v>
      </c>
      <c r="V46" s="65">
        <v>5.3999999999999999E-2</v>
      </c>
      <c r="W46" s="177">
        <v>0.02</v>
      </c>
      <c r="X46" s="163">
        <v>0.70399999999999996</v>
      </c>
      <c r="Y46" s="177">
        <v>0.04</v>
      </c>
      <c r="Z46" s="170">
        <v>1.274</v>
      </c>
      <c r="AB46" s="69">
        <f t="shared" si="11"/>
        <v>17.916736357951205</v>
      </c>
      <c r="AC46" s="69">
        <f t="shared" si="2"/>
        <v>18.366644768740667</v>
      </c>
      <c r="AD46" s="69">
        <f t="shared" si="3"/>
        <v>1.2399847997034836</v>
      </c>
      <c r="AF46" s="91">
        <v>7.54</v>
      </c>
      <c r="AG46" s="91">
        <v>1.4603999999999999</v>
      </c>
      <c r="AH46" s="91">
        <v>0.33610000000000001</v>
      </c>
      <c r="AI46" s="91">
        <v>-0.9395</v>
      </c>
      <c r="AJ46" s="91">
        <v>-1.1891</v>
      </c>
      <c r="AK46" s="91">
        <v>-2.1452</v>
      </c>
      <c r="AL46" s="91">
        <v>0.12559999999999999</v>
      </c>
      <c r="AM46" s="91">
        <v>6.25E-2</v>
      </c>
      <c r="AN46" s="91">
        <v>-1.4896</v>
      </c>
      <c r="AO46" s="91">
        <v>-0.8105</v>
      </c>
    </row>
    <row r="47" spans="1:44" x14ac:dyDescent="0.35">
      <c r="A47" s="43">
        <v>2</v>
      </c>
      <c r="B47" s="28">
        <v>43507</v>
      </c>
      <c r="C47" s="68">
        <v>27</v>
      </c>
      <c r="D47" s="43">
        <v>151</v>
      </c>
      <c r="E47" s="31">
        <f t="shared" si="12"/>
        <v>4137</v>
      </c>
      <c r="F47" s="69">
        <f t="shared" si="10"/>
        <v>1</v>
      </c>
      <c r="G47" s="25">
        <f t="shared" si="13"/>
        <v>27.394238410596024</v>
      </c>
      <c r="H47" s="43">
        <v>7.53</v>
      </c>
      <c r="I47" s="43">
        <v>1490</v>
      </c>
      <c r="J47" s="43">
        <v>271</v>
      </c>
      <c r="K47" s="24">
        <v>183</v>
      </c>
      <c r="L47" s="24">
        <v>36</v>
      </c>
      <c r="M47" s="43">
        <v>19</v>
      </c>
      <c r="N47" s="31">
        <v>529</v>
      </c>
      <c r="O47" s="43">
        <v>16</v>
      </c>
      <c r="P47" s="175">
        <v>112.2</v>
      </c>
      <c r="Q47" s="175">
        <v>46.7</v>
      </c>
      <c r="R47" s="175">
        <v>195.3</v>
      </c>
      <c r="S47" s="175">
        <v>17.670000000000002</v>
      </c>
      <c r="T47" s="172">
        <v>7.9710000000000001</v>
      </c>
      <c r="U47" s="171">
        <v>0.2</v>
      </c>
      <c r="V47" s="43">
        <v>5.8000000000000003E-2</v>
      </c>
      <c r="W47" s="177">
        <v>0.02</v>
      </c>
      <c r="X47" s="163">
        <v>0.68799999999999994</v>
      </c>
      <c r="Y47" s="177">
        <v>0.04</v>
      </c>
      <c r="Z47" s="170">
        <v>1.284</v>
      </c>
      <c r="AB47" s="69">
        <f t="shared" si="11"/>
        <v>17.755916037318265</v>
      </c>
      <c r="AC47" s="69">
        <f t="shared" si="2"/>
        <v>18.138122639249858</v>
      </c>
      <c r="AD47" s="69">
        <f t="shared" si="3"/>
        <v>1.0648191622446201</v>
      </c>
      <c r="AF47" s="91">
        <v>7.53</v>
      </c>
      <c r="AG47" s="91">
        <v>1.1735199999999999</v>
      </c>
      <c r="AH47" s="91">
        <v>0.30420000000000003</v>
      </c>
      <c r="AI47" s="91">
        <v>-0.94850000000000001</v>
      </c>
      <c r="AJ47" s="91">
        <v>-1.1980999999999999</v>
      </c>
      <c r="AK47" s="91">
        <v>-2.1454</v>
      </c>
      <c r="AL47" s="91">
        <v>5.3900000000000003E-2</v>
      </c>
      <c r="AM47" s="91">
        <v>3.3500000000000002E-2</v>
      </c>
      <c r="AN47" s="91">
        <v>-1.4692000000000001</v>
      </c>
      <c r="AO47" s="91">
        <v>-0.85040000000000004</v>
      </c>
    </row>
    <row r="48" spans="1:44" x14ac:dyDescent="0.35">
      <c r="A48" s="43">
        <v>2</v>
      </c>
      <c r="B48" s="28">
        <v>43508</v>
      </c>
      <c r="C48" s="68">
        <v>28</v>
      </c>
      <c r="D48" s="43">
        <v>151</v>
      </c>
      <c r="E48" s="31">
        <f t="shared" si="12"/>
        <v>4288</v>
      </c>
      <c r="F48" s="69">
        <f t="shared" si="10"/>
        <v>1</v>
      </c>
      <c r="G48" s="25">
        <f t="shared" si="13"/>
        <v>28.394238410596024</v>
      </c>
      <c r="H48" s="43">
        <v>7.49</v>
      </c>
      <c r="I48" s="43">
        <v>1504</v>
      </c>
      <c r="J48" s="43">
        <v>269</v>
      </c>
      <c r="K48" s="24">
        <v>184</v>
      </c>
      <c r="L48" s="24">
        <v>36</v>
      </c>
      <c r="M48" s="43">
        <v>19</v>
      </c>
      <c r="N48" s="31">
        <v>534</v>
      </c>
      <c r="O48" s="43">
        <v>23</v>
      </c>
      <c r="P48" s="175">
        <v>114.2</v>
      </c>
      <c r="Q48" s="175">
        <v>46.6</v>
      </c>
      <c r="R48" s="175">
        <v>197.2</v>
      </c>
      <c r="S48" s="175">
        <v>17.670000000000002</v>
      </c>
      <c r="T48" s="172">
        <v>7.8380000000000001</v>
      </c>
      <c r="U48" s="171">
        <v>0.2</v>
      </c>
      <c r="V48" s="43">
        <v>5.8000000000000003E-2</v>
      </c>
      <c r="W48" s="177">
        <v>0.02</v>
      </c>
      <c r="X48" s="163">
        <v>0.64800000000000002</v>
      </c>
      <c r="Y48" s="177">
        <v>0.04</v>
      </c>
      <c r="Z48" s="170">
        <v>1.238</v>
      </c>
      <c r="AB48" s="69">
        <f t="shared" si="11"/>
        <v>17.820017640482956</v>
      </c>
      <c r="AC48" s="69">
        <f t="shared" si="2"/>
        <v>18.308942447813248</v>
      </c>
      <c r="AD48" s="69">
        <f t="shared" si="3"/>
        <v>1.3532767235353587</v>
      </c>
      <c r="AF48" s="91">
        <v>7.49</v>
      </c>
      <c r="AG48" s="91">
        <v>1.47403</v>
      </c>
      <c r="AH48" s="91">
        <v>0.26790000000000003</v>
      </c>
      <c r="AI48" s="91">
        <v>-0.93889999999999996</v>
      </c>
      <c r="AJ48" s="91">
        <v>-1.1884999999999999</v>
      </c>
      <c r="AK48" s="91">
        <v>-2.1084999999999998</v>
      </c>
      <c r="AL48" s="91">
        <v>-2.7400000000000001E-2</v>
      </c>
      <c r="AM48" s="91">
        <v>-3.6799999999999999E-2</v>
      </c>
      <c r="AN48" s="91">
        <v>-1.4631000000000001</v>
      </c>
      <c r="AO48" s="91">
        <v>-0.89529999999999998</v>
      </c>
    </row>
    <row r="49" spans="1:41" x14ac:dyDescent="0.35">
      <c r="A49" s="43">
        <v>2</v>
      </c>
      <c r="B49" s="28">
        <v>43509</v>
      </c>
      <c r="C49" s="68">
        <v>29</v>
      </c>
      <c r="D49" s="43">
        <v>151</v>
      </c>
      <c r="E49" s="31">
        <f t="shared" si="12"/>
        <v>4439</v>
      </c>
      <c r="F49" s="69">
        <f t="shared" si="10"/>
        <v>1</v>
      </c>
      <c r="G49" s="25">
        <f t="shared" si="13"/>
        <v>29.394238410596024</v>
      </c>
      <c r="H49" s="43">
        <v>7.55</v>
      </c>
      <c r="I49" s="43">
        <v>1481</v>
      </c>
      <c r="J49" s="43">
        <v>270</v>
      </c>
      <c r="K49" s="24">
        <v>192</v>
      </c>
      <c r="L49" s="24">
        <v>36</v>
      </c>
      <c r="M49" s="43">
        <v>19</v>
      </c>
      <c r="N49" s="31">
        <v>533</v>
      </c>
      <c r="O49" s="43">
        <v>18</v>
      </c>
      <c r="P49" s="175">
        <v>119.4</v>
      </c>
      <c r="Q49" s="175">
        <v>46.12</v>
      </c>
      <c r="R49" s="175">
        <v>202.2</v>
      </c>
      <c r="S49" s="175">
        <v>18.25</v>
      </c>
      <c r="T49" s="172">
        <v>7.37</v>
      </c>
      <c r="U49" s="171">
        <v>0.2</v>
      </c>
      <c r="V49" s="176">
        <v>0.06</v>
      </c>
      <c r="W49" s="177">
        <v>0.02</v>
      </c>
      <c r="X49" s="163">
        <v>0.66400000000000003</v>
      </c>
      <c r="Y49" s="177">
        <v>0.04</v>
      </c>
      <c r="Z49" s="170">
        <v>1.2430000000000001</v>
      </c>
      <c r="AB49" s="69">
        <f t="shared" si="11"/>
        <v>17.819197319850019</v>
      </c>
      <c r="AC49" s="69">
        <f t="shared" si="2"/>
        <v>18.73446635548283</v>
      </c>
      <c r="AD49" s="69">
        <f t="shared" si="3"/>
        <v>2.503905063421735</v>
      </c>
      <c r="AF49" s="91">
        <v>7.55</v>
      </c>
      <c r="AG49" s="91">
        <v>2.8071100000000002</v>
      </c>
      <c r="AH49" s="91">
        <v>0.3473</v>
      </c>
      <c r="AI49" s="91">
        <v>-0.9234</v>
      </c>
      <c r="AJ49" s="91">
        <v>-1.1731</v>
      </c>
      <c r="AK49" s="91">
        <v>-2.1682999999999999</v>
      </c>
      <c r="AL49" s="91">
        <v>0.1075</v>
      </c>
      <c r="AM49" s="91">
        <v>3.3399999999999999E-2</v>
      </c>
      <c r="AN49" s="91">
        <v>-1.4300999999999999</v>
      </c>
      <c r="AO49" s="91">
        <v>-0.83979999999999999</v>
      </c>
    </row>
    <row r="50" spans="1:41" x14ac:dyDescent="0.35">
      <c r="A50" s="43">
        <v>2</v>
      </c>
      <c r="B50" s="28">
        <v>43510</v>
      </c>
      <c r="C50" s="43">
        <v>30</v>
      </c>
      <c r="D50" s="43">
        <v>151</v>
      </c>
      <c r="E50" s="31">
        <f t="shared" si="12"/>
        <v>4590</v>
      </c>
      <c r="F50" s="69">
        <f t="shared" si="10"/>
        <v>1</v>
      </c>
      <c r="G50" s="25">
        <f t="shared" si="13"/>
        <v>30.394238410596024</v>
      </c>
      <c r="H50" s="43">
        <v>7.42</v>
      </c>
      <c r="I50" s="43">
        <v>1499</v>
      </c>
      <c r="J50" s="43">
        <v>268</v>
      </c>
      <c r="K50" s="24">
        <v>188</v>
      </c>
      <c r="L50" s="24">
        <v>36</v>
      </c>
      <c r="M50" s="43">
        <v>19</v>
      </c>
      <c r="N50" s="31">
        <v>533</v>
      </c>
      <c r="O50" s="43">
        <v>17</v>
      </c>
      <c r="P50" s="175">
        <v>124.1</v>
      </c>
      <c r="Q50" s="175">
        <v>47.44</v>
      </c>
      <c r="R50" s="175">
        <v>209.6</v>
      </c>
      <c r="S50" s="175">
        <v>19.32</v>
      </c>
      <c r="T50" s="172">
        <v>7.4059999999999997</v>
      </c>
      <c r="U50" s="171">
        <v>0.2</v>
      </c>
      <c r="V50" s="30">
        <v>0.06</v>
      </c>
      <c r="W50" s="177">
        <v>0.02</v>
      </c>
      <c r="X50" s="163">
        <v>0.65200000000000002</v>
      </c>
      <c r="Y50" s="177">
        <v>0.04</v>
      </c>
      <c r="Z50" s="170">
        <v>1.21</v>
      </c>
      <c r="AB50" s="69">
        <f t="shared" si="11"/>
        <v>17.77919731985002</v>
      </c>
      <c r="AC50" s="69">
        <f t="shared" si="2"/>
        <v>19.400349719158001</v>
      </c>
      <c r="AD50" s="69">
        <f t="shared" si="3"/>
        <v>4.360333915868047</v>
      </c>
      <c r="AF50" s="91">
        <v>7.42</v>
      </c>
      <c r="AG50" s="91">
        <v>4.9105999999999996</v>
      </c>
      <c r="AH50" s="91">
        <v>0.23169999999999999</v>
      </c>
      <c r="AI50" s="91">
        <v>-0.91080000000000005</v>
      </c>
      <c r="AJ50" s="91">
        <v>-1.1605000000000001</v>
      </c>
      <c r="AK50" s="91">
        <v>-2.0411000000000001</v>
      </c>
      <c r="AL50" s="91">
        <v>-0.1288</v>
      </c>
      <c r="AM50" s="91">
        <v>-0.1084</v>
      </c>
      <c r="AN50" s="91">
        <v>-1.4146000000000001</v>
      </c>
      <c r="AO50" s="91">
        <v>-0.96050000000000002</v>
      </c>
    </row>
    <row r="51" spans="1:41" s="68" customFormat="1" x14ac:dyDescent="0.35">
      <c r="B51" s="28"/>
      <c r="E51" s="31"/>
      <c r="F51" s="69"/>
      <c r="G51" s="25"/>
      <c r="K51" s="65"/>
      <c r="L51" s="65"/>
      <c r="N51" s="31"/>
      <c r="P51" s="66"/>
      <c r="Q51" s="65"/>
      <c r="R51" s="32"/>
      <c r="S51" s="32"/>
      <c r="T51" s="32"/>
      <c r="U51" s="67"/>
      <c r="AB51" s="69"/>
      <c r="AC51" s="69"/>
      <c r="AD51" s="69"/>
      <c r="AF51" s="91"/>
      <c r="AG51" s="91"/>
      <c r="AH51" s="91"/>
      <c r="AI51" s="91"/>
      <c r="AJ51" s="91"/>
      <c r="AK51" s="91"/>
      <c r="AL51" s="91"/>
      <c r="AM51" s="91"/>
      <c r="AN51" s="91"/>
      <c r="AO51" s="91"/>
    </row>
    <row r="52" spans="1:41" x14ac:dyDescent="0.35">
      <c r="A52" s="43" t="s">
        <v>76</v>
      </c>
      <c r="B52" s="28"/>
      <c r="E52" s="31"/>
      <c r="F52" s="69"/>
      <c r="G52" s="25"/>
      <c r="H52" s="69">
        <f>AVERAGE(B99:B107)</f>
        <v>7.3355555555555547</v>
      </c>
      <c r="I52" s="165">
        <f>'Influent Results Master'!D38</f>
        <v>2311.5</v>
      </c>
      <c r="J52" s="165">
        <f>'Influent Results Master'!F38</f>
        <v>244.83333333333331</v>
      </c>
      <c r="K52" s="165">
        <f>'Influent Results Master'!G38</f>
        <v>85.666666666666671</v>
      </c>
      <c r="L52" s="165">
        <f>'Influent Results Master'!H38</f>
        <v>91.5</v>
      </c>
      <c r="M52" s="165">
        <f>'Influent Results Master'!I38</f>
        <v>16.333333333333332</v>
      </c>
      <c r="N52" s="165">
        <f>'Influent Results Master'!J38</f>
        <v>975.66666666666674</v>
      </c>
      <c r="O52" s="165">
        <f>'Influent Results Master'!K38</f>
        <v>20</v>
      </c>
      <c r="P52" s="165">
        <f>'Influent Results Master'!L38</f>
        <v>158.21666666666667</v>
      </c>
      <c r="Q52" s="165">
        <f>'Influent Results Master'!M38</f>
        <v>44.49</v>
      </c>
      <c r="R52" s="165">
        <f>'Influent Results Master'!N38</f>
        <v>407.98333333333335</v>
      </c>
      <c r="S52" s="165">
        <f>'Influent Results Master'!O38</f>
        <v>22.978333333333335</v>
      </c>
      <c r="T52" s="170">
        <f>'Influent Results Master'!P38</f>
        <v>8.5111666666666679</v>
      </c>
      <c r="U52" s="171">
        <f>'Influent Results Master'!Q38</f>
        <v>0.20000000000000004</v>
      </c>
      <c r="V52" s="177">
        <f>'Influent Results Master'!R38</f>
        <v>0.02</v>
      </c>
      <c r="W52" s="177">
        <f>'Influent Results Master'!S38</f>
        <v>0.02</v>
      </c>
      <c r="X52" s="163">
        <f>'Influent Results Master'!T38</f>
        <v>0.44666666666666671</v>
      </c>
      <c r="Y52" s="177">
        <f>'Influent Results Master'!U38</f>
        <v>0.04</v>
      </c>
      <c r="Z52" s="170">
        <f>'Influent Results Master'!V38</f>
        <v>1.7963333333333331</v>
      </c>
      <c r="AB52" s="69">
        <f>((J52/50)+(L52/35.45)+(M52/62)+(N52/48.03))</f>
        <v>28.054900498795039</v>
      </c>
      <c r="AC52" s="69">
        <f t="shared" si="2"/>
        <v>29.517558751050874</v>
      </c>
      <c r="AD52" s="69">
        <f t="shared" si="3"/>
        <v>2.5405519780010954</v>
      </c>
      <c r="AF52" s="91">
        <v>7.34</v>
      </c>
      <c r="AG52" s="91">
        <v>-0.35169499999999998</v>
      </c>
      <c r="AH52" s="91">
        <v>0.10920000000000001</v>
      </c>
      <c r="AI52" s="91">
        <v>-0.67879999999999996</v>
      </c>
      <c r="AJ52" s="91">
        <v>-0.92820000000000003</v>
      </c>
      <c r="AK52" s="91">
        <v>-2.0108000000000001</v>
      </c>
      <c r="AL52" s="91">
        <v>-0.4995</v>
      </c>
      <c r="AM52" s="91">
        <v>-0.55330000000000001</v>
      </c>
      <c r="AN52" s="91">
        <v>-1.9325000000000001</v>
      </c>
      <c r="AO52" s="91">
        <v>-1.2088000000000001</v>
      </c>
    </row>
    <row r="53" spans="1:41" s="68" customFormat="1" x14ac:dyDescent="0.35">
      <c r="B53" s="28"/>
      <c r="E53" s="31"/>
      <c r="F53" s="69"/>
      <c r="G53" s="25"/>
      <c r="K53" s="65"/>
      <c r="L53" s="65"/>
      <c r="N53" s="31"/>
      <c r="P53" s="66"/>
      <c r="Q53" s="65"/>
      <c r="R53" s="32"/>
      <c r="S53" s="32"/>
      <c r="T53" s="32"/>
      <c r="U53" s="67"/>
      <c r="AB53" s="69"/>
      <c r="AC53" s="69"/>
      <c r="AD53" s="69"/>
      <c r="AF53" s="91"/>
      <c r="AG53" s="91"/>
      <c r="AH53" s="91"/>
      <c r="AI53" s="91"/>
      <c r="AJ53" s="91"/>
      <c r="AK53" s="91"/>
      <c r="AL53" s="91"/>
      <c r="AM53" s="91"/>
      <c r="AN53" s="91"/>
      <c r="AO53" s="91"/>
    </row>
    <row r="54" spans="1:41" x14ac:dyDescent="0.35">
      <c r="A54" s="43">
        <v>2</v>
      </c>
      <c r="B54" s="28">
        <v>43511</v>
      </c>
      <c r="C54" s="43">
        <v>31</v>
      </c>
      <c r="D54" s="43">
        <v>151</v>
      </c>
      <c r="E54" s="31">
        <f>D54+E50</f>
        <v>4741</v>
      </c>
      <c r="F54" s="69">
        <f t="shared" ref="F54:F60" si="14">D54/151</f>
        <v>1</v>
      </c>
      <c r="G54" s="25">
        <f>G50+F54</f>
        <v>31.394238410596024</v>
      </c>
      <c r="H54" s="43">
        <v>7.61</v>
      </c>
      <c r="I54" s="43">
        <v>1933</v>
      </c>
      <c r="J54" s="43">
        <v>248</v>
      </c>
      <c r="K54" s="24">
        <v>195</v>
      </c>
      <c r="L54" s="24">
        <v>69</v>
      </c>
      <c r="M54" s="191">
        <v>12</v>
      </c>
      <c r="N54" s="31">
        <v>832</v>
      </c>
      <c r="O54" s="43">
        <v>20</v>
      </c>
      <c r="P54" s="175">
        <v>191.9</v>
      </c>
      <c r="Q54" s="175">
        <v>69.8</v>
      </c>
      <c r="R54" s="175">
        <v>243.9</v>
      </c>
      <c r="S54" s="175">
        <v>19.149999999999999</v>
      </c>
      <c r="T54" s="172">
        <v>8.4130000000000003</v>
      </c>
      <c r="U54" s="171">
        <v>0.2</v>
      </c>
      <c r="V54" s="43">
        <v>4.8000000000000001E-2</v>
      </c>
      <c r="W54" s="177">
        <v>0.02</v>
      </c>
      <c r="X54" s="170">
        <v>1.044</v>
      </c>
      <c r="Y54" s="177">
        <v>0.04</v>
      </c>
      <c r="Z54" s="170">
        <v>1.871</v>
      </c>
      <c r="AB54" s="69">
        <f t="shared" ref="AB54:AB61" si="15">((J54/50)+(L54/35.45)+(M54/62)+(N54/48.03))</f>
        <v>24.422458538750345</v>
      </c>
      <c r="AC54" s="69">
        <f t="shared" si="2"/>
        <v>26.140106540322652</v>
      </c>
      <c r="AD54" s="69">
        <f t="shared" si="3"/>
        <v>3.3970744935232986</v>
      </c>
      <c r="AF54" s="91">
        <v>7.61</v>
      </c>
      <c r="AG54" s="91">
        <v>3.1161500000000002</v>
      </c>
      <c r="AH54" s="91">
        <v>0.50339999999999996</v>
      </c>
      <c r="AI54" s="91">
        <v>-0.63919999999999999</v>
      </c>
      <c r="AJ54" s="91">
        <v>-0.88870000000000005</v>
      </c>
      <c r="AK54" s="91">
        <v>-2.2808000000000002</v>
      </c>
      <c r="AL54" s="91">
        <v>0.39629999999999999</v>
      </c>
      <c r="AM54" s="91">
        <v>0.1701</v>
      </c>
      <c r="AN54" s="91">
        <v>-1.4133</v>
      </c>
      <c r="AO54" s="91">
        <v>-0.70709999999999995</v>
      </c>
    </row>
    <row r="55" spans="1:41" x14ac:dyDescent="0.35">
      <c r="A55" s="43">
        <v>2</v>
      </c>
      <c r="B55" s="28">
        <v>43512</v>
      </c>
      <c r="C55" s="43">
        <v>32</v>
      </c>
      <c r="D55" s="43">
        <v>153</v>
      </c>
      <c r="E55" s="31">
        <f t="shared" ref="E55:E60" si="16">D55+E54</f>
        <v>4894</v>
      </c>
      <c r="F55" s="69">
        <f t="shared" si="14"/>
        <v>1.0132450331125828</v>
      </c>
      <c r="G55" s="25">
        <f t="shared" ref="G55:G60" si="17">G54+F55</f>
        <v>32.407483443708607</v>
      </c>
      <c r="H55" s="43">
        <v>7.48</v>
      </c>
      <c r="I55" s="43">
        <v>2280</v>
      </c>
      <c r="J55" s="43">
        <v>247</v>
      </c>
      <c r="K55" s="24">
        <v>210</v>
      </c>
      <c r="L55" s="24">
        <v>87</v>
      </c>
      <c r="M55" s="191">
        <v>9.6</v>
      </c>
      <c r="N55" s="31">
        <v>1039</v>
      </c>
      <c r="O55" s="43">
        <v>19</v>
      </c>
      <c r="P55" s="165">
        <v>222</v>
      </c>
      <c r="Q55" s="165">
        <v>79.47</v>
      </c>
      <c r="R55" s="12">
        <v>252</v>
      </c>
      <c r="S55" s="165">
        <v>19.260000000000002</v>
      </c>
      <c r="T55" s="170">
        <v>8.984</v>
      </c>
      <c r="U55" s="171">
        <v>0.2</v>
      </c>
      <c r="V55" s="43">
        <v>4.2000000000000003E-2</v>
      </c>
      <c r="W55" s="177">
        <v>0.02</v>
      </c>
      <c r="X55" s="170">
        <v>1.133</v>
      </c>
      <c r="Y55" s="177">
        <v>0.04</v>
      </c>
      <c r="Z55" s="170">
        <v>2.089</v>
      </c>
      <c r="AB55" s="69">
        <f t="shared" si="15"/>
        <v>29.18131263714459</v>
      </c>
      <c r="AC55" s="69">
        <f t="shared" si="2"/>
        <v>28.804263490765816</v>
      </c>
      <c r="AD55" s="69">
        <f t="shared" si="3"/>
        <v>0.65024644326554704</v>
      </c>
      <c r="AF55" s="91">
        <v>7.48</v>
      </c>
      <c r="AG55" s="91">
        <v>-1.54315</v>
      </c>
      <c r="AH55" s="91">
        <v>0.39979999999999999</v>
      </c>
      <c r="AI55" s="91">
        <v>-0.52980000000000005</v>
      </c>
      <c r="AJ55" s="91">
        <v>-0.77929999999999999</v>
      </c>
      <c r="AK55" s="91">
        <v>-2.1556000000000002</v>
      </c>
      <c r="AL55" s="91">
        <v>0.18429999999999999</v>
      </c>
      <c r="AM55" s="91">
        <v>3.5400000000000001E-2</v>
      </c>
      <c r="AN55" s="91">
        <v>-1.4552</v>
      </c>
      <c r="AO55" s="91">
        <v>-0.8155</v>
      </c>
    </row>
    <row r="56" spans="1:41" x14ac:dyDescent="0.35">
      <c r="A56" s="43">
        <v>2</v>
      </c>
      <c r="B56" s="28">
        <v>43513</v>
      </c>
      <c r="C56" s="43">
        <v>33</v>
      </c>
      <c r="D56" s="43">
        <v>151</v>
      </c>
      <c r="E56" s="31">
        <f t="shared" si="16"/>
        <v>5045</v>
      </c>
      <c r="F56" s="69">
        <f t="shared" si="14"/>
        <v>1</v>
      </c>
      <c r="G56" s="25">
        <f t="shared" si="17"/>
        <v>33.407483443708607</v>
      </c>
      <c r="H56" s="43">
        <v>7.57</v>
      </c>
      <c r="I56" s="43">
        <v>2340</v>
      </c>
      <c r="J56" s="43">
        <v>250</v>
      </c>
      <c r="K56" s="24">
        <v>182</v>
      </c>
      <c r="L56" s="24">
        <v>88</v>
      </c>
      <c r="M56" s="191">
        <v>10</v>
      </c>
      <c r="N56" s="31">
        <v>1012</v>
      </c>
      <c r="O56" s="43">
        <v>20</v>
      </c>
      <c r="P56" s="175">
        <v>187.1</v>
      </c>
      <c r="Q56" s="175">
        <v>63.95</v>
      </c>
      <c r="R56" s="21">
        <v>312</v>
      </c>
      <c r="S56" s="175">
        <v>19.079999999999998</v>
      </c>
      <c r="T56" s="172">
        <v>9.1530000000000005</v>
      </c>
      <c r="U56" s="171">
        <v>0.2</v>
      </c>
      <c r="V56" s="43">
        <v>3.5000000000000003E-2</v>
      </c>
      <c r="W56" s="177">
        <v>0.02</v>
      </c>
      <c r="X56" s="163">
        <v>0.91900000000000004</v>
      </c>
      <c r="Y56" s="177">
        <v>0.04</v>
      </c>
      <c r="Z56" s="170">
        <v>1.7749999999999999</v>
      </c>
      <c r="AB56" s="69">
        <f t="shared" si="15"/>
        <v>28.713824337669354</v>
      </c>
      <c r="AC56" s="69">
        <f t="shared" si="2"/>
        <v>28.40058334689019</v>
      </c>
      <c r="AD56" s="69">
        <f t="shared" si="3"/>
        <v>0.54844478561203114</v>
      </c>
      <c r="AF56" s="91">
        <v>7.57</v>
      </c>
      <c r="AG56" s="91">
        <v>-1.96841</v>
      </c>
      <c r="AH56" s="91">
        <v>0.42230000000000001</v>
      </c>
      <c r="AI56" s="91">
        <v>-0.59989999999999999</v>
      </c>
      <c r="AJ56" s="91">
        <v>-0.84930000000000005</v>
      </c>
      <c r="AK56" s="91">
        <v>-2.2378</v>
      </c>
      <c r="AL56" s="91">
        <v>0.2099</v>
      </c>
      <c r="AM56" s="91">
        <v>4.3099999999999999E-2</v>
      </c>
      <c r="AN56" s="91">
        <v>-1.6080000000000001</v>
      </c>
      <c r="AO56" s="91">
        <v>-0.81240000000000001</v>
      </c>
    </row>
    <row r="57" spans="1:41" x14ac:dyDescent="0.35">
      <c r="A57" s="43">
        <v>2</v>
      </c>
      <c r="B57" s="28">
        <v>43514</v>
      </c>
      <c r="C57" s="43">
        <v>34</v>
      </c>
      <c r="D57" s="43">
        <v>151</v>
      </c>
      <c r="E57" s="31">
        <f t="shared" si="16"/>
        <v>5196</v>
      </c>
      <c r="F57" s="69">
        <f t="shared" si="14"/>
        <v>1</v>
      </c>
      <c r="G57" s="25">
        <f t="shared" si="17"/>
        <v>34.407483443708607</v>
      </c>
      <c r="H57" s="43">
        <v>7.55</v>
      </c>
      <c r="I57" s="43">
        <v>2390</v>
      </c>
      <c r="J57" s="43">
        <v>252</v>
      </c>
      <c r="K57" s="24">
        <v>171</v>
      </c>
      <c r="L57" s="24">
        <v>86</v>
      </c>
      <c r="M57" s="191">
        <v>10</v>
      </c>
      <c r="N57" s="31">
        <v>1047</v>
      </c>
      <c r="O57" s="43">
        <v>19</v>
      </c>
      <c r="P57" s="175">
        <v>162.80000000000001</v>
      </c>
      <c r="Q57" s="175">
        <v>56.58</v>
      </c>
      <c r="R57" s="21">
        <v>333</v>
      </c>
      <c r="S57" s="175">
        <v>19.32</v>
      </c>
      <c r="T57" s="172">
        <v>8.6850000000000005</v>
      </c>
      <c r="U57" s="171">
        <v>0.2</v>
      </c>
      <c r="V57" s="43">
        <v>2.8000000000000001E-2</v>
      </c>
      <c r="W57" s="177">
        <v>0.02</v>
      </c>
      <c r="X57" s="163">
        <v>0.77900000000000003</v>
      </c>
      <c r="Y57" s="177">
        <v>0.04</v>
      </c>
      <c r="Z57" s="170">
        <v>1.5189999999999999</v>
      </c>
      <c r="AB57" s="69">
        <f t="shared" si="15"/>
        <v>29.426118070400456</v>
      </c>
      <c r="AC57" s="69">
        <f t="shared" si="2"/>
        <v>27.483394287171372</v>
      </c>
      <c r="AD57" s="69">
        <f t="shared" si="3"/>
        <v>3.4137066067666</v>
      </c>
      <c r="AF57" s="91">
        <v>7.55</v>
      </c>
      <c r="AG57" s="91">
        <v>-4.7297399999999996</v>
      </c>
      <c r="AH57" s="91">
        <v>0.34039999999999998</v>
      </c>
      <c r="AI57" s="91">
        <v>-0.64159999999999995</v>
      </c>
      <c r="AJ57" s="91">
        <v>-0.8911</v>
      </c>
      <c r="AK57" s="91">
        <v>-2.2113</v>
      </c>
      <c r="AL57" s="91">
        <v>5.4399999999999997E-2</v>
      </c>
      <c r="AM57" s="91">
        <v>-4.7800000000000002E-2</v>
      </c>
      <c r="AN57" s="91">
        <v>-1.7728999999999999</v>
      </c>
      <c r="AO57" s="91">
        <v>-0.88600000000000001</v>
      </c>
    </row>
    <row r="58" spans="1:41" x14ac:dyDescent="0.35">
      <c r="A58" s="43">
        <v>2</v>
      </c>
      <c r="B58" s="28">
        <v>43515</v>
      </c>
      <c r="C58" s="43">
        <v>35</v>
      </c>
      <c r="D58" s="43">
        <v>151</v>
      </c>
      <c r="E58" s="31">
        <f t="shared" si="16"/>
        <v>5347</v>
      </c>
      <c r="F58" s="69">
        <f t="shared" si="14"/>
        <v>1</v>
      </c>
      <c r="G58" s="25">
        <f t="shared" si="17"/>
        <v>35.407483443708607</v>
      </c>
      <c r="H58" s="43">
        <v>7.45</v>
      </c>
      <c r="I58" s="43">
        <v>2400</v>
      </c>
      <c r="J58" s="43">
        <v>263</v>
      </c>
      <c r="K58" s="24">
        <v>174</v>
      </c>
      <c r="L58" s="24">
        <v>86</v>
      </c>
      <c r="M58" s="191">
        <v>10</v>
      </c>
      <c r="N58" s="31">
        <v>1051</v>
      </c>
      <c r="O58" s="43">
        <v>20</v>
      </c>
      <c r="P58" s="175">
        <v>149.30000000000001</v>
      </c>
      <c r="Q58" s="175">
        <v>50.85</v>
      </c>
      <c r="R58" s="21">
        <v>340</v>
      </c>
      <c r="S58" s="175">
        <v>18.170000000000002</v>
      </c>
      <c r="T58" s="172">
        <v>8.0459999999999994</v>
      </c>
      <c r="U58" s="171">
        <v>0.2</v>
      </c>
      <c r="V58" s="43">
        <v>2.4E-2</v>
      </c>
      <c r="W58" s="177">
        <v>0.02</v>
      </c>
      <c r="X58" s="163">
        <v>0.78900000000000003</v>
      </c>
      <c r="Y58" s="177">
        <v>0.04</v>
      </c>
      <c r="Z58" s="170">
        <v>1.5229999999999999</v>
      </c>
      <c r="AB58" s="69">
        <f t="shared" si="15"/>
        <v>29.729399352932209</v>
      </c>
      <c r="AC58" s="69">
        <f t="shared" si="2"/>
        <v>26.626661985086422</v>
      </c>
      <c r="AD58" s="69">
        <f t="shared" si="3"/>
        <v>5.5055965484100184</v>
      </c>
      <c r="AF58" s="91">
        <v>7.45</v>
      </c>
      <c r="AG58" s="91">
        <v>-7.0343299999999997</v>
      </c>
      <c r="AH58" s="91">
        <v>0.2215</v>
      </c>
      <c r="AI58" s="91">
        <v>-0.67269999999999996</v>
      </c>
      <c r="AJ58" s="91">
        <v>-0.92210000000000003</v>
      </c>
      <c r="AK58" s="91">
        <v>-2.0897999999999999</v>
      </c>
      <c r="AL58" s="91">
        <v>-0.19159999999999999</v>
      </c>
      <c r="AM58" s="91">
        <v>-0.12239999999999999</v>
      </c>
      <c r="AN58" s="91">
        <v>-1.8794</v>
      </c>
      <c r="AO58" s="91">
        <v>-1.0130999999999999</v>
      </c>
    </row>
    <row r="59" spans="1:41" x14ac:dyDescent="0.35">
      <c r="A59" s="43">
        <v>2</v>
      </c>
      <c r="B59" s="28">
        <v>43516</v>
      </c>
      <c r="C59" s="43">
        <v>36</v>
      </c>
      <c r="D59" s="43">
        <v>151</v>
      </c>
      <c r="E59" s="31">
        <f t="shared" si="16"/>
        <v>5498</v>
      </c>
      <c r="F59" s="69">
        <f t="shared" si="14"/>
        <v>1</v>
      </c>
      <c r="G59" s="25">
        <f t="shared" si="17"/>
        <v>36.407483443708607</v>
      </c>
      <c r="H59" s="43">
        <v>7.42</v>
      </c>
      <c r="I59" s="43">
        <v>2410</v>
      </c>
      <c r="J59" s="43">
        <v>262</v>
      </c>
      <c r="K59" s="24">
        <v>196</v>
      </c>
      <c r="L59" s="24">
        <v>86</v>
      </c>
      <c r="M59" s="191">
        <v>13</v>
      </c>
      <c r="N59" s="31">
        <v>1027</v>
      </c>
      <c r="O59" s="43">
        <v>19</v>
      </c>
      <c r="P59" s="175">
        <v>152</v>
      </c>
      <c r="Q59" s="175">
        <v>52.11</v>
      </c>
      <c r="R59" s="21">
        <v>341</v>
      </c>
      <c r="S59" s="175">
        <v>19.09</v>
      </c>
      <c r="T59" s="172">
        <v>8.1240000000000006</v>
      </c>
      <c r="U59" s="171">
        <v>0.2</v>
      </c>
      <c r="V59" s="50">
        <v>0.03</v>
      </c>
      <c r="W59" s="177">
        <v>0.02</v>
      </c>
      <c r="X59" s="163">
        <v>0.75</v>
      </c>
      <c r="Y59" s="177">
        <v>0.04</v>
      </c>
      <c r="Z59" s="170">
        <v>1.51</v>
      </c>
      <c r="AB59" s="69">
        <f t="shared" si="15"/>
        <v>29.258098754515899</v>
      </c>
      <c r="AC59" s="69">
        <f t="shared" si="2"/>
        <v>26.910503002655464</v>
      </c>
      <c r="AD59" s="69">
        <f t="shared" si="3"/>
        <v>4.1795517040099801</v>
      </c>
      <c r="AF59" s="91">
        <v>7.42</v>
      </c>
      <c r="AG59" s="91">
        <v>-5.4208499999999997</v>
      </c>
      <c r="AH59" s="91">
        <v>0.20200000000000001</v>
      </c>
      <c r="AI59" s="91">
        <v>-0.67210000000000003</v>
      </c>
      <c r="AJ59" s="91">
        <v>-0.92159999999999997</v>
      </c>
      <c r="AK59" s="91">
        <v>-2.0615000000000001</v>
      </c>
      <c r="AL59" s="91">
        <v>-0.22839999999999999</v>
      </c>
      <c r="AM59" s="91">
        <v>-0.17230000000000001</v>
      </c>
      <c r="AN59" s="91">
        <v>-1.7697000000000001</v>
      </c>
      <c r="AO59" s="91">
        <v>-1.0303</v>
      </c>
    </row>
    <row r="60" spans="1:41" x14ac:dyDescent="0.35">
      <c r="A60" s="43">
        <v>2</v>
      </c>
      <c r="B60" s="28">
        <v>43517</v>
      </c>
      <c r="C60" s="43">
        <v>37</v>
      </c>
      <c r="D60" s="43">
        <v>152</v>
      </c>
      <c r="E60" s="31">
        <f t="shared" si="16"/>
        <v>5650</v>
      </c>
      <c r="F60" s="69">
        <f t="shared" si="14"/>
        <v>1.0066225165562914</v>
      </c>
      <c r="G60" s="25">
        <f t="shared" si="17"/>
        <v>37.414105960264898</v>
      </c>
      <c r="H60" s="43">
        <v>7.43</v>
      </c>
      <c r="I60" s="43">
        <v>2370</v>
      </c>
      <c r="J60" s="43">
        <v>241</v>
      </c>
      <c r="K60" s="24">
        <v>141</v>
      </c>
      <c r="L60" s="24">
        <v>86</v>
      </c>
      <c r="M60" s="191">
        <v>9.8000000000000007</v>
      </c>
      <c r="N60" s="31">
        <v>1029</v>
      </c>
      <c r="O60" s="43">
        <v>19</v>
      </c>
      <c r="P60" s="175">
        <v>150.30000000000001</v>
      </c>
      <c r="Q60" s="175">
        <v>49.68</v>
      </c>
      <c r="R60" s="21">
        <v>339</v>
      </c>
      <c r="S60" s="175">
        <v>19.309999999999999</v>
      </c>
      <c r="T60" s="172">
        <v>7.9480000000000004</v>
      </c>
      <c r="U60" s="171">
        <v>0.2</v>
      </c>
      <c r="V60" s="43">
        <v>2.8000000000000001E-2</v>
      </c>
      <c r="W60" s="177">
        <v>0.02</v>
      </c>
      <c r="X60" s="163">
        <v>0.74</v>
      </c>
      <c r="Y60" s="177">
        <v>0.04</v>
      </c>
      <c r="Z60" s="170">
        <v>1.48</v>
      </c>
      <c r="AB60" s="69">
        <f t="shared" si="15"/>
        <v>28.828126492555967</v>
      </c>
      <c r="AC60" s="69">
        <f t="shared" si="2"/>
        <v>26.534341512878392</v>
      </c>
      <c r="AD60" s="69">
        <f t="shared" si="3"/>
        <v>4.1432130147312405</v>
      </c>
      <c r="AF60" s="91">
        <v>7.43</v>
      </c>
      <c r="AG60" s="91">
        <v>-5.6397599999999999</v>
      </c>
      <c r="AH60" s="91">
        <v>0.1719</v>
      </c>
      <c r="AI60" s="91">
        <v>-0.67310000000000003</v>
      </c>
      <c r="AJ60" s="91">
        <v>-0.92259999999999998</v>
      </c>
      <c r="AK60" s="91">
        <v>-2.1072000000000002</v>
      </c>
      <c r="AL60" s="91">
        <v>-0.30459999999999998</v>
      </c>
      <c r="AM60" s="91">
        <v>-0.20250000000000001</v>
      </c>
      <c r="AN60" s="91">
        <v>-1.8028999999999999</v>
      </c>
      <c r="AO60" s="91">
        <v>-1.0764</v>
      </c>
    </row>
    <row r="61" spans="1:41" s="68" customFormat="1" x14ac:dyDescent="0.35">
      <c r="A61" s="68">
        <v>2</v>
      </c>
      <c r="B61" s="28">
        <v>43518</v>
      </c>
      <c r="C61" s="68">
        <v>38</v>
      </c>
      <c r="D61" s="68">
        <v>151</v>
      </c>
      <c r="E61" s="31">
        <f t="shared" ref="E61" si="18">D61+E60</f>
        <v>5801</v>
      </c>
      <c r="F61" s="69">
        <f t="shared" ref="F61" si="19">D61/151</f>
        <v>1</v>
      </c>
      <c r="G61" s="25">
        <f t="shared" ref="G61" si="20">G60+F61</f>
        <v>38.414105960264898</v>
      </c>
      <c r="H61" s="68">
        <v>7.36</v>
      </c>
      <c r="I61" s="68">
        <v>2390</v>
      </c>
      <c r="J61" s="68">
        <v>241</v>
      </c>
      <c r="K61" s="65">
        <v>122</v>
      </c>
      <c r="L61" s="65">
        <v>86</v>
      </c>
      <c r="M61" s="191">
        <v>10</v>
      </c>
      <c r="N61" s="31">
        <v>1029</v>
      </c>
      <c r="O61" s="68">
        <v>16</v>
      </c>
      <c r="P61" s="175">
        <v>148.5</v>
      </c>
      <c r="Q61" s="175">
        <v>49.12</v>
      </c>
      <c r="R61" s="21">
        <v>341</v>
      </c>
      <c r="S61" s="175">
        <v>19.079999999999998</v>
      </c>
      <c r="T61" s="172">
        <v>7.5460000000000003</v>
      </c>
      <c r="U61" s="171">
        <v>0.2</v>
      </c>
      <c r="V61" s="50">
        <v>0.03</v>
      </c>
      <c r="W61" s="177">
        <v>0.02</v>
      </c>
      <c r="X61" s="163">
        <v>0.73</v>
      </c>
      <c r="Y61" s="177">
        <v>0.04</v>
      </c>
      <c r="Z61" s="170">
        <v>1.46</v>
      </c>
      <c r="AB61" s="69">
        <f t="shared" si="15"/>
        <v>28.83135229900758</v>
      </c>
      <c r="AC61" s="69">
        <f t="shared" si="2"/>
        <v>26.475181537462284</v>
      </c>
      <c r="AD61" s="69">
        <f t="shared" si="3"/>
        <v>4.2602032673246395</v>
      </c>
      <c r="AF61" s="91">
        <v>7.36</v>
      </c>
      <c r="AG61" s="91">
        <v>-5.7636000000000003</v>
      </c>
      <c r="AH61" s="91">
        <v>9.74E-2</v>
      </c>
      <c r="AI61" s="91">
        <v>-0.67759999999999998</v>
      </c>
      <c r="AJ61" s="91">
        <v>-0.92700000000000005</v>
      </c>
      <c r="AK61" s="91">
        <v>-2.0363000000000002</v>
      </c>
      <c r="AL61" s="91">
        <v>-0.45319999999999999</v>
      </c>
      <c r="AM61" s="91">
        <v>-0.27760000000000001</v>
      </c>
      <c r="AN61" s="91">
        <v>-1.7783</v>
      </c>
      <c r="AO61" s="91">
        <v>-1.1506000000000001</v>
      </c>
    </row>
    <row r="62" spans="1:41" x14ac:dyDescent="0.35">
      <c r="B62" s="28"/>
      <c r="F62" s="2"/>
      <c r="G62" s="2"/>
      <c r="K62" s="24"/>
      <c r="L62" s="24"/>
      <c r="N62" s="31"/>
      <c r="P62" s="66"/>
      <c r="Q62" s="65"/>
      <c r="R62" s="32"/>
      <c r="S62" s="32"/>
      <c r="T62" s="32"/>
      <c r="U62" s="8"/>
    </row>
    <row r="63" spans="1:41" s="31" customFormat="1" x14ac:dyDescent="0.35">
      <c r="A63" s="31" t="s">
        <v>33</v>
      </c>
      <c r="F63" s="25"/>
      <c r="G63" s="25"/>
      <c r="P63" s="27"/>
      <c r="Q63" s="27"/>
      <c r="R63" s="27"/>
      <c r="S63" s="27"/>
      <c r="T63" s="27"/>
      <c r="AF63" s="68"/>
      <c r="AG63" s="68"/>
      <c r="AH63" s="68"/>
      <c r="AI63" s="68"/>
      <c r="AJ63" s="68"/>
      <c r="AK63" s="68"/>
      <c r="AL63" s="68"/>
      <c r="AM63" s="68"/>
      <c r="AN63" s="68"/>
      <c r="AO63" s="68"/>
    </row>
    <row r="64" spans="1:41" x14ac:dyDescent="0.35">
      <c r="A64" s="31"/>
      <c r="B64" s="31"/>
      <c r="C64" s="31"/>
      <c r="D64" s="31"/>
      <c r="E64" s="31"/>
      <c r="F64" s="31"/>
      <c r="G64" s="31"/>
    </row>
    <row r="65" spans="1:41" x14ac:dyDescent="0.35">
      <c r="A65" s="31" t="s">
        <v>32</v>
      </c>
      <c r="B65" s="31"/>
      <c r="C65" s="31"/>
      <c r="D65" s="31"/>
      <c r="E65" s="31"/>
      <c r="F65" s="31"/>
      <c r="G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</row>
    <row r="66" spans="1:41" x14ac:dyDescent="0.35">
      <c r="A66" s="31"/>
      <c r="B66" s="31"/>
      <c r="C66" s="31"/>
      <c r="D66" s="31"/>
      <c r="E66" s="31"/>
      <c r="F66" s="31"/>
      <c r="G66" s="31"/>
    </row>
    <row r="67" spans="1:41" x14ac:dyDescent="0.35">
      <c r="A67" s="31" t="s">
        <v>10</v>
      </c>
      <c r="B67" s="31" t="s">
        <v>14</v>
      </c>
      <c r="C67" s="31"/>
      <c r="D67" s="31"/>
      <c r="E67" s="31"/>
    </row>
    <row r="68" spans="1:41" x14ac:dyDescent="0.35">
      <c r="A68" s="31"/>
      <c r="B68" s="31"/>
      <c r="C68" s="31"/>
      <c r="D68" s="31"/>
      <c r="E68" s="31"/>
    </row>
    <row r="69" spans="1:41" x14ac:dyDescent="0.35">
      <c r="A69" s="28">
        <v>43480</v>
      </c>
      <c r="B69" s="31">
        <v>7.3</v>
      </c>
      <c r="C69" s="31"/>
      <c r="D69" s="31"/>
      <c r="E69" s="31"/>
      <c r="F69" s="31"/>
      <c r="G69" s="31"/>
    </row>
    <row r="70" spans="1:41" x14ac:dyDescent="0.35">
      <c r="A70" s="28">
        <v>43481</v>
      </c>
      <c r="B70" s="31">
        <v>7.1</v>
      </c>
      <c r="C70" s="31"/>
      <c r="D70" s="31"/>
      <c r="E70" s="28"/>
      <c r="F70" s="31"/>
      <c r="G70" s="31"/>
    </row>
    <row r="71" spans="1:41" x14ac:dyDescent="0.35">
      <c r="A71" s="28">
        <v>43482</v>
      </c>
      <c r="B71" s="31">
        <v>7.2</v>
      </c>
      <c r="C71" s="31"/>
      <c r="D71" s="31"/>
      <c r="E71" s="28"/>
      <c r="F71" s="31"/>
      <c r="G71" s="31"/>
    </row>
    <row r="72" spans="1:41" x14ac:dyDescent="0.35">
      <c r="A72" s="28">
        <v>43483</v>
      </c>
      <c r="B72" s="31">
        <v>7.2</v>
      </c>
      <c r="C72" s="31"/>
      <c r="D72" s="31"/>
      <c r="E72" s="28"/>
      <c r="F72" s="31"/>
      <c r="G72" s="31"/>
    </row>
    <row r="73" spans="1:41" x14ac:dyDescent="0.35">
      <c r="A73" s="28">
        <v>43484</v>
      </c>
      <c r="B73" s="31">
        <v>7.2</v>
      </c>
      <c r="C73" s="31"/>
      <c r="D73" s="31"/>
      <c r="E73" s="28"/>
      <c r="F73" s="31"/>
      <c r="G73" s="31"/>
    </row>
    <row r="74" spans="1:41" x14ac:dyDescent="0.35">
      <c r="A74" s="28">
        <v>43485</v>
      </c>
      <c r="B74" s="31">
        <v>7.3</v>
      </c>
      <c r="C74" s="31"/>
      <c r="D74" s="31"/>
      <c r="E74" s="28"/>
      <c r="F74" s="31"/>
      <c r="G74" s="31"/>
    </row>
    <row r="75" spans="1:41" x14ac:dyDescent="0.35">
      <c r="A75" s="28">
        <v>43486</v>
      </c>
      <c r="B75" s="31">
        <v>7.3</v>
      </c>
      <c r="C75" s="31"/>
      <c r="D75" s="31"/>
      <c r="E75" s="28"/>
      <c r="F75" s="31"/>
      <c r="G75" s="31"/>
    </row>
    <row r="76" spans="1:41" x14ac:dyDescent="0.35">
      <c r="A76" s="28">
        <v>43487</v>
      </c>
      <c r="B76" s="31">
        <v>7.95</v>
      </c>
      <c r="C76" s="31" t="s">
        <v>107</v>
      </c>
      <c r="D76" s="31"/>
      <c r="E76" s="28"/>
      <c r="F76" s="31"/>
      <c r="G76" s="31"/>
    </row>
    <row r="77" spans="1:41" x14ac:dyDescent="0.35">
      <c r="A77" s="28">
        <v>43488</v>
      </c>
      <c r="B77" s="6">
        <v>8</v>
      </c>
      <c r="C77" s="31"/>
      <c r="D77" s="31"/>
      <c r="E77" s="28"/>
      <c r="F77" s="31"/>
      <c r="G77" s="31"/>
    </row>
    <row r="78" spans="1:41" x14ac:dyDescent="0.35">
      <c r="A78" s="28">
        <v>43489</v>
      </c>
      <c r="B78" s="6">
        <v>8</v>
      </c>
      <c r="C78" s="31"/>
      <c r="D78" s="31"/>
      <c r="E78" s="28"/>
      <c r="F78" s="31"/>
      <c r="G78" s="31"/>
    </row>
    <row r="79" spans="1:41" x14ac:dyDescent="0.35">
      <c r="A79" s="28">
        <v>43490</v>
      </c>
      <c r="B79" s="6">
        <v>8</v>
      </c>
      <c r="C79" s="31"/>
      <c r="D79" s="31"/>
      <c r="E79" s="28"/>
      <c r="F79" s="31"/>
      <c r="G79" s="31"/>
    </row>
    <row r="80" spans="1:41" x14ac:dyDescent="0.35">
      <c r="A80" s="28">
        <v>43491</v>
      </c>
      <c r="B80" s="31">
        <v>8.02</v>
      </c>
      <c r="C80" s="31"/>
      <c r="D80" s="31"/>
      <c r="E80" s="28"/>
      <c r="F80" s="31"/>
      <c r="G80" s="31"/>
    </row>
    <row r="81" spans="1:41" x14ac:dyDescent="0.35">
      <c r="A81" s="28">
        <v>43492</v>
      </c>
      <c r="B81" s="6">
        <v>8</v>
      </c>
      <c r="C81" s="31"/>
      <c r="D81" s="31"/>
      <c r="E81" s="28"/>
      <c r="F81" s="31"/>
      <c r="G81" s="31"/>
    </row>
    <row r="82" spans="1:41" x14ac:dyDescent="0.35">
      <c r="A82" s="28">
        <v>43493</v>
      </c>
      <c r="B82" s="31">
        <v>7.95</v>
      </c>
      <c r="C82" s="31"/>
      <c r="D82" s="31"/>
      <c r="E82" s="28"/>
      <c r="F82" s="31"/>
      <c r="G82" s="31"/>
    </row>
    <row r="83" spans="1:41" x14ac:dyDescent="0.35">
      <c r="A83" s="28">
        <v>43494</v>
      </c>
      <c r="B83" s="31">
        <v>8.08</v>
      </c>
      <c r="C83" s="31"/>
      <c r="D83" s="31"/>
      <c r="E83" s="31"/>
      <c r="F83" s="25"/>
      <c r="G83" s="25"/>
    </row>
    <row r="84" spans="1:41" x14ac:dyDescent="0.35">
      <c r="A84" s="28">
        <v>43495</v>
      </c>
      <c r="B84" s="31">
        <v>7.98</v>
      </c>
      <c r="C84" s="31"/>
      <c r="D84" s="31"/>
      <c r="E84" s="31"/>
      <c r="F84" s="25"/>
      <c r="G84" s="25"/>
    </row>
    <row r="85" spans="1:41" x14ac:dyDescent="0.35">
      <c r="A85" s="28">
        <v>43496</v>
      </c>
      <c r="B85" s="31">
        <v>8.07</v>
      </c>
      <c r="C85" s="31"/>
      <c r="D85" s="31"/>
      <c r="E85" s="31"/>
      <c r="F85" s="25"/>
      <c r="G85" s="25"/>
    </row>
    <row r="86" spans="1:41" x14ac:dyDescent="0.35">
      <c r="A86" s="28">
        <v>43497</v>
      </c>
      <c r="B86" s="68">
        <v>7.98</v>
      </c>
    </row>
    <row r="87" spans="1:41" x14ac:dyDescent="0.35">
      <c r="A87" s="28">
        <v>43498</v>
      </c>
      <c r="B87" s="69">
        <v>8.06</v>
      </c>
      <c r="F87" s="2"/>
      <c r="G87" s="2"/>
      <c r="N87" s="31"/>
    </row>
    <row r="88" spans="1:41" s="31" customFormat="1" x14ac:dyDescent="0.35">
      <c r="A88" s="28">
        <v>43499</v>
      </c>
      <c r="B88" s="31">
        <v>8.02</v>
      </c>
      <c r="F88" s="25"/>
      <c r="G88" s="25"/>
      <c r="AF88" s="43"/>
      <c r="AG88" s="43"/>
      <c r="AH88" s="43"/>
      <c r="AI88" s="43"/>
      <c r="AJ88" s="43"/>
      <c r="AK88" s="43"/>
      <c r="AL88" s="43"/>
      <c r="AM88" s="43"/>
      <c r="AN88" s="43"/>
      <c r="AO88" s="43"/>
    </row>
    <row r="89" spans="1:41" s="31" customFormat="1" x14ac:dyDescent="0.35">
      <c r="A89" s="28">
        <v>43500</v>
      </c>
      <c r="B89" s="31">
        <v>7.97</v>
      </c>
      <c r="F89" s="25"/>
      <c r="G89" s="25"/>
      <c r="AF89" s="43"/>
      <c r="AG89" s="43"/>
      <c r="AH89" s="43"/>
      <c r="AI89" s="43"/>
      <c r="AJ89" s="43"/>
      <c r="AK89" s="43"/>
      <c r="AL89" s="43"/>
      <c r="AM89" s="43"/>
      <c r="AN89" s="43"/>
      <c r="AO89" s="43"/>
    </row>
    <row r="90" spans="1:41" s="31" customFormat="1" x14ac:dyDescent="0.35">
      <c r="A90" s="28">
        <v>43501</v>
      </c>
      <c r="B90" s="31">
        <v>8.01</v>
      </c>
      <c r="F90" s="25"/>
      <c r="G90" s="25"/>
    </row>
    <row r="91" spans="1:41" s="31" customFormat="1" x14ac:dyDescent="0.35">
      <c r="A91" s="28">
        <v>43502</v>
      </c>
      <c r="B91" s="31">
        <v>7.05</v>
      </c>
      <c r="C91" s="31" t="s">
        <v>152</v>
      </c>
      <c r="F91" s="25"/>
      <c r="G91" s="25"/>
    </row>
    <row r="92" spans="1:41" s="31" customFormat="1" x14ac:dyDescent="0.35">
      <c r="A92" s="28">
        <v>43503</v>
      </c>
      <c r="B92" s="31">
        <v>7.07</v>
      </c>
      <c r="F92" s="25"/>
      <c r="G92" s="25"/>
    </row>
    <row r="93" spans="1:41" s="31" customFormat="1" x14ac:dyDescent="0.35">
      <c r="A93" s="28">
        <v>43504</v>
      </c>
      <c r="B93" s="31">
        <v>7.07</v>
      </c>
      <c r="F93" s="25"/>
      <c r="G93" s="25"/>
      <c r="M93" s="27"/>
      <c r="N93" s="27"/>
      <c r="O93" s="27"/>
      <c r="P93" s="27"/>
      <c r="Q93" s="27"/>
      <c r="R93" s="26"/>
      <c r="S93" s="26"/>
      <c r="T93" s="26"/>
      <c r="U93" s="26"/>
      <c r="V93" s="27"/>
      <c r="W93" s="18"/>
      <c r="X93" s="26"/>
      <c r="Y93" s="27"/>
    </row>
    <row r="94" spans="1:41" s="31" customFormat="1" x14ac:dyDescent="0.35">
      <c r="A94" s="28">
        <v>43505</v>
      </c>
      <c r="B94" s="31">
        <v>7.09</v>
      </c>
      <c r="F94" s="25"/>
      <c r="G94" s="25"/>
      <c r="M94" s="27"/>
      <c r="N94" s="27"/>
      <c r="O94" s="27"/>
      <c r="P94" s="27"/>
      <c r="Q94" s="27"/>
      <c r="R94" s="26"/>
      <c r="S94" s="26"/>
      <c r="T94" s="26"/>
      <c r="U94" s="26"/>
      <c r="V94" s="27"/>
      <c r="W94" s="18"/>
      <c r="X94" s="26"/>
      <c r="Y94" s="27"/>
    </row>
    <row r="95" spans="1:41" s="31" customFormat="1" x14ac:dyDescent="0.35">
      <c r="A95" s="28">
        <v>43506</v>
      </c>
      <c r="B95" s="31">
        <v>7.15</v>
      </c>
      <c r="F95" s="25"/>
      <c r="G95" s="25"/>
      <c r="R95" s="26"/>
      <c r="S95" s="26"/>
      <c r="T95" s="26"/>
      <c r="U95" s="27"/>
      <c r="W95" s="6"/>
      <c r="X95" s="26"/>
      <c r="Y95" s="27"/>
    </row>
    <row r="96" spans="1:41" s="31" customFormat="1" x14ac:dyDescent="0.35">
      <c r="A96" s="84">
        <v>43507</v>
      </c>
      <c r="B96" s="31">
        <v>7.17</v>
      </c>
      <c r="F96" s="25"/>
      <c r="G96" s="25"/>
    </row>
    <row r="97" spans="1:25" s="31" customFormat="1" x14ac:dyDescent="0.35">
      <c r="A97" s="84">
        <v>43508</v>
      </c>
      <c r="B97" s="31">
        <v>7.28</v>
      </c>
      <c r="F97" s="25"/>
      <c r="G97" s="25"/>
    </row>
    <row r="98" spans="1:25" s="31" customFormat="1" x14ac:dyDescent="0.35">
      <c r="A98" s="84">
        <v>43509</v>
      </c>
      <c r="B98" s="31">
        <v>7.34</v>
      </c>
      <c r="F98" s="25"/>
      <c r="G98" s="25"/>
    </row>
    <row r="99" spans="1:25" s="31" customFormat="1" x14ac:dyDescent="0.35">
      <c r="A99" s="84">
        <v>43510</v>
      </c>
      <c r="B99" s="85">
        <v>7.36</v>
      </c>
      <c r="C99" s="31" t="s">
        <v>158</v>
      </c>
      <c r="F99" s="25"/>
      <c r="G99" s="25"/>
    </row>
    <row r="100" spans="1:25" s="31" customFormat="1" x14ac:dyDescent="0.35">
      <c r="A100" s="84">
        <v>43511</v>
      </c>
      <c r="B100" s="85">
        <v>7.26</v>
      </c>
      <c r="F100" s="25"/>
      <c r="G100" s="25"/>
      <c r="X100" s="26"/>
      <c r="Y100" s="26"/>
    </row>
    <row r="101" spans="1:25" s="31" customFormat="1" x14ac:dyDescent="0.35">
      <c r="A101" s="84">
        <v>43512</v>
      </c>
      <c r="B101" s="25">
        <v>7.33</v>
      </c>
      <c r="F101" s="25"/>
      <c r="G101" s="25"/>
      <c r="H101" s="25"/>
      <c r="K101" s="27"/>
      <c r="L101" s="27"/>
      <c r="U101" s="26"/>
      <c r="X101" s="26"/>
      <c r="Y101" s="26"/>
    </row>
    <row r="102" spans="1:25" s="31" customFormat="1" x14ac:dyDescent="0.35">
      <c r="A102" s="84">
        <v>43513</v>
      </c>
      <c r="B102" s="25">
        <v>7.3</v>
      </c>
      <c r="F102" s="25"/>
      <c r="G102" s="25"/>
      <c r="K102" s="27"/>
      <c r="L102" s="27"/>
      <c r="R102" s="27"/>
      <c r="S102" s="27"/>
      <c r="T102" s="27"/>
      <c r="U102" s="13"/>
      <c r="X102" s="26"/>
      <c r="Y102" s="26"/>
    </row>
    <row r="103" spans="1:25" s="31" customFormat="1" x14ac:dyDescent="0.35">
      <c r="A103" s="84">
        <v>43514</v>
      </c>
      <c r="B103" s="25">
        <v>7.25</v>
      </c>
      <c r="F103" s="25"/>
      <c r="G103" s="25"/>
      <c r="K103" s="27"/>
      <c r="L103" s="27"/>
      <c r="O103" s="6"/>
      <c r="R103" s="27"/>
      <c r="S103" s="27"/>
      <c r="T103" s="27"/>
      <c r="U103" s="13"/>
      <c r="V103" s="6"/>
      <c r="X103" s="26"/>
    </row>
    <row r="104" spans="1:25" s="31" customFormat="1" x14ac:dyDescent="0.35">
      <c r="A104" s="84">
        <v>43515</v>
      </c>
      <c r="B104" s="25">
        <v>7.3</v>
      </c>
      <c r="F104" s="25"/>
      <c r="G104" s="25"/>
      <c r="J104" s="27"/>
      <c r="K104" s="27"/>
      <c r="L104" s="27"/>
      <c r="R104" s="27"/>
      <c r="S104" s="27"/>
      <c r="T104" s="27"/>
      <c r="U104" s="13"/>
      <c r="W104" s="12"/>
      <c r="X104" s="26"/>
    </row>
    <row r="105" spans="1:25" s="31" customFormat="1" x14ac:dyDescent="0.35">
      <c r="A105" s="28">
        <v>43516</v>
      </c>
      <c r="B105" s="25">
        <v>7.37</v>
      </c>
      <c r="F105" s="25"/>
      <c r="G105" s="25"/>
      <c r="J105" s="27"/>
      <c r="K105" s="27"/>
      <c r="L105" s="27"/>
      <c r="O105" s="27"/>
      <c r="R105" s="27"/>
      <c r="S105" s="27"/>
      <c r="T105" s="27"/>
      <c r="U105" s="13"/>
      <c r="V105" s="18"/>
      <c r="X105" s="26"/>
    </row>
    <row r="106" spans="1:25" s="31" customFormat="1" x14ac:dyDescent="0.35">
      <c r="A106" s="28">
        <v>43517</v>
      </c>
      <c r="B106" s="25">
        <v>7.45</v>
      </c>
      <c r="F106" s="25"/>
      <c r="G106" s="25"/>
      <c r="J106" s="27"/>
      <c r="K106" s="27"/>
      <c r="L106" s="27"/>
      <c r="O106" s="27"/>
      <c r="R106" s="27"/>
      <c r="S106" s="27"/>
      <c r="T106" s="27"/>
      <c r="U106" s="13"/>
      <c r="V106" s="18"/>
      <c r="X106" s="26"/>
    </row>
    <row r="107" spans="1:25" s="31" customFormat="1" x14ac:dyDescent="0.35">
      <c r="A107" s="28">
        <v>43518</v>
      </c>
      <c r="B107" s="25">
        <v>7.4</v>
      </c>
      <c r="F107" s="25"/>
      <c r="G107" s="25"/>
      <c r="J107" s="27"/>
      <c r="K107" s="27"/>
      <c r="L107" s="27"/>
      <c r="O107" s="27"/>
      <c r="R107" s="27"/>
      <c r="S107" s="27"/>
      <c r="T107" s="27"/>
      <c r="U107" s="13"/>
      <c r="V107" s="18"/>
      <c r="X107" s="26"/>
    </row>
    <row r="108" spans="1:25" s="31" customFormat="1" x14ac:dyDescent="0.35">
      <c r="B108" s="28"/>
      <c r="F108" s="25"/>
      <c r="G108" s="25"/>
      <c r="J108" s="27"/>
      <c r="K108" s="27"/>
      <c r="L108" s="27"/>
      <c r="O108" s="27"/>
      <c r="R108" s="27"/>
      <c r="S108" s="27"/>
      <c r="T108" s="27"/>
      <c r="U108" s="13"/>
      <c r="V108" s="18"/>
      <c r="X108" s="26"/>
    </row>
    <row r="109" spans="1:25" s="31" customFormat="1" x14ac:dyDescent="0.35">
      <c r="B109" s="28"/>
      <c r="F109" s="25"/>
      <c r="G109" s="25"/>
      <c r="J109" s="27"/>
      <c r="K109" s="27"/>
      <c r="L109" s="27"/>
      <c r="O109" s="27"/>
      <c r="R109" s="26"/>
      <c r="S109" s="26"/>
      <c r="T109" s="26"/>
      <c r="U109" s="13"/>
      <c r="V109" s="18"/>
      <c r="X109" s="26"/>
    </row>
    <row r="110" spans="1:25" s="31" customFormat="1" x14ac:dyDescent="0.35">
      <c r="F110" s="25"/>
      <c r="G110" s="25"/>
    </row>
    <row r="111" spans="1:25" s="31" customFormat="1" x14ac:dyDescent="0.35">
      <c r="F111" s="25"/>
      <c r="G111" s="25"/>
    </row>
    <row r="112" spans="1:25" s="31" customFormat="1" x14ac:dyDescent="0.35">
      <c r="F112" s="25"/>
      <c r="G112" s="25"/>
    </row>
    <row r="113" spans="1:10" s="31" customFormat="1" x14ac:dyDescent="0.35"/>
    <row r="114" spans="1:10" s="31" customFormat="1" x14ac:dyDescent="0.35"/>
    <row r="115" spans="1:10" s="31" customFormat="1" x14ac:dyDescent="0.35"/>
    <row r="116" spans="1:10" s="31" customFormat="1" x14ac:dyDescent="0.35"/>
    <row r="117" spans="1:10" s="31" customFormat="1" x14ac:dyDescent="0.35"/>
    <row r="118" spans="1:10" s="31" customFormat="1" x14ac:dyDescent="0.35"/>
    <row r="119" spans="1:10" s="31" customFormat="1" x14ac:dyDescent="0.35">
      <c r="A119" s="28"/>
      <c r="E119" s="28"/>
      <c r="J119" s="28"/>
    </row>
    <row r="120" spans="1:10" s="31" customFormat="1" x14ac:dyDescent="0.35">
      <c r="A120" s="28"/>
      <c r="E120" s="28"/>
    </row>
    <row r="121" spans="1:10" s="31" customFormat="1" x14ac:dyDescent="0.35">
      <c r="A121" s="28"/>
      <c r="E121" s="28"/>
      <c r="J121" s="28"/>
    </row>
    <row r="122" spans="1:10" s="31" customFormat="1" x14ac:dyDescent="0.35">
      <c r="A122" s="28"/>
      <c r="E122" s="28"/>
      <c r="J122" s="28"/>
    </row>
    <row r="123" spans="1:10" s="31" customFormat="1" x14ac:dyDescent="0.35">
      <c r="A123" s="28"/>
      <c r="E123" s="28"/>
      <c r="J123" s="28"/>
    </row>
    <row r="124" spans="1:10" s="31" customFormat="1" x14ac:dyDescent="0.35">
      <c r="A124" s="28"/>
      <c r="E124" s="28"/>
      <c r="J124" s="28"/>
    </row>
    <row r="125" spans="1:10" s="31" customFormat="1" x14ac:dyDescent="0.35">
      <c r="A125" s="28"/>
      <c r="E125" s="28"/>
      <c r="J125" s="28"/>
    </row>
    <row r="126" spans="1:10" s="31" customFormat="1" x14ac:dyDescent="0.35">
      <c r="A126" s="28"/>
      <c r="E126" s="28"/>
      <c r="J126" s="28"/>
    </row>
    <row r="127" spans="1:10" s="31" customFormat="1" x14ac:dyDescent="0.35">
      <c r="A127" s="28"/>
      <c r="E127" s="28"/>
      <c r="J127" s="28"/>
    </row>
    <row r="128" spans="1:10" s="31" customFormat="1" x14ac:dyDescent="0.35">
      <c r="A128" s="28"/>
      <c r="E128" s="28"/>
      <c r="J128" s="28"/>
    </row>
    <row r="129" spans="1:41" s="31" customFormat="1" x14ac:dyDescent="0.35">
      <c r="A129" s="28"/>
      <c r="E129" s="28"/>
      <c r="J129" s="28"/>
    </row>
    <row r="130" spans="1:41" s="31" customFormat="1" x14ac:dyDescent="0.35">
      <c r="A130" s="28"/>
      <c r="E130" s="28"/>
      <c r="J130" s="28"/>
    </row>
    <row r="131" spans="1:41" s="31" customFormat="1" x14ac:dyDescent="0.35">
      <c r="A131" s="28"/>
      <c r="E131" s="28"/>
      <c r="J131" s="28"/>
    </row>
    <row r="132" spans="1:41" s="31" customFormat="1" x14ac:dyDescent="0.35">
      <c r="A132" s="28"/>
      <c r="F132" s="25"/>
      <c r="G132" s="25"/>
    </row>
    <row r="133" spans="1:41" s="31" customFormat="1" x14ac:dyDescent="0.35">
      <c r="A133" s="28"/>
      <c r="F133" s="25"/>
      <c r="G133" s="25"/>
    </row>
    <row r="134" spans="1:41" s="31" customFormat="1" x14ac:dyDescent="0.35">
      <c r="A134" s="22"/>
      <c r="F134" s="25"/>
      <c r="G134" s="25"/>
    </row>
    <row r="135" spans="1:41" s="31" customFormat="1" x14ac:dyDescent="0.35"/>
    <row r="136" spans="1:41" x14ac:dyDescent="0.35"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</row>
    <row r="137" spans="1:41" x14ac:dyDescent="0.35"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O153"/>
  <sheetViews>
    <sheetView zoomScaleNormal="100" workbookViewId="0">
      <pane ySplit="11" topLeftCell="A12" activePane="bottomLeft" state="frozen"/>
      <selection pane="bottomLeft" activeCell="A9" sqref="A9"/>
    </sheetView>
  </sheetViews>
  <sheetFormatPr defaultColWidth="9.1796875" defaultRowHeight="14.5" x14ac:dyDescent="0.35"/>
  <cols>
    <col min="1" max="1" width="9.7265625" style="43" bestFit="1" customWidth="1"/>
    <col min="2" max="2" width="10.54296875" style="43" bestFit="1" customWidth="1"/>
    <col min="3" max="7" width="9.1796875" style="43"/>
    <col min="8" max="8" width="5.54296875" style="43" bestFit="1" customWidth="1"/>
    <col min="9" max="9" width="17.1796875" style="43" bestFit="1" customWidth="1"/>
    <col min="10" max="10" width="16.7265625" style="43" bestFit="1" customWidth="1"/>
    <col min="11" max="11" width="6.7265625" style="43" bestFit="1" customWidth="1"/>
    <col min="12" max="18" width="7.26953125" style="43" bestFit="1" customWidth="1"/>
    <col min="19" max="19" width="7.26953125" style="68" customWidth="1"/>
    <col min="20" max="20" width="7.26953125" style="68" bestFit="1" customWidth="1"/>
    <col min="21" max="21" width="7.26953125" style="43" customWidth="1"/>
    <col min="22" max="26" width="7.26953125" style="43" bestFit="1" customWidth="1"/>
    <col min="27" max="27" width="11.453125" style="43" customWidth="1"/>
    <col min="28" max="28" width="7.1796875" style="68" bestFit="1" customWidth="1"/>
    <col min="29" max="29" width="7.54296875" style="68" bestFit="1" customWidth="1"/>
    <col min="30" max="30" width="14.54296875" style="43" bestFit="1" customWidth="1"/>
    <col min="31" max="31" width="11.7265625" style="43" bestFit="1" customWidth="1"/>
    <col min="32" max="32" width="12.26953125" style="43" customWidth="1"/>
    <col min="33" max="16384" width="9.1796875" style="43"/>
  </cols>
  <sheetData>
    <row r="1" spans="1:41" s="31" customFormat="1" x14ac:dyDescent="0.35">
      <c r="A1" s="31" t="s">
        <v>46</v>
      </c>
      <c r="F1" s="25"/>
      <c r="G1" s="25"/>
    </row>
    <row r="2" spans="1:41" x14ac:dyDescent="0.35">
      <c r="F2" s="25"/>
      <c r="G2" s="25"/>
      <c r="H2" s="31"/>
      <c r="N2" s="31"/>
    </row>
    <row r="3" spans="1:41" x14ac:dyDescent="0.35">
      <c r="A3" s="43" t="s">
        <v>8</v>
      </c>
      <c r="F3" s="2"/>
      <c r="G3" s="2"/>
      <c r="N3" s="31"/>
    </row>
    <row r="4" spans="1:41" s="31" customFormat="1" x14ac:dyDescent="0.35">
      <c r="A4" s="31" t="s">
        <v>74</v>
      </c>
      <c r="F4" s="25"/>
      <c r="G4" s="25"/>
    </row>
    <row r="5" spans="1:41" x14ac:dyDescent="0.35">
      <c r="A5" s="9" t="s">
        <v>78</v>
      </c>
      <c r="F5" s="2"/>
      <c r="G5" s="2"/>
      <c r="N5" s="31"/>
    </row>
    <row r="6" spans="1:41" s="203" customFormat="1" x14ac:dyDescent="0.35">
      <c r="A6" s="26" t="s">
        <v>358</v>
      </c>
      <c r="F6" s="163"/>
      <c r="G6" s="163"/>
      <c r="N6" s="202"/>
    </row>
    <row r="7" spans="1:41" x14ac:dyDescent="0.35">
      <c r="F7" s="2"/>
      <c r="G7" s="2"/>
      <c r="N7" s="31"/>
    </row>
    <row r="8" spans="1:41" s="31" customFormat="1" x14ac:dyDescent="0.35">
      <c r="A8" s="31" t="s">
        <v>366</v>
      </c>
      <c r="F8" s="25"/>
      <c r="G8" s="25"/>
      <c r="AF8" s="26" t="s">
        <v>170</v>
      </c>
    </row>
    <row r="9" spans="1:41" x14ac:dyDescent="0.35">
      <c r="F9" s="2"/>
      <c r="G9" s="2"/>
      <c r="N9" s="31"/>
    </row>
    <row r="10" spans="1:41" x14ac:dyDescent="0.35">
      <c r="A10" s="43" t="s">
        <v>9</v>
      </c>
      <c r="B10" s="43" t="s">
        <v>10</v>
      </c>
      <c r="C10" s="43" t="s">
        <v>11</v>
      </c>
      <c r="D10" s="43" t="s">
        <v>7</v>
      </c>
      <c r="E10" s="43" t="s">
        <v>12</v>
      </c>
      <c r="F10" s="2" t="s">
        <v>13</v>
      </c>
      <c r="G10" s="2" t="s">
        <v>81</v>
      </c>
      <c r="H10" s="43" t="s">
        <v>14</v>
      </c>
      <c r="I10" s="43" t="s">
        <v>15</v>
      </c>
      <c r="J10" s="43" t="s">
        <v>16</v>
      </c>
      <c r="K10" s="43" t="s">
        <v>3</v>
      </c>
      <c r="L10" s="43" t="s">
        <v>31</v>
      </c>
      <c r="M10" s="43" t="s">
        <v>30</v>
      </c>
      <c r="N10" s="43" t="s">
        <v>18</v>
      </c>
      <c r="O10" s="43" t="s">
        <v>17</v>
      </c>
      <c r="P10" s="43" t="s">
        <v>20</v>
      </c>
      <c r="Q10" s="43" t="s">
        <v>19</v>
      </c>
      <c r="R10" s="43" t="s">
        <v>21</v>
      </c>
      <c r="S10" s="68" t="s">
        <v>47</v>
      </c>
      <c r="T10" s="68" t="s">
        <v>24</v>
      </c>
      <c r="U10" s="43" t="s">
        <v>48</v>
      </c>
      <c r="V10" s="43" t="s">
        <v>4</v>
      </c>
      <c r="W10" s="43" t="s">
        <v>22</v>
      </c>
      <c r="X10" s="43" t="s">
        <v>23</v>
      </c>
      <c r="Y10" s="43" t="s">
        <v>25</v>
      </c>
      <c r="Z10" s="43" t="s">
        <v>49</v>
      </c>
      <c r="AA10" s="43" t="s">
        <v>26</v>
      </c>
      <c r="AB10" s="68" t="s">
        <v>123</v>
      </c>
      <c r="AC10" s="68" t="s">
        <v>124</v>
      </c>
      <c r="AD10" s="68" t="s">
        <v>27</v>
      </c>
      <c r="AF10" s="101" t="s">
        <v>171</v>
      </c>
      <c r="AG10" s="101" t="s">
        <v>172</v>
      </c>
      <c r="AH10" s="101" t="s">
        <v>173</v>
      </c>
      <c r="AI10" s="101" t="s">
        <v>174</v>
      </c>
      <c r="AJ10" s="101" t="s">
        <v>175</v>
      </c>
      <c r="AK10" s="101" t="s">
        <v>176</v>
      </c>
      <c r="AL10" s="101" t="s">
        <v>177</v>
      </c>
      <c r="AM10" s="101" t="s">
        <v>178</v>
      </c>
      <c r="AN10" s="101" t="s">
        <v>179</v>
      </c>
      <c r="AO10" s="101" t="s">
        <v>180</v>
      </c>
    </row>
    <row r="11" spans="1:41" x14ac:dyDescent="0.35">
      <c r="D11" s="43" t="s">
        <v>6</v>
      </c>
      <c r="E11" s="43" t="s">
        <v>6</v>
      </c>
      <c r="F11" s="2"/>
      <c r="G11" s="2"/>
      <c r="I11" s="203" t="s">
        <v>357</v>
      </c>
      <c r="J11" s="43" t="s">
        <v>28</v>
      </c>
      <c r="K11" s="27" t="s">
        <v>352</v>
      </c>
      <c r="L11" s="43" t="s">
        <v>5</v>
      </c>
      <c r="M11" s="43" t="s">
        <v>5</v>
      </c>
      <c r="N11" s="43" t="s">
        <v>5</v>
      </c>
      <c r="O11" s="43" t="s">
        <v>5</v>
      </c>
      <c r="P11" s="43" t="s">
        <v>5</v>
      </c>
      <c r="Q11" s="43" t="s">
        <v>5</v>
      </c>
      <c r="R11" s="43" t="s">
        <v>5</v>
      </c>
      <c r="S11" s="68" t="s">
        <v>5</v>
      </c>
      <c r="T11" s="68" t="s">
        <v>5</v>
      </c>
      <c r="U11" s="43" t="s">
        <v>5</v>
      </c>
      <c r="V11" s="43" t="s">
        <v>5</v>
      </c>
      <c r="W11" s="43" t="s">
        <v>5</v>
      </c>
      <c r="X11" s="43" t="s">
        <v>5</v>
      </c>
      <c r="Y11" s="43" t="s">
        <v>5</v>
      </c>
      <c r="Z11" s="43" t="s">
        <v>5</v>
      </c>
      <c r="AD11" s="68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</row>
    <row r="12" spans="1:41" x14ac:dyDescent="0.35">
      <c r="F12" s="2"/>
      <c r="G12" s="2"/>
      <c r="N12" s="31"/>
      <c r="AD12" s="68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</row>
    <row r="13" spans="1:41" x14ac:dyDescent="0.35">
      <c r="A13" s="43" t="s">
        <v>56</v>
      </c>
      <c r="F13" s="2"/>
      <c r="G13" s="2"/>
      <c r="H13" s="25">
        <f>AVERAGE(B69:B75)</f>
        <v>7.2999999999999989</v>
      </c>
      <c r="I13" s="165">
        <f>'Influent Results Master'!D34</f>
        <v>1670.1111111111111</v>
      </c>
      <c r="J13" s="165">
        <f>'Influent Results Master'!F34</f>
        <v>320.66666666666669</v>
      </c>
      <c r="K13" s="165">
        <f>'Influent Results Master'!G34</f>
        <v>287.22222222222223</v>
      </c>
      <c r="L13" s="165">
        <f>'Influent Results Master'!H34</f>
        <v>47.333333333333336</v>
      </c>
      <c r="M13" s="165">
        <f>'Influent Results Master'!I34</f>
        <v>21.777777777777775</v>
      </c>
      <c r="N13" s="165">
        <f>'Influent Results Master'!J34</f>
        <v>614.55555555555554</v>
      </c>
      <c r="O13" s="165">
        <f>'Influent Results Master'!K34</f>
        <v>28.111111111111114</v>
      </c>
      <c r="P13" s="165">
        <f>'Influent Results Master'!L34</f>
        <v>153.01111111111109</v>
      </c>
      <c r="Q13" s="165">
        <f>'Influent Results Master'!M34</f>
        <v>62.398888888888884</v>
      </c>
      <c r="R13" s="165">
        <f>'Influent Results Master'!N34</f>
        <v>206.23333333333335</v>
      </c>
      <c r="S13" s="165">
        <f>'Influent Results Master'!O34</f>
        <v>23.54111111111111</v>
      </c>
      <c r="T13" s="170">
        <f>'Influent Results Master'!P34</f>
        <v>6.3293333333333335</v>
      </c>
      <c r="U13" s="171">
        <f>'Influent Results Master'!Q34</f>
        <v>0.20000000000000004</v>
      </c>
      <c r="V13" s="176">
        <f>'Influent Results Master'!R34</f>
        <v>4.7000000000000007E-2</v>
      </c>
      <c r="W13" s="177">
        <f>'Influent Results Master'!S34</f>
        <v>0.02</v>
      </c>
      <c r="X13" s="176">
        <f>'Influent Results Master'!T34</f>
        <v>4.5777777777777785E-2</v>
      </c>
      <c r="Y13" s="177">
        <f>'Influent Results Master'!U34</f>
        <v>0.04</v>
      </c>
      <c r="Z13" s="170">
        <f>'Influent Results Master'!V34</f>
        <v>1.3484444444444446</v>
      </c>
      <c r="AB13" s="69">
        <f>((J13/50)+(L13/35.45)+(M13/62)+(N13/48.03))</f>
        <v>20.895045443353979</v>
      </c>
      <c r="AC13" s="69">
        <f>((P13/20.04)+(Q13/12.16)+(R13/22.99)+(T13/39.1))</f>
        <v>21.89921500465627</v>
      </c>
      <c r="AD13" s="69">
        <f>ABS((AB13-AC13)/(AB13+AC13)*100)</f>
        <v>2.3465052340891206</v>
      </c>
      <c r="AF13" s="101">
        <v>7.3</v>
      </c>
      <c r="AG13" s="101">
        <v>2.1877300000000002</v>
      </c>
      <c r="AH13" s="101">
        <v>0.25259999999999999</v>
      </c>
      <c r="AI13" s="101">
        <v>-0.80869999999999997</v>
      </c>
      <c r="AJ13" s="101">
        <v>-1.0582</v>
      </c>
      <c r="AK13" s="101">
        <v>-1.8478000000000001</v>
      </c>
      <c r="AL13" s="101">
        <v>-5.7299999999999997E-2</v>
      </c>
      <c r="AM13" s="101">
        <v>-1.4037999999999999</v>
      </c>
      <c r="AN13" s="101">
        <v>-1.5056</v>
      </c>
      <c r="AO13" s="101">
        <v>-0.90980000000000005</v>
      </c>
    </row>
    <row r="14" spans="1:41" s="51" customFormat="1" x14ac:dyDescent="0.35">
      <c r="F14" s="52"/>
      <c r="G14" s="52"/>
      <c r="M14" s="53"/>
      <c r="N14" s="27"/>
      <c r="O14" s="53"/>
      <c r="P14" s="53"/>
      <c r="Q14" s="53"/>
      <c r="R14" s="55"/>
      <c r="S14" s="67"/>
      <c r="T14" s="67"/>
      <c r="U14" s="55"/>
      <c r="V14" s="53"/>
      <c r="W14" s="54"/>
      <c r="X14" s="55"/>
      <c r="Y14" s="32"/>
      <c r="AB14" s="69"/>
      <c r="AC14" s="69"/>
      <c r="AD14" s="69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</row>
    <row r="15" spans="1:41" x14ac:dyDescent="0.35">
      <c r="A15" s="43">
        <v>3</v>
      </c>
      <c r="B15" s="10">
        <v>43481</v>
      </c>
      <c r="C15" s="43">
        <v>1</v>
      </c>
      <c r="D15" s="43">
        <v>140</v>
      </c>
      <c r="E15" s="43">
        <v>140</v>
      </c>
      <c r="F15" s="2">
        <f>D15/143</f>
        <v>0.97902097902097907</v>
      </c>
      <c r="G15" s="2">
        <v>0.98</v>
      </c>
      <c r="H15" s="43">
        <v>7.62</v>
      </c>
      <c r="I15" s="43">
        <v>4150</v>
      </c>
      <c r="J15" s="43">
        <v>297</v>
      </c>
      <c r="K15" s="43">
        <v>807</v>
      </c>
      <c r="L15" s="43">
        <v>95</v>
      </c>
      <c r="M15" s="191">
        <v>31</v>
      </c>
      <c r="N15" s="31">
        <v>2189</v>
      </c>
      <c r="O15" s="43">
        <v>91</v>
      </c>
      <c r="P15" s="165">
        <v>486.1</v>
      </c>
      <c r="Q15" s="175">
        <v>153.80000000000001</v>
      </c>
      <c r="R15" s="175">
        <v>574.9</v>
      </c>
      <c r="S15" s="175">
        <v>22.19</v>
      </c>
      <c r="T15" s="175">
        <v>33.36</v>
      </c>
      <c r="U15" s="174">
        <v>0.437</v>
      </c>
      <c r="V15" s="174">
        <v>0.41899999999999998</v>
      </c>
      <c r="W15" s="177">
        <v>0.02</v>
      </c>
      <c r="X15" s="172">
        <v>1.1819999999999999</v>
      </c>
      <c r="Y15" s="177">
        <v>0.04</v>
      </c>
      <c r="Z15" s="170">
        <v>3.6880000000000002</v>
      </c>
      <c r="AB15" s="69">
        <f t="shared" ref="AB15:AB21" si="0">((J15/50)+(L15/35.45)+(M15/62)+(N15/48.03))</f>
        <v>54.695512613032463</v>
      </c>
      <c r="AC15" s="69">
        <f t="shared" ref="AC15:AC61" si="1">((P15/20.04)+(Q15/12.16)+(R15/22.99)+(T15/39.1))</f>
        <v>62.76423484858644</v>
      </c>
      <c r="AD15" s="69">
        <f t="shared" ref="AD15:AD61" si="2">ABS((AB15-AC15)/(AB15+AC15)*100)</f>
        <v>6.8693509137592095</v>
      </c>
      <c r="AF15" s="101">
        <v>7.62</v>
      </c>
      <c r="AG15" s="101">
        <v>8.42347</v>
      </c>
      <c r="AH15" s="101">
        <v>0.80220000000000002</v>
      </c>
      <c r="AI15" s="101">
        <v>-0.1042</v>
      </c>
      <c r="AJ15" s="101">
        <v>-0.35320000000000001</v>
      </c>
      <c r="AK15" s="101">
        <v>-2.2536</v>
      </c>
      <c r="AL15" s="101">
        <v>0.94130000000000003</v>
      </c>
      <c r="AM15" s="101">
        <v>7.51E-2</v>
      </c>
      <c r="AN15" s="101">
        <v>-0.31319999999999998</v>
      </c>
      <c r="AO15" s="101">
        <v>-0.46089999999999998</v>
      </c>
    </row>
    <row r="16" spans="1:41" x14ac:dyDescent="0.35">
      <c r="A16" s="43">
        <v>3</v>
      </c>
      <c r="B16" s="10">
        <v>43482</v>
      </c>
      <c r="C16" s="31">
        <v>2</v>
      </c>
      <c r="D16" s="31">
        <v>144</v>
      </c>
      <c r="E16" s="31">
        <f>E15+D16</f>
        <v>284</v>
      </c>
      <c r="F16" s="2">
        <f t="shared" ref="F16:F20" si="3">D16/143</f>
        <v>1.0069930069930071</v>
      </c>
      <c r="G16" s="25">
        <f>G15+F16</f>
        <v>1.9869930069930071</v>
      </c>
      <c r="H16" s="25">
        <v>7.45</v>
      </c>
      <c r="I16" s="31">
        <v>2180</v>
      </c>
      <c r="J16" s="31">
        <v>343</v>
      </c>
      <c r="K16" s="31">
        <v>618</v>
      </c>
      <c r="L16" s="31">
        <v>63</v>
      </c>
      <c r="M16" s="27">
        <v>5.2</v>
      </c>
      <c r="N16" s="31">
        <v>862</v>
      </c>
      <c r="O16" s="31">
        <v>36</v>
      </c>
      <c r="P16" s="12">
        <v>256.60000000000002</v>
      </c>
      <c r="Q16" s="21">
        <v>66.42</v>
      </c>
      <c r="R16" s="21">
        <v>244.2</v>
      </c>
      <c r="S16" s="21">
        <v>23.69</v>
      </c>
      <c r="T16" s="21">
        <v>20.309999999999999</v>
      </c>
      <c r="U16" s="171">
        <v>0.2</v>
      </c>
      <c r="V16" s="11">
        <v>0.22900000000000001</v>
      </c>
      <c r="W16" s="177">
        <v>0.02</v>
      </c>
      <c r="X16" s="11">
        <v>0.60899999999999999</v>
      </c>
      <c r="Y16" s="177">
        <v>0.04</v>
      </c>
      <c r="Z16" s="6">
        <v>2.0409999999999999</v>
      </c>
      <c r="AB16" s="69">
        <f t="shared" si="0"/>
        <v>26.668138270118476</v>
      </c>
      <c r="AC16" s="69">
        <f t="shared" si="1"/>
        <v>29.408009179727895</v>
      </c>
      <c r="AD16" s="69">
        <f t="shared" si="2"/>
        <v>4.8859827827150859</v>
      </c>
      <c r="AF16" s="101">
        <v>7.45</v>
      </c>
      <c r="AG16" s="101">
        <v>7.3804400000000001</v>
      </c>
      <c r="AH16" s="101">
        <v>0.5988</v>
      </c>
      <c r="AI16" s="101">
        <v>-0.52880000000000005</v>
      </c>
      <c r="AJ16" s="101">
        <v>-0.77829999999999999</v>
      </c>
      <c r="AK16" s="101">
        <v>-1.9844999999999999</v>
      </c>
      <c r="AL16" s="101">
        <v>0.43980000000000002</v>
      </c>
      <c r="AM16" s="101">
        <v>-9.98E-2</v>
      </c>
      <c r="AN16" s="101">
        <v>-0.622</v>
      </c>
      <c r="AO16" s="101">
        <v>-0.75900000000000001</v>
      </c>
    </row>
    <row r="17" spans="1:41" x14ac:dyDescent="0.35">
      <c r="A17" s="43">
        <v>3</v>
      </c>
      <c r="B17" s="10">
        <v>43483</v>
      </c>
      <c r="C17" s="43">
        <v>3</v>
      </c>
      <c r="D17" s="43">
        <v>146</v>
      </c>
      <c r="E17" s="31">
        <f t="shared" ref="E17:E20" si="4">E16+D17</f>
        <v>430</v>
      </c>
      <c r="F17" s="2">
        <f t="shared" si="3"/>
        <v>1.020979020979021</v>
      </c>
      <c r="G17" s="25">
        <f t="shared" ref="G17:G20" si="5">G16+F17</f>
        <v>3.0079720279720279</v>
      </c>
      <c r="H17" s="43">
        <v>7.39</v>
      </c>
      <c r="I17" s="43">
        <v>1864</v>
      </c>
      <c r="J17" s="43">
        <v>319</v>
      </c>
      <c r="K17" s="27">
        <v>458</v>
      </c>
      <c r="L17" s="27">
        <v>50</v>
      </c>
      <c r="M17" s="27">
        <v>4.7</v>
      </c>
      <c r="N17" s="31">
        <v>758</v>
      </c>
      <c r="O17" s="43">
        <v>30</v>
      </c>
      <c r="P17" s="165">
        <v>200.5</v>
      </c>
      <c r="Q17" s="175">
        <v>53.8</v>
      </c>
      <c r="R17" s="21">
        <v>221.5</v>
      </c>
      <c r="S17" s="21">
        <v>24.15</v>
      </c>
      <c r="T17" s="21">
        <v>18.68</v>
      </c>
      <c r="U17" s="171">
        <v>0.2</v>
      </c>
      <c r="V17" s="174">
        <v>0.17199999999999999</v>
      </c>
      <c r="W17" s="177">
        <v>0.02</v>
      </c>
      <c r="X17" s="11">
        <v>0.55900000000000005</v>
      </c>
      <c r="Y17" s="177">
        <v>0.04</v>
      </c>
      <c r="Z17" s="170">
        <v>1.802</v>
      </c>
      <c r="AB17" s="69">
        <f t="shared" si="0"/>
        <v>23.648046726922733</v>
      </c>
      <c r="AC17" s="69">
        <f t="shared" si="1"/>
        <v>24.541705235293335</v>
      </c>
      <c r="AD17" s="69">
        <f t="shared" si="2"/>
        <v>1.8544575806725254</v>
      </c>
      <c r="AF17" s="101">
        <v>7.39</v>
      </c>
      <c r="AG17" s="101">
        <v>5.5099</v>
      </c>
      <c r="AH17" s="101">
        <v>0.42909999999999998</v>
      </c>
      <c r="AI17" s="101">
        <v>-0.63880000000000003</v>
      </c>
      <c r="AJ17" s="101">
        <v>-0.88829999999999998</v>
      </c>
      <c r="AK17" s="101">
        <v>-1.9464999999999999</v>
      </c>
      <c r="AL17" s="101">
        <v>0.1153</v>
      </c>
      <c r="AM17" s="101">
        <v>-0.19139999999999999</v>
      </c>
      <c r="AN17" s="101">
        <v>-0.82379999999999998</v>
      </c>
      <c r="AO17" s="101">
        <v>-0.91379999999999995</v>
      </c>
    </row>
    <row r="18" spans="1:41" x14ac:dyDescent="0.35">
      <c r="A18" s="43">
        <v>3</v>
      </c>
      <c r="B18" s="10">
        <v>43484</v>
      </c>
      <c r="C18" s="43">
        <v>4</v>
      </c>
      <c r="D18" s="43">
        <v>145</v>
      </c>
      <c r="E18" s="31">
        <f t="shared" si="4"/>
        <v>575</v>
      </c>
      <c r="F18" s="2">
        <f t="shared" si="3"/>
        <v>1.013986013986014</v>
      </c>
      <c r="G18" s="25">
        <f t="shared" si="5"/>
        <v>4.0219580419580421</v>
      </c>
      <c r="H18" s="43">
        <v>7.65</v>
      </c>
      <c r="I18" s="43">
        <v>1764</v>
      </c>
      <c r="J18" s="43">
        <v>381</v>
      </c>
      <c r="K18" s="27">
        <v>409</v>
      </c>
      <c r="L18" s="27">
        <v>51</v>
      </c>
      <c r="M18" s="27">
        <v>6.2</v>
      </c>
      <c r="N18" s="31">
        <v>728</v>
      </c>
      <c r="O18" s="43">
        <v>31</v>
      </c>
      <c r="P18" s="165">
        <v>183.7</v>
      </c>
      <c r="Q18" s="175">
        <v>50.36</v>
      </c>
      <c r="R18" s="21">
        <v>220.8</v>
      </c>
      <c r="S18" s="21">
        <v>23.55</v>
      </c>
      <c r="T18" s="21">
        <v>18.27</v>
      </c>
      <c r="U18" s="171">
        <v>0.2</v>
      </c>
      <c r="V18" s="174">
        <v>0.127</v>
      </c>
      <c r="W18" s="177">
        <v>0.02</v>
      </c>
      <c r="X18" s="11">
        <v>0.51500000000000001</v>
      </c>
      <c r="Y18" s="177">
        <v>0.04</v>
      </c>
      <c r="Z18" s="170">
        <v>1.6180000000000001</v>
      </c>
      <c r="AB18" s="69">
        <f t="shared" si="0"/>
        <v>24.315839401032555</v>
      </c>
      <c r="AC18" s="69">
        <f t="shared" si="1"/>
        <v>23.379553190775336</v>
      </c>
      <c r="AD18" s="69">
        <f t="shared" si="2"/>
        <v>1.963053786495164</v>
      </c>
      <c r="AF18" s="101">
        <v>7.65</v>
      </c>
      <c r="AG18" s="101">
        <v>1.4536500000000001</v>
      </c>
      <c r="AH18" s="101">
        <v>0.72650000000000003</v>
      </c>
      <c r="AI18" s="101">
        <v>-0.68520000000000003</v>
      </c>
      <c r="AJ18" s="101">
        <v>-0.93469999999999998</v>
      </c>
      <c r="AK18" s="101">
        <v>-2.1305999999999998</v>
      </c>
      <c r="AL18" s="101">
        <v>0.72099999999999997</v>
      </c>
      <c r="AM18" s="101">
        <v>0.1139</v>
      </c>
      <c r="AN18" s="101">
        <v>-1.0903</v>
      </c>
      <c r="AO18" s="101">
        <v>-0.60560000000000003</v>
      </c>
    </row>
    <row r="19" spans="1:41" x14ac:dyDescent="0.35">
      <c r="A19" s="43">
        <v>3</v>
      </c>
      <c r="B19" s="10">
        <v>43485</v>
      </c>
      <c r="C19" s="43">
        <v>5</v>
      </c>
      <c r="D19" s="43">
        <v>144</v>
      </c>
      <c r="E19" s="31">
        <f t="shared" si="4"/>
        <v>719</v>
      </c>
      <c r="F19" s="2">
        <f t="shared" si="3"/>
        <v>1.0069930069930071</v>
      </c>
      <c r="G19" s="25">
        <f t="shared" si="5"/>
        <v>5.0289510489510487</v>
      </c>
      <c r="H19" s="43">
        <v>7.48</v>
      </c>
      <c r="I19" s="43">
        <v>1758</v>
      </c>
      <c r="J19" s="43">
        <v>300</v>
      </c>
      <c r="K19" s="27">
        <v>366</v>
      </c>
      <c r="L19" s="27">
        <v>51</v>
      </c>
      <c r="M19" s="27">
        <v>10</v>
      </c>
      <c r="N19" s="31">
        <v>714</v>
      </c>
      <c r="O19" s="43">
        <v>29</v>
      </c>
      <c r="P19" s="165">
        <v>186.1</v>
      </c>
      <c r="Q19" s="175">
        <v>51.35</v>
      </c>
      <c r="R19" s="21">
        <v>226.6</v>
      </c>
      <c r="S19" s="21">
        <v>24.07</v>
      </c>
      <c r="T19" s="21">
        <v>17.489999999999998</v>
      </c>
      <c r="U19" s="171">
        <v>0.2</v>
      </c>
      <c r="V19" s="174">
        <v>0.10299999999999999</v>
      </c>
      <c r="W19" s="177">
        <v>0.02</v>
      </c>
      <c r="X19" s="11">
        <v>0.495</v>
      </c>
      <c r="Y19" s="177">
        <v>0.04</v>
      </c>
      <c r="Z19" s="170">
        <v>1.6639999999999999</v>
      </c>
      <c r="AB19" s="69">
        <f t="shared" si="0"/>
        <v>22.465645234752074</v>
      </c>
      <c r="AC19" s="69">
        <f t="shared" si="1"/>
        <v>23.813062895962506</v>
      </c>
      <c r="AD19" s="69">
        <f t="shared" si="2"/>
        <v>2.9115282505394067</v>
      </c>
      <c r="AF19" s="101">
        <v>7.48</v>
      </c>
      <c r="AG19" s="101">
        <v>6.9290099999999999</v>
      </c>
      <c r="AH19" s="101">
        <v>0.46960000000000002</v>
      </c>
      <c r="AI19" s="101">
        <v>-0.68079999999999996</v>
      </c>
      <c r="AJ19" s="101">
        <v>-0.9304</v>
      </c>
      <c r="AK19" s="101">
        <v>-2.0621</v>
      </c>
      <c r="AL19" s="101">
        <v>0.2077</v>
      </c>
      <c r="AM19" s="101">
        <v>-0.16639999999999999</v>
      </c>
      <c r="AN19" s="101">
        <v>-1.0737000000000001</v>
      </c>
      <c r="AO19" s="101">
        <v>-0.8619</v>
      </c>
    </row>
    <row r="20" spans="1:41" x14ac:dyDescent="0.35">
      <c r="A20" s="43">
        <v>3</v>
      </c>
      <c r="B20" s="10">
        <v>43486</v>
      </c>
      <c r="C20" s="43">
        <v>6</v>
      </c>
      <c r="D20" s="43">
        <v>147</v>
      </c>
      <c r="E20" s="31">
        <f t="shared" si="4"/>
        <v>866</v>
      </c>
      <c r="F20" s="2">
        <f t="shared" si="3"/>
        <v>1.0279720279720279</v>
      </c>
      <c r="G20" s="25">
        <f t="shared" si="5"/>
        <v>6.0569230769230771</v>
      </c>
      <c r="H20" s="43">
        <v>7.47</v>
      </c>
      <c r="I20" s="43">
        <v>1736</v>
      </c>
      <c r="J20" s="43">
        <v>300</v>
      </c>
      <c r="K20" s="27">
        <v>339</v>
      </c>
      <c r="L20" s="27">
        <v>50</v>
      </c>
      <c r="M20" s="191">
        <v>14</v>
      </c>
      <c r="N20" s="186">
        <v>656</v>
      </c>
      <c r="O20" s="186">
        <v>23</v>
      </c>
      <c r="P20" s="165">
        <v>186.9</v>
      </c>
      <c r="Q20" s="175">
        <v>50.8</v>
      </c>
      <c r="R20" s="21">
        <v>225.9</v>
      </c>
      <c r="S20" s="21">
        <v>24.15</v>
      </c>
      <c r="T20" s="21">
        <v>17.420000000000002</v>
      </c>
      <c r="U20" s="171">
        <v>0.2</v>
      </c>
      <c r="V20" s="30">
        <v>0.09</v>
      </c>
      <c r="W20" s="177">
        <v>0.02</v>
      </c>
      <c r="X20" s="11">
        <v>0.52100000000000002</v>
      </c>
      <c r="Y20" s="177">
        <v>0.04</v>
      </c>
      <c r="Z20" s="170">
        <v>1.6419999999999999</v>
      </c>
      <c r="AB20" s="69">
        <f t="shared" si="0"/>
        <v>21.294374022363083</v>
      </c>
      <c r="AC20" s="69">
        <f t="shared" si="1"/>
        <v>23.775514490276681</v>
      </c>
      <c r="AD20" s="69">
        <f t="shared" si="2"/>
        <v>5.5050956410015663</v>
      </c>
      <c r="AF20" s="101">
        <v>7.47</v>
      </c>
      <c r="AG20" s="101">
        <v>7.5269199999999996</v>
      </c>
      <c r="AH20" s="101">
        <v>0.47120000000000001</v>
      </c>
      <c r="AI20" s="101">
        <v>-0.70720000000000005</v>
      </c>
      <c r="AJ20" s="101">
        <v>-0.95669999999999999</v>
      </c>
      <c r="AK20" s="101">
        <v>-2.0520999999999998</v>
      </c>
      <c r="AL20" s="101">
        <v>0.2034</v>
      </c>
      <c r="AM20" s="101">
        <v>-0.15129999999999999</v>
      </c>
      <c r="AN20" s="101">
        <v>-1.0609</v>
      </c>
      <c r="AO20" s="101">
        <v>-0.86770000000000003</v>
      </c>
    </row>
    <row r="21" spans="1:41" x14ac:dyDescent="0.35">
      <c r="A21" s="43">
        <v>3</v>
      </c>
      <c r="B21" s="10">
        <v>43487</v>
      </c>
      <c r="C21" s="43">
        <v>7</v>
      </c>
      <c r="D21" s="43">
        <v>148</v>
      </c>
      <c r="E21" s="31">
        <f>E20+D21</f>
        <v>1014</v>
      </c>
      <c r="F21" s="2">
        <f>D21/143</f>
        <v>1.034965034965035</v>
      </c>
      <c r="G21" s="25">
        <f>G20+F21</f>
        <v>7.0918881118881121</v>
      </c>
      <c r="H21" s="43">
        <v>7.56</v>
      </c>
      <c r="I21" s="43">
        <v>1729</v>
      </c>
      <c r="J21" s="43">
        <v>308</v>
      </c>
      <c r="K21" s="27">
        <v>311</v>
      </c>
      <c r="L21" s="43">
        <v>45</v>
      </c>
      <c r="M21" s="191">
        <v>15</v>
      </c>
      <c r="N21" s="43">
        <v>629</v>
      </c>
      <c r="O21" s="43">
        <v>28</v>
      </c>
      <c r="P21" s="165">
        <v>180.8</v>
      </c>
      <c r="Q21" s="165">
        <v>48.9</v>
      </c>
      <c r="R21" s="165">
        <v>221.2</v>
      </c>
      <c r="S21" s="165">
        <v>23.94</v>
      </c>
      <c r="T21" s="165">
        <v>17.36</v>
      </c>
      <c r="U21" s="171">
        <v>0.2</v>
      </c>
      <c r="V21" s="43">
        <v>7.5999999999999998E-2</v>
      </c>
      <c r="W21" s="177">
        <v>0.02</v>
      </c>
      <c r="X21" s="163">
        <v>0.51200000000000001</v>
      </c>
      <c r="Y21" s="177">
        <v>0.04</v>
      </c>
      <c r="Z21" s="170">
        <v>1.62</v>
      </c>
      <c r="AB21" s="69">
        <f t="shared" si="0"/>
        <v>20.767310673977526</v>
      </c>
      <c r="AC21" s="69">
        <f t="shared" si="1"/>
        <v>23.108902034243847</v>
      </c>
      <c r="AD21" s="69">
        <f t="shared" si="2"/>
        <v>5.3368128553802041</v>
      </c>
      <c r="AF21" s="101">
        <v>7.56</v>
      </c>
      <c r="AG21" s="101">
        <v>7.2487399999999997</v>
      </c>
      <c r="AH21" s="101">
        <v>0.56269999999999998</v>
      </c>
      <c r="AI21" s="101">
        <v>-0.73060000000000003</v>
      </c>
      <c r="AJ21" s="101">
        <v>-0.98019999999999996</v>
      </c>
      <c r="AK21" s="101">
        <v>-2.1307</v>
      </c>
      <c r="AL21" s="101">
        <v>0.38429999999999997</v>
      </c>
      <c r="AM21" s="101">
        <v>-5.0999999999999997E-2</v>
      </c>
      <c r="AN21" s="101">
        <v>-1.1870000000000001</v>
      </c>
      <c r="AO21" s="101">
        <v>-0.77839999999999998</v>
      </c>
    </row>
    <row r="22" spans="1:41" x14ac:dyDescent="0.35">
      <c r="B22" s="10"/>
      <c r="E22" s="31"/>
      <c r="F22" s="25"/>
      <c r="G22" s="25"/>
      <c r="K22" s="27"/>
      <c r="L22" s="27"/>
      <c r="N22" s="31"/>
      <c r="R22" s="13"/>
      <c r="S22" s="13"/>
      <c r="T22" s="13"/>
      <c r="U22" s="11"/>
      <c r="V22" s="15"/>
      <c r="W22" s="7"/>
      <c r="X22" s="16"/>
      <c r="AB22" s="69"/>
      <c r="AC22" s="69"/>
      <c r="AD22" s="69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</row>
    <row r="23" spans="1:41" x14ac:dyDescent="0.35">
      <c r="A23" s="43" t="s">
        <v>55</v>
      </c>
      <c r="F23" s="2"/>
      <c r="G23" s="2"/>
      <c r="H23" s="69">
        <f>AVERAGE(B76:B90)</f>
        <v>8.0093333333333323</v>
      </c>
      <c r="I23" s="165">
        <f>'Influent Results Master'!D37</f>
        <v>792.8888888888888</v>
      </c>
      <c r="J23" s="165">
        <f>'Influent Results Master'!F37</f>
        <v>161.7777777777778</v>
      </c>
      <c r="K23" s="170">
        <f>'Influent Results Master'!G37</f>
        <v>7.1555555555555559</v>
      </c>
      <c r="L23" s="165">
        <f>'Influent Results Master'!H37</f>
        <v>11.777777777777779</v>
      </c>
      <c r="M23" s="170">
        <f>'Influent Results Master'!I37</f>
        <v>4.7</v>
      </c>
      <c r="N23" s="165">
        <f>'Influent Results Master'!J37</f>
        <v>323.22222222222223</v>
      </c>
      <c r="O23" s="165">
        <f>'Influent Results Master'!K37</f>
        <v>17.333333333333332</v>
      </c>
      <c r="P23" s="165">
        <f>'Influent Results Master'!L37</f>
        <v>110.73333333333333</v>
      </c>
      <c r="Q23" s="165">
        <f>'Influent Results Master'!M37</f>
        <v>36.826666666666675</v>
      </c>
      <c r="R23" s="165">
        <f>'Influent Results Master'!N37</f>
        <v>60.793333333333329</v>
      </c>
      <c r="S23" s="165">
        <f>'Influent Results Master'!O37</f>
        <v>12.273333333333333</v>
      </c>
      <c r="T23" s="170">
        <f>'Influent Results Master'!P37</f>
        <v>3.2865555555555557</v>
      </c>
      <c r="U23" s="171">
        <f>'Influent Results Master'!Q37</f>
        <v>0.20000000000000004</v>
      </c>
      <c r="V23" s="177">
        <f>'Influent Results Master'!R37</f>
        <v>0.02</v>
      </c>
      <c r="W23" s="177">
        <f>'Influent Results Master'!S37</f>
        <v>0.02</v>
      </c>
      <c r="X23" s="176">
        <f>'Influent Results Master'!T37</f>
        <v>4.3000000000000003E-2</v>
      </c>
      <c r="Y23" s="177">
        <f>'Influent Results Master'!U37</f>
        <v>0.04</v>
      </c>
      <c r="Z23" s="170">
        <f>'Influent Results Master'!V37</f>
        <v>1.2584444444444445</v>
      </c>
      <c r="AB23" s="69">
        <f>((J23/50)+(L23/35.45)+(M23/62)+(N23/48.03))</f>
        <v>10.373188636120361</v>
      </c>
      <c r="AC23" s="69">
        <f t="shared" si="1"/>
        <v>11.282517455045328</v>
      </c>
      <c r="AD23" s="69">
        <f t="shared" si="2"/>
        <v>4.1990264140864122</v>
      </c>
      <c r="AF23" s="101">
        <v>8.01</v>
      </c>
      <c r="AG23" s="101">
        <v>7.4652200000000004</v>
      </c>
      <c r="AH23" s="101">
        <v>0.61680000000000001</v>
      </c>
      <c r="AI23" s="101">
        <v>-1.0588</v>
      </c>
      <c r="AJ23" s="101">
        <v>-1.3086</v>
      </c>
      <c r="AK23" s="101">
        <v>-2.8633999999999999</v>
      </c>
      <c r="AL23" s="101">
        <v>0.57609999999999995</v>
      </c>
      <c r="AM23" s="101">
        <v>-0.84299999999999997</v>
      </c>
      <c r="AN23" s="101">
        <v>-1.8180000000000001</v>
      </c>
      <c r="AO23" s="101">
        <v>-0.64070000000000005</v>
      </c>
    </row>
    <row r="24" spans="1:41" s="68" customFormat="1" x14ac:dyDescent="0.35">
      <c r="F24" s="69"/>
      <c r="G24" s="69"/>
      <c r="M24" s="65"/>
      <c r="N24" s="27"/>
      <c r="O24" s="65"/>
      <c r="P24" s="65"/>
      <c r="Q24" s="65"/>
      <c r="R24" s="67"/>
      <c r="S24" s="67"/>
      <c r="T24" s="67"/>
      <c r="U24" s="67"/>
      <c r="V24" s="65"/>
      <c r="W24" s="66"/>
      <c r="X24" s="67"/>
      <c r="Y24" s="65"/>
      <c r="AB24" s="69"/>
      <c r="AC24" s="69"/>
      <c r="AD24" s="69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</row>
    <row r="25" spans="1:41" x14ac:dyDescent="0.35">
      <c r="A25" s="43">
        <v>3</v>
      </c>
      <c r="B25" s="10">
        <v>43488</v>
      </c>
      <c r="C25" s="43">
        <v>8</v>
      </c>
      <c r="D25" s="43">
        <v>145</v>
      </c>
      <c r="E25" s="43">
        <f>D25+E21</f>
        <v>1159</v>
      </c>
      <c r="F25" s="69">
        <f>D25/143</f>
        <v>1.013986013986014</v>
      </c>
      <c r="G25" s="69">
        <f>G21+F25</f>
        <v>8.1058741258741254</v>
      </c>
      <c r="H25" s="43">
        <v>7.82</v>
      </c>
      <c r="I25" s="43">
        <v>1140</v>
      </c>
      <c r="J25" s="43">
        <v>217</v>
      </c>
      <c r="K25" s="43">
        <v>157</v>
      </c>
      <c r="L25" s="27">
        <v>17</v>
      </c>
      <c r="M25" s="65">
        <v>2.9</v>
      </c>
      <c r="N25" s="31">
        <v>442</v>
      </c>
      <c r="O25" s="43">
        <v>21</v>
      </c>
      <c r="P25" s="175">
        <v>96.8</v>
      </c>
      <c r="Q25" s="175">
        <v>26.07</v>
      </c>
      <c r="R25" s="175">
        <v>165.4</v>
      </c>
      <c r="S25" s="21">
        <v>22.64</v>
      </c>
      <c r="T25" s="21">
        <v>12.08</v>
      </c>
      <c r="U25" s="171">
        <v>0.2</v>
      </c>
      <c r="V25" s="186">
        <v>5.1999999999999998E-2</v>
      </c>
      <c r="W25" s="177">
        <v>0.02</v>
      </c>
      <c r="X25" s="163">
        <v>0.28000000000000003</v>
      </c>
      <c r="Y25" s="177">
        <v>0.04</v>
      </c>
      <c r="Z25" s="43">
        <v>0.98</v>
      </c>
      <c r="AB25" s="69">
        <f t="shared" ref="AB25:AB39" si="6">((J25/50)+(L25/35.45)+(M25/62)+(N25/48.03))</f>
        <v>14.068904573391498</v>
      </c>
      <c r="AC25" s="69">
        <f t="shared" si="1"/>
        <v>14.477637563587589</v>
      </c>
      <c r="AD25" s="69">
        <f t="shared" si="2"/>
        <v>1.4318126105600011</v>
      </c>
      <c r="AF25" s="101">
        <v>7.82</v>
      </c>
      <c r="AG25" s="101">
        <v>5.0738300000000001</v>
      </c>
      <c r="AH25" s="101">
        <v>0.46710000000000002</v>
      </c>
      <c r="AI25" s="101">
        <v>-1.0242</v>
      </c>
      <c r="AJ25" s="101">
        <v>-1.2739</v>
      </c>
      <c r="AK25" s="101">
        <v>-2.528</v>
      </c>
      <c r="AL25" s="101">
        <v>0.18870000000000001</v>
      </c>
      <c r="AM25" s="101">
        <v>-0.121</v>
      </c>
      <c r="AN25" s="101">
        <v>-1.5273000000000001</v>
      </c>
      <c r="AO25" s="101">
        <v>-0.87839999999999996</v>
      </c>
    </row>
    <row r="26" spans="1:41" x14ac:dyDescent="0.35">
      <c r="A26" s="43">
        <v>3</v>
      </c>
      <c r="B26" s="10">
        <v>43489</v>
      </c>
      <c r="C26" s="43">
        <v>9</v>
      </c>
      <c r="D26" s="43">
        <v>144</v>
      </c>
      <c r="E26" s="31">
        <f>D26+E25</f>
        <v>1303</v>
      </c>
      <c r="F26" s="25">
        <f>D26/143</f>
        <v>1.0069930069930071</v>
      </c>
      <c r="G26" s="25">
        <f>G25+F26</f>
        <v>9.112867132867132</v>
      </c>
      <c r="H26" s="43">
        <v>7.68</v>
      </c>
      <c r="I26" s="43">
        <v>1029</v>
      </c>
      <c r="J26" s="43">
        <v>152</v>
      </c>
      <c r="K26" s="27">
        <v>120</v>
      </c>
      <c r="L26" s="27">
        <v>14</v>
      </c>
      <c r="M26" s="65">
        <v>1.8</v>
      </c>
      <c r="N26" s="31">
        <v>411</v>
      </c>
      <c r="O26" s="43">
        <v>20</v>
      </c>
      <c r="P26" s="175">
        <v>77.97</v>
      </c>
      <c r="Q26" s="175">
        <v>20.5</v>
      </c>
      <c r="R26" s="175">
        <v>108.9</v>
      </c>
      <c r="S26" s="21">
        <v>19.62</v>
      </c>
      <c r="T26" s="18">
        <v>9.5519999999999996</v>
      </c>
      <c r="U26" s="171">
        <v>0.2</v>
      </c>
      <c r="V26" s="80">
        <v>0.02</v>
      </c>
      <c r="W26" s="177">
        <v>0.02</v>
      </c>
      <c r="X26" s="174">
        <v>0.27300000000000002</v>
      </c>
      <c r="Y26" s="177">
        <v>0.04</v>
      </c>
      <c r="Z26" s="163">
        <v>0.92800000000000005</v>
      </c>
      <c r="AB26" s="69">
        <f t="shared" si="6"/>
        <v>12.021106464153974</v>
      </c>
      <c r="AC26" s="69">
        <f t="shared" si="1"/>
        <v>10.557712606487121</v>
      </c>
      <c r="AD26" s="69">
        <f t="shared" si="2"/>
        <v>6.4812683652250094</v>
      </c>
      <c r="AF26" s="101">
        <v>7.68</v>
      </c>
      <c r="AG26" s="101">
        <v>-4.5860399999999997</v>
      </c>
      <c r="AH26" s="101">
        <v>0.1065</v>
      </c>
      <c r="AI26" s="101">
        <v>-1.1015999999999999</v>
      </c>
      <c r="AJ26" s="101">
        <v>-1.3513999999999999</v>
      </c>
      <c r="AK26" s="101">
        <v>-2.5333999999999999</v>
      </c>
      <c r="AL26" s="101">
        <v>-0.54420000000000002</v>
      </c>
      <c r="AM26" s="101">
        <v>-0.39760000000000001</v>
      </c>
      <c r="AN26" s="101">
        <v>-1.9999</v>
      </c>
      <c r="AO26" s="101">
        <v>-1.2506999999999999</v>
      </c>
    </row>
    <row r="27" spans="1:41" x14ac:dyDescent="0.35">
      <c r="A27" s="43">
        <v>3</v>
      </c>
      <c r="B27" s="10">
        <v>43490</v>
      </c>
      <c r="C27" s="43">
        <v>10</v>
      </c>
      <c r="D27" s="43">
        <v>146</v>
      </c>
      <c r="E27" s="31">
        <f t="shared" ref="E27:E31" si="7">D27+E26</f>
        <v>1449</v>
      </c>
      <c r="F27" s="25">
        <f t="shared" ref="F27:F31" si="8">D27/143</f>
        <v>1.020979020979021</v>
      </c>
      <c r="G27" s="25">
        <f t="shared" ref="G27:G31" si="9">G26+F27</f>
        <v>10.133846153846154</v>
      </c>
      <c r="H27" s="43">
        <v>7.52</v>
      </c>
      <c r="I27" s="43">
        <v>979</v>
      </c>
      <c r="J27" s="43">
        <v>172</v>
      </c>
      <c r="K27" s="27">
        <v>101</v>
      </c>
      <c r="L27" s="27">
        <v>13</v>
      </c>
      <c r="M27" s="172">
        <v>2</v>
      </c>
      <c r="N27" s="31">
        <v>408</v>
      </c>
      <c r="O27" s="43">
        <v>18</v>
      </c>
      <c r="P27" s="175">
        <v>95.41</v>
      </c>
      <c r="Q27" s="175">
        <v>24.41</v>
      </c>
      <c r="R27" s="175">
        <v>73.63</v>
      </c>
      <c r="S27" s="175">
        <v>19.329999999999998</v>
      </c>
      <c r="T27" s="175">
        <v>10.75</v>
      </c>
      <c r="U27" s="171">
        <v>0.2</v>
      </c>
      <c r="V27" s="80">
        <v>0.02</v>
      </c>
      <c r="W27" s="177">
        <v>0.02</v>
      </c>
      <c r="X27" s="174">
        <v>0.33500000000000002</v>
      </c>
      <c r="Y27" s="177">
        <v>0.04</v>
      </c>
      <c r="Z27" s="170">
        <v>1.0589999999999999</v>
      </c>
      <c r="AB27" s="69">
        <f t="shared" si="6"/>
        <v>12.333662563995915</v>
      </c>
      <c r="AC27" s="69">
        <f t="shared" si="1"/>
        <v>10.246012245789119</v>
      </c>
      <c r="AD27" s="25">
        <f t="shared" si="2"/>
        <v>9.2457058650911161</v>
      </c>
      <c r="AF27" s="101">
        <v>7.52</v>
      </c>
      <c r="AG27" s="101">
        <v>-7.5893899999999999</v>
      </c>
      <c r="AH27" s="101">
        <v>8.9700000000000002E-2</v>
      </c>
      <c r="AI27" s="101">
        <v>-1.0271999999999999</v>
      </c>
      <c r="AJ27" s="101">
        <v>-1.2769999999999999</v>
      </c>
      <c r="AK27" s="101">
        <v>-2.3199000000000001</v>
      </c>
      <c r="AL27" s="101">
        <v>-0.5897</v>
      </c>
      <c r="AM27" s="101">
        <v>-0.4032</v>
      </c>
      <c r="AN27" s="101">
        <v>-1.9107000000000001</v>
      </c>
      <c r="AO27" s="101">
        <v>-1.2795000000000001</v>
      </c>
    </row>
    <row r="28" spans="1:41" x14ac:dyDescent="0.35">
      <c r="A28" s="43">
        <v>3</v>
      </c>
      <c r="B28" s="10">
        <v>43491</v>
      </c>
      <c r="C28" s="43">
        <v>11</v>
      </c>
      <c r="D28" s="43">
        <v>144</v>
      </c>
      <c r="E28" s="31">
        <f t="shared" si="7"/>
        <v>1593</v>
      </c>
      <c r="F28" s="25">
        <f t="shared" si="8"/>
        <v>1.0069930069930071</v>
      </c>
      <c r="G28" s="25">
        <f t="shared" si="9"/>
        <v>11.14083916083916</v>
      </c>
      <c r="H28" s="43">
        <v>7.63</v>
      </c>
      <c r="I28" s="43">
        <v>961</v>
      </c>
      <c r="J28" s="43">
        <v>166</v>
      </c>
      <c r="K28" s="27">
        <v>94</v>
      </c>
      <c r="L28" s="27">
        <v>12</v>
      </c>
      <c r="M28" s="65">
        <v>2.2000000000000002</v>
      </c>
      <c r="N28" s="31">
        <v>407</v>
      </c>
      <c r="O28" s="43">
        <v>18</v>
      </c>
      <c r="P28" s="175">
        <v>107.3</v>
      </c>
      <c r="Q28" s="175">
        <v>29.36</v>
      </c>
      <c r="R28" s="175">
        <v>69.97</v>
      </c>
      <c r="S28" s="175">
        <v>20.72</v>
      </c>
      <c r="T28" s="172">
        <v>9.76</v>
      </c>
      <c r="U28" s="171">
        <v>0.2</v>
      </c>
      <c r="V28" s="80">
        <v>0.02</v>
      </c>
      <c r="W28" s="177">
        <v>0.02</v>
      </c>
      <c r="X28" s="174">
        <v>0.375</v>
      </c>
      <c r="Y28" s="177">
        <v>0.04</v>
      </c>
      <c r="Z28" s="163">
        <v>0.98199999999999998</v>
      </c>
      <c r="AB28" s="69">
        <f t="shared" si="6"/>
        <v>12.167859305103729</v>
      </c>
      <c r="AC28" s="69">
        <f t="shared" si="1"/>
        <v>11.061878642346414</v>
      </c>
      <c r="AD28" s="25">
        <f t="shared" si="2"/>
        <v>4.7610552700131281</v>
      </c>
      <c r="AF28" s="101">
        <v>7.63</v>
      </c>
      <c r="AG28" s="101">
        <v>-2.4384700000000001</v>
      </c>
      <c r="AH28" s="101">
        <v>0.23250000000000001</v>
      </c>
      <c r="AI28" s="101">
        <v>-0.9889</v>
      </c>
      <c r="AJ28" s="101">
        <v>-1.2386999999999999</v>
      </c>
      <c r="AK28" s="101">
        <v>-2.4491999999999998</v>
      </c>
      <c r="AL28" s="101">
        <v>-0.27579999999999999</v>
      </c>
      <c r="AM28" s="101">
        <v>-0.26469999999999999</v>
      </c>
      <c r="AN28" s="101">
        <v>-1.8614999999999999</v>
      </c>
      <c r="AO28" s="101">
        <v>-1.1082000000000001</v>
      </c>
    </row>
    <row r="29" spans="1:41" x14ac:dyDescent="0.35">
      <c r="A29" s="43">
        <v>3</v>
      </c>
      <c r="B29" s="28">
        <v>43492</v>
      </c>
      <c r="C29" s="43">
        <v>12</v>
      </c>
      <c r="D29" s="43">
        <v>145</v>
      </c>
      <c r="E29" s="31">
        <f t="shared" si="7"/>
        <v>1738</v>
      </c>
      <c r="F29" s="25">
        <f t="shared" si="8"/>
        <v>1.013986013986014</v>
      </c>
      <c r="G29" s="25">
        <f t="shared" si="9"/>
        <v>12.154825174825174</v>
      </c>
      <c r="H29" s="43">
        <v>7.7</v>
      </c>
      <c r="I29" s="43">
        <v>906</v>
      </c>
      <c r="J29" s="43">
        <v>165</v>
      </c>
      <c r="K29" s="24">
        <v>85</v>
      </c>
      <c r="L29" s="24">
        <v>12</v>
      </c>
      <c r="M29" s="65">
        <v>2.4</v>
      </c>
      <c r="N29" s="31">
        <v>406</v>
      </c>
      <c r="O29" s="43">
        <v>18</v>
      </c>
      <c r="P29" s="175">
        <v>105.4</v>
      </c>
      <c r="Q29" s="175">
        <v>27.79</v>
      </c>
      <c r="R29" s="175">
        <v>59.65</v>
      </c>
      <c r="S29" s="175">
        <v>19.25</v>
      </c>
      <c r="T29" s="172">
        <v>8.7449999999999992</v>
      </c>
      <c r="U29" s="171">
        <v>0.2</v>
      </c>
      <c r="V29" s="30">
        <v>3.6999999999999998E-2</v>
      </c>
      <c r="W29" s="177">
        <v>0.02</v>
      </c>
      <c r="X29" s="174">
        <v>0.36</v>
      </c>
      <c r="Y29" s="177">
        <v>0.04</v>
      </c>
      <c r="Z29" s="170">
        <v>1.17</v>
      </c>
      <c r="AB29" s="69">
        <f t="shared" si="6"/>
        <v>12.130264790922404</v>
      </c>
      <c r="AC29" s="69">
        <f t="shared" si="1"/>
        <v>10.363106519619185</v>
      </c>
      <c r="AD29" s="25">
        <f t="shared" si="2"/>
        <v>7.8563513085965635</v>
      </c>
      <c r="AF29" s="101">
        <v>7.7</v>
      </c>
      <c r="AG29" s="101">
        <v>-6.0800900000000002</v>
      </c>
      <c r="AH29" s="101">
        <v>0.29299999999999998</v>
      </c>
      <c r="AI29" s="101">
        <v>-0.99229999999999996</v>
      </c>
      <c r="AJ29" s="101">
        <v>-1.2421</v>
      </c>
      <c r="AK29" s="101">
        <v>-2.5219</v>
      </c>
      <c r="AL29" s="101">
        <v>-0.1706</v>
      </c>
      <c r="AM29" s="101">
        <v>-0.21859999999999999</v>
      </c>
      <c r="AN29" s="101">
        <v>-1.5987</v>
      </c>
      <c r="AO29" s="101">
        <v>-1.0634999999999999</v>
      </c>
    </row>
    <row r="30" spans="1:41" x14ac:dyDescent="0.35">
      <c r="A30" s="43">
        <v>3</v>
      </c>
      <c r="B30" s="28">
        <v>43493</v>
      </c>
      <c r="C30" s="43">
        <v>13</v>
      </c>
      <c r="D30" s="43">
        <v>150</v>
      </c>
      <c r="E30" s="31">
        <f t="shared" si="7"/>
        <v>1888</v>
      </c>
      <c r="F30" s="25">
        <f t="shared" si="8"/>
        <v>1.048951048951049</v>
      </c>
      <c r="G30" s="25">
        <f t="shared" si="9"/>
        <v>13.203776223776222</v>
      </c>
      <c r="H30" s="43">
        <v>7.65</v>
      </c>
      <c r="I30" s="43">
        <v>949</v>
      </c>
      <c r="J30" s="43">
        <v>177</v>
      </c>
      <c r="K30" s="24">
        <v>76</v>
      </c>
      <c r="L30" s="21">
        <v>12</v>
      </c>
      <c r="M30" s="27">
        <v>2.6</v>
      </c>
      <c r="N30" s="186">
        <v>345</v>
      </c>
      <c r="O30" s="186">
        <v>18</v>
      </c>
      <c r="P30" s="21">
        <v>114.9</v>
      </c>
      <c r="Q30" s="21">
        <v>32.93</v>
      </c>
      <c r="R30" s="21">
        <v>65.38</v>
      </c>
      <c r="S30" s="21">
        <v>18.27</v>
      </c>
      <c r="T30" s="18">
        <v>8.3740000000000006</v>
      </c>
      <c r="U30" s="171">
        <v>0.2</v>
      </c>
      <c r="V30" s="30">
        <v>3.2000000000000001E-2</v>
      </c>
      <c r="W30" s="177">
        <v>0.02</v>
      </c>
      <c r="X30" s="174">
        <v>0.38</v>
      </c>
      <c r="Y30" s="177">
        <v>0.04</v>
      </c>
      <c r="Z30" s="170">
        <v>1.18</v>
      </c>
      <c r="AB30" s="69">
        <f t="shared" si="6"/>
        <v>11.103451038764815</v>
      </c>
      <c r="AC30" s="69">
        <f t="shared" si="1"/>
        <v>11.499606092677263</v>
      </c>
      <c r="AD30" s="25">
        <f t="shared" si="2"/>
        <v>1.7526613838504834</v>
      </c>
      <c r="AF30" s="101">
        <v>7.65</v>
      </c>
      <c r="AG30" s="101">
        <v>5.7981299999999996</v>
      </c>
      <c r="AH30" s="101">
        <v>0.32590000000000002</v>
      </c>
      <c r="AI30" s="101">
        <v>-1.0216000000000001</v>
      </c>
      <c r="AJ30" s="101">
        <v>-1.2714000000000001</v>
      </c>
      <c r="AK30" s="101">
        <v>-2.4428999999999998</v>
      </c>
      <c r="AL30" s="101">
        <v>-7.0999999999999994E-2</v>
      </c>
      <c r="AM30" s="101">
        <v>-0.20380000000000001</v>
      </c>
      <c r="AN30" s="101">
        <v>-1.6075999999999999</v>
      </c>
      <c r="AO30" s="101">
        <v>-0.99690000000000001</v>
      </c>
    </row>
    <row r="31" spans="1:41" x14ac:dyDescent="0.35">
      <c r="A31" s="43">
        <v>3</v>
      </c>
      <c r="B31" s="28">
        <v>43494</v>
      </c>
      <c r="C31" s="68">
        <v>14</v>
      </c>
      <c r="D31" s="43">
        <v>144</v>
      </c>
      <c r="E31" s="31">
        <f t="shared" si="7"/>
        <v>2032</v>
      </c>
      <c r="F31" s="25">
        <f t="shared" si="8"/>
        <v>1.0069930069930071</v>
      </c>
      <c r="G31" s="25">
        <f t="shared" si="9"/>
        <v>14.210769230769229</v>
      </c>
      <c r="H31" s="43">
        <v>7.69</v>
      </c>
      <c r="I31" s="43">
        <v>954</v>
      </c>
      <c r="J31" s="43">
        <v>167</v>
      </c>
      <c r="K31" s="24">
        <v>74</v>
      </c>
      <c r="L31" s="24">
        <v>12</v>
      </c>
      <c r="M31" s="65">
        <v>2.5</v>
      </c>
      <c r="N31" s="31">
        <v>346</v>
      </c>
      <c r="O31" s="43">
        <v>18</v>
      </c>
      <c r="P31" s="175">
        <v>101.2</v>
      </c>
      <c r="Q31" s="175">
        <v>26.45</v>
      </c>
      <c r="R31" s="175">
        <v>51.86</v>
      </c>
      <c r="S31" s="175">
        <v>18.510000000000002</v>
      </c>
      <c r="T31" s="172">
        <v>7.5439999999999996</v>
      </c>
      <c r="U31" s="171">
        <v>0.2</v>
      </c>
      <c r="V31" s="30">
        <v>3.1E-2</v>
      </c>
      <c r="W31" s="177">
        <v>0.02</v>
      </c>
      <c r="X31" s="174">
        <v>0.37</v>
      </c>
      <c r="Y31" s="177">
        <v>0.04</v>
      </c>
      <c r="Z31" s="170">
        <v>1.1599999999999999</v>
      </c>
      <c r="AB31" s="69">
        <f t="shared" si="6"/>
        <v>10.922658456171945</v>
      </c>
      <c r="AC31" s="69">
        <f t="shared" si="1"/>
        <v>9.6737692251361995</v>
      </c>
      <c r="AD31" s="69">
        <f t="shared" si="2"/>
        <v>6.0636205965423251</v>
      </c>
      <c r="AF31" s="101">
        <v>7.69</v>
      </c>
      <c r="AG31" s="101">
        <v>-3.5147699999999999</v>
      </c>
      <c r="AH31" s="101">
        <v>0.29149999999999998</v>
      </c>
      <c r="AI31" s="101">
        <v>-1.0538000000000001</v>
      </c>
      <c r="AJ31" s="101">
        <v>-1.3036000000000001</v>
      </c>
      <c r="AK31" s="101">
        <v>-2.5045999999999999</v>
      </c>
      <c r="AL31" s="101">
        <v>-0.17899999999999999</v>
      </c>
      <c r="AM31" s="101">
        <v>-0.1908</v>
      </c>
      <c r="AN31" s="101">
        <v>-1.6666000000000001</v>
      </c>
      <c r="AO31" s="101">
        <v>-1.0705</v>
      </c>
    </row>
    <row r="32" spans="1:41" x14ac:dyDescent="0.35">
      <c r="A32" s="68">
        <v>3</v>
      </c>
      <c r="B32" s="28">
        <v>43495</v>
      </c>
      <c r="C32" s="68">
        <v>15</v>
      </c>
      <c r="D32" s="43">
        <v>154</v>
      </c>
      <c r="E32" s="31">
        <f t="shared" ref="E32:E37" si="10">D32+E31</f>
        <v>2186</v>
      </c>
      <c r="F32" s="25">
        <f t="shared" ref="F32:F37" si="11">D32/143</f>
        <v>1.0769230769230769</v>
      </c>
      <c r="G32" s="25">
        <f t="shared" ref="G32:G37" si="12">G31+F32</f>
        <v>15.287692307692305</v>
      </c>
      <c r="H32" s="43">
        <v>7.78</v>
      </c>
      <c r="I32" s="43">
        <v>942</v>
      </c>
      <c r="J32" s="43">
        <v>164</v>
      </c>
      <c r="K32" s="24">
        <v>66</v>
      </c>
      <c r="L32" s="24">
        <v>12</v>
      </c>
      <c r="M32" s="65">
        <v>2.9</v>
      </c>
      <c r="N32" s="31">
        <v>343</v>
      </c>
      <c r="O32" s="43">
        <v>16</v>
      </c>
      <c r="P32" s="175">
        <v>110.6</v>
      </c>
      <c r="Q32" s="175">
        <v>33.97</v>
      </c>
      <c r="R32" s="175">
        <v>66.180000000000007</v>
      </c>
      <c r="S32" s="175">
        <v>21.19</v>
      </c>
      <c r="T32" s="172">
        <v>9.6259999999999994</v>
      </c>
      <c r="U32" s="171">
        <v>0.2</v>
      </c>
      <c r="V32" s="33">
        <v>0.02</v>
      </c>
      <c r="W32" s="177">
        <v>0.02</v>
      </c>
      <c r="X32" s="174">
        <v>0.40200000000000002</v>
      </c>
      <c r="Y32" s="177">
        <v>0.04</v>
      </c>
      <c r="Z32" s="172">
        <v>1.1539999999999999</v>
      </c>
      <c r="AB32" s="69">
        <f t="shared" si="6"/>
        <v>10.806649107176359</v>
      </c>
      <c r="AC32" s="69">
        <f t="shared" si="1"/>
        <v>11.437379748688381</v>
      </c>
      <c r="AD32" s="69">
        <f t="shared" si="2"/>
        <v>2.8355054095595045</v>
      </c>
      <c r="AF32" s="101">
        <v>7.78</v>
      </c>
      <c r="AG32" s="101">
        <v>6.9290399999999996</v>
      </c>
      <c r="AH32" s="101">
        <v>0.40570000000000001</v>
      </c>
      <c r="AI32" s="101">
        <v>-1.0371999999999999</v>
      </c>
      <c r="AJ32" s="101">
        <v>-1.2870999999999999</v>
      </c>
      <c r="AK32" s="101">
        <v>-2.6078000000000001</v>
      </c>
      <c r="AL32" s="101">
        <v>0.1186</v>
      </c>
      <c r="AM32" s="101">
        <v>-8.2199999999999995E-2</v>
      </c>
      <c r="AN32" s="101">
        <v>-1.8258000000000001</v>
      </c>
      <c r="AO32" s="101">
        <v>-0.8871</v>
      </c>
    </row>
    <row r="33" spans="1:41" s="68" customFormat="1" x14ac:dyDescent="0.35">
      <c r="A33" s="68">
        <v>3</v>
      </c>
      <c r="B33" s="28">
        <v>43496</v>
      </c>
      <c r="C33" s="68">
        <v>16</v>
      </c>
      <c r="D33" s="68">
        <v>146</v>
      </c>
      <c r="E33" s="31">
        <f t="shared" si="10"/>
        <v>2332</v>
      </c>
      <c r="F33" s="25">
        <f t="shared" si="11"/>
        <v>1.020979020979021</v>
      </c>
      <c r="G33" s="25">
        <f t="shared" si="12"/>
        <v>16.308671328671327</v>
      </c>
      <c r="H33" s="68">
        <v>7.63</v>
      </c>
      <c r="I33" s="68">
        <v>949</v>
      </c>
      <c r="J33" s="68">
        <v>167</v>
      </c>
      <c r="K33" s="65">
        <v>62</v>
      </c>
      <c r="L33" s="65">
        <v>12</v>
      </c>
      <c r="M33" s="65">
        <v>3.1</v>
      </c>
      <c r="N33" s="31">
        <v>346</v>
      </c>
      <c r="O33" s="68">
        <v>17</v>
      </c>
      <c r="P33" s="175">
        <v>115.2</v>
      </c>
      <c r="Q33" s="175">
        <v>36.119999999999997</v>
      </c>
      <c r="R33" s="175">
        <v>66.989999999999995</v>
      </c>
      <c r="S33" s="175">
        <v>21.39</v>
      </c>
      <c r="T33" s="172">
        <v>9.7240000000000002</v>
      </c>
      <c r="U33" s="171">
        <v>0.2</v>
      </c>
      <c r="V33" s="177">
        <v>0.02</v>
      </c>
      <c r="W33" s="177">
        <v>0.02</v>
      </c>
      <c r="X33" s="174">
        <v>0.4</v>
      </c>
      <c r="Y33" s="177">
        <v>0.04</v>
      </c>
      <c r="Z33" s="172">
        <v>1.1100000000000001</v>
      </c>
      <c r="AB33" s="69">
        <f t="shared" si="6"/>
        <v>10.932335875526784</v>
      </c>
      <c r="AC33" s="69">
        <f t="shared" si="1"/>
        <v>11.881468981114118</v>
      </c>
      <c r="AD33" s="69">
        <f t="shared" si="2"/>
        <v>4.1603455081323268</v>
      </c>
      <c r="AF33" s="101">
        <v>7.63</v>
      </c>
      <c r="AG33" s="101">
        <v>8.5221099999999996</v>
      </c>
      <c r="AH33" s="101">
        <v>0.28170000000000001</v>
      </c>
      <c r="AI33" s="101">
        <v>-1.0226999999999999</v>
      </c>
      <c r="AJ33" s="101">
        <v>-1.2725</v>
      </c>
      <c r="AK33" s="101">
        <v>-2.4485000000000001</v>
      </c>
      <c r="AL33" s="101">
        <v>-0.1208</v>
      </c>
      <c r="AM33" s="101">
        <v>-0.22750000000000001</v>
      </c>
      <c r="AN33" s="101">
        <v>-1.9084000000000001</v>
      </c>
      <c r="AO33" s="101">
        <v>-1.0024999999999999</v>
      </c>
    </row>
    <row r="34" spans="1:41" s="68" customFormat="1" x14ac:dyDescent="0.35">
      <c r="A34" s="68">
        <v>3</v>
      </c>
      <c r="B34" s="28">
        <v>43497</v>
      </c>
      <c r="C34" s="68">
        <v>17</v>
      </c>
      <c r="D34" s="68">
        <v>144</v>
      </c>
      <c r="E34" s="31">
        <f t="shared" si="10"/>
        <v>2476</v>
      </c>
      <c r="F34" s="25">
        <f t="shared" si="11"/>
        <v>1.0069930069930071</v>
      </c>
      <c r="G34" s="25">
        <f t="shared" si="12"/>
        <v>17.315664335664334</v>
      </c>
      <c r="H34" s="68">
        <v>7.58</v>
      </c>
      <c r="I34" s="68">
        <v>944</v>
      </c>
      <c r="J34" s="68">
        <v>164</v>
      </c>
      <c r="K34" s="65">
        <v>58</v>
      </c>
      <c r="L34" s="65">
        <v>12</v>
      </c>
      <c r="M34" s="65">
        <v>3.1</v>
      </c>
      <c r="N34" s="31">
        <v>346</v>
      </c>
      <c r="O34" s="68">
        <v>17</v>
      </c>
      <c r="P34" s="175">
        <v>102.8</v>
      </c>
      <c r="Q34" s="175">
        <v>33.04</v>
      </c>
      <c r="R34" s="175">
        <v>59.18</v>
      </c>
      <c r="S34" s="175">
        <v>19.95</v>
      </c>
      <c r="T34" s="172">
        <v>9.0009999999999994</v>
      </c>
      <c r="U34" s="171">
        <v>0.2</v>
      </c>
      <c r="V34" s="80">
        <v>0.02</v>
      </c>
      <c r="W34" s="177">
        <v>0.02</v>
      </c>
      <c r="X34" s="174">
        <v>0.41599999999999998</v>
      </c>
      <c r="Y34" s="177">
        <v>0.04</v>
      </c>
      <c r="Z34" s="172">
        <v>1.1539999999999999</v>
      </c>
      <c r="AB34" s="69">
        <f t="shared" si="6"/>
        <v>10.872335875526783</v>
      </c>
      <c r="AC34" s="69">
        <f t="shared" si="1"/>
        <v>10.65121306512637</v>
      </c>
      <c r="AD34" s="69">
        <f t="shared" si="2"/>
        <v>1.0273529286927281</v>
      </c>
      <c r="AF34" s="101">
        <v>7.58</v>
      </c>
      <c r="AG34" s="101">
        <v>2.40428</v>
      </c>
      <c r="AH34" s="101">
        <v>0.1797</v>
      </c>
      <c r="AI34" s="101">
        <v>-1.0570999999999999</v>
      </c>
      <c r="AJ34" s="101">
        <v>-1.3069999999999999</v>
      </c>
      <c r="AK34" s="101">
        <v>-2.4026999999999998</v>
      </c>
      <c r="AL34" s="101">
        <v>-0.31359999999999999</v>
      </c>
      <c r="AM34" s="101">
        <v>-0.26069999999999999</v>
      </c>
      <c r="AN34" s="101">
        <v>-1.8545</v>
      </c>
      <c r="AO34" s="101">
        <v>-1.0932999999999999</v>
      </c>
    </row>
    <row r="35" spans="1:41" s="68" customFormat="1" x14ac:dyDescent="0.35">
      <c r="A35" s="68">
        <v>3</v>
      </c>
      <c r="B35" s="28">
        <v>43498</v>
      </c>
      <c r="C35" s="68">
        <v>18</v>
      </c>
      <c r="D35" s="68">
        <v>147</v>
      </c>
      <c r="E35" s="31">
        <f t="shared" si="10"/>
        <v>2623</v>
      </c>
      <c r="F35" s="25">
        <f t="shared" si="11"/>
        <v>1.0279720279720279</v>
      </c>
      <c r="G35" s="25">
        <f t="shared" si="12"/>
        <v>18.34363636363636</v>
      </c>
      <c r="H35" s="68">
        <v>7.8</v>
      </c>
      <c r="I35" s="68">
        <v>936</v>
      </c>
      <c r="J35" s="68">
        <v>163</v>
      </c>
      <c r="K35" s="65">
        <v>55</v>
      </c>
      <c r="L35" s="65">
        <v>12</v>
      </c>
      <c r="M35" s="65">
        <v>3.3</v>
      </c>
      <c r="N35" s="31">
        <v>346</v>
      </c>
      <c r="O35" s="68">
        <v>18</v>
      </c>
      <c r="P35" s="175">
        <v>96.72</v>
      </c>
      <c r="Q35" s="175">
        <v>32.909999999999997</v>
      </c>
      <c r="R35" s="175">
        <v>58.86</v>
      </c>
      <c r="S35" s="175">
        <v>19.010000000000002</v>
      </c>
      <c r="T35" s="172">
        <v>7.6120000000000001</v>
      </c>
      <c r="U35" s="171">
        <v>0.2</v>
      </c>
      <c r="V35" s="80">
        <v>0.02</v>
      </c>
      <c r="W35" s="177">
        <v>0.02</v>
      </c>
      <c r="X35" s="174">
        <v>0.436</v>
      </c>
      <c r="Y35" s="177">
        <v>0.04</v>
      </c>
      <c r="Z35" s="172">
        <v>1.1279999999999999</v>
      </c>
      <c r="AB35" s="69">
        <f t="shared" si="6"/>
        <v>10.855561681978397</v>
      </c>
      <c r="AC35" s="69">
        <f t="shared" si="1"/>
        <v>10.287685670145832</v>
      </c>
      <c r="AD35" s="69">
        <f t="shared" si="2"/>
        <v>2.6858504863280221</v>
      </c>
      <c r="AF35" s="101">
        <v>7.8</v>
      </c>
      <c r="AG35" s="101">
        <v>0.461588</v>
      </c>
      <c r="AH35" s="101">
        <v>0.36749999999999999</v>
      </c>
      <c r="AI35" s="101">
        <v>-1.0790999999999999</v>
      </c>
      <c r="AJ35" s="101">
        <v>-1.329</v>
      </c>
      <c r="AK35" s="101">
        <v>-2.6278000000000001</v>
      </c>
      <c r="AL35" s="101">
        <v>8.7400000000000005E-2</v>
      </c>
      <c r="AM35" s="101">
        <v>-2.4400000000000002E-2</v>
      </c>
      <c r="AN35" s="101">
        <v>-1.8798999999999999</v>
      </c>
      <c r="AO35" s="101">
        <v>-0.88009999999999999</v>
      </c>
    </row>
    <row r="36" spans="1:41" s="68" customFormat="1" x14ac:dyDescent="0.35">
      <c r="A36" s="68">
        <v>3</v>
      </c>
      <c r="B36" s="28">
        <v>43499</v>
      </c>
      <c r="C36" s="68">
        <v>19</v>
      </c>
      <c r="D36" s="68">
        <v>143</v>
      </c>
      <c r="E36" s="31">
        <f t="shared" si="10"/>
        <v>2766</v>
      </c>
      <c r="F36" s="25">
        <f t="shared" si="11"/>
        <v>1</v>
      </c>
      <c r="G36" s="25">
        <f t="shared" si="12"/>
        <v>19.34363636363636</v>
      </c>
      <c r="H36" s="68">
        <v>7.6</v>
      </c>
      <c r="I36" s="68">
        <v>934</v>
      </c>
      <c r="J36" s="68">
        <v>178</v>
      </c>
      <c r="K36" s="65">
        <v>51</v>
      </c>
      <c r="L36" s="65">
        <v>12</v>
      </c>
      <c r="M36" s="65">
        <v>3.4</v>
      </c>
      <c r="N36" s="31">
        <v>344</v>
      </c>
      <c r="O36" s="68">
        <v>16</v>
      </c>
      <c r="P36" s="175">
        <v>90.64</v>
      </c>
      <c r="Q36" s="175">
        <v>31.93</v>
      </c>
      <c r="R36" s="175">
        <v>53.26</v>
      </c>
      <c r="S36" s="175">
        <v>17.510000000000002</v>
      </c>
      <c r="T36" s="172">
        <v>6.5369999999999999</v>
      </c>
      <c r="U36" s="171">
        <v>0.2</v>
      </c>
      <c r="V36" s="80">
        <v>0.02</v>
      </c>
      <c r="W36" s="177">
        <v>0.02</v>
      </c>
      <c r="X36" s="174">
        <v>0.40600000000000003</v>
      </c>
      <c r="Y36" s="177">
        <v>0.04</v>
      </c>
      <c r="Z36" s="172">
        <v>1.0820000000000001</v>
      </c>
      <c r="AB36" s="69">
        <f t="shared" si="6"/>
        <v>11.115533943938328</v>
      </c>
      <c r="AC36" s="69">
        <f t="shared" si="1"/>
        <v>9.6326225781425698</v>
      </c>
      <c r="AD36" s="69">
        <f t="shared" si="2"/>
        <v>7.1471957723935278</v>
      </c>
      <c r="AF36" s="101">
        <v>7.6</v>
      </c>
      <c r="AG36" s="101">
        <v>-4.5355999999999996</v>
      </c>
      <c r="AH36" s="101">
        <v>0.1825</v>
      </c>
      <c r="AI36" s="101">
        <v>-1.1033999999999999</v>
      </c>
      <c r="AJ36" s="101">
        <v>-1.3532</v>
      </c>
      <c r="AK36" s="101">
        <v>-2.3849</v>
      </c>
      <c r="AL36" s="101">
        <v>-0.26700000000000002</v>
      </c>
      <c r="AM36" s="101">
        <v>-0.2117</v>
      </c>
      <c r="AN36" s="101">
        <v>-1.9058999999999999</v>
      </c>
      <c r="AO36" s="101">
        <v>-1.0495000000000001</v>
      </c>
    </row>
    <row r="37" spans="1:41" s="68" customFormat="1" x14ac:dyDescent="0.35">
      <c r="A37" s="68">
        <v>3</v>
      </c>
      <c r="B37" s="28">
        <v>43500</v>
      </c>
      <c r="C37" s="68">
        <v>20</v>
      </c>
      <c r="D37" s="68">
        <v>145</v>
      </c>
      <c r="E37" s="31">
        <f t="shared" si="10"/>
        <v>2911</v>
      </c>
      <c r="F37" s="69">
        <f t="shared" si="11"/>
        <v>1.013986013986014</v>
      </c>
      <c r="G37" s="25">
        <f t="shared" si="12"/>
        <v>20.357622377622373</v>
      </c>
      <c r="H37" s="68">
        <v>7.6</v>
      </c>
      <c r="I37" s="68">
        <v>941</v>
      </c>
      <c r="J37" s="68">
        <v>163</v>
      </c>
      <c r="K37" s="65">
        <v>52</v>
      </c>
      <c r="L37" s="65">
        <v>12</v>
      </c>
      <c r="M37" s="65">
        <v>3.5</v>
      </c>
      <c r="N37" s="31">
        <v>348</v>
      </c>
      <c r="O37" s="68">
        <v>16</v>
      </c>
      <c r="P37" s="175">
        <v>90.45</v>
      </c>
      <c r="Q37" s="175">
        <v>31.57</v>
      </c>
      <c r="R37" s="175">
        <v>52.99</v>
      </c>
      <c r="S37" s="175">
        <v>17.5</v>
      </c>
      <c r="T37" s="172">
        <v>6.6879999999999997</v>
      </c>
      <c r="U37" s="171">
        <v>0.2</v>
      </c>
      <c r="V37" s="80">
        <v>0.02</v>
      </c>
      <c r="W37" s="177">
        <v>0.02</v>
      </c>
      <c r="X37" s="174">
        <v>0.47199999999999998</v>
      </c>
      <c r="Y37" s="177">
        <v>0.04</v>
      </c>
      <c r="Z37" s="172">
        <v>1.1100000000000001</v>
      </c>
      <c r="AB37" s="69">
        <f t="shared" si="6"/>
        <v>10.900428129695886</v>
      </c>
      <c r="AC37" s="69">
        <f t="shared" si="1"/>
        <v>9.5856539330190227</v>
      </c>
      <c r="AD37" s="69">
        <f t="shared" si="2"/>
        <v>6.4178899247395833</v>
      </c>
      <c r="AF37" s="101">
        <v>7.6</v>
      </c>
      <c r="AG37" s="101">
        <v>-3.8685900000000002</v>
      </c>
      <c r="AH37" s="101">
        <v>0.14430000000000001</v>
      </c>
      <c r="AI37" s="101">
        <v>-1.0978000000000001</v>
      </c>
      <c r="AJ37" s="101">
        <v>-1.3475999999999999</v>
      </c>
      <c r="AK37" s="101">
        <v>-2.423</v>
      </c>
      <c r="AL37" s="101">
        <v>-0.34810000000000002</v>
      </c>
      <c r="AM37" s="101">
        <v>-0.1837</v>
      </c>
      <c r="AN37" s="101">
        <v>-1.9055</v>
      </c>
      <c r="AO37" s="101">
        <v>-1.0924</v>
      </c>
    </row>
    <row r="38" spans="1:41" s="68" customFormat="1" x14ac:dyDescent="0.35">
      <c r="A38" s="68">
        <v>3</v>
      </c>
      <c r="B38" s="28">
        <v>43501</v>
      </c>
      <c r="C38" s="68">
        <v>21</v>
      </c>
      <c r="D38" s="68">
        <v>144</v>
      </c>
      <c r="E38" s="31">
        <f t="shared" ref="E38" si="13">D38+E37</f>
        <v>3055</v>
      </c>
      <c r="F38" s="69">
        <f t="shared" ref="F38" si="14">D38/143</f>
        <v>1.0069930069930071</v>
      </c>
      <c r="G38" s="25">
        <f t="shared" ref="G38" si="15">G37+F38</f>
        <v>21.36461538461538</v>
      </c>
      <c r="H38" s="68">
        <v>7.56</v>
      </c>
      <c r="I38" s="68">
        <v>940</v>
      </c>
      <c r="J38" s="68">
        <v>164</v>
      </c>
      <c r="K38" s="65">
        <v>47</v>
      </c>
      <c r="L38" s="65">
        <v>12</v>
      </c>
      <c r="M38" s="65">
        <v>3.4</v>
      </c>
      <c r="N38" s="31">
        <v>346</v>
      </c>
      <c r="O38" s="68">
        <v>16</v>
      </c>
      <c r="P38" s="12">
        <v>100.2</v>
      </c>
      <c r="Q38" s="12">
        <v>37.32</v>
      </c>
      <c r="R38" s="12">
        <v>59.4</v>
      </c>
      <c r="S38" s="12">
        <v>20.73</v>
      </c>
      <c r="T38" s="6">
        <v>8.1389999999999993</v>
      </c>
      <c r="U38" s="171">
        <v>0.2</v>
      </c>
      <c r="V38" s="177">
        <v>0.02</v>
      </c>
      <c r="W38" s="177">
        <v>0.02</v>
      </c>
      <c r="X38" s="163">
        <v>0.48599999999999999</v>
      </c>
      <c r="Y38" s="177">
        <v>0.04</v>
      </c>
      <c r="Z38" s="170">
        <v>1.143</v>
      </c>
      <c r="AB38" s="69">
        <f t="shared" si="6"/>
        <v>10.877174585204203</v>
      </c>
      <c r="AC38" s="69">
        <f t="shared" si="1"/>
        <v>10.860969572559625</v>
      </c>
      <c r="AD38" s="69">
        <f t="shared" si="2"/>
        <v>7.454644024333798E-2</v>
      </c>
      <c r="AF38" s="101">
        <v>7.56</v>
      </c>
      <c r="AG38" s="101">
        <v>3.5597300000000001</v>
      </c>
      <c r="AH38" s="101">
        <v>0.1482</v>
      </c>
      <c r="AI38" s="101">
        <v>-1.0711999999999999</v>
      </c>
      <c r="AJ38" s="101">
        <v>-1.321</v>
      </c>
      <c r="AK38" s="101">
        <v>-2.3828</v>
      </c>
      <c r="AL38" s="101">
        <v>-0.31269999999999998</v>
      </c>
      <c r="AM38" s="101">
        <v>-0.21410000000000001</v>
      </c>
      <c r="AN38" s="101">
        <v>-1.8669</v>
      </c>
      <c r="AO38" s="101">
        <v>-1.0609</v>
      </c>
    </row>
    <row r="39" spans="1:41" s="68" customFormat="1" x14ac:dyDescent="0.35">
      <c r="A39" s="68">
        <v>3</v>
      </c>
      <c r="B39" s="28">
        <v>43502</v>
      </c>
      <c r="C39" s="68">
        <v>22</v>
      </c>
      <c r="D39" s="68">
        <v>145</v>
      </c>
      <c r="E39" s="31">
        <f t="shared" ref="E39" si="16">D39+E38</f>
        <v>3200</v>
      </c>
      <c r="F39" s="69">
        <f t="shared" ref="F39" si="17">D39/143</f>
        <v>1.013986013986014</v>
      </c>
      <c r="G39" s="25">
        <f t="shared" ref="G39" si="18">G38+F39</f>
        <v>22.378601398601393</v>
      </c>
      <c r="H39" s="68">
        <v>7.57</v>
      </c>
      <c r="I39" s="68">
        <v>945</v>
      </c>
      <c r="J39" s="68">
        <v>165</v>
      </c>
      <c r="K39" s="65">
        <v>47</v>
      </c>
      <c r="L39" s="65">
        <v>12</v>
      </c>
      <c r="M39" s="65">
        <v>3.9</v>
      </c>
      <c r="N39" s="31">
        <v>339</v>
      </c>
      <c r="O39" s="68">
        <v>16</v>
      </c>
      <c r="P39" s="165">
        <v>102.5</v>
      </c>
      <c r="Q39" s="165">
        <v>38.590000000000003</v>
      </c>
      <c r="R39" s="165">
        <v>59.75</v>
      </c>
      <c r="S39" s="165">
        <v>20.260000000000002</v>
      </c>
      <c r="T39" s="170">
        <v>7.8689999999999998</v>
      </c>
      <c r="U39" s="171">
        <v>0.2</v>
      </c>
      <c r="V39" s="177">
        <v>0.02</v>
      </c>
      <c r="W39" s="177">
        <v>0.02</v>
      </c>
      <c r="X39" s="163">
        <v>0.46600000000000003</v>
      </c>
      <c r="Y39" s="177">
        <v>0.04</v>
      </c>
      <c r="Z39" s="170">
        <v>1.196</v>
      </c>
      <c r="AB39" s="69">
        <f t="shared" si="6"/>
        <v>10.759496856902672</v>
      </c>
      <c r="AC39" s="69">
        <f t="shared" si="1"/>
        <v>11.088499460710477</v>
      </c>
      <c r="AD39" s="69">
        <f t="shared" si="2"/>
        <v>1.5058708314710461</v>
      </c>
      <c r="AF39" s="101">
        <v>7.57</v>
      </c>
      <c r="AG39" s="101">
        <v>5.5181500000000003</v>
      </c>
      <c r="AH39" s="101">
        <v>0.17180000000000001</v>
      </c>
      <c r="AI39" s="101">
        <v>-1.0713999999999999</v>
      </c>
      <c r="AJ39" s="101">
        <v>-1.3211999999999999</v>
      </c>
      <c r="AK39" s="101">
        <v>-2.3908999999999998</v>
      </c>
      <c r="AL39" s="101">
        <v>-0.26119999999999999</v>
      </c>
      <c r="AM39" s="101">
        <v>-0.21929999999999999</v>
      </c>
      <c r="AN39" s="101">
        <v>-1.8555999999999999</v>
      </c>
      <c r="AO39" s="101">
        <v>-1.0329999999999999</v>
      </c>
    </row>
    <row r="40" spans="1:41" s="68" customFormat="1" x14ac:dyDescent="0.35">
      <c r="B40" s="28"/>
      <c r="E40" s="31"/>
      <c r="F40" s="69"/>
      <c r="G40" s="25"/>
      <c r="K40" s="65"/>
      <c r="L40" s="65"/>
      <c r="N40" s="31"/>
      <c r="P40" s="66"/>
      <c r="Q40" s="65"/>
      <c r="R40" s="32"/>
      <c r="S40" s="32"/>
      <c r="T40" s="32"/>
      <c r="U40" s="67"/>
      <c r="AB40" s="69"/>
      <c r="AC40" s="69"/>
      <c r="AD40" s="69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</row>
    <row r="41" spans="1:41" x14ac:dyDescent="0.35">
      <c r="A41" s="43" t="s">
        <v>56</v>
      </c>
      <c r="B41" s="28"/>
      <c r="E41" s="31"/>
      <c r="F41" s="69"/>
      <c r="G41" s="25"/>
      <c r="H41" s="69">
        <f>AVERAGE(B91:B98)</f>
        <v>7.1912500000000001</v>
      </c>
      <c r="I41" s="165">
        <f>'Influent Results Master'!D34</f>
        <v>1670.1111111111111</v>
      </c>
      <c r="J41" s="165">
        <f>'Influent Results Master'!F34</f>
        <v>320.66666666666669</v>
      </c>
      <c r="K41" s="165">
        <f>'Influent Results Master'!G34</f>
        <v>287.22222222222223</v>
      </c>
      <c r="L41" s="165">
        <f>'Influent Results Master'!H34</f>
        <v>47.333333333333336</v>
      </c>
      <c r="M41" s="165">
        <f>'Influent Results Master'!I34</f>
        <v>21.777777777777775</v>
      </c>
      <c r="N41" s="165">
        <f>'Influent Results Master'!J34</f>
        <v>614.55555555555554</v>
      </c>
      <c r="O41" s="165">
        <f>'Influent Results Master'!K34</f>
        <v>28.111111111111114</v>
      </c>
      <c r="P41" s="165">
        <f>'Influent Results Master'!L34</f>
        <v>153.01111111111109</v>
      </c>
      <c r="Q41" s="165">
        <f>'Influent Results Master'!M34</f>
        <v>62.398888888888884</v>
      </c>
      <c r="R41" s="165">
        <f>'Influent Results Master'!N34</f>
        <v>206.23333333333335</v>
      </c>
      <c r="S41" s="165">
        <f>'Influent Results Master'!O34</f>
        <v>23.54111111111111</v>
      </c>
      <c r="T41" s="170">
        <f>'Influent Results Master'!P34</f>
        <v>6.3293333333333335</v>
      </c>
      <c r="U41" s="171">
        <f>'Influent Results Master'!Q34</f>
        <v>0.20000000000000004</v>
      </c>
      <c r="V41" s="176">
        <f>'Influent Results Master'!R34</f>
        <v>4.7000000000000007E-2</v>
      </c>
      <c r="W41" s="177">
        <f>'Influent Results Master'!S34</f>
        <v>0.02</v>
      </c>
      <c r="X41" s="176">
        <f>'Influent Results Master'!T34</f>
        <v>4.5777777777777785E-2</v>
      </c>
      <c r="Y41" s="177">
        <f>'Influent Results Master'!U34</f>
        <v>0.04</v>
      </c>
      <c r="Z41" s="170">
        <f>'Influent Results Master'!V34</f>
        <v>1.3484444444444446</v>
      </c>
      <c r="AB41" s="69">
        <f>((J41/50)+(L41/35.45)+(M41/62)+(N41/48.03))</f>
        <v>20.895045443353979</v>
      </c>
      <c r="AC41" s="69">
        <f t="shared" si="1"/>
        <v>21.89921500465627</v>
      </c>
      <c r="AD41" s="69">
        <f t="shared" si="2"/>
        <v>2.3465052340891206</v>
      </c>
      <c r="AF41" s="101">
        <v>7.19</v>
      </c>
      <c r="AG41" s="101">
        <v>2.1872600000000002</v>
      </c>
      <c r="AH41" s="101">
        <v>0.14360000000000001</v>
      </c>
      <c r="AI41" s="101">
        <v>-0.8085</v>
      </c>
      <c r="AJ41" s="101">
        <v>-1.0581</v>
      </c>
      <c r="AK41" s="101">
        <v>-1.7370000000000001</v>
      </c>
      <c r="AL41" s="101">
        <v>-0.27529999999999999</v>
      </c>
      <c r="AM41" s="101">
        <v>-1.5129999999999999</v>
      </c>
      <c r="AN41" s="101">
        <v>-1.5055000000000001</v>
      </c>
      <c r="AO41" s="101">
        <v>-1.0188999999999999</v>
      </c>
    </row>
    <row r="42" spans="1:41" s="68" customFormat="1" x14ac:dyDescent="0.35">
      <c r="B42" s="28"/>
      <c r="E42" s="31"/>
      <c r="F42" s="69"/>
      <c r="G42" s="25"/>
      <c r="K42" s="65"/>
      <c r="L42" s="65"/>
      <c r="N42" s="31"/>
      <c r="P42" s="15"/>
      <c r="R42" s="16"/>
      <c r="S42" s="16"/>
      <c r="T42" s="16"/>
      <c r="U42" s="67"/>
      <c r="AB42" s="69"/>
      <c r="AC42" s="69"/>
      <c r="AD42" s="69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</row>
    <row r="43" spans="1:41" x14ac:dyDescent="0.35">
      <c r="A43" s="43">
        <v>3</v>
      </c>
      <c r="B43" s="28">
        <v>43503</v>
      </c>
      <c r="C43" s="43">
        <v>23</v>
      </c>
      <c r="D43" s="43">
        <v>146</v>
      </c>
      <c r="E43" s="31">
        <f>D43+E39</f>
        <v>3346</v>
      </c>
      <c r="F43" s="69">
        <f t="shared" ref="F43:F46" si="19">D43/143</f>
        <v>1.020979020979021</v>
      </c>
      <c r="G43" s="25">
        <f>G39+F43</f>
        <v>23.399580419580413</v>
      </c>
      <c r="H43" s="43">
        <v>7.45</v>
      </c>
      <c r="I43" s="43">
        <v>1393</v>
      </c>
      <c r="J43" s="43">
        <v>245</v>
      </c>
      <c r="K43" s="24">
        <v>98</v>
      </c>
      <c r="L43" s="24">
        <v>40</v>
      </c>
      <c r="M43" s="43">
        <v>16</v>
      </c>
      <c r="N43" s="31">
        <v>502</v>
      </c>
      <c r="O43" s="43">
        <v>23</v>
      </c>
      <c r="P43" s="175">
        <v>170.1</v>
      </c>
      <c r="Q43" s="175">
        <v>68.16</v>
      </c>
      <c r="R43" s="175">
        <v>93.73</v>
      </c>
      <c r="S43" s="175">
        <v>21.28</v>
      </c>
      <c r="T43" s="175">
        <v>10.31</v>
      </c>
      <c r="U43" s="171">
        <v>0.2</v>
      </c>
      <c r="V43" s="65">
        <v>3.3000000000000002E-2</v>
      </c>
      <c r="W43" s="177">
        <v>0.02</v>
      </c>
      <c r="X43" s="163">
        <v>0.94799999999999995</v>
      </c>
      <c r="Y43" s="177">
        <v>0.04</v>
      </c>
      <c r="Z43" s="170">
        <v>1.867</v>
      </c>
      <c r="AB43" s="69">
        <f t="shared" ref="AB43:AB50" si="20">((J43/50)+(L43/35.45)+(M43/62)+(N43/48.03))</f>
        <v>16.738215262298198</v>
      </c>
      <c r="AC43" s="69">
        <f t="shared" si="1"/>
        <v>18.433959970090957</v>
      </c>
      <c r="AD43" s="69">
        <f t="shared" si="2"/>
        <v>4.8212676542996169</v>
      </c>
      <c r="AF43" s="101">
        <v>7.45</v>
      </c>
      <c r="AG43" s="101">
        <v>3.5403699999999998</v>
      </c>
      <c r="AH43" s="101">
        <v>0.36680000000000001</v>
      </c>
      <c r="AI43" s="101">
        <v>-0.81679999999999997</v>
      </c>
      <c r="AJ43" s="101">
        <v>-1.0665</v>
      </c>
      <c r="AK43" s="101">
        <v>-2.1160999999999999</v>
      </c>
      <c r="AL43" s="101">
        <v>0.1598</v>
      </c>
      <c r="AM43" s="101">
        <v>4.9399999999999999E-2</v>
      </c>
      <c r="AN43" s="101">
        <v>-1.524</v>
      </c>
      <c r="AO43" s="101">
        <v>-0.80700000000000005</v>
      </c>
    </row>
    <row r="44" spans="1:41" x14ac:dyDescent="0.35">
      <c r="A44" s="43">
        <v>3</v>
      </c>
      <c r="B44" s="28">
        <v>43504</v>
      </c>
      <c r="C44" s="43">
        <v>24</v>
      </c>
      <c r="D44" s="43">
        <v>144</v>
      </c>
      <c r="E44" s="31">
        <f t="shared" ref="E44:E46" si="21">D44+E43</f>
        <v>3490</v>
      </c>
      <c r="F44" s="69">
        <f t="shared" si="19"/>
        <v>1.0069930069930071</v>
      </c>
      <c r="G44" s="25">
        <f t="shared" ref="G44:G46" si="22">G43+F44</f>
        <v>24.40657342657342</v>
      </c>
      <c r="H44" s="43">
        <v>7.47</v>
      </c>
      <c r="I44" s="43">
        <v>1655</v>
      </c>
      <c r="J44" s="43">
        <v>304</v>
      </c>
      <c r="K44" s="24">
        <v>182</v>
      </c>
      <c r="L44" s="24">
        <v>54</v>
      </c>
      <c r="M44" s="43">
        <v>21</v>
      </c>
      <c r="N44" s="31">
        <v>606</v>
      </c>
      <c r="O44" s="43">
        <v>16</v>
      </c>
      <c r="P44" s="175">
        <v>166.8</v>
      </c>
      <c r="Q44" s="175">
        <v>68.2</v>
      </c>
      <c r="R44" s="175">
        <v>147.6</v>
      </c>
      <c r="S44" s="175">
        <v>20.010000000000002</v>
      </c>
      <c r="T44" s="175">
        <v>11.14</v>
      </c>
      <c r="U44" s="171">
        <v>0.2</v>
      </c>
      <c r="V44" s="43">
        <v>6.0999999999999999E-2</v>
      </c>
      <c r="W44" s="177">
        <v>0.02</v>
      </c>
      <c r="X44" s="163">
        <v>0.98299999999999998</v>
      </c>
      <c r="Y44" s="177">
        <v>0.04</v>
      </c>
      <c r="Z44" s="170">
        <v>1.9650000000000001</v>
      </c>
      <c r="AB44" s="69">
        <f t="shared" si="20"/>
        <v>20.559096195366088</v>
      </c>
      <c r="AC44" s="69">
        <f t="shared" si="1"/>
        <v>20.6369990990509</v>
      </c>
      <c r="AD44" s="69">
        <f t="shared" si="2"/>
        <v>0.18910263977219668</v>
      </c>
      <c r="AF44" s="101">
        <v>7.47</v>
      </c>
      <c r="AG44" s="101">
        <v>0.29019200000000001</v>
      </c>
      <c r="AH44" s="101">
        <v>0.44119999999999998</v>
      </c>
      <c r="AI44" s="101">
        <v>-0.77549999999999997</v>
      </c>
      <c r="AJ44" s="101">
        <v>-1.0251999999999999</v>
      </c>
      <c r="AK44" s="101">
        <v>-2.0442</v>
      </c>
      <c r="AL44" s="101">
        <v>0.32040000000000002</v>
      </c>
      <c r="AM44" s="101">
        <v>0.14649999999999999</v>
      </c>
      <c r="AN44" s="101">
        <v>-1.3067</v>
      </c>
      <c r="AO44" s="101">
        <v>-0.72070000000000001</v>
      </c>
    </row>
    <row r="45" spans="1:41" x14ac:dyDescent="0.35">
      <c r="A45" s="43">
        <v>3</v>
      </c>
      <c r="B45" s="28">
        <v>43505</v>
      </c>
      <c r="C45" s="43">
        <v>25</v>
      </c>
      <c r="D45" s="43">
        <v>144</v>
      </c>
      <c r="E45" s="31">
        <f t="shared" si="21"/>
        <v>3634</v>
      </c>
      <c r="F45" s="69">
        <f t="shared" si="19"/>
        <v>1.0069930069930071</v>
      </c>
      <c r="G45" s="25">
        <f t="shared" si="22"/>
        <v>25.413566433566427</v>
      </c>
      <c r="H45" s="43">
        <v>7.5</v>
      </c>
      <c r="I45" s="43">
        <v>1714</v>
      </c>
      <c r="J45" s="43">
        <v>310</v>
      </c>
      <c r="K45" s="24">
        <v>224</v>
      </c>
      <c r="L45" s="24">
        <v>55</v>
      </c>
      <c r="M45" s="43">
        <v>22</v>
      </c>
      <c r="N45" s="31">
        <v>624</v>
      </c>
      <c r="O45" s="43">
        <v>18</v>
      </c>
      <c r="P45" s="175">
        <v>148.80000000000001</v>
      </c>
      <c r="Q45" s="175">
        <v>62.16</v>
      </c>
      <c r="R45" s="175">
        <v>189.9</v>
      </c>
      <c r="S45" s="175">
        <v>19.89</v>
      </c>
      <c r="T45" s="175">
        <v>11.42</v>
      </c>
      <c r="U45" s="171">
        <v>0.2</v>
      </c>
      <c r="V45" s="176">
        <v>7.0000000000000007E-2</v>
      </c>
      <c r="W45" s="177">
        <v>0.02</v>
      </c>
      <c r="X45" s="163">
        <v>0.83299999999999996</v>
      </c>
      <c r="Y45" s="177">
        <v>0.04</v>
      </c>
      <c r="Z45" s="170">
        <v>1.7370000000000001</v>
      </c>
      <c r="AB45" s="69">
        <f t="shared" si="20"/>
        <v>21.098199743727893</v>
      </c>
      <c r="AC45" s="69">
        <f t="shared" si="1"/>
        <v>21.089176509764133</v>
      </c>
      <c r="AD45" s="69">
        <f t="shared" si="2"/>
        <v>2.1388469170354224E-2</v>
      </c>
      <c r="AF45" s="101">
        <v>7.5</v>
      </c>
      <c r="AG45" s="101">
        <v>-8.5094500000000003E-2</v>
      </c>
      <c r="AH45" s="101">
        <v>0.42480000000000001</v>
      </c>
      <c r="AI45" s="101">
        <v>-0.81010000000000004</v>
      </c>
      <c r="AJ45" s="101">
        <v>-1.0596000000000001</v>
      </c>
      <c r="AK45" s="101">
        <v>-2.0644</v>
      </c>
      <c r="AL45" s="101">
        <v>0.2979</v>
      </c>
      <c r="AM45" s="101">
        <v>0.1086</v>
      </c>
      <c r="AN45" s="101">
        <v>-1.3046</v>
      </c>
      <c r="AO45" s="101">
        <v>-0.72689999999999999</v>
      </c>
    </row>
    <row r="46" spans="1:41" x14ac:dyDescent="0.35">
      <c r="A46" s="43">
        <v>3</v>
      </c>
      <c r="B46" s="28">
        <v>43506</v>
      </c>
      <c r="C46" s="43">
        <v>26</v>
      </c>
      <c r="D46" s="43">
        <v>147</v>
      </c>
      <c r="E46" s="31">
        <f t="shared" si="21"/>
        <v>3781</v>
      </c>
      <c r="F46" s="69">
        <f t="shared" si="19"/>
        <v>1.0279720279720279</v>
      </c>
      <c r="G46" s="25">
        <f t="shared" si="22"/>
        <v>26.441538461538453</v>
      </c>
      <c r="H46" s="43">
        <v>7.55</v>
      </c>
      <c r="I46" s="43">
        <v>1667</v>
      </c>
      <c r="J46" s="43">
        <v>315</v>
      </c>
      <c r="K46" s="24">
        <v>258</v>
      </c>
      <c r="L46" s="24">
        <v>54</v>
      </c>
      <c r="M46" s="43">
        <v>22</v>
      </c>
      <c r="N46" s="31">
        <v>616</v>
      </c>
      <c r="O46" s="43">
        <v>18</v>
      </c>
      <c r="P46" s="175">
        <v>140.80000000000001</v>
      </c>
      <c r="Q46" s="175">
        <v>59.12</v>
      </c>
      <c r="R46" s="175">
        <v>201.8</v>
      </c>
      <c r="S46" s="175">
        <v>18.93</v>
      </c>
      <c r="T46" s="175">
        <v>11.39</v>
      </c>
      <c r="U46" s="171">
        <v>0.2</v>
      </c>
      <c r="V46" s="43">
        <v>7.2999999999999995E-2</v>
      </c>
      <c r="W46" s="177">
        <v>0.02</v>
      </c>
      <c r="X46" s="163">
        <v>0.82899999999999996</v>
      </c>
      <c r="Y46" s="177">
        <v>0.04</v>
      </c>
      <c r="Z46" s="170">
        <v>1.7010000000000001</v>
      </c>
      <c r="AB46" s="69">
        <f t="shared" si="20"/>
        <v>21.00342843395353</v>
      </c>
      <c r="AC46" s="69">
        <f t="shared" si="1"/>
        <v>20.95682400446757</v>
      </c>
      <c r="AD46" s="69">
        <f t="shared" si="2"/>
        <v>0.11106803886452893</v>
      </c>
      <c r="AF46" s="101">
        <v>7.55</v>
      </c>
      <c r="AG46" s="101">
        <v>-0.14166799999999999</v>
      </c>
      <c r="AH46" s="101">
        <v>0.45850000000000002</v>
      </c>
      <c r="AI46" s="101">
        <v>-0.83430000000000004</v>
      </c>
      <c r="AJ46" s="101">
        <v>-1.0839000000000001</v>
      </c>
      <c r="AK46" s="101">
        <v>-2.1071</v>
      </c>
      <c r="AL46" s="101">
        <v>0.36770000000000003</v>
      </c>
      <c r="AM46" s="101">
        <v>0.1648</v>
      </c>
      <c r="AN46" s="101">
        <v>-1.3089999999999999</v>
      </c>
      <c r="AO46" s="101">
        <v>-0.69069999999999998</v>
      </c>
    </row>
    <row r="47" spans="1:41" x14ac:dyDescent="0.35">
      <c r="A47" s="43">
        <v>3</v>
      </c>
      <c r="B47" s="28">
        <v>43507</v>
      </c>
      <c r="C47" s="68">
        <v>27</v>
      </c>
      <c r="D47" s="43">
        <v>142</v>
      </c>
      <c r="E47" s="31">
        <f t="shared" ref="E47:E49" si="23">D47+E46</f>
        <v>3923</v>
      </c>
      <c r="F47" s="69">
        <f t="shared" ref="F47:F49" si="24">D47/143</f>
        <v>0.99300699300699302</v>
      </c>
      <c r="G47" s="25">
        <f t="shared" ref="G47:G49" si="25">G46+F47</f>
        <v>27.434545454545447</v>
      </c>
      <c r="H47" s="43">
        <v>7.56</v>
      </c>
      <c r="I47" s="43">
        <v>1689</v>
      </c>
      <c r="J47" s="43">
        <v>310</v>
      </c>
      <c r="K47" s="24">
        <v>274</v>
      </c>
      <c r="L47" s="24">
        <v>54</v>
      </c>
      <c r="M47" s="43">
        <v>22</v>
      </c>
      <c r="N47" s="31">
        <v>616</v>
      </c>
      <c r="O47" s="43">
        <v>19</v>
      </c>
      <c r="P47" s="175">
        <v>145.5</v>
      </c>
      <c r="Q47" s="175">
        <v>57.64</v>
      </c>
      <c r="R47" s="175">
        <v>208.4</v>
      </c>
      <c r="S47" s="175">
        <v>20.059999999999999</v>
      </c>
      <c r="T47" s="175">
        <v>11.23</v>
      </c>
      <c r="U47" s="171">
        <v>0.2</v>
      </c>
      <c r="V47" s="43">
        <v>7.5999999999999998E-2</v>
      </c>
      <c r="W47" s="177">
        <v>0.02</v>
      </c>
      <c r="X47" s="163">
        <v>0.78600000000000003</v>
      </c>
      <c r="Y47" s="177">
        <v>0.04</v>
      </c>
      <c r="Z47" s="170">
        <v>1.702</v>
      </c>
      <c r="AB47" s="69">
        <f t="shared" si="20"/>
        <v>20.903428433953533</v>
      </c>
      <c r="AC47" s="69">
        <f t="shared" si="1"/>
        <v>21.352633684377199</v>
      </c>
      <c r="AD47" s="69">
        <f t="shared" si="2"/>
        <v>1.0630551639330372</v>
      </c>
      <c r="AF47" s="101">
        <v>7.56</v>
      </c>
      <c r="AG47" s="101">
        <v>1.16873</v>
      </c>
      <c r="AH47" s="101">
        <v>0.4753</v>
      </c>
      <c r="AI47" s="101">
        <v>-0.8216</v>
      </c>
      <c r="AJ47" s="101">
        <v>-1.0711999999999999</v>
      </c>
      <c r="AK47" s="101">
        <v>-2.1246999999999998</v>
      </c>
      <c r="AL47" s="101">
        <v>0.37590000000000001</v>
      </c>
      <c r="AM47" s="101">
        <v>0.14380000000000001</v>
      </c>
      <c r="AN47" s="101">
        <v>-1.2777000000000001</v>
      </c>
      <c r="AO47" s="101">
        <v>-0.69940000000000002</v>
      </c>
    </row>
    <row r="48" spans="1:41" x14ac:dyDescent="0.35">
      <c r="A48" s="43">
        <v>3</v>
      </c>
      <c r="B48" s="28">
        <v>43508</v>
      </c>
      <c r="C48" s="68">
        <v>28</v>
      </c>
      <c r="D48" s="43">
        <v>143</v>
      </c>
      <c r="E48" s="31">
        <f t="shared" si="23"/>
        <v>4066</v>
      </c>
      <c r="F48" s="69">
        <f t="shared" si="24"/>
        <v>1</v>
      </c>
      <c r="G48" s="25">
        <f t="shared" si="25"/>
        <v>28.434545454545447</v>
      </c>
      <c r="H48" s="43">
        <v>7.6</v>
      </c>
      <c r="I48" s="43">
        <v>1701</v>
      </c>
      <c r="J48" s="43">
        <v>310</v>
      </c>
      <c r="K48" s="24">
        <v>285</v>
      </c>
      <c r="L48" s="24">
        <v>54</v>
      </c>
      <c r="M48" s="43">
        <v>22</v>
      </c>
      <c r="N48" s="31">
        <v>619</v>
      </c>
      <c r="O48" s="43">
        <v>21</v>
      </c>
      <c r="P48" s="175">
        <v>145.9</v>
      </c>
      <c r="Q48" s="175">
        <v>57.85</v>
      </c>
      <c r="R48" s="175">
        <v>206.5</v>
      </c>
      <c r="S48" s="175">
        <v>19.989999999999998</v>
      </c>
      <c r="T48" s="175">
        <v>10.67</v>
      </c>
      <c r="U48" s="171">
        <v>0.2</v>
      </c>
      <c r="V48" s="43">
        <v>7.6999999999999999E-2</v>
      </c>
      <c r="W48" s="177">
        <v>0.02</v>
      </c>
      <c r="X48" s="163">
        <v>0.76100000000000001</v>
      </c>
      <c r="Y48" s="177">
        <v>0.04</v>
      </c>
      <c r="Z48" s="170">
        <v>1.6950000000000001</v>
      </c>
      <c r="AB48" s="69">
        <f t="shared" si="20"/>
        <v>20.965889395852344</v>
      </c>
      <c r="AC48" s="69">
        <f t="shared" si="1"/>
        <v>21.292896622321059</v>
      </c>
      <c r="AD48" s="69">
        <f t="shared" si="2"/>
        <v>0.77382068270509774</v>
      </c>
      <c r="AF48" s="101">
        <v>7.6</v>
      </c>
      <c r="AG48" s="101">
        <v>0.830897</v>
      </c>
      <c r="AH48" s="101">
        <v>0.51519999999999999</v>
      </c>
      <c r="AI48" s="101">
        <v>-0.81910000000000005</v>
      </c>
      <c r="AJ48" s="101">
        <v>-1.0687</v>
      </c>
      <c r="AK48" s="101">
        <v>-2.1652999999999998</v>
      </c>
      <c r="AL48" s="101">
        <v>0.45619999999999999</v>
      </c>
      <c r="AM48" s="101">
        <v>0.16869999999999999</v>
      </c>
      <c r="AN48" s="101">
        <v>-1.2715000000000001</v>
      </c>
      <c r="AO48" s="101">
        <v>-0.65900000000000003</v>
      </c>
    </row>
    <row r="49" spans="1:41" x14ac:dyDescent="0.35">
      <c r="A49" s="43">
        <v>3</v>
      </c>
      <c r="B49" s="28">
        <v>43509</v>
      </c>
      <c r="C49" s="68">
        <v>29</v>
      </c>
      <c r="D49" s="43">
        <v>145</v>
      </c>
      <c r="E49" s="31">
        <f t="shared" si="23"/>
        <v>4211</v>
      </c>
      <c r="F49" s="69">
        <f t="shared" si="24"/>
        <v>1.013986013986014</v>
      </c>
      <c r="G49" s="25">
        <f t="shared" si="25"/>
        <v>29.44853146853146</v>
      </c>
      <c r="H49" s="43">
        <v>7.64</v>
      </c>
      <c r="I49" s="43">
        <v>1681</v>
      </c>
      <c r="J49" s="43">
        <v>310</v>
      </c>
      <c r="K49" s="24">
        <v>286</v>
      </c>
      <c r="L49" s="24">
        <v>54</v>
      </c>
      <c r="M49" s="43">
        <v>22</v>
      </c>
      <c r="N49" s="31">
        <v>618</v>
      </c>
      <c r="O49" s="43">
        <v>20</v>
      </c>
      <c r="P49" s="175">
        <v>156.30000000000001</v>
      </c>
      <c r="Q49" s="175">
        <v>56.73</v>
      </c>
      <c r="R49" s="175">
        <v>212.1</v>
      </c>
      <c r="S49" s="175">
        <v>21.16</v>
      </c>
      <c r="T49" s="175">
        <v>10.15</v>
      </c>
      <c r="U49" s="171">
        <v>0.2</v>
      </c>
      <c r="V49" s="43">
        <v>7.5999999999999998E-2</v>
      </c>
      <c r="W49" s="177">
        <v>0.02</v>
      </c>
      <c r="X49" s="163">
        <v>0.72699999999999998</v>
      </c>
      <c r="Y49" s="177">
        <v>0.04</v>
      </c>
      <c r="Z49" s="170">
        <v>1.69</v>
      </c>
      <c r="AB49" s="69">
        <f t="shared" si="20"/>
        <v>20.945069075219408</v>
      </c>
      <c r="AC49" s="69">
        <f t="shared" si="1"/>
        <v>21.950038369304039</v>
      </c>
      <c r="AD49" s="69">
        <f t="shared" si="2"/>
        <v>2.3428529591267848</v>
      </c>
      <c r="AF49" s="101">
        <v>7.64</v>
      </c>
      <c r="AG49" s="101">
        <v>2.65924</v>
      </c>
      <c r="AH49" s="101">
        <v>0.58330000000000004</v>
      </c>
      <c r="AI49" s="101">
        <v>-0.79449999999999998</v>
      </c>
      <c r="AJ49" s="101">
        <v>-1.0441</v>
      </c>
      <c r="AK49" s="101">
        <v>-2.2071999999999998</v>
      </c>
      <c r="AL49" s="101">
        <v>0.55389999999999995</v>
      </c>
      <c r="AM49" s="101">
        <v>0.1862</v>
      </c>
      <c r="AN49" s="101">
        <v>-1.2484999999999999</v>
      </c>
      <c r="AO49" s="101">
        <v>-0.62949999999999995</v>
      </c>
    </row>
    <row r="50" spans="1:41" x14ac:dyDescent="0.35">
      <c r="A50" s="43">
        <v>3</v>
      </c>
      <c r="B50" s="28">
        <v>43510</v>
      </c>
      <c r="C50" s="43">
        <v>30</v>
      </c>
      <c r="D50" s="43">
        <v>150</v>
      </c>
      <c r="E50" s="31">
        <f t="shared" ref="E50" si="26">D50+E49</f>
        <v>4361</v>
      </c>
      <c r="F50" s="69">
        <f t="shared" ref="F50" si="27">D50/143</f>
        <v>1.048951048951049</v>
      </c>
      <c r="G50" s="25">
        <f t="shared" ref="G50" si="28">G49+F50</f>
        <v>30.49748251748251</v>
      </c>
      <c r="H50" s="43">
        <v>7.53</v>
      </c>
      <c r="I50" s="43">
        <v>1732</v>
      </c>
      <c r="J50" s="43">
        <v>319</v>
      </c>
      <c r="K50" s="24">
        <v>292</v>
      </c>
      <c r="L50" s="24">
        <v>57</v>
      </c>
      <c r="M50" s="43">
        <v>23</v>
      </c>
      <c r="N50" s="31">
        <v>629</v>
      </c>
      <c r="O50" s="43">
        <v>20</v>
      </c>
      <c r="P50" s="21">
        <v>156.69999999999999</v>
      </c>
      <c r="Q50" s="175">
        <v>58.25</v>
      </c>
      <c r="R50" s="21">
        <v>186.5</v>
      </c>
      <c r="S50" s="175">
        <v>21.75</v>
      </c>
      <c r="T50" s="175">
        <v>10.23</v>
      </c>
      <c r="U50" s="171">
        <v>0.2</v>
      </c>
      <c r="V50" s="43">
        <v>4.8000000000000001E-2</v>
      </c>
      <c r="W50" s="177">
        <v>0.02</v>
      </c>
      <c r="X50" s="163">
        <v>0.69199999999999995</v>
      </c>
      <c r="Y50" s="177">
        <v>0.04</v>
      </c>
      <c r="Z50" s="6">
        <v>1.645</v>
      </c>
      <c r="AB50" s="69">
        <f t="shared" si="20"/>
        <v>21.454847868572365</v>
      </c>
      <c r="AC50" s="69">
        <f t="shared" si="1"/>
        <v>20.983516864245331</v>
      </c>
      <c r="AD50" s="69">
        <f t="shared" si="2"/>
        <v>1.1106248020969398</v>
      </c>
      <c r="AF50" s="101">
        <v>7.53</v>
      </c>
      <c r="AG50" s="101">
        <v>-1.44048</v>
      </c>
      <c r="AH50" s="101">
        <v>0.48720000000000002</v>
      </c>
      <c r="AI50" s="101">
        <v>-0.78649999999999998</v>
      </c>
      <c r="AJ50" s="101">
        <v>-1.0361</v>
      </c>
      <c r="AK50" s="101">
        <v>-2.0828000000000002</v>
      </c>
      <c r="AL50" s="101">
        <v>0.37240000000000001</v>
      </c>
      <c r="AM50" s="101">
        <v>6.8000000000000005E-2</v>
      </c>
      <c r="AN50" s="101">
        <v>-1.4480999999999999</v>
      </c>
      <c r="AO50" s="101">
        <v>-0.71479999999999999</v>
      </c>
    </row>
    <row r="51" spans="1:41" s="68" customFormat="1" x14ac:dyDescent="0.35">
      <c r="B51" s="28"/>
      <c r="E51" s="31"/>
      <c r="F51" s="69"/>
      <c r="G51" s="25"/>
      <c r="K51" s="65"/>
      <c r="L51" s="65"/>
      <c r="N51" s="31"/>
      <c r="P51" s="66"/>
      <c r="Q51" s="65"/>
      <c r="R51" s="32"/>
      <c r="S51" s="32"/>
      <c r="T51" s="32"/>
      <c r="U51" s="67"/>
      <c r="AB51" s="69"/>
      <c r="AC51" s="69"/>
      <c r="AD51" s="69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</row>
    <row r="52" spans="1:41" x14ac:dyDescent="0.35">
      <c r="A52" s="43" t="s">
        <v>76</v>
      </c>
      <c r="B52" s="28"/>
      <c r="E52" s="31"/>
      <c r="F52" s="69"/>
      <c r="G52" s="25"/>
      <c r="H52" s="69">
        <f>AVERAGE(B99:B107)</f>
        <v>7.2355555555555577</v>
      </c>
      <c r="I52" s="165">
        <f>'Influent Results Master'!D38</f>
        <v>2311.5</v>
      </c>
      <c r="J52" s="165">
        <f>'Influent Results Master'!F38</f>
        <v>244.83333333333331</v>
      </c>
      <c r="K52" s="165">
        <f>'Influent Results Master'!G38</f>
        <v>85.666666666666671</v>
      </c>
      <c r="L52" s="165">
        <f>'Influent Results Master'!H38</f>
        <v>91.5</v>
      </c>
      <c r="M52" s="165">
        <f>'Influent Results Master'!I38</f>
        <v>16.333333333333332</v>
      </c>
      <c r="N52" s="165">
        <f>'Influent Results Master'!J38</f>
        <v>975.66666666666674</v>
      </c>
      <c r="O52" s="165">
        <f>'Influent Results Master'!K38</f>
        <v>20</v>
      </c>
      <c r="P52" s="165">
        <f>'Influent Results Master'!L38</f>
        <v>158.21666666666667</v>
      </c>
      <c r="Q52" s="165">
        <f>'Influent Results Master'!M38</f>
        <v>44.49</v>
      </c>
      <c r="R52" s="165">
        <f>'Influent Results Master'!N38</f>
        <v>407.98333333333335</v>
      </c>
      <c r="S52" s="165">
        <f>'Influent Results Master'!O38</f>
        <v>22.978333333333335</v>
      </c>
      <c r="T52" s="170">
        <f>'Influent Results Master'!P38</f>
        <v>8.5111666666666679</v>
      </c>
      <c r="U52" s="171">
        <f>'Influent Results Master'!Q38</f>
        <v>0.20000000000000004</v>
      </c>
      <c r="V52" s="177">
        <f>'Influent Results Master'!R38</f>
        <v>0.02</v>
      </c>
      <c r="W52" s="177">
        <f>'Influent Results Master'!S38</f>
        <v>0.02</v>
      </c>
      <c r="X52" s="163">
        <f>'Influent Results Master'!T38</f>
        <v>0.44666666666666671</v>
      </c>
      <c r="Y52" s="177">
        <f>'Influent Results Master'!U38</f>
        <v>0.04</v>
      </c>
      <c r="Z52" s="170">
        <f>'Influent Results Master'!V38</f>
        <v>1.7963333333333331</v>
      </c>
      <c r="AB52" s="69">
        <f>((J52/50)+(L52/35.45)+(M52/62)+(N52/48.03))</f>
        <v>28.054900498795039</v>
      </c>
      <c r="AC52" s="69">
        <f t="shared" si="1"/>
        <v>29.517558751050874</v>
      </c>
      <c r="AD52" s="69">
        <f t="shared" si="2"/>
        <v>2.5405519780010954</v>
      </c>
      <c r="AF52" s="101">
        <v>7.24</v>
      </c>
      <c r="AG52" s="101">
        <v>-0.38673000000000002</v>
      </c>
      <c r="AH52" s="101">
        <v>1.01E-2</v>
      </c>
      <c r="AI52" s="101">
        <v>-0.67859999999999998</v>
      </c>
      <c r="AJ52" s="101">
        <v>-0.92800000000000005</v>
      </c>
      <c r="AK52" s="101">
        <v>-1.91</v>
      </c>
      <c r="AL52" s="101">
        <v>-0.69779999999999998</v>
      </c>
      <c r="AM52" s="101">
        <v>-0.65249999999999997</v>
      </c>
      <c r="AN52" s="101">
        <v>-1.9323999999999999</v>
      </c>
      <c r="AO52" s="101">
        <v>-1.3079000000000001</v>
      </c>
    </row>
    <row r="53" spans="1:41" s="68" customFormat="1" x14ac:dyDescent="0.35">
      <c r="B53" s="28"/>
      <c r="E53" s="31"/>
      <c r="F53" s="69"/>
      <c r="G53" s="25"/>
      <c r="K53" s="65"/>
      <c r="L53" s="65"/>
      <c r="N53" s="31"/>
      <c r="P53" s="66"/>
      <c r="Q53" s="65"/>
      <c r="R53" s="32"/>
      <c r="S53" s="32"/>
      <c r="T53" s="32"/>
      <c r="U53" s="67"/>
      <c r="AB53" s="69"/>
      <c r="AC53" s="69"/>
      <c r="AD53" s="69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</row>
    <row r="54" spans="1:41" x14ac:dyDescent="0.35">
      <c r="A54" s="43">
        <v>3</v>
      </c>
      <c r="B54" s="28">
        <v>43511</v>
      </c>
      <c r="C54" s="43">
        <v>31</v>
      </c>
      <c r="D54" s="43">
        <v>144</v>
      </c>
      <c r="E54" s="31">
        <f>D54+E50</f>
        <v>4505</v>
      </c>
      <c r="F54" s="69">
        <f t="shared" ref="F54" si="29">D54/143</f>
        <v>1.0069930069930071</v>
      </c>
      <c r="G54" s="25">
        <f>G50+F54</f>
        <v>31.504475524475517</v>
      </c>
      <c r="H54" s="43">
        <v>7.68</v>
      </c>
      <c r="I54" s="43">
        <v>2050</v>
      </c>
      <c r="J54" s="43">
        <v>277</v>
      </c>
      <c r="K54" s="24">
        <v>278</v>
      </c>
      <c r="L54" s="24">
        <v>76</v>
      </c>
      <c r="M54" s="186">
        <v>18</v>
      </c>
      <c r="N54" s="31">
        <v>879</v>
      </c>
      <c r="O54" s="43">
        <v>20</v>
      </c>
      <c r="P54" s="165">
        <v>207.7</v>
      </c>
      <c r="Q54" s="165">
        <v>74.41</v>
      </c>
      <c r="R54" s="12">
        <v>218</v>
      </c>
      <c r="S54" s="165">
        <v>21.38</v>
      </c>
      <c r="T54" s="165">
        <v>10.81</v>
      </c>
      <c r="U54" s="171">
        <v>0.2</v>
      </c>
      <c r="V54" s="43">
        <v>5.2999999999999999E-2</v>
      </c>
      <c r="W54" s="177">
        <v>0.02</v>
      </c>
      <c r="X54" s="163">
        <v>0.90200000000000002</v>
      </c>
      <c r="Y54" s="177">
        <v>0.04</v>
      </c>
      <c r="Z54" s="170">
        <v>2.169</v>
      </c>
      <c r="AB54" s="69">
        <f t="shared" ref="AB54:AB61" si="30">((J54/50)+(L54/35.45)+(M54/62)+(N54/48.03))</f>
        <v>26.275249015022826</v>
      </c>
      <c r="AC54" s="69">
        <f t="shared" si="1"/>
        <v>26.242369111436826</v>
      </c>
      <c r="AD54" s="69">
        <f t="shared" si="2"/>
        <v>6.260737778858716E-2</v>
      </c>
      <c r="AF54" s="101">
        <v>7.68</v>
      </c>
      <c r="AG54" s="101">
        <v>-1.3281400000000001</v>
      </c>
      <c r="AH54" s="101">
        <v>0.64300000000000002</v>
      </c>
      <c r="AI54" s="101">
        <v>-0.59789999999999999</v>
      </c>
      <c r="AJ54" s="101">
        <v>-0.84740000000000004</v>
      </c>
      <c r="AK54" s="101">
        <v>-2.3064</v>
      </c>
      <c r="AL54" s="101">
        <v>0.67</v>
      </c>
      <c r="AM54" s="101">
        <v>0.2109</v>
      </c>
      <c r="AN54" s="101">
        <v>-1.3495999999999999</v>
      </c>
      <c r="AO54" s="101">
        <v>-0.57289999999999996</v>
      </c>
    </row>
    <row r="55" spans="1:41" x14ac:dyDescent="0.35">
      <c r="A55" s="43">
        <v>3</v>
      </c>
      <c r="B55" s="28">
        <v>43512</v>
      </c>
      <c r="C55" s="43">
        <v>32</v>
      </c>
      <c r="D55" s="43">
        <v>144</v>
      </c>
      <c r="E55" s="31">
        <f>D55+E54</f>
        <v>4649</v>
      </c>
      <c r="F55" s="69">
        <f t="shared" ref="F55" si="31">D55/143</f>
        <v>1.0069930069930071</v>
      </c>
      <c r="G55" s="25">
        <f>G54+F55</f>
        <v>32.511468531468523</v>
      </c>
      <c r="H55" s="43">
        <v>7.63</v>
      </c>
      <c r="I55" s="43">
        <v>2320</v>
      </c>
      <c r="J55" s="43">
        <v>257</v>
      </c>
      <c r="K55" s="24">
        <v>188</v>
      </c>
      <c r="L55" s="24">
        <v>88</v>
      </c>
      <c r="M55" s="186">
        <v>16</v>
      </c>
      <c r="N55" s="31">
        <v>1038</v>
      </c>
      <c r="O55" s="43">
        <v>18</v>
      </c>
      <c r="P55" s="175">
        <v>205.6</v>
      </c>
      <c r="Q55" s="175">
        <v>71.680000000000007</v>
      </c>
      <c r="R55" s="21">
        <v>276</v>
      </c>
      <c r="S55" s="175">
        <v>21.04</v>
      </c>
      <c r="T55" s="175">
        <v>11.18</v>
      </c>
      <c r="U55" s="171">
        <v>0.2</v>
      </c>
      <c r="V55" s="43">
        <v>3.7999999999999999E-2</v>
      </c>
      <c r="W55" s="177">
        <v>0.02</v>
      </c>
      <c r="X55" s="163">
        <v>0.84799999999999998</v>
      </c>
      <c r="Y55" s="177">
        <v>0.04</v>
      </c>
      <c r="Z55" s="170">
        <v>2.1339999999999999</v>
      </c>
      <c r="AB55" s="69">
        <f t="shared" si="30"/>
        <v>29.491926867674124</v>
      </c>
      <c r="AC55" s="69">
        <f t="shared" si="1"/>
        <v>28.445371044587787</v>
      </c>
      <c r="AD55" s="69">
        <f t="shared" si="2"/>
        <v>1.8063593933414046</v>
      </c>
      <c r="AF55" s="101">
        <v>7.63</v>
      </c>
      <c r="AG55" s="101">
        <v>-3.2291400000000001</v>
      </c>
      <c r="AH55" s="101">
        <v>0.53</v>
      </c>
      <c r="AI55" s="101">
        <v>-0.55869999999999997</v>
      </c>
      <c r="AJ55" s="101">
        <v>-0.80810000000000004</v>
      </c>
      <c r="AK55" s="101">
        <v>-2.2888000000000002</v>
      </c>
      <c r="AL55" s="101">
        <v>0.434</v>
      </c>
      <c r="AM55" s="101">
        <v>7.4300000000000005E-2</v>
      </c>
      <c r="AN55" s="101">
        <v>-1.5350999999999999</v>
      </c>
      <c r="AO55" s="101">
        <v>-0.69599999999999995</v>
      </c>
    </row>
    <row r="56" spans="1:41" x14ac:dyDescent="0.35">
      <c r="A56" s="43">
        <v>3</v>
      </c>
      <c r="B56" s="28">
        <v>43513</v>
      </c>
      <c r="C56" s="43">
        <v>33</v>
      </c>
      <c r="D56" s="43">
        <v>145</v>
      </c>
      <c r="E56" s="31">
        <f t="shared" ref="E56:E60" si="32">D56+E55</f>
        <v>4794</v>
      </c>
      <c r="F56" s="69">
        <f t="shared" ref="F56:F60" si="33">D56/143</f>
        <v>1.013986013986014</v>
      </c>
      <c r="G56" s="25">
        <f t="shared" ref="G56:G60" si="34">G55+F56</f>
        <v>33.525454545454537</v>
      </c>
      <c r="H56" s="43">
        <v>7.65</v>
      </c>
      <c r="I56" s="43">
        <v>2360</v>
      </c>
      <c r="J56" s="43">
        <v>254</v>
      </c>
      <c r="K56" s="24">
        <v>151</v>
      </c>
      <c r="L56" s="24">
        <v>89</v>
      </c>
      <c r="M56" s="186">
        <v>16</v>
      </c>
      <c r="N56" s="31">
        <v>1032</v>
      </c>
      <c r="O56" s="43">
        <v>19</v>
      </c>
      <c r="P56" s="21">
        <v>168.9</v>
      </c>
      <c r="Q56" s="21">
        <v>62.66</v>
      </c>
      <c r="R56" s="21">
        <v>316</v>
      </c>
      <c r="S56" s="21">
        <v>21.12</v>
      </c>
      <c r="T56" s="21">
        <v>10.6</v>
      </c>
      <c r="U56" s="171">
        <v>0.2</v>
      </c>
      <c r="V56" s="43">
        <v>2.9000000000000001E-2</v>
      </c>
      <c r="W56" s="177">
        <v>0.02</v>
      </c>
      <c r="X56" s="163">
        <v>0.67800000000000005</v>
      </c>
      <c r="Y56" s="177">
        <v>0.04</v>
      </c>
      <c r="Z56" s="170">
        <v>1.7649999999999999</v>
      </c>
      <c r="AB56" s="69">
        <f t="shared" si="30"/>
        <v>29.335213688587359</v>
      </c>
      <c r="AC56" s="69">
        <f t="shared" si="1"/>
        <v>27.59731055120924</v>
      </c>
      <c r="AD56" s="69">
        <f t="shared" si="2"/>
        <v>3.0525664557892576</v>
      </c>
      <c r="AF56" s="101">
        <v>7.65</v>
      </c>
      <c r="AG56" s="101">
        <v>-4.6877700000000004</v>
      </c>
      <c r="AH56" s="101">
        <v>0.4602</v>
      </c>
      <c r="AI56" s="101">
        <v>-0.63380000000000003</v>
      </c>
      <c r="AJ56" s="101">
        <v>-0.88319999999999999</v>
      </c>
      <c r="AK56" s="101">
        <v>-2.3102999999999998</v>
      </c>
      <c r="AL56" s="101">
        <v>0.3221</v>
      </c>
      <c r="AM56" s="101">
        <v>-5.0000000000000001E-3</v>
      </c>
      <c r="AN56" s="101">
        <v>-1.7390000000000001</v>
      </c>
      <c r="AO56" s="101">
        <v>-0.73809999999999998</v>
      </c>
    </row>
    <row r="57" spans="1:41" x14ac:dyDescent="0.35">
      <c r="A57" s="43">
        <v>3</v>
      </c>
      <c r="B57" s="28">
        <v>43514</v>
      </c>
      <c r="C57" s="43">
        <v>34</v>
      </c>
      <c r="D57" s="43">
        <v>143</v>
      </c>
      <c r="E57" s="31">
        <f t="shared" si="32"/>
        <v>4937</v>
      </c>
      <c r="F57" s="69">
        <f t="shared" si="33"/>
        <v>1</v>
      </c>
      <c r="G57" s="25">
        <f t="shared" si="34"/>
        <v>34.525454545454537</v>
      </c>
      <c r="H57" s="43">
        <v>7.64</v>
      </c>
      <c r="I57" s="43">
        <v>2370</v>
      </c>
      <c r="J57" s="43">
        <v>250</v>
      </c>
      <c r="K57" s="24">
        <v>125</v>
      </c>
      <c r="L57" s="24">
        <v>88</v>
      </c>
      <c r="M57" s="186">
        <v>12</v>
      </c>
      <c r="N57" s="31">
        <v>1032</v>
      </c>
      <c r="O57" s="43">
        <v>20</v>
      </c>
      <c r="P57" s="175">
        <v>166</v>
      </c>
      <c r="Q57" s="175">
        <v>58.78</v>
      </c>
      <c r="R57" s="21">
        <v>336</v>
      </c>
      <c r="S57" s="175">
        <v>21.82</v>
      </c>
      <c r="T57" s="175">
        <v>10.58</v>
      </c>
      <c r="U57" s="171">
        <v>0.2</v>
      </c>
      <c r="V57" s="43">
        <v>2.5000000000000001E-2</v>
      </c>
      <c r="W57" s="177">
        <v>0.02</v>
      </c>
      <c r="X57" s="163">
        <v>0.622</v>
      </c>
      <c r="Y57" s="177">
        <v>0.04</v>
      </c>
      <c r="Z57" s="170">
        <v>1.629</v>
      </c>
      <c r="AB57" s="69">
        <f t="shared" si="30"/>
        <v>29.162488814844238</v>
      </c>
      <c r="AC57" s="69">
        <f t="shared" si="1"/>
        <v>28.002952969722607</v>
      </c>
      <c r="AD57" s="69">
        <f t="shared" si="2"/>
        <v>2.0283860474505691</v>
      </c>
      <c r="AF57" s="101">
        <v>7.64</v>
      </c>
      <c r="AG57" s="101">
        <v>-3.6314700000000002</v>
      </c>
      <c r="AH57" s="101">
        <v>0.43569999999999998</v>
      </c>
      <c r="AI57" s="101">
        <v>-0.64019999999999999</v>
      </c>
      <c r="AJ57" s="101">
        <v>-0.88959999999999995</v>
      </c>
      <c r="AK57" s="101">
        <v>-2.3067000000000002</v>
      </c>
      <c r="AL57" s="101">
        <v>0.25290000000000001</v>
      </c>
      <c r="AM57" s="101">
        <v>-5.9499999999999997E-2</v>
      </c>
      <c r="AN57" s="101">
        <v>-1.8120000000000001</v>
      </c>
      <c r="AO57" s="101">
        <v>-0.78280000000000005</v>
      </c>
    </row>
    <row r="58" spans="1:41" x14ac:dyDescent="0.35">
      <c r="A58" s="43">
        <v>3</v>
      </c>
      <c r="B58" s="28">
        <v>43515</v>
      </c>
      <c r="C58" s="43">
        <v>35</v>
      </c>
      <c r="D58" s="43">
        <v>144</v>
      </c>
      <c r="E58" s="31">
        <f t="shared" si="32"/>
        <v>5081</v>
      </c>
      <c r="F58" s="69">
        <f t="shared" si="33"/>
        <v>1.0069930069930071</v>
      </c>
      <c r="G58" s="25">
        <f t="shared" si="34"/>
        <v>35.532447552447543</v>
      </c>
      <c r="H58" s="43">
        <v>7.51</v>
      </c>
      <c r="I58" s="43">
        <v>2390</v>
      </c>
      <c r="J58" s="43">
        <v>263</v>
      </c>
      <c r="K58" s="24">
        <v>114</v>
      </c>
      <c r="L58" s="24">
        <v>88</v>
      </c>
      <c r="M58" s="186">
        <v>16</v>
      </c>
      <c r="N58" s="31">
        <v>1031</v>
      </c>
      <c r="O58" s="43">
        <v>19</v>
      </c>
      <c r="P58" s="175">
        <v>143.4</v>
      </c>
      <c r="Q58" s="175">
        <v>51.17</v>
      </c>
      <c r="R58" s="21">
        <v>336</v>
      </c>
      <c r="S58" s="175">
        <v>20.11</v>
      </c>
      <c r="T58" s="172">
        <v>9.1199999999999992</v>
      </c>
      <c r="U58" s="171">
        <v>0.2</v>
      </c>
      <c r="V58" s="43">
        <v>2.4E-2</v>
      </c>
      <c r="W58" s="177">
        <v>0.02</v>
      </c>
      <c r="X58" s="163">
        <v>0.60199999999999998</v>
      </c>
      <c r="Y58" s="177">
        <v>0.04</v>
      </c>
      <c r="Z58" s="170">
        <v>1.5669999999999999</v>
      </c>
      <c r="AB58" s="69">
        <f t="shared" si="30"/>
        <v>29.466184623243564</v>
      </c>
      <c r="AC58" s="69">
        <f t="shared" si="1"/>
        <v>26.212045936870826</v>
      </c>
      <c r="AD58" s="69">
        <f t="shared" si="2"/>
        <v>5.844544005146366</v>
      </c>
      <c r="AF58" s="101">
        <v>7.51</v>
      </c>
      <c r="AG58" s="101">
        <v>-7.7862099999999996</v>
      </c>
      <c r="AH58" s="101">
        <v>0.26640000000000003</v>
      </c>
      <c r="AI58" s="101">
        <v>-0.69379999999999997</v>
      </c>
      <c r="AJ58" s="101">
        <v>-0.94330000000000003</v>
      </c>
      <c r="AK58" s="101">
        <v>-2.1497000000000002</v>
      </c>
      <c r="AL58" s="101">
        <v>-8.1500000000000003E-2</v>
      </c>
      <c r="AM58" s="101">
        <v>-0.17710000000000001</v>
      </c>
      <c r="AN58" s="101">
        <v>-1.8935999999999999</v>
      </c>
      <c r="AO58" s="101">
        <v>-0.94799999999999995</v>
      </c>
    </row>
    <row r="59" spans="1:41" x14ac:dyDescent="0.35">
      <c r="A59" s="43">
        <v>3</v>
      </c>
      <c r="B59" s="28">
        <v>43516</v>
      </c>
      <c r="C59" s="43">
        <v>36</v>
      </c>
      <c r="D59" s="43">
        <v>143</v>
      </c>
      <c r="E59" s="31">
        <f t="shared" si="32"/>
        <v>5224</v>
      </c>
      <c r="F59" s="69">
        <f t="shared" si="33"/>
        <v>1</v>
      </c>
      <c r="G59" s="25">
        <f t="shared" si="34"/>
        <v>36.532447552447543</v>
      </c>
      <c r="H59" s="43">
        <v>7.47</v>
      </c>
      <c r="I59" s="43">
        <v>2410</v>
      </c>
      <c r="J59" s="43">
        <v>251</v>
      </c>
      <c r="K59" s="24">
        <v>128</v>
      </c>
      <c r="L59" s="24">
        <v>87</v>
      </c>
      <c r="M59" s="186">
        <v>15</v>
      </c>
      <c r="N59" s="31">
        <v>1028</v>
      </c>
      <c r="O59" s="43">
        <v>18</v>
      </c>
      <c r="P59" s="175">
        <v>142.9</v>
      </c>
      <c r="Q59" s="175">
        <v>53.63</v>
      </c>
      <c r="R59" s="21">
        <v>340</v>
      </c>
      <c r="S59" s="175">
        <v>21.34</v>
      </c>
      <c r="T59" s="172">
        <v>9.1940000000000008</v>
      </c>
      <c r="U59" s="171">
        <v>0.2</v>
      </c>
      <c r="V59" s="43">
        <v>3.2000000000000001E-2</v>
      </c>
      <c r="W59" s="177">
        <v>0.02</v>
      </c>
      <c r="X59" s="163">
        <v>0.61</v>
      </c>
      <c r="Y59" s="177">
        <v>0.04</v>
      </c>
      <c r="Z59" s="170">
        <v>1.56</v>
      </c>
      <c r="AB59" s="69">
        <f t="shared" si="30"/>
        <v>29.119385884375824</v>
      </c>
      <c r="AC59" s="69">
        <f t="shared" si="1"/>
        <v>26.565279742504682</v>
      </c>
      <c r="AD59" s="69">
        <f t="shared" si="2"/>
        <v>4.586731577029</v>
      </c>
      <c r="AF59" s="101">
        <v>7.47</v>
      </c>
      <c r="AG59" s="101">
        <v>-6.4619099999999996</v>
      </c>
      <c r="AH59" s="101">
        <v>0.20619999999999999</v>
      </c>
      <c r="AI59" s="101">
        <v>-0.6966</v>
      </c>
      <c r="AJ59" s="101">
        <v>-0.94599999999999995</v>
      </c>
      <c r="AK59" s="101">
        <v>-2.1297999999999999</v>
      </c>
      <c r="AL59" s="101">
        <v>-0.1804</v>
      </c>
      <c r="AM59" s="101">
        <v>-0.23050000000000001</v>
      </c>
      <c r="AN59" s="101">
        <v>-1.7687999999999999</v>
      </c>
      <c r="AO59" s="101">
        <v>-0.98660000000000003</v>
      </c>
    </row>
    <row r="60" spans="1:41" x14ac:dyDescent="0.35">
      <c r="A60" s="43">
        <v>3</v>
      </c>
      <c r="B60" s="28">
        <v>43517</v>
      </c>
      <c r="C60" s="43">
        <v>37</v>
      </c>
      <c r="D60" s="43">
        <v>143</v>
      </c>
      <c r="E60" s="31">
        <f t="shared" si="32"/>
        <v>5367</v>
      </c>
      <c r="F60" s="69">
        <f t="shared" si="33"/>
        <v>1</v>
      </c>
      <c r="G60" s="25">
        <f t="shared" si="34"/>
        <v>37.532447552447543</v>
      </c>
      <c r="H60" s="43">
        <v>7.59</v>
      </c>
      <c r="I60" s="43">
        <v>2380</v>
      </c>
      <c r="J60" s="43">
        <v>242</v>
      </c>
      <c r="K60" s="24">
        <v>102</v>
      </c>
      <c r="L60" s="24">
        <v>87</v>
      </c>
      <c r="M60" s="186">
        <v>16</v>
      </c>
      <c r="N60" s="31">
        <v>1028</v>
      </c>
      <c r="O60" s="43">
        <v>18</v>
      </c>
      <c r="P60" s="175">
        <v>144.69999999999999</v>
      </c>
      <c r="Q60" s="175">
        <v>52.3</v>
      </c>
      <c r="R60" s="21">
        <v>341</v>
      </c>
      <c r="S60" s="175">
        <v>21.69</v>
      </c>
      <c r="T60" s="172">
        <v>9.2029999999999994</v>
      </c>
      <c r="U60" s="171">
        <v>0.2</v>
      </c>
      <c r="V60" s="43">
        <v>3.2000000000000001E-2</v>
      </c>
      <c r="W60" s="177">
        <v>0.02</v>
      </c>
      <c r="X60" s="163">
        <v>0.57999999999999996</v>
      </c>
      <c r="Y60" s="177">
        <v>0.04</v>
      </c>
      <c r="Z60" s="170">
        <v>1.52</v>
      </c>
      <c r="AB60" s="69">
        <f t="shared" si="30"/>
        <v>28.955514916633888</v>
      </c>
      <c r="AC60" s="69">
        <f t="shared" si="1"/>
        <v>26.589452453498026</v>
      </c>
      <c r="AD60" s="69">
        <f t="shared" si="2"/>
        <v>4.2597242831546964</v>
      </c>
      <c r="AF60" s="101">
        <v>7.59</v>
      </c>
      <c r="AG60" s="101">
        <v>-6.1287900000000004</v>
      </c>
      <c r="AH60" s="101">
        <v>0.31459999999999999</v>
      </c>
      <c r="AI60" s="101">
        <v>-0.69079999999999997</v>
      </c>
      <c r="AJ60" s="101">
        <v>-0.94020000000000004</v>
      </c>
      <c r="AK60" s="101">
        <v>-2.2671999999999999</v>
      </c>
      <c r="AL60" s="101">
        <v>1.9900000000000001E-2</v>
      </c>
      <c r="AM60" s="101">
        <v>-0.14910000000000001</v>
      </c>
      <c r="AN60" s="101">
        <v>-1.7628999999999999</v>
      </c>
      <c r="AO60" s="101">
        <v>-0.89459999999999995</v>
      </c>
    </row>
    <row r="61" spans="1:41" s="68" customFormat="1" x14ac:dyDescent="0.35">
      <c r="A61" s="68">
        <v>3</v>
      </c>
      <c r="B61" s="28">
        <v>43518</v>
      </c>
      <c r="C61" s="68">
        <v>38</v>
      </c>
      <c r="D61" s="68">
        <v>145</v>
      </c>
      <c r="E61" s="31">
        <f t="shared" ref="E61" si="35">D61+E60</f>
        <v>5512</v>
      </c>
      <c r="F61" s="69">
        <f t="shared" ref="F61" si="36">D61/143</f>
        <v>1.013986013986014</v>
      </c>
      <c r="G61" s="25">
        <f t="shared" ref="G61" si="37">G60+F61</f>
        <v>38.546433566433556</v>
      </c>
      <c r="H61" s="68">
        <v>7.42</v>
      </c>
      <c r="I61" s="68">
        <v>2400</v>
      </c>
      <c r="J61" s="68">
        <v>242</v>
      </c>
      <c r="K61" s="65">
        <v>96</v>
      </c>
      <c r="L61" s="65">
        <v>87</v>
      </c>
      <c r="M61" s="186">
        <v>16</v>
      </c>
      <c r="N61" s="31">
        <v>1032</v>
      </c>
      <c r="O61" s="68">
        <v>17</v>
      </c>
      <c r="P61" s="175">
        <v>141.5</v>
      </c>
      <c r="Q61" s="175">
        <v>52.18</v>
      </c>
      <c r="R61" s="21">
        <v>340</v>
      </c>
      <c r="S61" s="175">
        <v>21.67</v>
      </c>
      <c r="T61" s="172">
        <v>8.7970000000000006</v>
      </c>
      <c r="U61" s="171">
        <v>0.2</v>
      </c>
      <c r="V61" s="68">
        <v>3.1E-2</v>
      </c>
      <c r="W61" s="177">
        <v>0.02</v>
      </c>
      <c r="X61" s="163">
        <v>0.57999999999999996</v>
      </c>
      <c r="Y61" s="177">
        <v>0.04</v>
      </c>
      <c r="Z61" s="170">
        <v>1.5</v>
      </c>
      <c r="AB61" s="69">
        <f t="shared" si="30"/>
        <v>29.038796199165638</v>
      </c>
      <c r="AC61" s="69">
        <f t="shared" si="1"/>
        <v>26.36602258932551</v>
      </c>
      <c r="AD61" s="69">
        <f t="shared" si="2"/>
        <v>4.8240814937839378</v>
      </c>
      <c r="AF61" s="101">
        <v>7.42</v>
      </c>
      <c r="AG61" s="101">
        <v>-6.77196</v>
      </c>
      <c r="AH61" s="101">
        <v>0.13669999999999999</v>
      </c>
      <c r="AI61" s="101">
        <v>-0.69799999999999995</v>
      </c>
      <c r="AJ61" s="101">
        <v>-0.94740000000000002</v>
      </c>
      <c r="AK61" s="101">
        <v>-2.0948000000000002</v>
      </c>
      <c r="AL61" s="101">
        <v>-0.32719999999999999</v>
      </c>
      <c r="AM61" s="101">
        <v>-0.31730000000000003</v>
      </c>
      <c r="AN61" s="101">
        <v>-1.7867999999999999</v>
      </c>
      <c r="AO61" s="101">
        <v>-1.0638000000000001</v>
      </c>
    </row>
    <row r="62" spans="1:41" x14ac:dyDescent="0.35">
      <c r="B62" s="28"/>
      <c r="F62" s="2"/>
      <c r="G62" s="2"/>
      <c r="K62" s="24"/>
      <c r="L62" s="24"/>
      <c r="M62" s="186"/>
      <c r="N62" s="31"/>
      <c r="P62" s="66"/>
      <c r="Q62" s="65"/>
      <c r="R62" s="32"/>
      <c r="S62" s="32"/>
      <c r="T62" s="32"/>
      <c r="U62" s="8"/>
      <c r="AF62" s="92"/>
      <c r="AG62" s="92"/>
      <c r="AH62" s="92"/>
      <c r="AI62" s="92"/>
      <c r="AJ62" s="92"/>
      <c r="AK62" s="92"/>
      <c r="AL62" s="92"/>
      <c r="AM62" s="92"/>
      <c r="AN62" s="92"/>
      <c r="AO62" s="92"/>
    </row>
    <row r="63" spans="1:41" s="31" customFormat="1" x14ac:dyDescent="0.35">
      <c r="A63" s="31" t="s">
        <v>33</v>
      </c>
      <c r="F63" s="25"/>
      <c r="G63" s="25"/>
      <c r="P63" s="27"/>
      <c r="Q63" s="27"/>
      <c r="R63" s="27"/>
      <c r="S63" s="27"/>
      <c r="T63" s="27"/>
      <c r="AF63" s="92"/>
      <c r="AG63" s="92"/>
      <c r="AH63" s="92"/>
      <c r="AI63" s="92"/>
      <c r="AJ63" s="92"/>
      <c r="AK63" s="92"/>
      <c r="AL63" s="92"/>
      <c r="AM63" s="92"/>
      <c r="AN63" s="92"/>
      <c r="AO63" s="92"/>
    </row>
    <row r="64" spans="1:41" x14ac:dyDescent="0.35">
      <c r="A64" s="31"/>
      <c r="B64" s="31"/>
      <c r="C64" s="31"/>
      <c r="D64" s="31"/>
      <c r="E64" s="31"/>
      <c r="F64" s="31"/>
      <c r="G64" s="31"/>
      <c r="P64" s="65"/>
      <c r="Q64" s="65"/>
      <c r="R64" s="65"/>
      <c r="S64" s="65"/>
      <c r="T64" s="65"/>
      <c r="AF64" s="92"/>
      <c r="AG64" s="92"/>
      <c r="AH64" s="92"/>
      <c r="AI64" s="92"/>
      <c r="AJ64" s="92"/>
      <c r="AK64" s="92"/>
      <c r="AL64" s="92"/>
      <c r="AM64" s="92"/>
      <c r="AN64" s="92"/>
      <c r="AO64" s="92"/>
    </row>
    <row r="65" spans="1:41" x14ac:dyDescent="0.35">
      <c r="A65" s="31" t="s">
        <v>32</v>
      </c>
      <c r="B65" s="31"/>
      <c r="C65" s="31"/>
      <c r="D65" s="31"/>
      <c r="E65" s="31"/>
      <c r="F65" s="31"/>
      <c r="G65" s="31"/>
      <c r="AF65" s="92"/>
      <c r="AG65" s="92"/>
      <c r="AH65" s="92"/>
      <c r="AI65" s="92"/>
      <c r="AJ65" s="92"/>
      <c r="AK65" s="92"/>
      <c r="AL65" s="92"/>
      <c r="AM65" s="92"/>
      <c r="AN65" s="92"/>
      <c r="AO65" s="92"/>
    </row>
    <row r="66" spans="1:41" x14ac:dyDescent="0.35">
      <c r="A66" s="31"/>
      <c r="B66" s="31"/>
      <c r="C66" s="31"/>
      <c r="D66" s="31"/>
      <c r="E66" s="31"/>
      <c r="F66" s="31"/>
      <c r="G66" s="31"/>
      <c r="AF66" s="92"/>
      <c r="AG66" s="92"/>
      <c r="AH66" s="92"/>
      <c r="AI66" s="92"/>
      <c r="AJ66" s="92"/>
      <c r="AK66" s="92"/>
      <c r="AL66" s="92"/>
      <c r="AM66" s="92"/>
      <c r="AN66" s="92"/>
      <c r="AO66" s="92"/>
    </row>
    <row r="67" spans="1:41" x14ac:dyDescent="0.35">
      <c r="A67" s="31" t="s">
        <v>10</v>
      </c>
      <c r="B67" s="31" t="s">
        <v>14</v>
      </c>
      <c r="C67" s="31"/>
      <c r="D67" s="31"/>
      <c r="E67" s="31"/>
      <c r="AF67" s="92"/>
      <c r="AG67" s="92"/>
      <c r="AH67" s="92"/>
      <c r="AI67" s="92"/>
      <c r="AJ67" s="92"/>
      <c r="AK67" s="92"/>
      <c r="AL67" s="92"/>
      <c r="AM67" s="92"/>
      <c r="AN67" s="92"/>
      <c r="AO67" s="92"/>
    </row>
    <row r="68" spans="1:41" x14ac:dyDescent="0.35">
      <c r="A68" s="31"/>
      <c r="B68" s="31"/>
      <c r="C68" s="31"/>
      <c r="D68" s="31"/>
      <c r="E68" s="31"/>
      <c r="AF68" s="92"/>
      <c r="AG68" s="92"/>
      <c r="AH68" s="92"/>
      <c r="AI68" s="92"/>
      <c r="AJ68" s="92"/>
      <c r="AK68" s="92"/>
      <c r="AL68" s="92"/>
      <c r="AM68" s="92"/>
      <c r="AN68" s="92"/>
      <c r="AO68" s="92"/>
    </row>
    <row r="69" spans="1:41" x14ac:dyDescent="0.35">
      <c r="A69" s="28">
        <v>43480</v>
      </c>
      <c r="B69" s="31">
        <v>7.4</v>
      </c>
      <c r="C69" s="31"/>
      <c r="D69" s="31"/>
      <c r="E69" s="31"/>
      <c r="F69" s="31"/>
      <c r="G69" s="31"/>
      <c r="AF69" s="92"/>
      <c r="AG69" s="92"/>
      <c r="AH69" s="92"/>
      <c r="AI69" s="92"/>
      <c r="AJ69" s="92"/>
      <c r="AK69" s="92"/>
      <c r="AL69" s="92"/>
      <c r="AM69" s="92"/>
      <c r="AN69" s="92"/>
      <c r="AO69" s="92"/>
    </row>
    <row r="70" spans="1:41" x14ac:dyDescent="0.35">
      <c r="A70" s="28">
        <v>43481</v>
      </c>
      <c r="B70" s="31">
        <v>7.2</v>
      </c>
      <c r="C70" s="31"/>
      <c r="D70" s="31"/>
      <c r="E70" s="28"/>
      <c r="F70" s="31"/>
      <c r="G70" s="31"/>
      <c r="AF70" s="92"/>
      <c r="AG70" s="92"/>
      <c r="AH70" s="92"/>
      <c r="AI70" s="92"/>
      <c r="AJ70" s="92"/>
      <c r="AK70" s="92"/>
      <c r="AL70" s="92"/>
      <c r="AM70" s="92"/>
      <c r="AN70" s="92"/>
      <c r="AO70" s="92"/>
    </row>
    <row r="71" spans="1:41" x14ac:dyDescent="0.35">
      <c r="A71" s="28">
        <v>43482</v>
      </c>
      <c r="B71" s="31">
        <v>7.2</v>
      </c>
      <c r="C71" s="31"/>
      <c r="D71" s="31"/>
      <c r="E71" s="28"/>
      <c r="F71" s="31"/>
      <c r="G71" s="31"/>
      <c r="AF71" s="68"/>
      <c r="AG71" s="68"/>
      <c r="AH71" s="68"/>
      <c r="AI71" s="68"/>
      <c r="AJ71" s="68"/>
      <c r="AK71" s="68"/>
      <c r="AL71" s="68"/>
      <c r="AM71" s="68"/>
      <c r="AN71" s="68"/>
      <c r="AO71" s="68"/>
    </row>
    <row r="72" spans="1:41" x14ac:dyDescent="0.35">
      <c r="A72" s="28">
        <v>43483</v>
      </c>
      <c r="B72" s="31">
        <v>7.3</v>
      </c>
      <c r="C72" s="31"/>
      <c r="D72" s="31"/>
      <c r="E72" s="28"/>
      <c r="F72" s="31"/>
      <c r="G72" s="31"/>
    </row>
    <row r="73" spans="1:41" x14ac:dyDescent="0.35">
      <c r="A73" s="28">
        <v>43484</v>
      </c>
      <c r="B73" s="31">
        <v>7.3</v>
      </c>
      <c r="C73" s="31"/>
      <c r="D73" s="31"/>
      <c r="E73" s="28"/>
      <c r="F73" s="31"/>
      <c r="G73" s="31"/>
    </row>
    <row r="74" spans="1:41" x14ac:dyDescent="0.35">
      <c r="A74" s="28">
        <v>43485</v>
      </c>
      <c r="B74" s="31">
        <v>7.3</v>
      </c>
      <c r="C74" s="31"/>
      <c r="D74" s="31"/>
      <c r="E74" s="28"/>
      <c r="F74" s="31"/>
      <c r="G74" s="31"/>
    </row>
    <row r="75" spans="1:41" x14ac:dyDescent="0.35">
      <c r="A75" s="28">
        <v>43486</v>
      </c>
      <c r="B75" s="31">
        <v>7.4</v>
      </c>
      <c r="C75" s="31"/>
      <c r="D75" s="31"/>
      <c r="E75" s="28"/>
      <c r="F75" s="31"/>
      <c r="G75" s="31"/>
    </row>
    <row r="76" spans="1:41" x14ac:dyDescent="0.35">
      <c r="A76" s="28">
        <v>43487</v>
      </c>
      <c r="B76" s="31">
        <v>7.99</v>
      </c>
      <c r="C76" s="31" t="s">
        <v>108</v>
      </c>
      <c r="E76" s="28"/>
      <c r="F76" s="31"/>
      <c r="G76" s="31"/>
    </row>
    <row r="77" spans="1:41" x14ac:dyDescent="0.35">
      <c r="A77" s="28">
        <v>43488</v>
      </c>
      <c r="B77" s="31">
        <v>7.98</v>
      </c>
      <c r="C77" s="31"/>
      <c r="D77" s="31"/>
      <c r="E77" s="28"/>
      <c r="F77" s="31"/>
      <c r="G77" s="31"/>
    </row>
    <row r="78" spans="1:41" x14ac:dyDescent="0.35">
      <c r="A78" s="28">
        <v>43489</v>
      </c>
      <c r="B78" s="31">
        <v>8.07</v>
      </c>
      <c r="C78" s="31"/>
      <c r="D78" s="31"/>
      <c r="E78" s="28"/>
      <c r="F78" s="31"/>
      <c r="G78" s="31"/>
    </row>
    <row r="79" spans="1:41" x14ac:dyDescent="0.35">
      <c r="A79" s="28">
        <v>43490</v>
      </c>
      <c r="B79" s="31">
        <v>7.9</v>
      </c>
      <c r="C79" s="31"/>
      <c r="D79" s="31"/>
      <c r="E79" s="28"/>
      <c r="F79" s="31"/>
      <c r="G79" s="31"/>
      <c r="AF79" s="68"/>
      <c r="AG79" s="68"/>
      <c r="AH79" s="68"/>
      <c r="AI79" s="68"/>
      <c r="AJ79" s="68"/>
      <c r="AK79" s="68"/>
      <c r="AL79" s="68"/>
      <c r="AM79" s="68"/>
      <c r="AN79" s="68"/>
      <c r="AO79" s="68"/>
    </row>
    <row r="80" spans="1:41" x14ac:dyDescent="0.35">
      <c r="A80" s="28">
        <v>43491</v>
      </c>
      <c r="B80" s="31">
        <v>8.0299999999999994</v>
      </c>
      <c r="C80" s="31"/>
      <c r="D80" s="31"/>
      <c r="E80" s="28"/>
      <c r="F80" s="31"/>
      <c r="G80" s="31"/>
    </row>
    <row r="81" spans="1:41" x14ac:dyDescent="0.35">
      <c r="A81" s="28">
        <v>43492</v>
      </c>
      <c r="B81" s="31">
        <v>8</v>
      </c>
      <c r="C81" s="31"/>
      <c r="D81" s="31"/>
      <c r="E81" s="28"/>
      <c r="F81" s="31"/>
      <c r="G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</row>
    <row r="82" spans="1:41" x14ac:dyDescent="0.35">
      <c r="A82" s="28">
        <v>43493</v>
      </c>
      <c r="B82" s="31">
        <v>8</v>
      </c>
      <c r="C82" s="31"/>
      <c r="D82" s="31"/>
      <c r="E82" s="28"/>
      <c r="F82" s="31"/>
      <c r="G82" s="31"/>
    </row>
    <row r="83" spans="1:41" x14ac:dyDescent="0.35">
      <c r="A83" s="28">
        <v>43494</v>
      </c>
      <c r="B83" s="31">
        <v>8.07</v>
      </c>
      <c r="C83" s="31"/>
      <c r="D83" s="31"/>
      <c r="E83" s="31"/>
      <c r="F83" s="25"/>
      <c r="G83" s="25"/>
    </row>
    <row r="84" spans="1:41" x14ac:dyDescent="0.35">
      <c r="A84" s="28">
        <v>43495</v>
      </c>
      <c r="B84" s="31">
        <v>8.0399999999999991</v>
      </c>
      <c r="C84" s="31"/>
      <c r="D84" s="31"/>
      <c r="E84" s="31"/>
      <c r="F84" s="25"/>
      <c r="G84" s="25"/>
    </row>
    <row r="85" spans="1:41" x14ac:dyDescent="0.35">
      <c r="A85" s="28">
        <v>43496</v>
      </c>
      <c r="B85" s="31">
        <v>8.0399999999999991</v>
      </c>
      <c r="C85" s="31"/>
      <c r="D85" s="31"/>
      <c r="E85" s="31"/>
      <c r="F85" s="25"/>
      <c r="G85" s="25"/>
    </row>
    <row r="86" spans="1:41" x14ac:dyDescent="0.35">
      <c r="A86" s="28">
        <v>43497</v>
      </c>
      <c r="B86" s="43">
        <v>7.97</v>
      </c>
    </row>
    <row r="87" spans="1:41" x14ac:dyDescent="0.35">
      <c r="A87" s="28">
        <v>43498</v>
      </c>
      <c r="B87" s="83">
        <v>8.09</v>
      </c>
      <c r="F87" s="2"/>
      <c r="G87" s="2"/>
      <c r="N87" s="31"/>
    </row>
    <row r="88" spans="1:41" s="31" customFormat="1" x14ac:dyDescent="0.35">
      <c r="A88" s="28">
        <v>43499</v>
      </c>
      <c r="B88" s="31">
        <v>7.98</v>
      </c>
      <c r="F88" s="25"/>
      <c r="G88" s="25"/>
      <c r="AF88" s="43"/>
      <c r="AG88" s="43"/>
      <c r="AH88" s="43"/>
      <c r="AI88" s="43"/>
      <c r="AJ88" s="43"/>
      <c r="AK88" s="43"/>
      <c r="AL88" s="43"/>
      <c r="AM88" s="43"/>
      <c r="AN88" s="43"/>
      <c r="AO88" s="43"/>
    </row>
    <row r="89" spans="1:41" s="31" customFormat="1" x14ac:dyDescent="0.35">
      <c r="A89" s="28">
        <v>43500</v>
      </c>
      <c r="B89" s="31">
        <v>7.96</v>
      </c>
      <c r="F89" s="25"/>
      <c r="G89" s="25"/>
      <c r="AF89" s="43"/>
      <c r="AG89" s="43"/>
      <c r="AH89" s="43"/>
      <c r="AI89" s="43"/>
      <c r="AJ89" s="43"/>
      <c r="AK89" s="43"/>
      <c r="AL89" s="43"/>
      <c r="AM89" s="43"/>
      <c r="AN89" s="43"/>
      <c r="AO89" s="43"/>
    </row>
    <row r="90" spans="1:41" s="31" customFormat="1" x14ac:dyDescent="0.35">
      <c r="A90" s="28">
        <v>43501</v>
      </c>
      <c r="B90" s="31">
        <v>8.02</v>
      </c>
      <c r="F90" s="25"/>
      <c r="G90" s="25"/>
      <c r="AF90" s="43"/>
      <c r="AG90" s="43"/>
      <c r="AH90" s="43"/>
      <c r="AI90" s="43"/>
      <c r="AJ90" s="43"/>
      <c r="AK90" s="43"/>
      <c r="AL90" s="43"/>
      <c r="AM90" s="43"/>
      <c r="AN90" s="43"/>
      <c r="AO90" s="43"/>
    </row>
    <row r="91" spans="1:41" s="31" customFormat="1" x14ac:dyDescent="0.35">
      <c r="A91" s="28">
        <v>43502</v>
      </c>
      <c r="B91" s="31">
        <v>7.18</v>
      </c>
      <c r="C91" s="31" t="s">
        <v>153</v>
      </c>
      <c r="F91" s="25"/>
      <c r="G91" s="25"/>
      <c r="AF91" s="43"/>
      <c r="AG91" s="43"/>
      <c r="AH91" s="43"/>
      <c r="AI91" s="43"/>
      <c r="AJ91" s="43"/>
      <c r="AK91" s="43"/>
      <c r="AL91" s="43"/>
      <c r="AM91" s="43"/>
      <c r="AN91" s="43"/>
      <c r="AO91" s="43"/>
    </row>
    <row r="92" spans="1:41" s="31" customFormat="1" x14ac:dyDescent="0.35">
      <c r="A92" s="28">
        <v>43503</v>
      </c>
      <c r="B92" s="31">
        <v>7.15</v>
      </c>
      <c r="F92" s="25"/>
      <c r="G92" s="25"/>
      <c r="AF92" s="43"/>
      <c r="AG92" s="43"/>
      <c r="AH92" s="43"/>
      <c r="AI92" s="43"/>
      <c r="AJ92" s="43"/>
      <c r="AK92" s="43"/>
      <c r="AL92" s="43"/>
      <c r="AM92" s="43"/>
      <c r="AN92" s="43"/>
      <c r="AO92" s="43"/>
    </row>
    <row r="93" spans="1:41" s="31" customFormat="1" x14ac:dyDescent="0.35">
      <c r="A93" s="28">
        <v>43504</v>
      </c>
      <c r="B93" s="31">
        <v>7.19</v>
      </c>
      <c r="F93" s="25"/>
      <c r="G93" s="25"/>
      <c r="M93" s="27"/>
      <c r="N93" s="27"/>
      <c r="O93" s="27"/>
      <c r="P93" s="27"/>
      <c r="Q93" s="27"/>
      <c r="R93" s="26"/>
      <c r="S93" s="26"/>
      <c r="T93" s="26"/>
      <c r="U93" s="26"/>
      <c r="V93" s="27"/>
      <c r="W93" s="18"/>
      <c r="X93" s="26"/>
      <c r="Y93" s="27"/>
      <c r="AF93" s="43"/>
      <c r="AG93" s="43"/>
      <c r="AH93" s="43"/>
      <c r="AI93" s="43"/>
      <c r="AJ93" s="43"/>
      <c r="AK93" s="43"/>
      <c r="AL93" s="43"/>
      <c r="AM93" s="43"/>
      <c r="AN93" s="43"/>
      <c r="AO93" s="43"/>
    </row>
    <row r="94" spans="1:41" s="31" customFormat="1" x14ac:dyDescent="0.35">
      <c r="A94" s="28">
        <v>43505</v>
      </c>
      <c r="B94" s="31">
        <v>7.19</v>
      </c>
      <c r="F94" s="25"/>
      <c r="G94" s="25"/>
      <c r="M94" s="27"/>
      <c r="N94" s="27"/>
      <c r="O94" s="27"/>
      <c r="P94" s="27"/>
      <c r="Q94" s="27"/>
      <c r="R94" s="26"/>
      <c r="S94" s="26"/>
      <c r="T94" s="26"/>
      <c r="U94" s="26"/>
      <c r="V94" s="27"/>
      <c r="W94" s="18"/>
      <c r="X94" s="26"/>
      <c r="Y94" s="27"/>
      <c r="AF94" s="43"/>
      <c r="AG94" s="43"/>
      <c r="AH94" s="43"/>
      <c r="AI94" s="43"/>
      <c r="AJ94" s="43"/>
      <c r="AK94" s="43"/>
      <c r="AL94" s="43"/>
      <c r="AM94" s="43"/>
      <c r="AN94" s="43"/>
      <c r="AO94" s="43"/>
    </row>
    <row r="95" spans="1:41" s="31" customFormat="1" x14ac:dyDescent="0.35">
      <c r="A95" s="28">
        <v>43506</v>
      </c>
      <c r="B95" s="31">
        <v>7.17</v>
      </c>
      <c r="F95" s="25"/>
      <c r="G95" s="25"/>
      <c r="R95" s="26"/>
      <c r="S95" s="26"/>
      <c r="T95" s="26"/>
      <c r="U95" s="27"/>
      <c r="W95" s="6"/>
      <c r="X95" s="26"/>
      <c r="Y95" s="27"/>
      <c r="AF95" s="43"/>
      <c r="AG95" s="43"/>
      <c r="AH95" s="43"/>
      <c r="AI95" s="43"/>
      <c r="AJ95" s="43"/>
      <c r="AK95" s="43"/>
      <c r="AL95" s="43"/>
      <c r="AM95" s="43"/>
      <c r="AN95" s="43"/>
      <c r="AO95" s="43"/>
    </row>
    <row r="96" spans="1:41" s="31" customFormat="1" x14ac:dyDescent="0.35">
      <c r="A96" s="28">
        <v>43507</v>
      </c>
      <c r="B96" s="31">
        <v>7.26</v>
      </c>
      <c r="F96" s="25"/>
      <c r="G96" s="25"/>
      <c r="AF96" s="43"/>
      <c r="AG96" s="43"/>
      <c r="AH96" s="43"/>
      <c r="AI96" s="43"/>
      <c r="AJ96" s="43"/>
      <c r="AK96" s="43"/>
      <c r="AL96" s="43"/>
      <c r="AM96" s="43"/>
      <c r="AN96" s="43"/>
      <c r="AO96" s="43"/>
    </row>
    <row r="97" spans="1:41" s="31" customFormat="1" x14ac:dyDescent="0.35">
      <c r="A97" s="28">
        <v>43508</v>
      </c>
      <c r="B97" s="31">
        <v>7.34</v>
      </c>
      <c r="F97" s="25"/>
      <c r="G97" s="25"/>
      <c r="AF97" s="43"/>
      <c r="AG97" s="43"/>
      <c r="AH97" s="43"/>
      <c r="AI97" s="43"/>
      <c r="AJ97" s="43"/>
      <c r="AK97" s="43"/>
      <c r="AL97" s="43"/>
      <c r="AM97" s="43"/>
      <c r="AN97" s="43"/>
      <c r="AO97" s="43"/>
    </row>
    <row r="98" spans="1:41" s="31" customFormat="1" x14ac:dyDescent="0.35">
      <c r="A98" s="28">
        <v>43509</v>
      </c>
      <c r="B98" s="31">
        <v>7.05</v>
      </c>
      <c r="F98" s="25"/>
      <c r="G98" s="25"/>
      <c r="AF98" s="43"/>
      <c r="AG98" s="43"/>
      <c r="AH98" s="43"/>
      <c r="AI98" s="43"/>
      <c r="AJ98" s="43"/>
      <c r="AK98" s="43"/>
      <c r="AL98" s="43"/>
      <c r="AM98" s="43"/>
      <c r="AN98" s="43"/>
      <c r="AO98" s="43"/>
    </row>
    <row r="99" spans="1:41" s="31" customFormat="1" x14ac:dyDescent="0.35">
      <c r="A99" s="28">
        <v>43510</v>
      </c>
      <c r="B99" s="85">
        <v>7.26</v>
      </c>
      <c r="C99" s="31" t="s">
        <v>158</v>
      </c>
      <c r="F99" s="25"/>
      <c r="G99" s="25"/>
      <c r="AF99" s="43"/>
      <c r="AG99" s="43"/>
      <c r="AH99" s="43"/>
      <c r="AI99" s="43"/>
      <c r="AJ99" s="43"/>
      <c r="AK99" s="43"/>
      <c r="AL99" s="43"/>
      <c r="AM99" s="43"/>
      <c r="AN99" s="43"/>
      <c r="AO99" s="43"/>
    </row>
    <row r="100" spans="1:41" s="31" customFormat="1" x14ac:dyDescent="0.35">
      <c r="A100" s="28">
        <v>43511</v>
      </c>
      <c r="B100" s="85">
        <v>7.11</v>
      </c>
      <c r="F100" s="25"/>
      <c r="G100" s="25"/>
      <c r="X100" s="26"/>
      <c r="Y100" s="26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</row>
    <row r="101" spans="1:41" s="31" customFormat="1" x14ac:dyDescent="0.35">
      <c r="A101" s="28">
        <v>43512</v>
      </c>
      <c r="B101" s="85">
        <v>7.23</v>
      </c>
      <c r="F101" s="25"/>
      <c r="G101" s="25"/>
      <c r="H101" s="25"/>
      <c r="K101" s="27"/>
      <c r="L101" s="27"/>
      <c r="U101" s="26"/>
      <c r="X101" s="26"/>
      <c r="Y101" s="26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</row>
    <row r="102" spans="1:41" s="31" customFormat="1" x14ac:dyDescent="0.35">
      <c r="A102" s="28">
        <v>43513</v>
      </c>
      <c r="B102" s="85">
        <v>7.25</v>
      </c>
      <c r="F102" s="25"/>
      <c r="G102" s="25"/>
      <c r="K102" s="27"/>
      <c r="L102" s="27"/>
      <c r="R102" s="27"/>
      <c r="S102" s="27"/>
      <c r="T102" s="27"/>
      <c r="U102" s="13"/>
      <c r="X102" s="26"/>
      <c r="Y102" s="26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</row>
    <row r="103" spans="1:41" s="31" customFormat="1" x14ac:dyDescent="0.35">
      <c r="A103" s="28">
        <v>43514</v>
      </c>
      <c r="B103" s="85">
        <v>7.2</v>
      </c>
      <c r="F103" s="25"/>
      <c r="G103" s="25"/>
      <c r="K103" s="27"/>
      <c r="L103" s="27"/>
      <c r="O103" s="6"/>
      <c r="R103" s="27"/>
      <c r="S103" s="27"/>
      <c r="T103" s="27"/>
      <c r="U103" s="13"/>
      <c r="V103" s="6"/>
      <c r="X103" s="26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</row>
    <row r="104" spans="1:41" s="31" customFormat="1" x14ac:dyDescent="0.35">
      <c r="A104" s="28">
        <v>43515</v>
      </c>
      <c r="B104" s="85">
        <v>7.2</v>
      </c>
      <c r="F104" s="25"/>
      <c r="G104" s="25"/>
      <c r="J104" s="27"/>
      <c r="K104" s="27"/>
      <c r="L104" s="27"/>
      <c r="R104" s="27"/>
      <c r="S104" s="27"/>
      <c r="T104" s="27"/>
      <c r="U104" s="13"/>
      <c r="W104" s="12"/>
      <c r="X104" s="26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</row>
    <row r="105" spans="1:41" s="31" customFormat="1" x14ac:dyDescent="0.35">
      <c r="A105" s="28">
        <v>43516</v>
      </c>
      <c r="B105" s="25">
        <v>7.27</v>
      </c>
      <c r="F105" s="25"/>
      <c r="G105" s="25"/>
      <c r="J105" s="27"/>
      <c r="K105" s="27"/>
      <c r="L105" s="27"/>
      <c r="O105" s="27"/>
      <c r="R105" s="27"/>
      <c r="S105" s="27"/>
      <c r="T105" s="27"/>
      <c r="U105" s="13"/>
      <c r="V105" s="18"/>
      <c r="X105" s="26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</row>
    <row r="106" spans="1:41" s="31" customFormat="1" x14ac:dyDescent="0.35">
      <c r="A106" s="28">
        <v>43517</v>
      </c>
      <c r="B106" s="25">
        <v>7.31</v>
      </c>
      <c r="F106" s="25"/>
      <c r="G106" s="25"/>
      <c r="J106" s="27"/>
      <c r="K106" s="27"/>
      <c r="L106" s="27"/>
      <c r="O106" s="27"/>
      <c r="R106" s="27"/>
      <c r="S106" s="27"/>
      <c r="T106" s="27"/>
      <c r="U106" s="13"/>
      <c r="V106" s="18"/>
      <c r="X106" s="26"/>
    </row>
    <row r="107" spans="1:41" s="31" customFormat="1" x14ac:dyDescent="0.35">
      <c r="A107" s="28">
        <v>43518</v>
      </c>
      <c r="B107" s="25">
        <v>7.29</v>
      </c>
      <c r="F107" s="25"/>
      <c r="G107" s="25"/>
      <c r="J107" s="27"/>
      <c r="K107" s="27"/>
      <c r="L107" s="27"/>
      <c r="O107" s="27"/>
      <c r="R107" s="27"/>
      <c r="S107" s="27"/>
      <c r="T107" s="27"/>
      <c r="U107" s="13"/>
      <c r="V107" s="18"/>
      <c r="X107" s="26"/>
    </row>
    <row r="108" spans="1:41" s="31" customFormat="1" x14ac:dyDescent="0.35">
      <c r="B108" s="28"/>
      <c r="F108" s="25"/>
      <c r="G108" s="25"/>
      <c r="J108" s="27"/>
      <c r="K108" s="27"/>
      <c r="L108" s="27"/>
      <c r="O108" s="27"/>
      <c r="R108" s="27"/>
      <c r="S108" s="27"/>
      <c r="T108" s="27"/>
      <c r="U108" s="13"/>
      <c r="V108" s="18"/>
      <c r="X108" s="26"/>
    </row>
    <row r="109" spans="1:41" s="31" customFormat="1" x14ac:dyDescent="0.35">
      <c r="B109" s="28"/>
      <c r="F109" s="25"/>
      <c r="G109" s="25"/>
      <c r="J109" s="27"/>
      <c r="K109" s="27"/>
      <c r="L109" s="27"/>
      <c r="O109" s="27"/>
      <c r="R109" s="26"/>
      <c r="S109" s="26"/>
      <c r="T109" s="26"/>
      <c r="U109" s="13"/>
      <c r="V109" s="18"/>
      <c r="X109" s="26"/>
    </row>
    <row r="110" spans="1:41" s="31" customFormat="1" x14ac:dyDescent="0.35">
      <c r="F110" s="25"/>
      <c r="G110" s="25"/>
    </row>
    <row r="111" spans="1:41" s="31" customFormat="1" x14ac:dyDescent="0.35">
      <c r="F111" s="25"/>
      <c r="G111" s="25"/>
    </row>
    <row r="112" spans="1:41" s="31" customFormat="1" x14ac:dyDescent="0.35">
      <c r="F112" s="25"/>
      <c r="G112" s="25"/>
    </row>
    <row r="113" spans="1:10" s="31" customFormat="1" x14ac:dyDescent="0.35"/>
    <row r="114" spans="1:10" s="31" customFormat="1" x14ac:dyDescent="0.35"/>
    <row r="115" spans="1:10" s="31" customFormat="1" x14ac:dyDescent="0.35"/>
    <row r="116" spans="1:10" s="31" customFormat="1" x14ac:dyDescent="0.35"/>
    <row r="117" spans="1:10" s="31" customFormat="1" x14ac:dyDescent="0.35"/>
    <row r="118" spans="1:10" s="31" customFormat="1" x14ac:dyDescent="0.35"/>
    <row r="119" spans="1:10" s="31" customFormat="1" x14ac:dyDescent="0.35">
      <c r="A119" s="28"/>
      <c r="E119" s="28"/>
      <c r="J119" s="28"/>
    </row>
    <row r="120" spans="1:10" s="31" customFormat="1" x14ac:dyDescent="0.35">
      <c r="A120" s="28"/>
      <c r="E120" s="28"/>
    </row>
    <row r="121" spans="1:10" s="31" customFormat="1" x14ac:dyDescent="0.35">
      <c r="A121" s="28"/>
      <c r="E121" s="28"/>
      <c r="J121" s="28"/>
    </row>
    <row r="122" spans="1:10" s="31" customFormat="1" x14ac:dyDescent="0.35">
      <c r="A122" s="28"/>
      <c r="E122" s="28"/>
      <c r="J122" s="28"/>
    </row>
    <row r="123" spans="1:10" s="31" customFormat="1" x14ac:dyDescent="0.35">
      <c r="A123" s="28"/>
      <c r="E123" s="28"/>
      <c r="J123" s="28"/>
    </row>
    <row r="124" spans="1:10" s="31" customFormat="1" x14ac:dyDescent="0.35">
      <c r="A124" s="28"/>
      <c r="E124" s="28"/>
      <c r="J124" s="28"/>
    </row>
    <row r="125" spans="1:10" s="31" customFormat="1" x14ac:dyDescent="0.35">
      <c r="A125" s="28"/>
      <c r="E125" s="28"/>
      <c r="J125" s="28"/>
    </row>
    <row r="126" spans="1:10" s="31" customFormat="1" x14ac:dyDescent="0.35">
      <c r="A126" s="28"/>
      <c r="E126" s="28"/>
      <c r="J126" s="28"/>
    </row>
    <row r="127" spans="1:10" s="31" customFormat="1" x14ac:dyDescent="0.35">
      <c r="A127" s="28"/>
      <c r="E127" s="28"/>
      <c r="J127" s="28"/>
    </row>
    <row r="128" spans="1:10" s="31" customFormat="1" x14ac:dyDescent="0.35">
      <c r="A128" s="28"/>
      <c r="E128" s="28"/>
      <c r="J128" s="28"/>
    </row>
    <row r="129" spans="1:41" s="31" customFormat="1" x14ac:dyDescent="0.35">
      <c r="A129" s="28"/>
      <c r="E129" s="28"/>
      <c r="J129" s="28"/>
    </row>
    <row r="130" spans="1:41" s="31" customFormat="1" x14ac:dyDescent="0.35">
      <c r="A130" s="28"/>
      <c r="E130" s="28"/>
      <c r="J130" s="28"/>
    </row>
    <row r="131" spans="1:41" s="31" customFormat="1" x14ac:dyDescent="0.35">
      <c r="A131" s="28"/>
      <c r="E131" s="28"/>
      <c r="J131" s="28"/>
    </row>
    <row r="132" spans="1:41" s="31" customFormat="1" x14ac:dyDescent="0.35">
      <c r="A132" s="28"/>
      <c r="F132" s="25"/>
      <c r="G132" s="25"/>
    </row>
    <row r="133" spans="1:41" s="31" customFormat="1" x14ac:dyDescent="0.35">
      <c r="A133" s="28"/>
      <c r="F133" s="25"/>
      <c r="G133" s="25"/>
    </row>
    <row r="134" spans="1:41" s="31" customFormat="1" x14ac:dyDescent="0.35">
      <c r="A134" s="22"/>
      <c r="F134" s="25"/>
      <c r="G134" s="25"/>
    </row>
    <row r="135" spans="1:41" s="31" customFormat="1" x14ac:dyDescent="0.35"/>
    <row r="136" spans="1:41" x14ac:dyDescent="0.35"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</row>
    <row r="137" spans="1:41" x14ac:dyDescent="0.35"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</row>
    <row r="138" spans="1:41" x14ac:dyDescent="0.35"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</row>
    <row r="139" spans="1:41" x14ac:dyDescent="0.35"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</row>
    <row r="140" spans="1:41" x14ac:dyDescent="0.35"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</row>
    <row r="141" spans="1:41" x14ac:dyDescent="0.35"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</row>
    <row r="142" spans="1:41" x14ac:dyDescent="0.35"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</row>
    <row r="143" spans="1:41" x14ac:dyDescent="0.35"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</row>
    <row r="144" spans="1:41" x14ac:dyDescent="0.35"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</row>
    <row r="145" spans="32:41" x14ac:dyDescent="0.35"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</row>
    <row r="146" spans="32:41" x14ac:dyDescent="0.35"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</row>
    <row r="147" spans="32:41" x14ac:dyDescent="0.35"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</row>
    <row r="148" spans="32:41" x14ac:dyDescent="0.35"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</row>
    <row r="149" spans="32:41" x14ac:dyDescent="0.35"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</row>
    <row r="150" spans="32:41" x14ac:dyDescent="0.35"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</row>
    <row r="151" spans="32:41" x14ac:dyDescent="0.35"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</row>
    <row r="152" spans="32:41" x14ac:dyDescent="0.35"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</row>
    <row r="153" spans="32:41" x14ac:dyDescent="0.35"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S&amp;G Composite Masses</vt:lpstr>
      <vt:lpstr>Vadose Composite Masses</vt:lpstr>
      <vt:lpstr>Extraction Results</vt:lpstr>
      <vt:lpstr>Influent Results</vt:lpstr>
      <vt:lpstr>Influent Results After Degass</vt:lpstr>
      <vt:lpstr>Influent Results Master</vt:lpstr>
      <vt:lpstr>Column 1 </vt:lpstr>
      <vt:lpstr>Column 2</vt:lpstr>
      <vt:lpstr>Column 3</vt:lpstr>
      <vt:lpstr>Column 4</vt:lpstr>
      <vt:lpstr>Column 5</vt:lpstr>
      <vt:lpstr>Column 6</vt:lpstr>
      <vt:lpstr>Column 7</vt:lpstr>
      <vt:lpstr>Column 8</vt:lpstr>
      <vt:lpstr>Column 9</vt:lpstr>
      <vt:lpstr>Column 10</vt:lpstr>
      <vt:lpstr>Column 11</vt:lpstr>
      <vt:lpstr>Column 12</vt:lpstr>
      <vt:lpstr>Column 13</vt:lpstr>
      <vt:lpstr>Column 14</vt:lpstr>
      <vt:lpstr>Column 15</vt:lpstr>
      <vt:lpstr>Column 16</vt:lpstr>
      <vt:lpstr>Column 17</vt:lpstr>
      <vt:lpstr>Column 18</vt:lpstr>
      <vt:lpstr>Column 19</vt:lpstr>
      <vt:lpstr>Column 20</vt:lpstr>
    </vt:vector>
  </TitlesOfParts>
  <Company>Department of Energy Legacy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Morris</dc:creator>
  <cp:lastModifiedBy>Johnson, Ray (CONTR)</cp:lastModifiedBy>
  <cp:lastPrinted>2019-10-31T20:31:28Z</cp:lastPrinted>
  <dcterms:created xsi:type="dcterms:W3CDTF">2017-08-03T20:37:21Z</dcterms:created>
  <dcterms:modified xsi:type="dcterms:W3CDTF">2021-12-30T23:46:08Z</dcterms:modified>
</cp:coreProperties>
</file>